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6a635446fb54665/Documents/"/>
    </mc:Choice>
  </mc:AlternateContent>
  <xr:revisionPtr revIDLastSave="2238" documentId="8_{47883CA0-4E5F-489D-94C2-10ACDB62EF5E}" xr6:coauthVersionLast="47" xr6:coauthVersionMax="47" xr10:uidLastSave="{C5B247E7-5C9D-4844-8614-7C786F591526}"/>
  <workbookProtection workbookAlgorithmName="SHA-512" workbookHashValue="E8pvCZfLOquE+xbHSMPgXfsAkRcJB0RZoIaEiHmYaFtAwE2z52q79DuDdgGkytAEPycY8r7TdIPqTHqcBlzv8A==" workbookSaltValue="RAogyJoNW04D0W7OtszGBw==" workbookSpinCount="100000" lockStructure="1"/>
  <bookViews>
    <workbookView xWindow="-110" yWindow="-110" windowWidth="19420" windowHeight="11500" firstSheet="7" activeTab="7" xr2:uid="{126A71CA-E4E7-4E68-AF0D-2E5AD29CABFB}"/>
  </bookViews>
  <sheets>
    <sheet name="Cover" sheetId="6" state="hidden" r:id="rId1"/>
    <sheet name="TOC" sheetId="5" state="hidden" r:id="rId2"/>
    <sheet name="FC" sheetId="22" state="hidden" r:id="rId3"/>
    <sheet name="1. Output &gt;&gt;" sheetId="4" state="hidden" r:id="rId4"/>
    <sheet name="Name File" sheetId="23" state="hidden" r:id="rId5"/>
    <sheet name="1.2 Financial Output" sheetId="2" state="hidden" r:id="rId6"/>
    <sheet name="1.3 Sensitivity Analysis" sheetId="16" state="hidden" r:id="rId7"/>
    <sheet name="2. FS &gt;&gt;" sheetId="3" r:id="rId8"/>
    <sheet name="1.1 Control Panel" sheetId="1" r:id="rId9"/>
    <sheet name="2.1 PnL" sheetId="12" r:id="rId10"/>
    <sheet name="2.2 BS" sheetId="13" r:id="rId11"/>
    <sheet name="2.3 CF" sheetId="14" r:id="rId12"/>
    <sheet name="3.8 Debt Financing" sheetId="21" r:id="rId13"/>
    <sheet name="3.9 Equity Financing" sheetId="28" r:id="rId14"/>
    <sheet name="3. Calculations &gt;&gt;" sheetId="15" state="hidden" r:id="rId15"/>
    <sheet name="3.1 Market" sheetId="17" state="hidden" r:id="rId16"/>
    <sheet name="Back-end Overview of Use Cases" sheetId="37" state="hidden" r:id="rId17"/>
    <sheet name="3.2 Doojo Base" sheetId="29" state="hidden" r:id="rId18"/>
    <sheet name="3.3 Revenue" sheetId="7" state="hidden" r:id="rId19"/>
    <sheet name="3.4 OpEx" sheetId="8" state="hidden" r:id="rId20"/>
    <sheet name="3.5 Staff" sheetId="18" state="hidden" r:id="rId21"/>
    <sheet name="3.6 CapEx" sheetId="9" state="hidden" r:id="rId22"/>
    <sheet name="3.7 D&amp;A" sheetId="10" state="hidden" r:id="rId23"/>
    <sheet name="3.10 WACC" sheetId="31" state="hidden" r:id="rId24"/>
    <sheet name="4. Input &gt;&gt;" sheetId="20" state="hidden" r:id="rId25"/>
    <sheet name="4.1 GICS Sectors" sheetId="19" state="hidden" r:id="rId26"/>
    <sheet name="4.2 Sector Mapping" sheetId="32" state="hidden" r:id="rId27"/>
    <sheet name="4.3 Global SME Data" sheetId="30" state="hidden" r:id="rId28"/>
    <sheet name="4.4 EU SME Data" sheetId="33" state="hidden" r:id="rId29"/>
    <sheet name="4.5 UK SME Data" sheetId="35" state="hidden" r:id="rId30"/>
    <sheet name="4.6 USA SME Data" sheetId="34" state="hidden" r:id="rId31"/>
  </sheets>
  <definedNames>
    <definedName name="_xlnm._FilterDatabase" localSheetId="25" hidden="1">'4.1 GICS Sectors'!$B$4:$E$4</definedName>
    <definedName name="_xlnm._FilterDatabase" localSheetId="26" hidden="1">'4.2 Sector Mapping'!$B$18:$D$18</definedName>
    <definedName name="Aggressive">'Name File'!$B$7</definedName>
    <definedName name="Agri">'Name File'!$B$26</definedName>
    <definedName name="Base">'Name File'!$B$6</definedName>
    <definedName name="Bootstrapped">'Name File'!$B$10</definedName>
    <definedName name="CMT">'Name File'!$B$27</definedName>
    <definedName name="Conservative">'Name File'!$B$5</definedName>
    <definedName name="DA">'1.1 Control Panel'!$E$965</definedName>
    <definedName name="EBIT">'Name File'!$B$16</definedName>
    <definedName name="EBITDA">'Name File'!$B$15</definedName>
    <definedName name="EBITDAR">'Name File'!$B$14</definedName>
    <definedName name="EnE">'Name File'!$B$28</definedName>
    <definedName name="ER">'Name File'!$B$36</definedName>
    <definedName name="Forecasting_Scenario">'1.1 Control Panel'!$D$5</definedName>
    <definedName name="FS">'Name File'!$B$29</definedName>
    <definedName name="HC">'Name File'!$B$30</definedName>
    <definedName name="InS">'Name File'!$B$31</definedName>
    <definedName name="KSA">'Name File'!$B$21</definedName>
    <definedName name="NOPLAT">'Name File'!$B$17</definedName>
    <definedName name="Pre_seed">'Name File'!$B$116</definedName>
    <definedName name="ProfessionalServices">'Name File'!$B$32</definedName>
    <definedName name="PSP">'Name File'!$B$33</definedName>
    <definedName name="Qatar">'Name File'!$B$22</definedName>
    <definedName name="Raised">'Name File'!$B$11</definedName>
    <definedName name="RCG">'Name File'!$B$35</definedName>
    <definedName name="REC">'Name File'!$B$34</definedName>
    <definedName name="Seed">'Name File'!$B$117</definedName>
    <definedName name="Series_A">'Name File'!$B$118</definedName>
    <definedName name="Series_B">'Name File'!$B$119</definedName>
    <definedName name="Series_C">'Name File'!$B$120</definedName>
    <definedName name="Series_D">'Name File'!$B$121</definedName>
    <definedName name="Series_E">'Name File'!$B$122</definedName>
    <definedName name="Series_F">'Name File'!$B$123</definedName>
    <definedName name="TnS">'Name File'!$B$37</definedName>
    <definedName name="UAE">'Name File'!$B$20</definedName>
    <definedName name="USA">'Name File'!$B$23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0" i="9" l="1"/>
  <c r="H360" i="1" l="1"/>
  <c r="I360" i="1" s="1"/>
  <c r="J360" i="1" s="1"/>
  <c r="K360" i="1" s="1"/>
  <c r="L360" i="1" s="1"/>
  <c r="M360" i="1" s="1"/>
  <c r="N360" i="1" s="1"/>
  <c r="O360" i="1" s="1"/>
  <c r="P360" i="1" s="1"/>
  <c r="Q360" i="1" s="1"/>
  <c r="R360" i="1" s="1"/>
  <c r="S360" i="1" s="1"/>
  <c r="T360" i="1" s="1"/>
  <c r="U360" i="1" s="1"/>
  <c r="V360" i="1" s="1"/>
  <c r="W360" i="1" s="1"/>
  <c r="X360" i="1" s="1"/>
  <c r="Y360" i="1" s="1"/>
  <c r="Z360" i="1" s="1"/>
  <c r="AA360" i="1" s="1"/>
  <c r="AB360" i="1" s="1"/>
  <c r="AC360" i="1" s="1"/>
  <c r="AD360" i="1" s="1"/>
  <c r="AE360" i="1" s="1"/>
  <c r="AF360" i="1" s="1"/>
  <c r="AG360" i="1" s="1"/>
  <c r="AH360" i="1" s="1"/>
  <c r="AI360" i="1" s="1"/>
  <c r="AJ360" i="1" s="1"/>
  <c r="AK360" i="1" s="1"/>
  <c r="AL360" i="1" s="1"/>
  <c r="AM360" i="1" s="1"/>
  <c r="AN360" i="1" s="1"/>
  <c r="G360" i="1"/>
  <c r="G359" i="1"/>
  <c r="H359" i="1" s="1"/>
  <c r="I359" i="1" s="1"/>
  <c r="J359" i="1" s="1"/>
  <c r="K359" i="1" s="1"/>
  <c r="L359" i="1" s="1"/>
  <c r="M359" i="1" s="1"/>
  <c r="N359" i="1" s="1"/>
  <c r="O359" i="1" s="1"/>
  <c r="P359" i="1" s="1"/>
  <c r="Q359" i="1" s="1"/>
  <c r="R359" i="1" s="1"/>
  <c r="S359" i="1" s="1"/>
  <c r="T359" i="1" s="1"/>
  <c r="U359" i="1" s="1"/>
  <c r="V359" i="1" s="1"/>
  <c r="W359" i="1" s="1"/>
  <c r="X359" i="1" s="1"/>
  <c r="Y359" i="1" s="1"/>
  <c r="Z359" i="1" s="1"/>
  <c r="AA359" i="1" s="1"/>
  <c r="AB359" i="1" s="1"/>
  <c r="AC359" i="1" s="1"/>
  <c r="AD359" i="1" s="1"/>
  <c r="AE359" i="1" s="1"/>
  <c r="AF359" i="1" s="1"/>
  <c r="AG359" i="1" s="1"/>
  <c r="AH359" i="1" s="1"/>
  <c r="AI359" i="1" s="1"/>
  <c r="AJ359" i="1" s="1"/>
  <c r="AK359" i="1" s="1"/>
  <c r="AL359" i="1" s="1"/>
  <c r="AM359" i="1" s="1"/>
  <c r="AN359" i="1" s="1"/>
  <c r="H358" i="1"/>
  <c r="I358" i="1" s="1"/>
  <c r="J358" i="1" s="1"/>
  <c r="K358" i="1" s="1"/>
  <c r="L358" i="1" s="1"/>
  <c r="M358" i="1" s="1"/>
  <c r="N358" i="1" s="1"/>
  <c r="O358" i="1" s="1"/>
  <c r="P358" i="1" s="1"/>
  <c r="Q358" i="1" s="1"/>
  <c r="R358" i="1" s="1"/>
  <c r="S358" i="1" s="1"/>
  <c r="T358" i="1" s="1"/>
  <c r="U358" i="1" s="1"/>
  <c r="V358" i="1" s="1"/>
  <c r="W358" i="1" s="1"/>
  <c r="X358" i="1" s="1"/>
  <c r="Y358" i="1" s="1"/>
  <c r="Z358" i="1" s="1"/>
  <c r="AA358" i="1" s="1"/>
  <c r="AB358" i="1" s="1"/>
  <c r="AC358" i="1" s="1"/>
  <c r="AD358" i="1" s="1"/>
  <c r="AE358" i="1" s="1"/>
  <c r="AF358" i="1" s="1"/>
  <c r="AG358" i="1" s="1"/>
  <c r="AH358" i="1" s="1"/>
  <c r="AI358" i="1" s="1"/>
  <c r="AJ358" i="1" s="1"/>
  <c r="AK358" i="1" s="1"/>
  <c r="AL358" i="1" s="1"/>
  <c r="AM358" i="1" s="1"/>
  <c r="AN358" i="1" s="1"/>
  <c r="G358" i="1"/>
  <c r="G357" i="1"/>
  <c r="H357" i="1" s="1"/>
  <c r="I357" i="1" s="1"/>
  <c r="J357" i="1" s="1"/>
  <c r="K357" i="1" s="1"/>
  <c r="L357" i="1" s="1"/>
  <c r="M357" i="1" s="1"/>
  <c r="N357" i="1" s="1"/>
  <c r="O357" i="1" s="1"/>
  <c r="P357" i="1" s="1"/>
  <c r="Q357" i="1" s="1"/>
  <c r="R357" i="1" s="1"/>
  <c r="S357" i="1" s="1"/>
  <c r="T357" i="1" s="1"/>
  <c r="U357" i="1" s="1"/>
  <c r="V357" i="1" s="1"/>
  <c r="W357" i="1" s="1"/>
  <c r="X357" i="1" s="1"/>
  <c r="Y357" i="1" s="1"/>
  <c r="Z357" i="1" s="1"/>
  <c r="AA357" i="1" s="1"/>
  <c r="AB357" i="1" s="1"/>
  <c r="AC357" i="1" s="1"/>
  <c r="AD357" i="1" s="1"/>
  <c r="AE357" i="1" s="1"/>
  <c r="AF357" i="1" s="1"/>
  <c r="AG357" i="1" s="1"/>
  <c r="AH357" i="1" s="1"/>
  <c r="AI357" i="1" s="1"/>
  <c r="AJ357" i="1" s="1"/>
  <c r="AK357" i="1" s="1"/>
  <c r="AL357" i="1" s="1"/>
  <c r="AM357" i="1" s="1"/>
  <c r="AN357" i="1" s="1"/>
  <c r="G356" i="1"/>
  <c r="H356" i="1" s="1"/>
  <c r="I356" i="1" s="1"/>
  <c r="J356" i="1" s="1"/>
  <c r="K356" i="1" s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V356" i="1" s="1"/>
  <c r="W356" i="1" s="1"/>
  <c r="X356" i="1" s="1"/>
  <c r="Y356" i="1" s="1"/>
  <c r="Z356" i="1" s="1"/>
  <c r="AA356" i="1" s="1"/>
  <c r="AB356" i="1" s="1"/>
  <c r="AC356" i="1" s="1"/>
  <c r="AD356" i="1" s="1"/>
  <c r="AE356" i="1" s="1"/>
  <c r="AF356" i="1" s="1"/>
  <c r="AG356" i="1" s="1"/>
  <c r="AH356" i="1" s="1"/>
  <c r="AI356" i="1" s="1"/>
  <c r="AJ356" i="1" s="1"/>
  <c r="AK356" i="1" s="1"/>
  <c r="AL356" i="1" s="1"/>
  <c r="AM356" i="1" s="1"/>
  <c r="AN356" i="1" s="1"/>
  <c r="H355" i="1"/>
  <c r="I355" i="1" s="1"/>
  <c r="J355" i="1" s="1"/>
  <c r="K355" i="1" s="1"/>
  <c r="L355" i="1" s="1"/>
  <c r="M355" i="1" s="1"/>
  <c r="N355" i="1" s="1"/>
  <c r="O355" i="1" s="1"/>
  <c r="P355" i="1" s="1"/>
  <c r="Q355" i="1" s="1"/>
  <c r="R355" i="1" s="1"/>
  <c r="S355" i="1" s="1"/>
  <c r="T355" i="1" s="1"/>
  <c r="U355" i="1" s="1"/>
  <c r="V355" i="1" s="1"/>
  <c r="W355" i="1" s="1"/>
  <c r="X355" i="1" s="1"/>
  <c r="Y355" i="1" s="1"/>
  <c r="Z355" i="1" s="1"/>
  <c r="AA355" i="1" s="1"/>
  <c r="AB355" i="1" s="1"/>
  <c r="AC355" i="1" s="1"/>
  <c r="AD355" i="1" s="1"/>
  <c r="AE355" i="1" s="1"/>
  <c r="AF355" i="1" s="1"/>
  <c r="AG355" i="1" s="1"/>
  <c r="AH355" i="1" s="1"/>
  <c r="AI355" i="1" s="1"/>
  <c r="AJ355" i="1" s="1"/>
  <c r="AK355" i="1" s="1"/>
  <c r="AL355" i="1" s="1"/>
  <c r="AM355" i="1" s="1"/>
  <c r="AN355" i="1" s="1"/>
  <c r="G355" i="1"/>
  <c r="F360" i="1"/>
  <c r="F359" i="1"/>
  <c r="F358" i="1"/>
  <c r="F357" i="1"/>
  <c r="F356" i="1"/>
  <c r="F355" i="1"/>
  <c r="G412" i="1"/>
  <c r="H412" i="1" s="1"/>
  <c r="I412" i="1" s="1"/>
  <c r="J412" i="1" s="1"/>
  <c r="K412" i="1" s="1"/>
  <c r="L412" i="1" s="1"/>
  <c r="M412" i="1" s="1"/>
  <c r="N412" i="1" s="1"/>
  <c r="O412" i="1" s="1"/>
  <c r="P412" i="1" s="1"/>
  <c r="Q412" i="1" s="1"/>
  <c r="R412" i="1" s="1"/>
  <c r="S412" i="1" s="1"/>
  <c r="T412" i="1" s="1"/>
  <c r="U412" i="1" s="1"/>
  <c r="V412" i="1" s="1"/>
  <c r="W412" i="1" s="1"/>
  <c r="X412" i="1" s="1"/>
  <c r="Y412" i="1" s="1"/>
  <c r="Z412" i="1" s="1"/>
  <c r="AA412" i="1" s="1"/>
  <c r="AB412" i="1" s="1"/>
  <c r="AC412" i="1" s="1"/>
  <c r="AD412" i="1" s="1"/>
  <c r="AE412" i="1" s="1"/>
  <c r="AF412" i="1" s="1"/>
  <c r="AG412" i="1" s="1"/>
  <c r="AH412" i="1" s="1"/>
  <c r="AI412" i="1" s="1"/>
  <c r="AJ412" i="1" s="1"/>
  <c r="AK412" i="1" s="1"/>
  <c r="AL412" i="1" s="1"/>
  <c r="AM412" i="1" s="1"/>
  <c r="AN412" i="1" s="1"/>
  <c r="F412" i="1"/>
  <c r="F411" i="1"/>
  <c r="G411" i="1" s="1"/>
  <c r="H411" i="1" s="1"/>
  <c r="I411" i="1" s="1"/>
  <c r="J411" i="1" s="1"/>
  <c r="K411" i="1" s="1"/>
  <c r="L411" i="1" s="1"/>
  <c r="M411" i="1" s="1"/>
  <c r="N411" i="1" s="1"/>
  <c r="O411" i="1" s="1"/>
  <c r="P411" i="1" s="1"/>
  <c r="Q411" i="1" s="1"/>
  <c r="R411" i="1" s="1"/>
  <c r="S411" i="1" s="1"/>
  <c r="T411" i="1" s="1"/>
  <c r="U411" i="1" s="1"/>
  <c r="V411" i="1" s="1"/>
  <c r="W411" i="1" s="1"/>
  <c r="X411" i="1" s="1"/>
  <c r="Y411" i="1" s="1"/>
  <c r="Z411" i="1" s="1"/>
  <c r="AA411" i="1" s="1"/>
  <c r="AB411" i="1" s="1"/>
  <c r="AC411" i="1" s="1"/>
  <c r="AD411" i="1" s="1"/>
  <c r="AE411" i="1" s="1"/>
  <c r="AF411" i="1" s="1"/>
  <c r="AG411" i="1" s="1"/>
  <c r="AH411" i="1" s="1"/>
  <c r="AI411" i="1" s="1"/>
  <c r="AJ411" i="1" s="1"/>
  <c r="AK411" i="1" s="1"/>
  <c r="AL411" i="1" s="1"/>
  <c r="AM411" i="1" s="1"/>
  <c r="AN411" i="1" s="1"/>
  <c r="G410" i="1"/>
  <c r="H410" i="1" s="1"/>
  <c r="I410" i="1" s="1"/>
  <c r="J410" i="1" s="1"/>
  <c r="K410" i="1" s="1"/>
  <c r="L410" i="1" s="1"/>
  <c r="M410" i="1" s="1"/>
  <c r="N410" i="1" s="1"/>
  <c r="O410" i="1" s="1"/>
  <c r="P410" i="1" s="1"/>
  <c r="Q410" i="1" s="1"/>
  <c r="R410" i="1" s="1"/>
  <c r="S410" i="1" s="1"/>
  <c r="T410" i="1" s="1"/>
  <c r="U410" i="1" s="1"/>
  <c r="V410" i="1" s="1"/>
  <c r="W410" i="1" s="1"/>
  <c r="X410" i="1" s="1"/>
  <c r="Y410" i="1" s="1"/>
  <c r="Z410" i="1" s="1"/>
  <c r="AA410" i="1" s="1"/>
  <c r="AB410" i="1" s="1"/>
  <c r="AC410" i="1" s="1"/>
  <c r="AD410" i="1" s="1"/>
  <c r="AE410" i="1" s="1"/>
  <c r="AF410" i="1" s="1"/>
  <c r="AG410" i="1" s="1"/>
  <c r="AH410" i="1" s="1"/>
  <c r="AI410" i="1" s="1"/>
  <c r="AJ410" i="1" s="1"/>
  <c r="AK410" i="1" s="1"/>
  <c r="AL410" i="1" s="1"/>
  <c r="AM410" i="1" s="1"/>
  <c r="AN410" i="1" s="1"/>
  <c r="F410" i="1"/>
  <c r="F409" i="1"/>
  <c r="G409" i="1" s="1"/>
  <c r="H409" i="1" s="1"/>
  <c r="I409" i="1" s="1"/>
  <c r="J409" i="1" s="1"/>
  <c r="K409" i="1" s="1"/>
  <c r="L409" i="1" s="1"/>
  <c r="M409" i="1" s="1"/>
  <c r="N409" i="1" s="1"/>
  <c r="O409" i="1" s="1"/>
  <c r="P409" i="1" s="1"/>
  <c r="Q409" i="1" s="1"/>
  <c r="R409" i="1" s="1"/>
  <c r="S409" i="1" s="1"/>
  <c r="T409" i="1" s="1"/>
  <c r="U409" i="1" s="1"/>
  <c r="V409" i="1" s="1"/>
  <c r="W409" i="1" s="1"/>
  <c r="X409" i="1" s="1"/>
  <c r="Y409" i="1" s="1"/>
  <c r="Z409" i="1" s="1"/>
  <c r="AA409" i="1" s="1"/>
  <c r="AB409" i="1" s="1"/>
  <c r="AC409" i="1" s="1"/>
  <c r="AD409" i="1" s="1"/>
  <c r="AE409" i="1" s="1"/>
  <c r="AF409" i="1" s="1"/>
  <c r="AG409" i="1" s="1"/>
  <c r="AH409" i="1" s="1"/>
  <c r="AI409" i="1" s="1"/>
  <c r="AJ409" i="1" s="1"/>
  <c r="AK409" i="1" s="1"/>
  <c r="AL409" i="1" s="1"/>
  <c r="AM409" i="1" s="1"/>
  <c r="AN409" i="1" s="1"/>
  <c r="G408" i="1"/>
  <c r="H408" i="1" s="1"/>
  <c r="I408" i="1" s="1"/>
  <c r="J408" i="1" s="1"/>
  <c r="K408" i="1" s="1"/>
  <c r="L408" i="1" s="1"/>
  <c r="M408" i="1" s="1"/>
  <c r="N408" i="1" s="1"/>
  <c r="O408" i="1" s="1"/>
  <c r="P408" i="1" s="1"/>
  <c r="Q408" i="1" s="1"/>
  <c r="R408" i="1" s="1"/>
  <c r="S408" i="1" s="1"/>
  <c r="T408" i="1" s="1"/>
  <c r="U408" i="1" s="1"/>
  <c r="V408" i="1" s="1"/>
  <c r="W408" i="1" s="1"/>
  <c r="X408" i="1" s="1"/>
  <c r="Y408" i="1" s="1"/>
  <c r="Z408" i="1" s="1"/>
  <c r="AA408" i="1" s="1"/>
  <c r="AB408" i="1" s="1"/>
  <c r="AC408" i="1" s="1"/>
  <c r="AD408" i="1" s="1"/>
  <c r="AE408" i="1" s="1"/>
  <c r="AF408" i="1" s="1"/>
  <c r="AG408" i="1" s="1"/>
  <c r="AH408" i="1" s="1"/>
  <c r="AI408" i="1" s="1"/>
  <c r="AJ408" i="1" s="1"/>
  <c r="AK408" i="1" s="1"/>
  <c r="AL408" i="1" s="1"/>
  <c r="AM408" i="1" s="1"/>
  <c r="AN408" i="1" s="1"/>
  <c r="F408" i="1"/>
  <c r="F407" i="1"/>
  <c r="G407" i="1" s="1"/>
  <c r="H407" i="1" s="1"/>
  <c r="I407" i="1" s="1"/>
  <c r="J407" i="1" s="1"/>
  <c r="K407" i="1" s="1"/>
  <c r="L407" i="1" s="1"/>
  <c r="M407" i="1" s="1"/>
  <c r="N407" i="1" s="1"/>
  <c r="O407" i="1" s="1"/>
  <c r="P407" i="1" s="1"/>
  <c r="Q407" i="1" s="1"/>
  <c r="R407" i="1" s="1"/>
  <c r="S407" i="1" s="1"/>
  <c r="T407" i="1" s="1"/>
  <c r="U407" i="1" s="1"/>
  <c r="V407" i="1" s="1"/>
  <c r="W407" i="1" s="1"/>
  <c r="X407" i="1" s="1"/>
  <c r="Y407" i="1" s="1"/>
  <c r="Z407" i="1" s="1"/>
  <c r="AA407" i="1" s="1"/>
  <c r="AB407" i="1" s="1"/>
  <c r="AC407" i="1" s="1"/>
  <c r="AD407" i="1" s="1"/>
  <c r="AE407" i="1" s="1"/>
  <c r="AF407" i="1" s="1"/>
  <c r="AG407" i="1" s="1"/>
  <c r="AH407" i="1" s="1"/>
  <c r="AI407" i="1" s="1"/>
  <c r="AJ407" i="1" s="1"/>
  <c r="AK407" i="1" s="1"/>
  <c r="AL407" i="1" s="1"/>
  <c r="AM407" i="1" s="1"/>
  <c r="AN407" i="1" s="1"/>
  <c r="G405" i="1"/>
  <c r="H405" i="1" s="1"/>
  <c r="I405" i="1" s="1"/>
  <c r="J405" i="1" s="1"/>
  <c r="K405" i="1" s="1"/>
  <c r="L405" i="1" s="1"/>
  <c r="M405" i="1" s="1"/>
  <c r="N405" i="1" s="1"/>
  <c r="O405" i="1" s="1"/>
  <c r="P405" i="1" s="1"/>
  <c r="Q405" i="1" s="1"/>
  <c r="R405" i="1" s="1"/>
  <c r="S405" i="1" s="1"/>
  <c r="T405" i="1" s="1"/>
  <c r="U405" i="1" s="1"/>
  <c r="V405" i="1" s="1"/>
  <c r="W405" i="1" s="1"/>
  <c r="X405" i="1" s="1"/>
  <c r="Y405" i="1" s="1"/>
  <c r="Z405" i="1" s="1"/>
  <c r="AA405" i="1" s="1"/>
  <c r="AB405" i="1" s="1"/>
  <c r="AC405" i="1" s="1"/>
  <c r="AD405" i="1" s="1"/>
  <c r="AE405" i="1" s="1"/>
  <c r="AF405" i="1" s="1"/>
  <c r="AG405" i="1" s="1"/>
  <c r="AH405" i="1" s="1"/>
  <c r="AI405" i="1" s="1"/>
  <c r="AJ405" i="1" s="1"/>
  <c r="AK405" i="1" s="1"/>
  <c r="AL405" i="1" s="1"/>
  <c r="AM405" i="1" s="1"/>
  <c r="AN405" i="1" s="1"/>
  <c r="F405" i="1"/>
  <c r="F404" i="1"/>
  <c r="G404" i="1" s="1"/>
  <c r="H404" i="1" s="1"/>
  <c r="I404" i="1" s="1"/>
  <c r="J404" i="1" s="1"/>
  <c r="K404" i="1" s="1"/>
  <c r="L404" i="1" s="1"/>
  <c r="M404" i="1" s="1"/>
  <c r="N404" i="1" s="1"/>
  <c r="O404" i="1" s="1"/>
  <c r="P404" i="1" s="1"/>
  <c r="Q404" i="1" s="1"/>
  <c r="R404" i="1" s="1"/>
  <c r="S404" i="1" s="1"/>
  <c r="T404" i="1" s="1"/>
  <c r="U404" i="1" s="1"/>
  <c r="V404" i="1" s="1"/>
  <c r="W404" i="1" s="1"/>
  <c r="X404" i="1" s="1"/>
  <c r="Y404" i="1" s="1"/>
  <c r="Z404" i="1" s="1"/>
  <c r="AA404" i="1" s="1"/>
  <c r="AB404" i="1" s="1"/>
  <c r="AC404" i="1" s="1"/>
  <c r="AD404" i="1" s="1"/>
  <c r="AE404" i="1" s="1"/>
  <c r="AF404" i="1" s="1"/>
  <c r="AG404" i="1" s="1"/>
  <c r="AH404" i="1" s="1"/>
  <c r="AI404" i="1" s="1"/>
  <c r="AJ404" i="1" s="1"/>
  <c r="AK404" i="1" s="1"/>
  <c r="AL404" i="1" s="1"/>
  <c r="AM404" i="1" s="1"/>
  <c r="AN404" i="1" s="1"/>
  <c r="G403" i="1"/>
  <c r="H403" i="1" s="1"/>
  <c r="I403" i="1" s="1"/>
  <c r="J403" i="1" s="1"/>
  <c r="K403" i="1" s="1"/>
  <c r="L403" i="1" s="1"/>
  <c r="M403" i="1" s="1"/>
  <c r="N403" i="1" s="1"/>
  <c r="O403" i="1" s="1"/>
  <c r="P403" i="1" s="1"/>
  <c r="Q403" i="1" s="1"/>
  <c r="R403" i="1" s="1"/>
  <c r="S403" i="1" s="1"/>
  <c r="T403" i="1" s="1"/>
  <c r="U403" i="1" s="1"/>
  <c r="V403" i="1" s="1"/>
  <c r="W403" i="1" s="1"/>
  <c r="X403" i="1" s="1"/>
  <c r="Y403" i="1" s="1"/>
  <c r="Z403" i="1" s="1"/>
  <c r="AA403" i="1" s="1"/>
  <c r="AB403" i="1" s="1"/>
  <c r="AC403" i="1" s="1"/>
  <c r="AD403" i="1" s="1"/>
  <c r="AE403" i="1" s="1"/>
  <c r="AF403" i="1" s="1"/>
  <c r="AG403" i="1" s="1"/>
  <c r="AH403" i="1" s="1"/>
  <c r="AI403" i="1" s="1"/>
  <c r="AJ403" i="1" s="1"/>
  <c r="AK403" i="1" s="1"/>
  <c r="AL403" i="1" s="1"/>
  <c r="AM403" i="1" s="1"/>
  <c r="AN403" i="1" s="1"/>
  <c r="F403" i="1"/>
  <c r="F402" i="1"/>
  <c r="G402" i="1" s="1"/>
  <c r="H402" i="1" s="1"/>
  <c r="I402" i="1" s="1"/>
  <c r="J402" i="1" s="1"/>
  <c r="K402" i="1" s="1"/>
  <c r="L402" i="1" s="1"/>
  <c r="M402" i="1" s="1"/>
  <c r="N402" i="1" s="1"/>
  <c r="O402" i="1" s="1"/>
  <c r="P402" i="1" s="1"/>
  <c r="Q402" i="1" s="1"/>
  <c r="R402" i="1" s="1"/>
  <c r="S402" i="1" s="1"/>
  <c r="T402" i="1" s="1"/>
  <c r="U402" i="1" s="1"/>
  <c r="V402" i="1" s="1"/>
  <c r="W402" i="1" s="1"/>
  <c r="X402" i="1" s="1"/>
  <c r="Y402" i="1" s="1"/>
  <c r="Z402" i="1" s="1"/>
  <c r="AA402" i="1" s="1"/>
  <c r="AB402" i="1" s="1"/>
  <c r="AC402" i="1" s="1"/>
  <c r="AD402" i="1" s="1"/>
  <c r="AE402" i="1" s="1"/>
  <c r="AF402" i="1" s="1"/>
  <c r="AG402" i="1" s="1"/>
  <c r="AH402" i="1" s="1"/>
  <c r="AI402" i="1" s="1"/>
  <c r="AJ402" i="1" s="1"/>
  <c r="AK402" i="1" s="1"/>
  <c r="AL402" i="1" s="1"/>
  <c r="AM402" i="1" s="1"/>
  <c r="AN402" i="1" s="1"/>
  <c r="G401" i="1"/>
  <c r="H401" i="1" s="1"/>
  <c r="I401" i="1" s="1"/>
  <c r="J401" i="1" s="1"/>
  <c r="K401" i="1" s="1"/>
  <c r="L401" i="1" s="1"/>
  <c r="M401" i="1" s="1"/>
  <c r="N401" i="1" s="1"/>
  <c r="O401" i="1" s="1"/>
  <c r="P401" i="1" s="1"/>
  <c r="Q401" i="1" s="1"/>
  <c r="R401" i="1" s="1"/>
  <c r="S401" i="1" s="1"/>
  <c r="T401" i="1" s="1"/>
  <c r="U401" i="1" s="1"/>
  <c r="V401" i="1" s="1"/>
  <c r="W401" i="1" s="1"/>
  <c r="X401" i="1" s="1"/>
  <c r="Y401" i="1" s="1"/>
  <c r="Z401" i="1" s="1"/>
  <c r="AA401" i="1" s="1"/>
  <c r="AB401" i="1" s="1"/>
  <c r="AC401" i="1" s="1"/>
  <c r="AD401" i="1" s="1"/>
  <c r="AE401" i="1" s="1"/>
  <c r="AF401" i="1" s="1"/>
  <c r="AG401" i="1" s="1"/>
  <c r="AH401" i="1" s="1"/>
  <c r="AI401" i="1" s="1"/>
  <c r="AJ401" i="1" s="1"/>
  <c r="AK401" i="1" s="1"/>
  <c r="AL401" i="1" s="1"/>
  <c r="AM401" i="1" s="1"/>
  <c r="AN401" i="1" s="1"/>
  <c r="F401" i="1"/>
  <c r="F400" i="1"/>
  <c r="G400" i="1" s="1"/>
  <c r="H400" i="1" s="1"/>
  <c r="I400" i="1" s="1"/>
  <c r="J400" i="1" s="1"/>
  <c r="K400" i="1" s="1"/>
  <c r="L400" i="1" s="1"/>
  <c r="M400" i="1" s="1"/>
  <c r="N400" i="1" s="1"/>
  <c r="O400" i="1" s="1"/>
  <c r="P400" i="1" s="1"/>
  <c r="Q400" i="1" s="1"/>
  <c r="R400" i="1" s="1"/>
  <c r="S400" i="1" s="1"/>
  <c r="T400" i="1" s="1"/>
  <c r="U400" i="1" s="1"/>
  <c r="V400" i="1" s="1"/>
  <c r="W400" i="1" s="1"/>
  <c r="X400" i="1" s="1"/>
  <c r="Y400" i="1" s="1"/>
  <c r="Z400" i="1" s="1"/>
  <c r="AA400" i="1" s="1"/>
  <c r="AB400" i="1" s="1"/>
  <c r="AC400" i="1" s="1"/>
  <c r="AD400" i="1" s="1"/>
  <c r="AE400" i="1" s="1"/>
  <c r="AF400" i="1" s="1"/>
  <c r="AG400" i="1" s="1"/>
  <c r="AH400" i="1" s="1"/>
  <c r="AI400" i="1" s="1"/>
  <c r="AJ400" i="1" s="1"/>
  <c r="AK400" i="1" s="1"/>
  <c r="AL400" i="1" s="1"/>
  <c r="AM400" i="1" s="1"/>
  <c r="AN400" i="1" s="1"/>
  <c r="G398" i="1"/>
  <c r="H398" i="1" s="1"/>
  <c r="I398" i="1" s="1"/>
  <c r="J398" i="1" s="1"/>
  <c r="K398" i="1" s="1"/>
  <c r="L398" i="1" s="1"/>
  <c r="M398" i="1" s="1"/>
  <c r="N398" i="1" s="1"/>
  <c r="O398" i="1" s="1"/>
  <c r="P398" i="1" s="1"/>
  <c r="Q398" i="1" s="1"/>
  <c r="R398" i="1" s="1"/>
  <c r="S398" i="1" s="1"/>
  <c r="T398" i="1" s="1"/>
  <c r="U398" i="1" s="1"/>
  <c r="V398" i="1" s="1"/>
  <c r="W398" i="1" s="1"/>
  <c r="X398" i="1" s="1"/>
  <c r="Y398" i="1" s="1"/>
  <c r="Z398" i="1" s="1"/>
  <c r="AA398" i="1" s="1"/>
  <c r="AB398" i="1" s="1"/>
  <c r="AC398" i="1" s="1"/>
  <c r="AD398" i="1" s="1"/>
  <c r="AE398" i="1" s="1"/>
  <c r="AF398" i="1" s="1"/>
  <c r="AG398" i="1" s="1"/>
  <c r="AH398" i="1" s="1"/>
  <c r="AI398" i="1" s="1"/>
  <c r="AJ398" i="1" s="1"/>
  <c r="AK398" i="1" s="1"/>
  <c r="AL398" i="1" s="1"/>
  <c r="AM398" i="1" s="1"/>
  <c r="AN398" i="1" s="1"/>
  <c r="F398" i="1"/>
  <c r="F397" i="1"/>
  <c r="G397" i="1" s="1"/>
  <c r="H397" i="1" s="1"/>
  <c r="I397" i="1" s="1"/>
  <c r="J397" i="1" s="1"/>
  <c r="K397" i="1" s="1"/>
  <c r="L397" i="1" s="1"/>
  <c r="M397" i="1" s="1"/>
  <c r="N397" i="1" s="1"/>
  <c r="O397" i="1" s="1"/>
  <c r="P397" i="1" s="1"/>
  <c r="Q397" i="1" s="1"/>
  <c r="R397" i="1" s="1"/>
  <c r="S397" i="1" s="1"/>
  <c r="T397" i="1" s="1"/>
  <c r="U397" i="1" s="1"/>
  <c r="V397" i="1" s="1"/>
  <c r="W397" i="1" s="1"/>
  <c r="X397" i="1" s="1"/>
  <c r="Y397" i="1" s="1"/>
  <c r="Z397" i="1" s="1"/>
  <c r="AA397" i="1" s="1"/>
  <c r="AB397" i="1" s="1"/>
  <c r="AC397" i="1" s="1"/>
  <c r="AD397" i="1" s="1"/>
  <c r="AE397" i="1" s="1"/>
  <c r="AF397" i="1" s="1"/>
  <c r="AG397" i="1" s="1"/>
  <c r="AH397" i="1" s="1"/>
  <c r="AI397" i="1" s="1"/>
  <c r="AJ397" i="1" s="1"/>
  <c r="AK397" i="1" s="1"/>
  <c r="AL397" i="1" s="1"/>
  <c r="AM397" i="1" s="1"/>
  <c r="AN397" i="1" s="1"/>
  <c r="G396" i="1"/>
  <c r="H396" i="1" s="1"/>
  <c r="I396" i="1" s="1"/>
  <c r="J396" i="1" s="1"/>
  <c r="K396" i="1" s="1"/>
  <c r="L396" i="1" s="1"/>
  <c r="M396" i="1" s="1"/>
  <c r="N396" i="1" s="1"/>
  <c r="O396" i="1" s="1"/>
  <c r="P396" i="1" s="1"/>
  <c r="Q396" i="1" s="1"/>
  <c r="R396" i="1" s="1"/>
  <c r="S396" i="1" s="1"/>
  <c r="T396" i="1" s="1"/>
  <c r="U396" i="1" s="1"/>
  <c r="V396" i="1" s="1"/>
  <c r="W396" i="1" s="1"/>
  <c r="X396" i="1" s="1"/>
  <c r="Y396" i="1" s="1"/>
  <c r="Z396" i="1" s="1"/>
  <c r="AA396" i="1" s="1"/>
  <c r="AB396" i="1" s="1"/>
  <c r="AC396" i="1" s="1"/>
  <c r="AD396" i="1" s="1"/>
  <c r="AE396" i="1" s="1"/>
  <c r="AF396" i="1" s="1"/>
  <c r="AG396" i="1" s="1"/>
  <c r="AH396" i="1" s="1"/>
  <c r="AI396" i="1" s="1"/>
  <c r="AJ396" i="1" s="1"/>
  <c r="AK396" i="1" s="1"/>
  <c r="AL396" i="1" s="1"/>
  <c r="AM396" i="1" s="1"/>
  <c r="AN396" i="1" s="1"/>
  <c r="F396" i="1"/>
  <c r="F395" i="1"/>
  <c r="G395" i="1" s="1"/>
  <c r="H395" i="1" s="1"/>
  <c r="I395" i="1" s="1"/>
  <c r="J395" i="1" s="1"/>
  <c r="K395" i="1" s="1"/>
  <c r="L395" i="1" s="1"/>
  <c r="M395" i="1" s="1"/>
  <c r="N395" i="1" s="1"/>
  <c r="O395" i="1" s="1"/>
  <c r="P395" i="1" s="1"/>
  <c r="Q395" i="1" s="1"/>
  <c r="R395" i="1" s="1"/>
  <c r="S395" i="1" s="1"/>
  <c r="T395" i="1" s="1"/>
  <c r="U395" i="1" s="1"/>
  <c r="V395" i="1" s="1"/>
  <c r="W395" i="1" s="1"/>
  <c r="X395" i="1" s="1"/>
  <c r="Y395" i="1" s="1"/>
  <c r="Z395" i="1" s="1"/>
  <c r="AA395" i="1" s="1"/>
  <c r="AB395" i="1" s="1"/>
  <c r="AC395" i="1" s="1"/>
  <c r="AD395" i="1" s="1"/>
  <c r="AE395" i="1" s="1"/>
  <c r="AF395" i="1" s="1"/>
  <c r="AG395" i="1" s="1"/>
  <c r="AH395" i="1" s="1"/>
  <c r="AI395" i="1" s="1"/>
  <c r="AJ395" i="1" s="1"/>
  <c r="AK395" i="1" s="1"/>
  <c r="AL395" i="1" s="1"/>
  <c r="AM395" i="1" s="1"/>
  <c r="AN395" i="1" s="1"/>
  <c r="G394" i="1"/>
  <c r="H394" i="1" s="1"/>
  <c r="I394" i="1" s="1"/>
  <c r="J394" i="1" s="1"/>
  <c r="K394" i="1" s="1"/>
  <c r="L394" i="1" s="1"/>
  <c r="M394" i="1" s="1"/>
  <c r="N394" i="1" s="1"/>
  <c r="O394" i="1" s="1"/>
  <c r="P394" i="1" s="1"/>
  <c r="Q394" i="1" s="1"/>
  <c r="R394" i="1" s="1"/>
  <c r="S394" i="1" s="1"/>
  <c r="T394" i="1" s="1"/>
  <c r="U394" i="1" s="1"/>
  <c r="V394" i="1" s="1"/>
  <c r="W394" i="1" s="1"/>
  <c r="X394" i="1" s="1"/>
  <c r="Y394" i="1" s="1"/>
  <c r="Z394" i="1" s="1"/>
  <c r="AA394" i="1" s="1"/>
  <c r="AB394" i="1" s="1"/>
  <c r="AC394" i="1" s="1"/>
  <c r="AD394" i="1" s="1"/>
  <c r="AE394" i="1" s="1"/>
  <c r="AF394" i="1" s="1"/>
  <c r="AG394" i="1" s="1"/>
  <c r="AH394" i="1" s="1"/>
  <c r="AI394" i="1" s="1"/>
  <c r="AJ394" i="1" s="1"/>
  <c r="AK394" i="1" s="1"/>
  <c r="AL394" i="1" s="1"/>
  <c r="AM394" i="1" s="1"/>
  <c r="AN394" i="1" s="1"/>
  <c r="F394" i="1"/>
  <c r="F393" i="1"/>
  <c r="G393" i="1" s="1"/>
  <c r="H393" i="1" s="1"/>
  <c r="I393" i="1" s="1"/>
  <c r="J393" i="1" s="1"/>
  <c r="K393" i="1" s="1"/>
  <c r="L393" i="1" s="1"/>
  <c r="M393" i="1" s="1"/>
  <c r="N393" i="1" s="1"/>
  <c r="O393" i="1" s="1"/>
  <c r="P393" i="1" s="1"/>
  <c r="Q393" i="1" s="1"/>
  <c r="R393" i="1" s="1"/>
  <c r="S393" i="1" s="1"/>
  <c r="T393" i="1" s="1"/>
  <c r="U393" i="1" s="1"/>
  <c r="V393" i="1" s="1"/>
  <c r="W393" i="1" s="1"/>
  <c r="X393" i="1" s="1"/>
  <c r="Y393" i="1" s="1"/>
  <c r="Z393" i="1" s="1"/>
  <c r="AA393" i="1" s="1"/>
  <c r="AB393" i="1" s="1"/>
  <c r="AC393" i="1" s="1"/>
  <c r="AD393" i="1" s="1"/>
  <c r="AE393" i="1" s="1"/>
  <c r="AF393" i="1" s="1"/>
  <c r="AG393" i="1" s="1"/>
  <c r="AH393" i="1" s="1"/>
  <c r="AI393" i="1" s="1"/>
  <c r="AJ393" i="1" s="1"/>
  <c r="AK393" i="1" s="1"/>
  <c r="AL393" i="1" s="1"/>
  <c r="AM393" i="1" s="1"/>
  <c r="AN393" i="1" s="1"/>
  <c r="G391" i="1"/>
  <c r="H391" i="1" s="1"/>
  <c r="I391" i="1" s="1"/>
  <c r="J391" i="1" s="1"/>
  <c r="K391" i="1" s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V391" i="1" s="1"/>
  <c r="W391" i="1" s="1"/>
  <c r="X391" i="1" s="1"/>
  <c r="Y391" i="1" s="1"/>
  <c r="Z391" i="1" s="1"/>
  <c r="AA391" i="1" s="1"/>
  <c r="AB391" i="1" s="1"/>
  <c r="AC391" i="1" s="1"/>
  <c r="AD391" i="1" s="1"/>
  <c r="AE391" i="1" s="1"/>
  <c r="AF391" i="1" s="1"/>
  <c r="AG391" i="1" s="1"/>
  <c r="AH391" i="1" s="1"/>
  <c r="AI391" i="1" s="1"/>
  <c r="AJ391" i="1" s="1"/>
  <c r="AK391" i="1" s="1"/>
  <c r="AL391" i="1" s="1"/>
  <c r="AM391" i="1" s="1"/>
  <c r="AN391" i="1" s="1"/>
  <c r="G390" i="1"/>
  <c r="H390" i="1" s="1"/>
  <c r="I390" i="1" s="1"/>
  <c r="J390" i="1" s="1"/>
  <c r="K390" i="1" s="1"/>
  <c r="L390" i="1" s="1"/>
  <c r="M390" i="1" s="1"/>
  <c r="N390" i="1" s="1"/>
  <c r="O390" i="1" s="1"/>
  <c r="P390" i="1" s="1"/>
  <c r="Q390" i="1" s="1"/>
  <c r="R390" i="1" s="1"/>
  <c r="S390" i="1" s="1"/>
  <c r="T390" i="1" s="1"/>
  <c r="U390" i="1" s="1"/>
  <c r="V390" i="1" s="1"/>
  <c r="W390" i="1" s="1"/>
  <c r="X390" i="1" s="1"/>
  <c r="Y390" i="1" s="1"/>
  <c r="Z390" i="1" s="1"/>
  <c r="AA390" i="1" s="1"/>
  <c r="AB390" i="1" s="1"/>
  <c r="AC390" i="1" s="1"/>
  <c r="AD390" i="1" s="1"/>
  <c r="AE390" i="1" s="1"/>
  <c r="AF390" i="1" s="1"/>
  <c r="AG390" i="1" s="1"/>
  <c r="AH390" i="1" s="1"/>
  <c r="AI390" i="1" s="1"/>
  <c r="AJ390" i="1" s="1"/>
  <c r="AK390" i="1" s="1"/>
  <c r="AL390" i="1" s="1"/>
  <c r="AM390" i="1" s="1"/>
  <c r="AN390" i="1" s="1"/>
  <c r="G389" i="1"/>
  <c r="H389" i="1" s="1"/>
  <c r="I389" i="1" s="1"/>
  <c r="J389" i="1" s="1"/>
  <c r="K389" i="1" s="1"/>
  <c r="L389" i="1" s="1"/>
  <c r="M389" i="1" s="1"/>
  <c r="N389" i="1" s="1"/>
  <c r="O389" i="1" s="1"/>
  <c r="P389" i="1" s="1"/>
  <c r="Q389" i="1" s="1"/>
  <c r="R389" i="1" s="1"/>
  <c r="S389" i="1" s="1"/>
  <c r="T389" i="1" s="1"/>
  <c r="U389" i="1" s="1"/>
  <c r="V389" i="1" s="1"/>
  <c r="W389" i="1" s="1"/>
  <c r="X389" i="1" s="1"/>
  <c r="Y389" i="1" s="1"/>
  <c r="Z389" i="1" s="1"/>
  <c r="AA389" i="1" s="1"/>
  <c r="AB389" i="1" s="1"/>
  <c r="AC389" i="1" s="1"/>
  <c r="AD389" i="1" s="1"/>
  <c r="AE389" i="1" s="1"/>
  <c r="AF389" i="1" s="1"/>
  <c r="AG389" i="1" s="1"/>
  <c r="AH389" i="1" s="1"/>
  <c r="AI389" i="1" s="1"/>
  <c r="AJ389" i="1" s="1"/>
  <c r="AK389" i="1" s="1"/>
  <c r="AL389" i="1" s="1"/>
  <c r="AM389" i="1" s="1"/>
  <c r="AN389" i="1" s="1"/>
  <c r="H388" i="1"/>
  <c r="I388" i="1" s="1"/>
  <c r="J388" i="1" s="1"/>
  <c r="K388" i="1" s="1"/>
  <c r="L388" i="1" s="1"/>
  <c r="M388" i="1" s="1"/>
  <c r="N388" i="1" s="1"/>
  <c r="O388" i="1" s="1"/>
  <c r="P388" i="1" s="1"/>
  <c r="Q388" i="1" s="1"/>
  <c r="R388" i="1" s="1"/>
  <c r="S388" i="1" s="1"/>
  <c r="T388" i="1" s="1"/>
  <c r="U388" i="1" s="1"/>
  <c r="V388" i="1" s="1"/>
  <c r="W388" i="1" s="1"/>
  <c r="X388" i="1" s="1"/>
  <c r="Y388" i="1" s="1"/>
  <c r="Z388" i="1" s="1"/>
  <c r="AA388" i="1" s="1"/>
  <c r="AB388" i="1" s="1"/>
  <c r="AC388" i="1" s="1"/>
  <c r="AD388" i="1" s="1"/>
  <c r="AE388" i="1" s="1"/>
  <c r="AF388" i="1" s="1"/>
  <c r="AG388" i="1" s="1"/>
  <c r="AH388" i="1" s="1"/>
  <c r="AI388" i="1" s="1"/>
  <c r="AJ388" i="1" s="1"/>
  <c r="AK388" i="1" s="1"/>
  <c r="AL388" i="1" s="1"/>
  <c r="AM388" i="1" s="1"/>
  <c r="AN388" i="1" s="1"/>
  <c r="G388" i="1"/>
  <c r="G387" i="1"/>
  <c r="H387" i="1" s="1"/>
  <c r="I387" i="1" s="1"/>
  <c r="J387" i="1" s="1"/>
  <c r="K387" i="1" s="1"/>
  <c r="L387" i="1" s="1"/>
  <c r="M387" i="1" s="1"/>
  <c r="N387" i="1" s="1"/>
  <c r="O387" i="1" s="1"/>
  <c r="P387" i="1" s="1"/>
  <c r="Q387" i="1" s="1"/>
  <c r="R387" i="1" s="1"/>
  <c r="S387" i="1" s="1"/>
  <c r="T387" i="1" s="1"/>
  <c r="U387" i="1" s="1"/>
  <c r="V387" i="1" s="1"/>
  <c r="W387" i="1" s="1"/>
  <c r="X387" i="1" s="1"/>
  <c r="Y387" i="1" s="1"/>
  <c r="Z387" i="1" s="1"/>
  <c r="AA387" i="1" s="1"/>
  <c r="AB387" i="1" s="1"/>
  <c r="AC387" i="1" s="1"/>
  <c r="AD387" i="1" s="1"/>
  <c r="AE387" i="1" s="1"/>
  <c r="AF387" i="1" s="1"/>
  <c r="AG387" i="1" s="1"/>
  <c r="AH387" i="1" s="1"/>
  <c r="AI387" i="1" s="1"/>
  <c r="AJ387" i="1" s="1"/>
  <c r="AK387" i="1" s="1"/>
  <c r="AL387" i="1" s="1"/>
  <c r="AM387" i="1" s="1"/>
  <c r="AN387" i="1" s="1"/>
  <c r="G386" i="1"/>
  <c r="H386" i="1" s="1"/>
  <c r="I386" i="1" s="1"/>
  <c r="J386" i="1" s="1"/>
  <c r="K386" i="1" s="1"/>
  <c r="L386" i="1" s="1"/>
  <c r="M386" i="1" s="1"/>
  <c r="N386" i="1" s="1"/>
  <c r="O386" i="1" s="1"/>
  <c r="P386" i="1" s="1"/>
  <c r="Q386" i="1" s="1"/>
  <c r="R386" i="1" s="1"/>
  <c r="S386" i="1" s="1"/>
  <c r="T386" i="1" s="1"/>
  <c r="U386" i="1" s="1"/>
  <c r="V386" i="1" s="1"/>
  <c r="W386" i="1" s="1"/>
  <c r="X386" i="1" s="1"/>
  <c r="Y386" i="1" s="1"/>
  <c r="Z386" i="1" s="1"/>
  <c r="AA386" i="1" s="1"/>
  <c r="AB386" i="1" s="1"/>
  <c r="AC386" i="1" s="1"/>
  <c r="AD386" i="1" s="1"/>
  <c r="AE386" i="1" s="1"/>
  <c r="AF386" i="1" s="1"/>
  <c r="AG386" i="1" s="1"/>
  <c r="AH386" i="1" s="1"/>
  <c r="AI386" i="1" s="1"/>
  <c r="AJ386" i="1" s="1"/>
  <c r="AK386" i="1" s="1"/>
  <c r="AL386" i="1" s="1"/>
  <c r="AM386" i="1" s="1"/>
  <c r="AN386" i="1" s="1"/>
  <c r="F391" i="1"/>
  <c r="F390" i="1"/>
  <c r="F389" i="1"/>
  <c r="F388" i="1"/>
  <c r="F387" i="1"/>
  <c r="F386" i="1"/>
  <c r="G443" i="1"/>
  <c r="H443" i="1" s="1"/>
  <c r="I443" i="1" s="1"/>
  <c r="J443" i="1" s="1"/>
  <c r="K443" i="1" s="1"/>
  <c r="L443" i="1" s="1"/>
  <c r="M443" i="1" s="1"/>
  <c r="N443" i="1" s="1"/>
  <c r="O443" i="1" s="1"/>
  <c r="P443" i="1" s="1"/>
  <c r="Q443" i="1" s="1"/>
  <c r="R443" i="1" s="1"/>
  <c r="S443" i="1" s="1"/>
  <c r="T443" i="1" s="1"/>
  <c r="U443" i="1" s="1"/>
  <c r="V443" i="1" s="1"/>
  <c r="W443" i="1" s="1"/>
  <c r="X443" i="1" s="1"/>
  <c r="Y443" i="1" s="1"/>
  <c r="Z443" i="1" s="1"/>
  <c r="AA443" i="1" s="1"/>
  <c r="AB443" i="1" s="1"/>
  <c r="AC443" i="1" s="1"/>
  <c r="AD443" i="1" s="1"/>
  <c r="AE443" i="1" s="1"/>
  <c r="AF443" i="1" s="1"/>
  <c r="AG443" i="1" s="1"/>
  <c r="AH443" i="1" s="1"/>
  <c r="AI443" i="1" s="1"/>
  <c r="AJ443" i="1" s="1"/>
  <c r="AK443" i="1" s="1"/>
  <c r="AL443" i="1" s="1"/>
  <c r="AM443" i="1" s="1"/>
  <c r="AN443" i="1" s="1"/>
  <c r="F443" i="1"/>
  <c r="F442" i="1"/>
  <c r="G442" i="1" s="1"/>
  <c r="H442" i="1" s="1"/>
  <c r="I442" i="1" s="1"/>
  <c r="J442" i="1" s="1"/>
  <c r="K442" i="1" s="1"/>
  <c r="L442" i="1" s="1"/>
  <c r="M442" i="1" s="1"/>
  <c r="N442" i="1" s="1"/>
  <c r="O442" i="1" s="1"/>
  <c r="P442" i="1" s="1"/>
  <c r="Q442" i="1" s="1"/>
  <c r="R442" i="1" s="1"/>
  <c r="S442" i="1" s="1"/>
  <c r="T442" i="1" s="1"/>
  <c r="U442" i="1" s="1"/>
  <c r="V442" i="1" s="1"/>
  <c r="W442" i="1" s="1"/>
  <c r="X442" i="1" s="1"/>
  <c r="Y442" i="1" s="1"/>
  <c r="Z442" i="1" s="1"/>
  <c r="AA442" i="1" s="1"/>
  <c r="AB442" i="1" s="1"/>
  <c r="AC442" i="1" s="1"/>
  <c r="AD442" i="1" s="1"/>
  <c r="AE442" i="1" s="1"/>
  <c r="AF442" i="1" s="1"/>
  <c r="AG442" i="1" s="1"/>
  <c r="AH442" i="1" s="1"/>
  <c r="AI442" i="1" s="1"/>
  <c r="AJ442" i="1" s="1"/>
  <c r="AK442" i="1" s="1"/>
  <c r="AL442" i="1" s="1"/>
  <c r="AM442" i="1" s="1"/>
  <c r="AN442" i="1" s="1"/>
  <c r="G441" i="1"/>
  <c r="H441" i="1" s="1"/>
  <c r="I441" i="1" s="1"/>
  <c r="J441" i="1" s="1"/>
  <c r="K441" i="1" s="1"/>
  <c r="L441" i="1" s="1"/>
  <c r="M441" i="1" s="1"/>
  <c r="N441" i="1" s="1"/>
  <c r="O441" i="1" s="1"/>
  <c r="P441" i="1" s="1"/>
  <c r="Q441" i="1" s="1"/>
  <c r="R441" i="1" s="1"/>
  <c r="S441" i="1" s="1"/>
  <c r="T441" i="1" s="1"/>
  <c r="U441" i="1" s="1"/>
  <c r="V441" i="1" s="1"/>
  <c r="W441" i="1" s="1"/>
  <c r="X441" i="1" s="1"/>
  <c r="Y441" i="1" s="1"/>
  <c r="Z441" i="1" s="1"/>
  <c r="AA441" i="1" s="1"/>
  <c r="AB441" i="1" s="1"/>
  <c r="AC441" i="1" s="1"/>
  <c r="AD441" i="1" s="1"/>
  <c r="AE441" i="1" s="1"/>
  <c r="AF441" i="1" s="1"/>
  <c r="AG441" i="1" s="1"/>
  <c r="AH441" i="1" s="1"/>
  <c r="AI441" i="1" s="1"/>
  <c r="AJ441" i="1" s="1"/>
  <c r="AK441" i="1" s="1"/>
  <c r="AL441" i="1" s="1"/>
  <c r="AM441" i="1" s="1"/>
  <c r="AN441" i="1" s="1"/>
  <c r="F441" i="1"/>
  <c r="F440" i="1"/>
  <c r="G440" i="1" s="1"/>
  <c r="H440" i="1" s="1"/>
  <c r="I440" i="1" s="1"/>
  <c r="J440" i="1" s="1"/>
  <c r="K440" i="1" s="1"/>
  <c r="L440" i="1" s="1"/>
  <c r="M440" i="1" s="1"/>
  <c r="N440" i="1" s="1"/>
  <c r="O440" i="1" s="1"/>
  <c r="P440" i="1" s="1"/>
  <c r="Q440" i="1" s="1"/>
  <c r="R440" i="1" s="1"/>
  <c r="S440" i="1" s="1"/>
  <c r="T440" i="1" s="1"/>
  <c r="U440" i="1" s="1"/>
  <c r="V440" i="1" s="1"/>
  <c r="W440" i="1" s="1"/>
  <c r="X440" i="1" s="1"/>
  <c r="Y440" i="1" s="1"/>
  <c r="Z440" i="1" s="1"/>
  <c r="AA440" i="1" s="1"/>
  <c r="AB440" i="1" s="1"/>
  <c r="AC440" i="1" s="1"/>
  <c r="AD440" i="1" s="1"/>
  <c r="AE440" i="1" s="1"/>
  <c r="AF440" i="1" s="1"/>
  <c r="AG440" i="1" s="1"/>
  <c r="AH440" i="1" s="1"/>
  <c r="AI440" i="1" s="1"/>
  <c r="AJ440" i="1" s="1"/>
  <c r="AK440" i="1" s="1"/>
  <c r="AL440" i="1" s="1"/>
  <c r="AM440" i="1" s="1"/>
  <c r="AN440" i="1" s="1"/>
  <c r="G439" i="1"/>
  <c r="H439" i="1" s="1"/>
  <c r="I439" i="1" s="1"/>
  <c r="J439" i="1" s="1"/>
  <c r="K439" i="1" s="1"/>
  <c r="L439" i="1" s="1"/>
  <c r="M439" i="1" s="1"/>
  <c r="N439" i="1" s="1"/>
  <c r="O439" i="1" s="1"/>
  <c r="P439" i="1" s="1"/>
  <c r="Q439" i="1" s="1"/>
  <c r="R439" i="1" s="1"/>
  <c r="S439" i="1" s="1"/>
  <c r="T439" i="1" s="1"/>
  <c r="U439" i="1" s="1"/>
  <c r="V439" i="1" s="1"/>
  <c r="W439" i="1" s="1"/>
  <c r="X439" i="1" s="1"/>
  <c r="Y439" i="1" s="1"/>
  <c r="Z439" i="1" s="1"/>
  <c r="AA439" i="1" s="1"/>
  <c r="AB439" i="1" s="1"/>
  <c r="AC439" i="1" s="1"/>
  <c r="AD439" i="1" s="1"/>
  <c r="AE439" i="1" s="1"/>
  <c r="AF439" i="1" s="1"/>
  <c r="AG439" i="1" s="1"/>
  <c r="AH439" i="1" s="1"/>
  <c r="AI439" i="1" s="1"/>
  <c r="AJ439" i="1" s="1"/>
  <c r="AK439" i="1" s="1"/>
  <c r="AL439" i="1" s="1"/>
  <c r="AM439" i="1" s="1"/>
  <c r="AN439" i="1" s="1"/>
  <c r="F439" i="1"/>
  <c r="F438" i="1"/>
  <c r="G438" i="1" s="1"/>
  <c r="H438" i="1" s="1"/>
  <c r="I438" i="1" s="1"/>
  <c r="J438" i="1" s="1"/>
  <c r="K438" i="1" s="1"/>
  <c r="L438" i="1" s="1"/>
  <c r="M438" i="1" s="1"/>
  <c r="N438" i="1" s="1"/>
  <c r="O438" i="1" s="1"/>
  <c r="P438" i="1" s="1"/>
  <c r="Q438" i="1" s="1"/>
  <c r="R438" i="1" s="1"/>
  <c r="S438" i="1" s="1"/>
  <c r="T438" i="1" s="1"/>
  <c r="U438" i="1" s="1"/>
  <c r="V438" i="1" s="1"/>
  <c r="W438" i="1" s="1"/>
  <c r="X438" i="1" s="1"/>
  <c r="Y438" i="1" s="1"/>
  <c r="Z438" i="1" s="1"/>
  <c r="AA438" i="1" s="1"/>
  <c r="AB438" i="1" s="1"/>
  <c r="AC438" i="1" s="1"/>
  <c r="AD438" i="1" s="1"/>
  <c r="AE438" i="1" s="1"/>
  <c r="AF438" i="1" s="1"/>
  <c r="AG438" i="1" s="1"/>
  <c r="AH438" i="1" s="1"/>
  <c r="AI438" i="1" s="1"/>
  <c r="AJ438" i="1" s="1"/>
  <c r="AK438" i="1" s="1"/>
  <c r="AL438" i="1" s="1"/>
  <c r="AM438" i="1" s="1"/>
  <c r="AN438" i="1" s="1"/>
  <c r="H436" i="1"/>
  <c r="I436" i="1" s="1"/>
  <c r="J436" i="1" s="1"/>
  <c r="K436" i="1" s="1"/>
  <c r="L436" i="1" s="1"/>
  <c r="M436" i="1" s="1"/>
  <c r="N436" i="1" s="1"/>
  <c r="O436" i="1" s="1"/>
  <c r="P436" i="1" s="1"/>
  <c r="Q436" i="1" s="1"/>
  <c r="R436" i="1" s="1"/>
  <c r="S436" i="1" s="1"/>
  <c r="T436" i="1" s="1"/>
  <c r="U436" i="1" s="1"/>
  <c r="V436" i="1" s="1"/>
  <c r="W436" i="1" s="1"/>
  <c r="X436" i="1" s="1"/>
  <c r="Y436" i="1" s="1"/>
  <c r="Z436" i="1" s="1"/>
  <c r="AA436" i="1" s="1"/>
  <c r="AB436" i="1" s="1"/>
  <c r="AC436" i="1" s="1"/>
  <c r="AD436" i="1" s="1"/>
  <c r="AE436" i="1" s="1"/>
  <c r="AF436" i="1" s="1"/>
  <c r="AG436" i="1" s="1"/>
  <c r="AH436" i="1" s="1"/>
  <c r="AI436" i="1" s="1"/>
  <c r="AJ436" i="1" s="1"/>
  <c r="AK436" i="1" s="1"/>
  <c r="AL436" i="1" s="1"/>
  <c r="AM436" i="1" s="1"/>
  <c r="AN436" i="1" s="1"/>
  <c r="G436" i="1"/>
  <c r="F436" i="1"/>
  <c r="F435" i="1"/>
  <c r="G435" i="1" s="1"/>
  <c r="H435" i="1" s="1"/>
  <c r="I435" i="1" s="1"/>
  <c r="J435" i="1" s="1"/>
  <c r="K435" i="1" s="1"/>
  <c r="L435" i="1" s="1"/>
  <c r="M435" i="1" s="1"/>
  <c r="N435" i="1" s="1"/>
  <c r="O435" i="1" s="1"/>
  <c r="P435" i="1" s="1"/>
  <c r="Q435" i="1" s="1"/>
  <c r="R435" i="1" s="1"/>
  <c r="S435" i="1" s="1"/>
  <c r="T435" i="1" s="1"/>
  <c r="U435" i="1" s="1"/>
  <c r="V435" i="1" s="1"/>
  <c r="W435" i="1" s="1"/>
  <c r="X435" i="1" s="1"/>
  <c r="Y435" i="1" s="1"/>
  <c r="Z435" i="1" s="1"/>
  <c r="AA435" i="1" s="1"/>
  <c r="AB435" i="1" s="1"/>
  <c r="AC435" i="1" s="1"/>
  <c r="AD435" i="1" s="1"/>
  <c r="AE435" i="1" s="1"/>
  <c r="AF435" i="1" s="1"/>
  <c r="AG435" i="1" s="1"/>
  <c r="AH435" i="1" s="1"/>
  <c r="AI435" i="1" s="1"/>
  <c r="AJ435" i="1" s="1"/>
  <c r="AK435" i="1" s="1"/>
  <c r="AL435" i="1" s="1"/>
  <c r="AM435" i="1" s="1"/>
  <c r="AN435" i="1" s="1"/>
  <c r="H434" i="1"/>
  <c r="I434" i="1" s="1"/>
  <c r="J434" i="1" s="1"/>
  <c r="K434" i="1" s="1"/>
  <c r="L434" i="1" s="1"/>
  <c r="M434" i="1" s="1"/>
  <c r="N434" i="1" s="1"/>
  <c r="O434" i="1" s="1"/>
  <c r="P434" i="1" s="1"/>
  <c r="Q434" i="1" s="1"/>
  <c r="R434" i="1" s="1"/>
  <c r="S434" i="1" s="1"/>
  <c r="T434" i="1" s="1"/>
  <c r="U434" i="1" s="1"/>
  <c r="V434" i="1" s="1"/>
  <c r="W434" i="1" s="1"/>
  <c r="X434" i="1" s="1"/>
  <c r="Y434" i="1" s="1"/>
  <c r="Z434" i="1" s="1"/>
  <c r="AA434" i="1" s="1"/>
  <c r="AB434" i="1" s="1"/>
  <c r="AC434" i="1" s="1"/>
  <c r="AD434" i="1" s="1"/>
  <c r="AE434" i="1" s="1"/>
  <c r="AF434" i="1" s="1"/>
  <c r="AG434" i="1" s="1"/>
  <c r="AH434" i="1" s="1"/>
  <c r="AI434" i="1" s="1"/>
  <c r="AJ434" i="1" s="1"/>
  <c r="AK434" i="1" s="1"/>
  <c r="AL434" i="1" s="1"/>
  <c r="AM434" i="1" s="1"/>
  <c r="AN434" i="1" s="1"/>
  <c r="G434" i="1"/>
  <c r="F434" i="1"/>
  <c r="F433" i="1"/>
  <c r="G433" i="1" s="1"/>
  <c r="H433" i="1" s="1"/>
  <c r="I433" i="1" s="1"/>
  <c r="J433" i="1" s="1"/>
  <c r="K433" i="1" s="1"/>
  <c r="L433" i="1" s="1"/>
  <c r="M433" i="1" s="1"/>
  <c r="N433" i="1" s="1"/>
  <c r="O433" i="1" s="1"/>
  <c r="P433" i="1" s="1"/>
  <c r="Q433" i="1" s="1"/>
  <c r="R433" i="1" s="1"/>
  <c r="S433" i="1" s="1"/>
  <c r="T433" i="1" s="1"/>
  <c r="U433" i="1" s="1"/>
  <c r="V433" i="1" s="1"/>
  <c r="W433" i="1" s="1"/>
  <c r="X433" i="1" s="1"/>
  <c r="Y433" i="1" s="1"/>
  <c r="Z433" i="1" s="1"/>
  <c r="AA433" i="1" s="1"/>
  <c r="AB433" i="1" s="1"/>
  <c r="AC433" i="1" s="1"/>
  <c r="AD433" i="1" s="1"/>
  <c r="AE433" i="1" s="1"/>
  <c r="AF433" i="1" s="1"/>
  <c r="AG433" i="1" s="1"/>
  <c r="AH433" i="1" s="1"/>
  <c r="AI433" i="1" s="1"/>
  <c r="AJ433" i="1" s="1"/>
  <c r="AK433" i="1" s="1"/>
  <c r="AL433" i="1" s="1"/>
  <c r="AM433" i="1" s="1"/>
  <c r="AN433" i="1" s="1"/>
  <c r="H432" i="1"/>
  <c r="I432" i="1" s="1"/>
  <c r="J432" i="1" s="1"/>
  <c r="K432" i="1" s="1"/>
  <c r="L432" i="1" s="1"/>
  <c r="M432" i="1" s="1"/>
  <c r="N432" i="1" s="1"/>
  <c r="O432" i="1" s="1"/>
  <c r="P432" i="1" s="1"/>
  <c r="Q432" i="1" s="1"/>
  <c r="R432" i="1" s="1"/>
  <c r="S432" i="1" s="1"/>
  <c r="T432" i="1" s="1"/>
  <c r="U432" i="1" s="1"/>
  <c r="V432" i="1" s="1"/>
  <c r="W432" i="1" s="1"/>
  <c r="X432" i="1" s="1"/>
  <c r="Y432" i="1" s="1"/>
  <c r="Z432" i="1" s="1"/>
  <c r="AA432" i="1" s="1"/>
  <c r="AB432" i="1" s="1"/>
  <c r="AC432" i="1" s="1"/>
  <c r="AD432" i="1" s="1"/>
  <c r="AE432" i="1" s="1"/>
  <c r="AF432" i="1" s="1"/>
  <c r="AG432" i="1" s="1"/>
  <c r="AH432" i="1" s="1"/>
  <c r="AI432" i="1" s="1"/>
  <c r="AJ432" i="1" s="1"/>
  <c r="AK432" i="1" s="1"/>
  <c r="AL432" i="1" s="1"/>
  <c r="AM432" i="1" s="1"/>
  <c r="AN432" i="1" s="1"/>
  <c r="G432" i="1"/>
  <c r="F432" i="1"/>
  <c r="F431" i="1"/>
  <c r="G431" i="1" s="1"/>
  <c r="H431" i="1" s="1"/>
  <c r="I431" i="1" s="1"/>
  <c r="J431" i="1" s="1"/>
  <c r="K431" i="1" s="1"/>
  <c r="L431" i="1" s="1"/>
  <c r="M431" i="1" s="1"/>
  <c r="N431" i="1" s="1"/>
  <c r="O431" i="1" s="1"/>
  <c r="P431" i="1" s="1"/>
  <c r="Q431" i="1" s="1"/>
  <c r="R431" i="1" s="1"/>
  <c r="S431" i="1" s="1"/>
  <c r="T431" i="1" s="1"/>
  <c r="U431" i="1" s="1"/>
  <c r="V431" i="1" s="1"/>
  <c r="W431" i="1" s="1"/>
  <c r="X431" i="1" s="1"/>
  <c r="Y431" i="1" s="1"/>
  <c r="Z431" i="1" s="1"/>
  <c r="AA431" i="1" s="1"/>
  <c r="AB431" i="1" s="1"/>
  <c r="AC431" i="1" s="1"/>
  <c r="AD431" i="1" s="1"/>
  <c r="AE431" i="1" s="1"/>
  <c r="AF431" i="1" s="1"/>
  <c r="AG431" i="1" s="1"/>
  <c r="AH431" i="1" s="1"/>
  <c r="AI431" i="1" s="1"/>
  <c r="AJ431" i="1" s="1"/>
  <c r="AK431" i="1" s="1"/>
  <c r="AL431" i="1" s="1"/>
  <c r="AM431" i="1" s="1"/>
  <c r="AN431" i="1" s="1"/>
  <c r="H429" i="1"/>
  <c r="I429" i="1" s="1"/>
  <c r="J429" i="1" s="1"/>
  <c r="K429" i="1" s="1"/>
  <c r="L429" i="1" s="1"/>
  <c r="M429" i="1" s="1"/>
  <c r="N429" i="1" s="1"/>
  <c r="O429" i="1" s="1"/>
  <c r="P429" i="1" s="1"/>
  <c r="Q429" i="1" s="1"/>
  <c r="R429" i="1" s="1"/>
  <c r="S429" i="1" s="1"/>
  <c r="T429" i="1" s="1"/>
  <c r="U429" i="1" s="1"/>
  <c r="V429" i="1" s="1"/>
  <c r="W429" i="1" s="1"/>
  <c r="X429" i="1" s="1"/>
  <c r="Y429" i="1" s="1"/>
  <c r="Z429" i="1" s="1"/>
  <c r="AA429" i="1" s="1"/>
  <c r="AB429" i="1" s="1"/>
  <c r="AC429" i="1" s="1"/>
  <c r="AD429" i="1" s="1"/>
  <c r="AE429" i="1" s="1"/>
  <c r="AF429" i="1" s="1"/>
  <c r="AG429" i="1" s="1"/>
  <c r="AH429" i="1" s="1"/>
  <c r="AI429" i="1" s="1"/>
  <c r="AJ429" i="1" s="1"/>
  <c r="AK429" i="1" s="1"/>
  <c r="AL429" i="1" s="1"/>
  <c r="AM429" i="1" s="1"/>
  <c r="AN429" i="1" s="1"/>
  <c r="G429" i="1"/>
  <c r="F429" i="1"/>
  <c r="F428" i="1"/>
  <c r="G428" i="1" s="1"/>
  <c r="H428" i="1" s="1"/>
  <c r="I428" i="1" s="1"/>
  <c r="J428" i="1" s="1"/>
  <c r="K428" i="1" s="1"/>
  <c r="L428" i="1" s="1"/>
  <c r="M428" i="1" s="1"/>
  <c r="N428" i="1" s="1"/>
  <c r="O428" i="1" s="1"/>
  <c r="P428" i="1" s="1"/>
  <c r="Q428" i="1" s="1"/>
  <c r="R428" i="1" s="1"/>
  <c r="S428" i="1" s="1"/>
  <c r="T428" i="1" s="1"/>
  <c r="U428" i="1" s="1"/>
  <c r="V428" i="1" s="1"/>
  <c r="W428" i="1" s="1"/>
  <c r="X428" i="1" s="1"/>
  <c r="Y428" i="1" s="1"/>
  <c r="Z428" i="1" s="1"/>
  <c r="AA428" i="1" s="1"/>
  <c r="AB428" i="1" s="1"/>
  <c r="AC428" i="1" s="1"/>
  <c r="AD428" i="1" s="1"/>
  <c r="AE428" i="1" s="1"/>
  <c r="AF428" i="1" s="1"/>
  <c r="AG428" i="1" s="1"/>
  <c r="AH428" i="1" s="1"/>
  <c r="AI428" i="1" s="1"/>
  <c r="AJ428" i="1" s="1"/>
  <c r="AK428" i="1" s="1"/>
  <c r="AL428" i="1" s="1"/>
  <c r="AM428" i="1" s="1"/>
  <c r="AN428" i="1" s="1"/>
  <c r="H427" i="1"/>
  <c r="I427" i="1" s="1"/>
  <c r="J427" i="1" s="1"/>
  <c r="K427" i="1" s="1"/>
  <c r="L427" i="1" s="1"/>
  <c r="M427" i="1" s="1"/>
  <c r="N427" i="1" s="1"/>
  <c r="O427" i="1" s="1"/>
  <c r="P427" i="1" s="1"/>
  <c r="Q427" i="1" s="1"/>
  <c r="R427" i="1" s="1"/>
  <c r="S427" i="1" s="1"/>
  <c r="T427" i="1" s="1"/>
  <c r="U427" i="1" s="1"/>
  <c r="V427" i="1" s="1"/>
  <c r="W427" i="1" s="1"/>
  <c r="X427" i="1" s="1"/>
  <c r="Y427" i="1" s="1"/>
  <c r="Z427" i="1" s="1"/>
  <c r="AA427" i="1" s="1"/>
  <c r="AB427" i="1" s="1"/>
  <c r="AC427" i="1" s="1"/>
  <c r="AD427" i="1" s="1"/>
  <c r="AE427" i="1" s="1"/>
  <c r="AF427" i="1" s="1"/>
  <c r="AG427" i="1" s="1"/>
  <c r="AH427" i="1" s="1"/>
  <c r="AI427" i="1" s="1"/>
  <c r="AJ427" i="1" s="1"/>
  <c r="AK427" i="1" s="1"/>
  <c r="AL427" i="1" s="1"/>
  <c r="AM427" i="1" s="1"/>
  <c r="AN427" i="1" s="1"/>
  <c r="G427" i="1"/>
  <c r="F427" i="1"/>
  <c r="F426" i="1"/>
  <c r="G426" i="1" s="1"/>
  <c r="H426" i="1" s="1"/>
  <c r="I426" i="1" s="1"/>
  <c r="J426" i="1" s="1"/>
  <c r="K426" i="1" s="1"/>
  <c r="L426" i="1" s="1"/>
  <c r="M426" i="1" s="1"/>
  <c r="N426" i="1" s="1"/>
  <c r="O426" i="1" s="1"/>
  <c r="P426" i="1" s="1"/>
  <c r="Q426" i="1" s="1"/>
  <c r="R426" i="1" s="1"/>
  <c r="S426" i="1" s="1"/>
  <c r="T426" i="1" s="1"/>
  <c r="U426" i="1" s="1"/>
  <c r="V426" i="1" s="1"/>
  <c r="W426" i="1" s="1"/>
  <c r="X426" i="1" s="1"/>
  <c r="Y426" i="1" s="1"/>
  <c r="Z426" i="1" s="1"/>
  <c r="AA426" i="1" s="1"/>
  <c r="AB426" i="1" s="1"/>
  <c r="AC426" i="1" s="1"/>
  <c r="AD426" i="1" s="1"/>
  <c r="AE426" i="1" s="1"/>
  <c r="AF426" i="1" s="1"/>
  <c r="AG426" i="1" s="1"/>
  <c r="AH426" i="1" s="1"/>
  <c r="AI426" i="1" s="1"/>
  <c r="AJ426" i="1" s="1"/>
  <c r="AK426" i="1" s="1"/>
  <c r="AL426" i="1" s="1"/>
  <c r="AM426" i="1" s="1"/>
  <c r="AN426" i="1" s="1"/>
  <c r="H425" i="1"/>
  <c r="I425" i="1" s="1"/>
  <c r="J425" i="1" s="1"/>
  <c r="K425" i="1" s="1"/>
  <c r="L425" i="1" s="1"/>
  <c r="M425" i="1" s="1"/>
  <c r="N425" i="1" s="1"/>
  <c r="O425" i="1" s="1"/>
  <c r="P425" i="1" s="1"/>
  <c r="Q425" i="1" s="1"/>
  <c r="R425" i="1" s="1"/>
  <c r="S425" i="1" s="1"/>
  <c r="T425" i="1" s="1"/>
  <c r="U425" i="1" s="1"/>
  <c r="V425" i="1" s="1"/>
  <c r="W425" i="1" s="1"/>
  <c r="X425" i="1" s="1"/>
  <c r="Y425" i="1" s="1"/>
  <c r="Z425" i="1" s="1"/>
  <c r="AA425" i="1" s="1"/>
  <c r="AB425" i="1" s="1"/>
  <c r="AC425" i="1" s="1"/>
  <c r="AD425" i="1" s="1"/>
  <c r="AE425" i="1" s="1"/>
  <c r="AF425" i="1" s="1"/>
  <c r="AG425" i="1" s="1"/>
  <c r="AH425" i="1" s="1"/>
  <c r="AI425" i="1" s="1"/>
  <c r="AJ425" i="1" s="1"/>
  <c r="AK425" i="1" s="1"/>
  <c r="AL425" i="1" s="1"/>
  <c r="AM425" i="1" s="1"/>
  <c r="AN425" i="1" s="1"/>
  <c r="G425" i="1"/>
  <c r="F425" i="1"/>
  <c r="F424" i="1"/>
  <c r="G424" i="1" s="1"/>
  <c r="H424" i="1" s="1"/>
  <c r="I424" i="1" s="1"/>
  <c r="J424" i="1" s="1"/>
  <c r="K424" i="1" s="1"/>
  <c r="L424" i="1" s="1"/>
  <c r="M424" i="1" s="1"/>
  <c r="N424" i="1" s="1"/>
  <c r="O424" i="1" s="1"/>
  <c r="P424" i="1" s="1"/>
  <c r="Q424" i="1" s="1"/>
  <c r="R424" i="1" s="1"/>
  <c r="S424" i="1" s="1"/>
  <c r="T424" i="1" s="1"/>
  <c r="U424" i="1" s="1"/>
  <c r="V424" i="1" s="1"/>
  <c r="W424" i="1" s="1"/>
  <c r="X424" i="1" s="1"/>
  <c r="Y424" i="1" s="1"/>
  <c r="Z424" i="1" s="1"/>
  <c r="AA424" i="1" s="1"/>
  <c r="AB424" i="1" s="1"/>
  <c r="AC424" i="1" s="1"/>
  <c r="AD424" i="1" s="1"/>
  <c r="AE424" i="1" s="1"/>
  <c r="AF424" i="1" s="1"/>
  <c r="AG424" i="1" s="1"/>
  <c r="AH424" i="1" s="1"/>
  <c r="AI424" i="1" s="1"/>
  <c r="AJ424" i="1" s="1"/>
  <c r="AK424" i="1" s="1"/>
  <c r="AL424" i="1" s="1"/>
  <c r="AM424" i="1" s="1"/>
  <c r="AN424" i="1" s="1"/>
  <c r="G422" i="1"/>
  <c r="H422" i="1" s="1"/>
  <c r="I422" i="1" s="1"/>
  <c r="J422" i="1" s="1"/>
  <c r="K422" i="1" s="1"/>
  <c r="L422" i="1" s="1"/>
  <c r="M422" i="1" s="1"/>
  <c r="N422" i="1" s="1"/>
  <c r="O422" i="1" s="1"/>
  <c r="P422" i="1" s="1"/>
  <c r="Q422" i="1" s="1"/>
  <c r="R422" i="1" s="1"/>
  <c r="S422" i="1" s="1"/>
  <c r="T422" i="1" s="1"/>
  <c r="U422" i="1" s="1"/>
  <c r="V422" i="1" s="1"/>
  <c r="W422" i="1" s="1"/>
  <c r="X422" i="1" s="1"/>
  <c r="Y422" i="1" s="1"/>
  <c r="Z422" i="1" s="1"/>
  <c r="AA422" i="1" s="1"/>
  <c r="AB422" i="1" s="1"/>
  <c r="AC422" i="1" s="1"/>
  <c r="AD422" i="1" s="1"/>
  <c r="AE422" i="1" s="1"/>
  <c r="AF422" i="1" s="1"/>
  <c r="AG422" i="1" s="1"/>
  <c r="AH422" i="1" s="1"/>
  <c r="AI422" i="1" s="1"/>
  <c r="AJ422" i="1" s="1"/>
  <c r="AK422" i="1" s="1"/>
  <c r="AL422" i="1" s="1"/>
  <c r="AM422" i="1" s="1"/>
  <c r="AN422" i="1" s="1"/>
  <c r="G421" i="1"/>
  <c r="H421" i="1" s="1"/>
  <c r="I421" i="1" s="1"/>
  <c r="J421" i="1" s="1"/>
  <c r="K421" i="1" s="1"/>
  <c r="L421" i="1" s="1"/>
  <c r="M421" i="1" s="1"/>
  <c r="N421" i="1" s="1"/>
  <c r="O421" i="1" s="1"/>
  <c r="P421" i="1" s="1"/>
  <c r="Q421" i="1" s="1"/>
  <c r="R421" i="1" s="1"/>
  <c r="S421" i="1" s="1"/>
  <c r="T421" i="1" s="1"/>
  <c r="U421" i="1" s="1"/>
  <c r="V421" i="1" s="1"/>
  <c r="W421" i="1" s="1"/>
  <c r="X421" i="1" s="1"/>
  <c r="Y421" i="1" s="1"/>
  <c r="Z421" i="1" s="1"/>
  <c r="AA421" i="1" s="1"/>
  <c r="AB421" i="1" s="1"/>
  <c r="AC421" i="1" s="1"/>
  <c r="AD421" i="1" s="1"/>
  <c r="AE421" i="1" s="1"/>
  <c r="AF421" i="1" s="1"/>
  <c r="AG421" i="1" s="1"/>
  <c r="AH421" i="1" s="1"/>
  <c r="AI421" i="1" s="1"/>
  <c r="AJ421" i="1" s="1"/>
  <c r="AK421" i="1" s="1"/>
  <c r="AL421" i="1" s="1"/>
  <c r="AM421" i="1" s="1"/>
  <c r="AN421" i="1" s="1"/>
  <c r="G420" i="1"/>
  <c r="H420" i="1" s="1"/>
  <c r="I420" i="1" s="1"/>
  <c r="J420" i="1" s="1"/>
  <c r="K420" i="1" s="1"/>
  <c r="L420" i="1" s="1"/>
  <c r="M420" i="1" s="1"/>
  <c r="N420" i="1" s="1"/>
  <c r="O420" i="1" s="1"/>
  <c r="P420" i="1" s="1"/>
  <c r="Q420" i="1" s="1"/>
  <c r="R420" i="1" s="1"/>
  <c r="S420" i="1" s="1"/>
  <c r="T420" i="1" s="1"/>
  <c r="U420" i="1" s="1"/>
  <c r="V420" i="1" s="1"/>
  <c r="W420" i="1" s="1"/>
  <c r="X420" i="1" s="1"/>
  <c r="Y420" i="1" s="1"/>
  <c r="Z420" i="1" s="1"/>
  <c r="AA420" i="1" s="1"/>
  <c r="AB420" i="1" s="1"/>
  <c r="AC420" i="1" s="1"/>
  <c r="AD420" i="1" s="1"/>
  <c r="AE420" i="1" s="1"/>
  <c r="AF420" i="1" s="1"/>
  <c r="AG420" i="1" s="1"/>
  <c r="AH420" i="1" s="1"/>
  <c r="AI420" i="1" s="1"/>
  <c r="AJ420" i="1" s="1"/>
  <c r="AK420" i="1" s="1"/>
  <c r="AL420" i="1" s="1"/>
  <c r="AM420" i="1" s="1"/>
  <c r="AN420" i="1" s="1"/>
  <c r="G419" i="1"/>
  <c r="H419" i="1" s="1"/>
  <c r="I419" i="1" s="1"/>
  <c r="J419" i="1" s="1"/>
  <c r="K419" i="1" s="1"/>
  <c r="L419" i="1" s="1"/>
  <c r="M419" i="1" s="1"/>
  <c r="N419" i="1" s="1"/>
  <c r="O419" i="1" s="1"/>
  <c r="P419" i="1" s="1"/>
  <c r="Q419" i="1" s="1"/>
  <c r="R419" i="1" s="1"/>
  <c r="S419" i="1" s="1"/>
  <c r="T419" i="1" s="1"/>
  <c r="U419" i="1" s="1"/>
  <c r="V419" i="1" s="1"/>
  <c r="W419" i="1" s="1"/>
  <c r="X419" i="1" s="1"/>
  <c r="Y419" i="1" s="1"/>
  <c r="Z419" i="1" s="1"/>
  <c r="AA419" i="1" s="1"/>
  <c r="AB419" i="1" s="1"/>
  <c r="AC419" i="1" s="1"/>
  <c r="AD419" i="1" s="1"/>
  <c r="AE419" i="1" s="1"/>
  <c r="AF419" i="1" s="1"/>
  <c r="AG419" i="1" s="1"/>
  <c r="AH419" i="1" s="1"/>
  <c r="AI419" i="1" s="1"/>
  <c r="AJ419" i="1" s="1"/>
  <c r="AK419" i="1" s="1"/>
  <c r="AL419" i="1" s="1"/>
  <c r="AM419" i="1" s="1"/>
  <c r="AN419" i="1" s="1"/>
  <c r="G418" i="1"/>
  <c r="H418" i="1" s="1"/>
  <c r="I418" i="1" s="1"/>
  <c r="J418" i="1" s="1"/>
  <c r="K418" i="1" s="1"/>
  <c r="L418" i="1" s="1"/>
  <c r="M418" i="1" s="1"/>
  <c r="N418" i="1" s="1"/>
  <c r="O418" i="1" s="1"/>
  <c r="P418" i="1" s="1"/>
  <c r="Q418" i="1" s="1"/>
  <c r="R418" i="1" s="1"/>
  <c r="S418" i="1" s="1"/>
  <c r="T418" i="1" s="1"/>
  <c r="U418" i="1" s="1"/>
  <c r="V418" i="1" s="1"/>
  <c r="W418" i="1" s="1"/>
  <c r="X418" i="1" s="1"/>
  <c r="Y418" i="1" s="1"/>
  <c r="Z418" i="1" s="1"/>
  <c r="AA418" i="1" s="1"/>
  <c r="AB418" i="1" s="1"/>
  <c r="AC418" i="1" s="1"/>
  <c r="AD418" i="1" s="1"/>
  <c r="AE418" i="1" s="1"/>
  <c r="AF418" i="1" s="1"/>
  <c r="AG418" i="1" s="1"/>
  <c r="AH418" i="1" s="1"/>
  <c r="AI418" i="1" s="1"/>
  <c r="AJ418" i="1" s="1"/>
  <c r="AK418" i="1" s="1"/>
  <c r="AL418" i="1" s="1"/>
  <c r="AM418" i="1" s="1"/>
  <c r="AN418" i="1" s="1"/>
  <c r="I417" i="1"/>
  <c r="J417" i="1" s="1"/>
  <c r="K417" i="1" s="1"/>
  <c r="L417" i="1" s="1"/>
  <c r="M417" i="1" s="1"/>
  <c r="N417" i="1" s="1"/>
  <c r="O417" i="1" s="1"/>
  <c r="P417" i="1" s="1"/>
  <c r="Q417" i="1" s="1"/>
  <c r="R417" i="1" s="1"/>
  <c r="S417" i="1" s="1"/>
  <c r="T417" i="1" s="1"/>
  <c r="U417" i="1" s="1"/>
  <c r="V417" i="1" s="1"/>
  <c r="W417" i="1" s="1"/>
  <c r="X417" i="1" s="1"/>
  <c r="Y417" i="1" s="1"/>
  <c r="Z417" i="1" s="1"/>
  <c r="AA417" i="1" s="1"/>
  <c r="AB417" i="1" s="1"/>
  <c r="AC417" i="1" s="1"/>
  <c r="AD417" i="1" s="1"/>
  <c r="AE417" i="1" s="1"/>
  <c r="AF417" i="1" s="1"/>
  <c r="AG417" i="1" s="1"/>
  <c r="AH417" i="1" s="1"/>
  <c r="AI417" i="1" s="1"/>
  <c r="AJ417" i="1" s="1"/>
  <c r="AK417" i="1" s="1"/>
  <c r="AL417" i="1" s="1"/>
  <c r="AM417" i="1" s="1"/>
  <c r="AN417" i="1" s="1"/>
  <c r="H417" i="1"/>
  <c r="G417" i="1"/>
  <c r="F422" i="1"/>
  <c r="F421" i="1"/>
  <c r="F420" i="1"/>
  <c r="F419" i="1"/>
  <c r="F418" i="1"/>
  <c r="F417" i="1"/>
  <c r="G474" i="1"/>
  <c r="H474" i="1" s="1"/>
  <c r="I474" i="1" s="1"/>
  <c r="J474" i="1" s="1"/>
  <c r="K474" i="1" s="1"/>
  <c r="L474" i="1" s="1"/>
  <c r="M474" i="1" s="1"/>
  <c r="N474" i="1" s="1"/>
  <c r="O474" i="1" s="1"/>
  <c r="P474" i="1" s="1"/>
  <c r="Q474" i="1" s="1"/>
  <c r="R474" i="1" s="1"/>
  <c r="S474" i="1" s="1"/>
  <c r="T474" i="1" s="1"/>
  <c r="U474" i="1" s="1"/>
  <c r="V474" i="1" s="1"/>
  <c r="W474" i="1" s="1"/>
  <c r="X474" i="1" s="1"/>
  <c r="Y474" i="1" s="1"/>
  <c r="Z474" i="1" s="1"/>
  <c r="AA474" i="1" s="1"/>
  <c r="AB474" i="1" s="1"/>
  <c r="AC474" i="1" s="1"/>
  <c r="AD474" i="1" s="1"/>
  <c r="AE474" i="1" s="1"/>
  <c r="AF474" i="1" s="1"/>
  <c r="AG474" i="1" s="1"/>
  <c r="AH474" i="1" s="1"/>
  <c r="AI474" i="1" s="1"/>
  <c r="AJ474" i="1" s="1"/>
  <c r="AK474" i="1" s="1"/>
  <c r="AL474" i="1" s="1"/>
  <c r="AM474" i="1" s="1"/>
  <c r="AN474" i="1" s="1"/>
  <c r="F474" i="1"/>
  <c r="F473" i="1"/>
  <c r="G473" i="1" s="1"/>
  <c r="H473" i="1" s="1"/>
  <c r="I473" i="1" s="1"/>
  <c r="J473" i="1" s="1"/>
  <c r="K473" i="1" s="1"/>
  <c r="L473" i="1" s="1"/>
  <c r="M473" i="1" s="1"/>
  <c r="N473" i="1" s="1"/>
  <c r="O473" i="1" s="1"/>
  <c r="P473" i="1" s="1"/>
  <c r="Q473" i="1" s="1"/>
  <c r="R473" i="1" s="1"/>
  <c r="S473" i="1" s="1"/>
  <c r="T473" i="1" s="1"/>
  <c r="U473" i="1" s="1"/>
  <c r="V473" i="1" s="1"/>
  <c r="W473" i="1" s="1"/>
  <c r="X473" i="1" s="1"/>
  <c r="Y473" i="1" s="1"/>
  <c r="Z473" i="1" s="1"/>
  <c r="AA473" i="1" s="1"/>
  <c r="AB473" i="1" s="1"/>
  <c r="AC473" i="1" s="1"/>
  <c r="AD473" i="1" s="1"/>
  <c r="AE473" i="1" s="1"/>
  <c r="AF473" i="1" s="1"/>
  <c r="AG473" i="1" s="1"/>
  <c r="AH473" i="1" s="1"/>
  <c r="AI473" i="1" s="1"/>
  <c r="AJ473" i="1" s="1"/>
  <c r="AK473" i="1" s="1"/>
  <c r="AL473" i="1" s="1"/>
  <c r="AM473" i="1" s="1"/>
  <c r="AN473" i="1" s="1"/>
  <c r="G472" i="1"/>
  <c r="H472" i="1" s="1"/>
  <c r="I472" i="1" s="1"/>
  <c r="J472" i="1" s="1"/>
  <c r="K472" i="1" s="1"/>
  <c r="L472" i="1" s="1"/>
  <c r="M472" i="1" s="1"/>
  <c r="N472" i="1" s="1"/>
  <c r="O472" i="1" s="1"/>
  <c r="P472" i="1" s="1"/>
  <c r="Q472" i="1" s="1"/>
  <c r="R472" i="1" s="1"/>
  <c r="S472" i="1" s="1"/>
  <c r="T472" i="1" s="1"/>
  <c r="U472" i="1" s="1"/>
  <c r="V472" i="1" s="1"/>
  <c r="W472" i="1" s="1"/>
  <c r="X472" i="1" s="1"/>
  <c r="Y472" i="1" s="1"/>
  <c r="Z472" i="1" s="1"/>
  <c r="AA472" i="1" s="1"/>
  <c r="AB472" i="1" s="1"/>
  <c r="AC472" i="1" s="1"/>
  <c r="AD472" i="1" s="1"/>
  <c r="AE472" i="1" s="1"/>
  <c r="AF472" i="1" s="1"/>
  <c r="AG472" i="1" s="1"/>
  <c r="AH472" i="1" s="1"/>
  <c r="AI472" i="1" s="1"/>
  <c r="AJ472" i="1" s="1"/>
  <c r="AK472" i="1" s="1"/>
  <c r="AL472" i="1" s="1"/>
  <c r="AM472" i="1" s="1"/>
  <c r="AN472" i="1" s="1"/>
  <c r="F472" i="1"/>
  <c r="F471" i="1"/>
  <c r="G471" i="1" s="1"/>
  <c r="H471" i="1" s="1"/>
  <c r="I471" i="1" s="1"/>
  <c r="J471" i="1" s="1"/>
  <c r="K471" i="1" s="1"/>
  <c r="L471" i="1" s="1"/>
  <c r="M471" i="1" s="1"/>
  <c r="N471" i="1" s="1"/>
  <c r="O471" i="1" s="1"/>
  <c r="P471" i="1" s="1"/>
  <c r="Q471" i="1" s="1"/>
  <c r="R471" i="1" s="1"/>
  <c r="S471" i="1" s="1"/>
  <c r="T471" i="1" s="1"/>
  <c r="U471" i="1" s="1"/>
  <c r="V471" i="1" s="1"/>
  <c r="W471" i="1" s="1"/>
  <c r="X471" i="1" s="1"/>
  <c r="Y471" i="1" s="1"/>
  <c r="Z471" i="1" s="1"/>
  <c r="AA471" i="1" s="1"/>
  <c r="AB471" i="1" s="1"/>
  <c r="AC471" i="1" s="1"/>
  <c r="AD471" i="1" s="1"/>
  <c r="AE471" i="1" s="1"/>
  <c r="AF471" i="1" s="1"/>
  <c r="AG471" i="1" s="1"/>
  <c r="AH471" i="1" s="1"/>
  <c r="AI471" i="1" s="1"/>
  <c r="AJ471" i="1" s="1"/>
  <c r="AK471" i="1" s="1"/>
  <c r="AL471" i="1" s="1"/>
  <c r="AM471" i="1" s="1"/>
  <c r="AN471" i="1" s="1"/>
  <c r="G470" i="1"/>
  <c r="H470" i="1" s="1"/>
  <c r="I470" i="1" s="1"/>
  <c r="J470" i="1" s="1"/>
  <c r="K470" i="1" s="1"/>
  <c r="L470" i="1" s="1"/>
  <c r="M470" i="1" s="1"/>
  <c r="N470" i="1" s="1"/>
  <c r="O470" i="1" s="1"/>
  <c r="P470" i="1" s="1"/>
  <c r="Q470" i="1" s="1"/>
  <c r="R470" i="1" s="1"/>
  <c r="S470" i="1" s="1"/>
  <c r="T470" i="1" s="1"/>
  <c r="U470" i="1" s="1"/>
  <c r="V470" i="1" s="1"/>
  <c r="W470" i="1" s="1"/>
  <c r="X470" i="1" s="1"/>
  <c r="Y470" i="1" s="1"/>
  <c r="Z470" i="1" s="1"/>
  <c r="AA470" i="1" s="1"/>
  <c r="AB470" i="1" s="1"/>
  <c r="AC470" i="1" s="1"/>
  <c r="AD470" i="1" s="1"/>
  <c r="AE470" i="1" s="1"/>
  <c r="AF470" i="1" s="1"/>
  <c r="AG470" i="1" s="1"/>
  <c r="AH470" i="1" s="1"/>
  <c r="AI470" i="1" s="1"/>
  <c r="AJ470" i="1" s="1"/>
  <c r="AK470" i="1" s="1"/>
  <c r="AL470" i="1" s="1"/>
  <c r="AM470" i="1" s="1"/>
  <c r="AN470" i="1" s="1"/>
  <c r="F470" i="1"/>
  <c r="F469" i="1"/>
  <c r="G469" i="1" s="1"/>
  <c r="H469" i="1" s="1"/>
  <c r="I469" i="1" s="1"/>
  <c r="J469" i="1" s="1"/>
  <c r="K469" i="1" s="1"/>
  <c r="L469" i="1" s="1"/>
  <c r="M469" i="1" s="1"/>
  <c r="N469" i="1" s="1"/>
  <c r="O469" i="1" s="1"/>
  <c r="P469" i="1" s="1"/>
  <c r="Q469" i="1" s="1"/>
  <c r="R469" i="1" s="1"/>
  <c r="S469" i="1" s="1"/>
  <c r="T469" i="1" s="1"/>
  <c r="U469" i="1" s="1"/>
  <c r="V469" i="1" s="1"/>
  <c r="W469" i="1" s="1"/>
  <c r="X469" i="1" s="1"/>
  <c r="Y469" i="1" s="1"/>
  <c r="Z469" i="1" s="1"/>
  <c r="AA469" i="1" s="1"/>
  <c r="AB469" i="1" s="1"/>
  <c r="AC469" i="1" s="1"/>
  <c r="AD469" i="1" s="1"/>
  <c r="AE469" i="1" s="1"/>
  <c r="AF469" i="1" s="1"/>
  <c r="AG469" i="1" s="1"/>
  <c r="AH469" i="1" s="1"/>
  <c r="AI469" i="1" s="1"/>
  <c r="AJ469" i="1" s="1"/>
  <c r="AK469" i="1" s="1"/>
  <c r="AL469" i="1" s="1"/>
  <c r="AM469" i="1" s="1"/>
  <c r="AN469" i="1" s="1"/>
  <c r="F467" i="1"/>
  <c r="G467" i="1" s="1"/>
  <c r="H467" i="1" s="1"/>
  <c r="I467" i="1" s="1"/>
  <c r="J467" i="1" s="1"/>
  <c r="K467" i="1" s="1"/>
  <c r="L467" i="1" s="1"/>
  <c r="M467" i="1" s="1"/>
  <c r="N467" i="1" s="1"/>
  <c r="O467" i="1" s="1"/>
  <c r="P467" i="1" s="1"/>
  <c r="Q467" i="1" s="1"/>
  <c r="R467" i="1" s="1"/>
  <c r="S467" i="1" s="1"/>
  <c r="T467" i="1" s="1"/>
  <c r="U467" i="1" s="1"/>
  <c r="V467" i="1" s="1"/>
  <c r="W467" i="1" s="1"/>
  <c r="X467" i="1" s="1"/>
  <c r="Y467" i="1" s="1"/>
  <c r="Z467" i="1" s="1"/>
  <c r="AA467" i="1" s="1"/>
  <c r="AB467" i="1" s="1"/>
  <c r="AC467" i="1" s="1"/>
  <c r="AD467" i="1" s="1"/>
  <c r="AE467" i="1" s="1"/>
  <c r="AF467" i="1" s="1"/>
  <c r="AG467" i="1" s="1"/>
  <c r="AH467" i="1" s="1"/>
  <c r="AI467" i="1" s="1"/>
  <c r="AJ467" i="1" s="1"/>
  <c r="AK467" i="1" s="1"/>
  <c r="AL467" i="1" s="1"/>
  <c r="AM467" i="1" s="1"/>
  <c r="AN467" i="1" s="1"/>
  <c r="F466" i="1"/>
  <c r="G466" i="1" s="1"/>
  <c r="H466" i="1" s="1"/>
  <c r="I466" i="1" s="1"/>
  <c r="J466" i="1" s="1"/>
  <c r="K466" i="1" s="1"/>
  <c r="L466" i="1" s="1"/>
  <c r="M466" i="1" s="1"/>
  <c r="N466" i="1" s="1"/>
  <c r="O466" i="1" s="1"/>
  <c r="P466" i="1" s="1"/>
  <c r="Q466" i="1" s="1"/>
  <c r="R466" i="1" s="1"/>
  <c r="S466" i="1" s="1"/>
  <c r="T466" i="1" s="1"/>
  <c r="U466" i="1" s="1"/>
  <c r="V466" i="1" s="1"/>
  <c r="W466" i="1" s="1"/>
  <c r="X466" i="1" s="1"/>
  <c r="Y466" i="1" s="1"/>
  <c r="Z466" i="1" s="1"/>
  <c r="AA466" i="1" s="1"/>
  <c r="AB466" i="1" s="1"/>
  <c r="AC466" i="1" s="1"/>
  <c r="AD466" i="1" s="1"/>
  <c r="AE466" i="1" s="1"/>
  <c r="AF466" i="1" s="1"/>
  <c r="AG466" i="1" s="1"/>
  <c r="AH466" i="1" s="1"/>
  <c r="AI466" i="1" s="1"/>
  <c r="AJ466" i="1" s="1"/>
  <c r="AK466" i="1" s="1"/>
  <c r="AL466" i="1" s="1"/>
  <c r="AM466" i="1" s="1"/>
  <c r="AN466" i="1" s="1"/>
  <c r="F465" i="1"/>
  <c r="G465" i="1" s="1"/>
  <c r="H465" i="1" s="1"/>
  <c r="I465" i="1" s="1"/>
  <c r="J465" i="1" s="1"/>
  <c r="K465" i="1" s="1"/>
  <c r="L465" i="1" s="1"/>
  <c r="M465" i="1" s="1"/>
  <c r="N465" i="1" s="1"/>
  <c r="O465" i="1" s="1"/>
  <c r="P465" i="1" s="1"/>
  <c r="Q465" i="1" s="1"/>
  <c r="R465" i="1" s="1"/>
  <c r="S465" i="1" s="1"/>
  <c r="T465" i="1" s="1"/>
  <c r="U465" i="1" s="1"/>
  <c r="V465" i="1" s="1"/>
  <c r="W465" i="1" s="1"/>
  <c r="X465" i="1" s="1"/>
  <c r="Y465" i="1" s="1"/>
  <c r="Z465" i="1" s="1"/>
  <c r="AA465" i="1" s="1"/>
  <c r="AB465" i="1" s="1"/>
  <c r="AC465" i="1" s="1"/>
  <c r="AD465" i="1" s="1"/>
  <c r="AE465" i="1" s="1"/>
  <c r="AF465" i="1" s="1"/>
  <c r="AG465" i="1" s="1"/>
  <c r="AH465" i="1" s="1"/>
  <c r="AI465" i="1" s="1"/>
  <c r="AJ465" i="1" s="1"/>
  <c r="AK465" i="1" s="1"/>
  <c r="AL465" i="1" s="1"/>
  <c r="AM465" i="1" s="1"/>
  <c r="AN465" i="1" s="1"/>
  <c r="T464" i="1"/>
  <c r="U464" i="1" s="1"/>
  <c r="V464" i="1" s="1"/>
  <c r="W464" i="1" s="1"/>
  <c r="X464" i="1" s="1"/>
  <c r="Y464" i="1" s="1"/>
  <c r="Z464" i="1" s="1"/>
  <c r="AA464" i="1" s="1"/>
  <c r="AB464" i="1" s="1"/>
  <c r="AC464" i="1" s="1"/>
  <c r="AD464" i="1" s="1"/>
  <c r="AE464" i="1" s="1"/>
  <c r="AF464" i="1" s="1"/>
  <c r="AG464" i="1" s="1"/>
  <c r="AH464" i="1" s="1"/>
  <c r="AI464" i="1" s="1"/>
  <c r="AJ464" i="1" s="1"/>
  <c r="AK464" i="1" s="1"/>
  <c r="AL464" i="1" s="1"/>
  <c r="AM464" i="1" s="1"/>
  <c r="AN464" i="1" s="1"/>
  <c r="F464" i="1"/>
  <c r="G464" i="1" s="1"/>
  <c r="H464" i="1" s="1"/>
  <c r="I464" i="1" s="1"/>
  <c r="J464" i="1" s="1"/>
  <c r="K464" i="1" s="1"/>
  <c r="L464" i="1" s="1"/>
  <c r="M464" i="1" s="1"/>
  <c r="N464" i="1" s="1"/>
  <c r="O464" i="1" s="1"/>
  <c r="P464" i="1" s="1"/>
  <c r="Q464" i="1" s="1"/>
  <c r="R464" i="1" s="1"/>
  <c r="S464" i="1" s="1"/>
  <c r="F463" i="1"/>
  <c r="G463" i="1" s="1"/>
  <c r="H463" i="1" s="1"/>
  <c r="I463" i="1" s="1"/>
  <c r="J463" i="1" s="1"/>
  <c r="K463" i="1" s="1"/>
  <c r="L463" i="1" s="1"/>
  <c r="M463" i="1" s="1"/>
  <c r="N463" i="1" s="1"/>
  <c r="O463" i="1" s="1"/>
  <c r="P463" i="1" s="1"/>
  <c r="Q463" i="1" s="1"/>
  <c r="R463" i="1" s="1"/>
  <c r="S463" i="1" s="1"/>
  <c r="T463" i="1" s="1"/>
  <c r="U463" i="1" s="1"/>
  <c r="V463" i="1" s="1"/>
  <c r="W463" i="1" s="1"/>
  <c r="X463" i="1" s="1"/>
  <c r="Y463" i="1" s="1"/>
  <c r="Z463" i="1" s="1"/>
  <c r="AA463" i="1" s="1"/>
  <c r="AB463" i="1" s="1"/>
  <c r="AC463" i="1" s="1"/>
  <c r="AD463" i="1" s="1"/>
  <c r="AE463" i="1" s="1"/>
  <c r="AF463" i="1" s="1"/>
  <c r="AG463" i="1" s="1"/>
  <c r="AH463" i="1" s="1"/>
  <c r="AI463" i="1" s="1"/>
  <c r="AJ463" i="1" s="1"/>
  <c r="AK463" i="1" s="1"/>
  <c r="AL463" i="1" s="1"/>
  <c r="AM463" i="1" s="1"/>
  <c r="AN463" i="1" s="1"/>
  <c r="F462" i="1"/>
  <c r="G462" i="1" s="1"/>
  <c r="H462" i="1" s="1"/>
  <c r="I462" i="1" s="1"/>
  <c r="J462" i="1" s="1"/>
  <c r="K462" i="1" s="1"/>
  <c r="L462" i="1" s="1"/>
  <c r="M462" i="1" s="1"/>
  <c r="N462" i="1" s="1"/>
  <c r="O462" i="1" s="1"/>
  <c r="P462" i="1" s="1"/>
  <c r="Q462" i="1" s="1"/>
  <c r="R462" i="1" s="1"/>
  <c r="S462" i="1" s="1"/>
  <c r="T462" i="1" s="1"/>
  <c r="U462" i="1" s="1"/>
  <c r="V462" i="1" s="1"/>
  <c r="W462" i="1" s="1"/>
  <c r="X462" i="1" s="1"/>
  <c r="Y462" i="1" s="1"/>
  <c r="Z462" i="1" s="1"/>
  <c r="AA462" i="1" s="1"/>
  <c r="AB462" i="1" s="1"/>
  <c r="AC462" i="1" s="1"/>
  <c r="AD462" i="1" s="1"/>
  <c r="AE462" i="1" s="1"/>
  <c r="AF462" i="1" s="1"/>
  <c r="AG462" i="1" s="1"/>
  <c r="AH462" i="1" s="1"/>
  <c r="AI462" i="1" s="1"/>
  <c r="AJ462" i="1" s="1"/>
  <c r="AK462" i="1" s="1"/>
  <c r="AL462" i="1" s="1"/>
  <c r="AM462" i="1" s="1"/>
  <c r="AN462" i="1" s="1"/>
  <c r="G460" i="1"/>
  <c r="H460" i="1" s="1"/>
  <c r="I460" i="1" s="1"/>
  <c r="J460" i="1" s="1"/>
  <c r="K460" i="1" s="1"/>
  <c r="L460" i="1" s="1"/>
  <c r="M460" i="1" s="1"/>
  <c r="N460" i="1" s="1"/>
  <c r="O460" i="1" s="1"/>
  <c r="P460" i="1" s="1"/>
  <c r="Q460" i="1" s="1"/>
  <c r="R460" i="1" s="1"/>
  <c r="S460" i="1" s="1"/>
  <c r="T460" i="1" s="1"/>
  <c r="U460" i="1" s="1"/>
  <c r="V460" i="1" s="1"/>
  <c r="W460" i="1" s="1"/>
  <c r="X460" i="1" s="1"/>
  <c r="Y460" i="1" s="1"/>
  <c r="Z460" i="1" s="1"/>
  <c r="AA460" i="1" s="1"/>
  <c r="AB460" i="1" s="1"/>
  <c r="AC460" i="1" s="1"/>
  <c r="AD460" i="1" s="1"/>
  <c r="AE460" i="1" s="1"/>
  <c r="AF460" i="1" s="1"/>
  <c r="AG460" i="1" s="1"/>
  <c r="AH460" i="1" s="1"/>
  <c r="AI460" i="1" s="1"/>
  <c r="AJ460" i="1" s="1"/>
  <c r="AK460" i="1" s="1"/>
  <c r="AL460" i="1" s="1"/>
  <c r="AM460" i="1" s="1"/>
  <c r="AN460" i="1" s="1"/>
  <c r="F460" i="1"/>
  <c r="H459" i="1"/>
  <c r="I459" i="1" s="1"/>
  <c r="J459" i="1" s="1"/>
  <c r="K459" i="1" s="1"/>
  <c r="L459" i="1" s="1"/>
  <c r="M459" i="1" s="1"/>
  <c r="N459" i="1" s="1"/>
  <c r="O459" i="1" s="1"/>
  <c r="P459" i="1" s="1"/>
  <c r="Q459" i="1" s="1"/>
  <c r="R459" i="1" s="1"/>
  <c r="S459" i="1" s="1"/>
  <c r="T459" i="1" s="1"/>
  <c r="U459" i="1" s="1"/>
  <c r="V459" i="1" s="1"/>
  <c r="W459" i="1" s="1"/>
  <c r="X459" i="1" s="1"/>
  <c r="Y459" i="1" s="1"/>
  <c r="Z459" i="1" s="1"/>
  <c r="AA459" i="1" s="1"/>
  <c r="AB459" i="1" s="1"/>
  <c r="AC459" i="1" s="1"/>
  <c r="AD459" i="1" s="1"/>
  <c r="AE459" i="1" s="1"/>
  <c r="AF459" i="1" s="1"/>
  <c r="AG459" i="1" s="1"/>
  <c r="AH459" i="1" s="1"/>
  <c r="AI459" i="1" s="1"/>
  <c r="AJ459" i="1" s="1"/>
  <c r="AK459" i="1" s="1"/>
  <c r="AL459" i="1" s="1"/>
  <c r="AM459" i="1" s="1"/>
  <c r="AN459" i="1" s="1"/>
  <c r="G459" i="1"/>
  <c r="F459" i="1"/>
  <c r="G458" i="1"/>
  <c r="H458" i="1" s="1"/>
  <c r="I458" i="1" s="1"/>
  <c r="J458" i="1" s="1"/>
  <c r="K458" i="1" s="1"/>
  <c r="L458" i="1" s="1"/>
  <c r="M458" i="1" s="1"/>
  <c r="N458" i="1" s="1"/>
  <c r="O458" i="1" s="1"/>
  <c r="P458" i="1" s="1"/>
  <c r="Q458" i="1" s="1"/>
  <c r="R458" i="1" s="1"/>
  <c r="S458" i="1" s="1"/>
  <c r="T458" i="1" s="1"/>
  <c r="U458" i="1" s="1"/>
  <c r="V458" i="1" s="1"/>
  <c r="W458" i="1" s="1"/>
  <c r="X458" i="1" s="1"/>
  <c r="Y458" i="1" s="1"/>
  <c r="Z458" i="1" s="1"/>
  <c r="AA458" i="1" s="1"/>
  <c r="AB458" i="1" s="1"/>
  <c r="AC458" i="1" s="1"/>
  <c r="AD458" i="1" s="1"/>
  <c r="AE458" i="1" s="1"/>
  <c r="AF458" i="1" s="1"/>
  <c r="AG458" i="1" s="1"/>
  <c r="AH458" i="1" s="1"/>
  <c r="AI458" i="1" s="1"/>
  <c r="AJ458" i="1" s="1"/>
  <c r="AK458" i="1" s="1"/>
  <c r="AL458" i="1" s="1"/>
  <c r="AM458" i="1" s="1"/>
  <c r="AN458" i="1" s="1"/>
  <c r="F458" i="1"/>
  <c r="H457" i="1"/>
  <c r="I457" i="1" s="1"/>
  <c r="J457" i="1" s="1"/>
  <c r="K457" i="1" s="1"/>
  <c r="L457" i="1" s="1"/>
  <c r="M457" i="1" s="1"/>
  <c r="N457" i="1" s="1"/>
  <c r="O457" i="1" s="1"/>
  <c r="P457" i="1" s="1"/>
  <c r="Q457" i="1" s="1"/>
  <c r="R457" i="1" s="1"/>
  <c r="S457" i="1" s="1"/>
  <c r="T457" i="1" s="1"/>
  <c r="U457" i="1" s="1"/>
  <c r="V457" i="1" s="1"/>
  <c r="W457" i="1" s="1"/>
  <c r="X457" i="1" s="1"/>
  <c r="Y457" i="1" s="1"/>
  <c r="Z457" i="1" s="1"/>
  <c r="AA457" i="1" s="1"/>
  <c r="AB457" i="1" s="1"/>
  <c r="AC457" i="1" s="1"/>
  <c r="AD457" i="1" s="1"/>
  <c r="AE457" i="1" s="1"/>
  <c r="AF457" i="1" s="1"/>
  <c r="AG457" i="1" s="1"/>
  <c r="AH457" i="1" s="1"/>
  <c r="AI457" i="1" s="1"/>
  <c r="AJ457" i="1" s="1"/>
  <c r="AK457" i="1" s="1"/>
  <c r="AL457" i="1" s="1"/>
  <c r="AM457" i="1" s="1"/>
  <c r="AN457" i="1" s="1"/>
  <c r="G457" i="1"/>
  <c r="F457" i="1"/>
  <c r="G456" i="1"/>
  <c r="H456" i="1" s="1"/>
  <c r="I456" i="1" s="1"/>
  <c r="J456" i="1" s="1"/>
  <c r="K456" i="1" s="1"/>
  <c r="L456" i="1" s="1"/>
  <c r="M456" i="1" s="1"/>
  <c r="N456" i="1" s="1"/>
  <c r="O456" i="1" s="1"/>
  <c r="P456" i="1" s="1"/>
  <c r="Q456" i="1" s="1"/>
  <c r="R456" i="1" s="1"/>
  <c r="S456" i="1" s="1"/>
  <c r="T456" i="1" s="1"/>
  <c r="U456" i="1" s="1"/>
  <c r="V456" i="1" s="1"/>
  <c r="W456" i="1" s="1"/>
  <c r="X456" i="1" s="1"/>
  <c r="Y456" i="1" s="1"/>
  <c r="Z456" i="1" s="1"/>
  <c r="AA456" i="1" s="1"/>
  <c r="AB456" i="1" s="1"/>
  <c r="AC456" i="1" s="1"/>
  <c r="AD456" i="1" s="1"/>
  <c r="AE456" i="1" s="1"/>
  <c r="AF456" i="1" s="1"/>
  <c r="AG456" i="1" s="1"/>
  <c r="AH456" i="1" s="1"/>
  <c r="AI456" i="1" s="1"/>
  <c r="AJ456" i="1" s="1"/>
  <c r="AK456" i="1" s="1"/>
  <c r="AL456" i="1" s="1"/>
  <c r="AM456" i="1" s="1"/>
  <c r="AN456" i="1" s="1"/>
  <c r="F456" i="1"/>
  <c r="H455" i="1"/>
  <c r="I455" i="1" s="1"/>
  <c r="J455" i="1" s="1"/>
  <c r="K455" i="1" s="1"/>
  <c r="L455" i="1" s="1"/>
  <c r="M455" i="1" s="1"/>
  <c r="N455" i="1" s="1"/>
  <c r="O455" i="1" s="1"/>
  <c r="P455" i="1" s="1"/>
  <c r="Q455" i="1" s="1"/>
  <c r="R455" i="1" s="1"/>
  <c r="S455" i="1" s="1"/>
  <c r="T455" i="1" s="1"/>
  <c r="U455" i="1" s="1"/>
  <c r="V455" i="1" s="1"/>
  <c r="W455" i="1" s="1"/>
  <c r="X455" i="1" s="1"/>
  <c r="Y455" i="1" s="1"/>
  <c r="Z455" i="1" s="1"/>
  <c r="AA455" i="1" s="1"/>
  <c r="AB455" i="1" s="1"/>
  <c r="AC455" i="1" s="1"/>
  <c r="AD455" i="1" s="1"/>
  <c r="AE455" i="1" s="1"/>
  <c r="AF455" i="1" s="1"/>
  <c r="AG455" i="1" s="1"/>
  <c r="AH455" i="1" s="1"/>
  <c r="AI455" i="1" s="1"/>
  <c r="AJ455" i="1" s="1"/>
  <c r="AK455" i="1" s="1"/>
  <c r="AL455" i="1" s="1"/>
  <c r="AM455" i="1" s="1"/>
  <c r="AN455" i="1" s="1"/>
  <c r="G455" i="1"/>
  <c r="F455" i="1"/>
  <c r="G453" i="1"/>
  <c r="H453" i="1" s="1"/>
  <c r="I453" i="1" s="1"/>
  <c r="J453" i="1" s="1"/>
  <c r="K453" i="1" s="1"/>
  <c r="L453" i="1" s="1"/>
  <c r="M453" i="1" s="1"/>
  <c r="N453" i="1" s="1"/>
  <c r="O453" i="1" s="1"/>
  <c r="P453" i="1" s="1"/>
  <c r="Q453" i="1" s="1"/>
  <c r="R453" i="1" s="1"/>
  <c r="S453" i="1" s="1"/>
  <c r="T453" i="1" s="1"/>
  <c r="U453" i="1" s="1"/>
  <c r="V453" i="1" s="1"/>
  <c r="W453" i="1" s="1"/>
  <c r="X453" i="1" s="1"/>
  <c r="Y453" i="1" s="1"/>
  <c r="Z453" i="1" s="1"/>
  <c r="AA453" i="1" s="1"/>
  <c r="AB453" i="1" s="1"/>
  <c r="AC453" i="1" s="1"/>
  <c r="AD453" i="1" s="1"/>
  <c r="AE453" i="1" s="1"/>
  <c r="AF453" i="1" s="1"/>
  <c r="AG453" i="1" s="1"/>
  <c r="AH453" i="1" s="1"/>
  <c r="AI453" i="1" s="1"/>
  <c r="AJ453" i="1" s="1"/>
  <c r="AK453" i="1" s="1"/>
  <c r="AL453" i="1" s="1"/>
  <c r="AM453" i="1" s="1"/>
  <c r="AN453" i="1" s="1"/>
  <c r="G452" i="1"/>
  <c r="H452" i="1" s="1"/>
  <c r="I452" i="1" s="1"/>
  <c r="J452" i="1" s="1"/>
  <c r="K452" i="1" s="1"/>
  <c r="L452" i="1" s="1"/>
  <c r="M452" i="1" s="1"/>
  <c r="N452" i="1" s="1"/>
  <c r="O452" i="1" s="1"/>
  <c r="P452" i="1" s="1"/>
  <c r="Q452" i="1" s="1"/>
  <c r="R452" i="1" s="1"/>
  <c r="S452" i="1" s="1"/>
  <c r="T452" i="1" s="1"/>
  <c r="U452" i="1" s="1"/>
  <c r="V452" i="1" s="1"/>
  <c r="W452" i="1" s="1"/>
  <c r="X452" i="1" s="1"/>
  <c r="Y452" i="1" s="1"/>
  <c r="Z452" i="1" s="1"/>
  <c r="AA452" i="1" s="1"/>
  <c r="AB452" i="1" s="1"/>
  <c r="AC452" i="1" s="1"/>
  <c r="AD452" i="1" s="1"/>
  <c r="AE452" i="1" s="1"/>
  <c r="AF452" i="1" s="1"/>
  <c r="AG452" i="1" s="1"/>
  <c r="AH452" i="1" s="1"/>
  <c r="AI452" i="1" s="1"/>
  <c r="AJ452" i="1" s="1"/>
  <c r="AK452" i="1" s="1"/>
  <c r="AL452" i="1" s="1"/>
  <c r="AM452" i="1" s="1"/>
  <c r="AN452" i="1" s="1"/>
  <c r="G451" i="1"/>
  <c r="H451" i="1" s="1"/>
  <c r="I451" i="1" s="1"/>
  <c r="J451" i="1" s="1"/>
  <c r="K451" i="1" s="1"/>
  <c r="L451" i="1" s="1"/>
  <c r="M451" i="1" s="1"/>
  <c r="N451" i="1" s="1"/>
  <c r="O451" i="1" s="1"/>
  <c r="P451" i="1" s="1"/>
  <c r="Q451" i="1" s="1"/>
  <c r="R451" i="1" s="1"/>
  <c r="S451" i="1" s="1"/>
  <c r="T451" i="1" s="1"/>
  <c r="U451" i="1" s="1"/>
  <c r="V451" i="1" s="1"/>
  <c r="W451" i="1" s="1"/>
  <c r="X451" i="1" s="1"/>
  <c r="Y451" i="1" s="1"/>
  <c r="Z451" i="1" s="1"/>
  <c r="AA451" i="1" s="1"/>
  <c r="AB451" i="1" s="1"/>
  <c r="AC451" i="1" s="1"/>
  <c r="AD451" i="1" s="1"/>
  <c r="AE451" i="1" s="1"/>
  <c r="AF451" i="1" s="1"/>
  <c r="AG451" i="1" s="1"/>
  <c r="AH451" i="1" s="1"/>
  <c r="AI451" i="1" s="1"/>
  <c r="AJ451" i="1" s="1"/>
  <c r="AK451" i="1" s="1"/>
  <c r="AL451" i="1" s="1"/>
  <c r="AM451" i="1" s="1"/>
  <c r="AN451" i="1" s="1"/>
  <c r="G450" i="1"/>
  <c r="H450" i="1" s="1"/>
  <c r="I450" i="1" s="1"/>
  <c r="J450" i="1" s="1"/>
  <c r="K450" i="1" s="1"/>
  <c r="L450" i="1" s="1"/>
  <c r="M450" i="1" s="1"/>
  <c r="N450" i="1" s="1"/>
  <c r="O450" i="1" s="1"/>
  <c r="P450" i="1" s="1"/>
  <c r="Q450" i="1" s="1"/>
  <c r="R450" i="1" s="1"/>
  <c r="S450" i="1" s="1"/>
  <c r="T450" i="1" s="1"/>
  <c r="U450" i="1" s="1"/>
  <c r="V450" i="1" s="1"/>
  <c r="W450" i="1" s="1"/>
  <c r="X450" i="1" s="1"/>
  <c r="Y450" i="1" s="1"/>
  <c r="Z450" i="1" s="1"/>
  <c r="AA450" i="1" s="1"/>
  <c r="AB450" i="1" s="1"/>
  <c r="AC450" i="1" s="1"/>
  <c r="AD450" i="1" s="1"/>
  <c r="AE450" i="1" s="1"/>
  <c r="AF450" i="1" s="1"/>
  <c r="AG450" i="1" s="1"/>
  <c r="AH450" i="1" s="1"/>
  <c r="AI450" i="1" s="1"/>
  <c r="AJ450" i="1" s="1"/>
  <c r="AK450" i="1" s="1"/>
  <c r="AL450" i="1" s="1"/>
  <c r="AM450" i="1" s="1"/>
  <c r="AN450" i="1" s="1"/>
  <c r="G449" i="1"/>
  <c r="H449" i="1" s="1"/>
  <c r="I449" i="1" s="1"/>
  <c r="J449" i="1" s="1"/>
  <c r="K449" i="1" s="1"/>
  <c r="L449" i="1" s="1"/>
  <c r="M449" i="1" s="1"/>
  <c r="N449" i="1" s="1"/>
  <c r="O449" i="1" s="1"/>
  <c r="P449" i="1" s="1"/>
  <c r="Q449" i="1" s="1"/>
  <c r="R449" i="1" s="1"/>
  <c r="S449" i="1" s="1"/>
  <c r="T449" i="1" s="1"/>
  <c r="U449" i="1" s="1"/>
  <c r="V449" i="1" s="1"/>
  <c r="W449" i="1" s="1"/>
  <c r="X449" i="1" s="1"/>
  <c r="Y449" i="1" s="1"/>
  <c r="Z449" i="1" s="1"/>
  <c r="AA449" i="1" s="1"/>
  <c r="AB449" i="1" s="1"/>
  <c r="AC449" i="1" s="1"/>
  <c r="AD449" i="1" s="1"/>
  <c r="AE449" i="1" s="1"/>
  <c r="AF449" i="1" s="1"/>
  <c r="AG449" i="1" s="1"/>
  <c r="AH449" i="1" s="1"/>
  <c r="AI449" i="1" s="1"/>
  <c r="AJ449" i="1" s="1"/>
  <c r="AK449" i="1" s="1"/>
  <c r="AL449" i="1" s="1"/>
  <c r="AM449" i="1" s="1"/>
  <c r="AN449" i="1" s="1"/>
  <c r="G448" i="1"/>
  <c r="H448" i="1" s="1"/>
  <c r="I448" i="1" s="1"/>
  <c r="J448" i="1" s="1"/>
  <c r="K448" i="1" s="1"/>
  <c r="L448" i="1" s="1"/>
  <c r="M448" i="1" s="1"/>
  <c r="N448" i="1" s="1"/>
  <c r="O448" i="1" s="1"/>
  <c r="P448" i="1" s="1"/>
  <c r="Q448" i="1" s="1"/>
  <c r="R448" i="1" s="1"/>
  <c r="S448" i="1" s="1"/>
  <c r="T448" i="1" s="1"/>
  <c r="U448" i="1" s="1"/>
  <c r="V448" i="1" s="1"/>
  <c r="W448" i="1" s="1"/>
  <c r="X448" i="1" s="1"/>
  <c r="Y448" i="1" s="1"/>
  <c r="Z448" i="1" s="1"/>
  <c r="AA448" i="1" s="1"/>
  <c r="AB448" i="1" s="1"/>
  <c r="AC448" i="1" s="1"/>
  <c r="AD448" i="1" s="1"/>
  <c r="AE448" i="1" s="1"/>
  <c r="AF448" i="1" s="1"/>
  <c r="AG448" i="1" s="1"/>
  <c r="AH448" i="1" s="1"/>
  <c r="AI448" i="1" s="1"/>
  <c r="AJ448" i="1" s="1"/>
  <c r="AK448" i="1" s="1"/>
  <c r="AL448" i="1" s="1"/>
  <c r="AM448" i="1" s="1"/>
  <c r="AN448" i="1" s="1"/>
  <c r="F453" i="1"/>
  <c r="F452" i="1"/>
  <c r="F451" i="1"/>
  <c r="F450" i="1"/>
  <c r="F449" i="1"/>
  <c r="F448" i="1"/>
  <c r="F505" i="1"/>
  <c r="G505" i="1" s="1"/>
  <c r="H505" i="1" s="1"/>
  <c r="I505" i="1" s="1"/>
  <c r="J505" i="1" s="1"/>
  <c r="K505" i="1" s="1"/>
  <c r="L505" i="1" s="1"/>
  <c r="M505" i="1" s="1"/>
  <c r="N505" i="1" s="1"/>
  <c r="O505" i="1" s="1"/>
  <c r="P505" i="1" s="1"/>
  <c r="Q505" i="1" s="1"/>
  <c r="R505" i="1" s="1"/>
  <c r="S505" i="1" s="1"/>
  <c r="T505" i="1" s="1"/>
  <c r="U505" i="1" s="1"/>
  <c r="V505" i="1" s="1"/>
  <c r="W505" i="1" s="1"/>
  <c r="X505" i="1" s="1"/>
  <c r="Y505" i="1" s="1"/>
  <c r="Z505" i="1" s="1"/>
  <c r="AA505" i="1" s="1"/>
  <c r="AB505" i="1" s="1"/>
  <c r="AC505" i="1" s="1"/>
  <c r="AD505" i="1" s="1"/>
  <c r="AE505" i="1" s="1"/>
  <c r="AF505" i="1" s="1"/>
  <c r="AG505" i="1" s="1"/>
  <c r="AH505" i="1" s="1"/>
  <c r="AI505" i="1" s="1"/>
  <c r="AJ505" i="1" s="1"/>
  <c r="AK505" i="1" s="1"/>
  <c r="AL505" i="1" s="1"/>
  <c r="AM505" i="1" s="1"/>
  <c r="AN505" i="1" s="1"/>
  <c r="F504" i="1"/>
  <c r="G504" i="1" s="1"/>
  <c r="H504" i="1" s="1"/>
  <c r="I504" i="1" s="1"/>
  <c r="J504" i="1" s="1"/>
  <c r="K504" i="1" s="1"/>
  <c r="L504" i="1" s="1"/>
  <c r="M504" i="1" s="1"/>
  <c r="N504" i="1" s="1"/>
  <c r="O504" i="1" s="1"/>
  <c r="P504" i="1" s="1"/>
  <c r="Q504" i="1" s="1"/>
  <c r="R504" i="1" s="1"/>
  <c r="S504" i="1" s="1"/>
  <c r="T504" i="1" s="1"/>
  <c r="U504" i="1" s="1"/>
  <c r="V504" i="1" s="1"/>
  <c r="W504" i="1" s="1"/>
  <c r="X504" i="1" s="1"/>
  <c r="Y504" i="1" s="1"/>
  <c r="Z504" i="1" s="1"/>
  <c r="AA504" i="1" s="1"/>
  <c r="AB504" i="1" s="1"/>
  <c r="AC504" i="1" s="1"/>
  <c r="AD504" i="1" s="1"/>
  <c r="AE504" i="1" s="1"/>
  <c r="AF504" i="1" s="1"/>
  <c r="AG504" i="1" s="1"/>
  <c r="AH504" i="1" s="1"/>
  <c r="AI504" i="1" s="1"/>
  <c r="AJ504" i="1" s="1"/>
  <c r="AK504" i="1" s="1"/>
  <c r="AL504" i="1" s="1"/>
  <c r="AM504" i="1" s="1"/>
  <c r="AN504" i="1" s="1"/>
  <c r="F503" i="1"/>
  <c r="G503" i="1" s="1"/>
  <c r="H503" i="1" s="1"/>
  <c r="I503" i="1" s="1"/>
  <c r="J503" i="1" s="1"/>
  <c r="K503" i="1" s="1"/>
  <c r="L503" i="1" s="1"/>
  <c r="M503" i="1" s="1"/>
  <c r="N503" i="1" s="1"/>
  <c r="O503" i="1" s="1"/>
  <c r="P503" i="1" s="1"/>
  <c r="Q503" i="1" s="1"/>
  <c r="R503" i="1" s="1"/>
  <c r="S503" i="1" s="1"/>
  <c r="T503" i="1" s="1"/>
  <c r="U503" i="1" s="1"/>
  <c r="V503" i="1" s="1"/>
  <c r="W503" i="1" s="1"/>
  <c r="X503" i="1" s="1"/>
  <c r="Y503" i="1" s="1"/>
  <c r="Z503" i="1" s="1"/>
  <c r="AA503" i="1" s="1"/>
  <c r="AB503" i="1" s="1"/>
  <c r="AC503" i="1" s="1"/>
  <c r="AD503" i="1" s="1"/>
  <c r="AE503" i="1" s="1"/>
  <c r="AF503" i="1" s="1"/>
  <c r="AG503" i="1" s="1"/>
  <c r="AH503" i="1" s="1"/>
  <c r="AI503" i="1" s="1"/>
  <c r="AJ503" i="1" s="1"/>
  <c r="AK503" i="1" s="1"/>
  <c r="AL503" i="1" s="1"/>
  <c r="AM503" i="1" s="1"/>
  <c r="AN503" i="1" s="1"/>
  <c r="F502" i="1"/>
  <c r="G502" i="1" s="1"/>
  <c r="H502" i="1" s="1"/>
  <c r="I502" i="1" s="1"/>
  <c r="J502" i="1" s="1"/>
  <c r="K502" i="1" s="1"/>
  <c r="L502" i="1" s="1"/>
  <c r="M502" i="1" s="1"/>
  <c r="N502" i="1" s="1"/>
  <c r="O502" i="1" s="1"/>
  <c r="P502" i="1" s="1"/>
  <c r="Q502" i="1" s="1"/>
  <c r="R502" i="1" s="1"/>
  <c r="S502" i="1" s="1"/>
  <c r="T502" i="1" s="1"/>
  <c r="U502" i="1" s="1"/>
  <c r="V502" i="1" s="1"/>
  <c r="W502" i="1" s="1"/>
  <c r="X502" i="1" s="1"/>
  <c r="Y502" i="1" s="1"/>
  <c r="Z502" i="1" s="1"/>
  <c r="AA502" i="1" s="1"/>
  <c r="AB502" i="1" s="1"/>
  <c r="AC502" i="1" s="1"/>
  <c r="AD502" i="1" s="1"/>
  <c r="AE502" i="1" s="1"/>
  <c r="AF502" i="1" s="1"/>
  <c r="AG502" i="1" s="1"/>
  <c r="AH502" i="1" s="1"/>
  <c r="AI502" i="1" s="1"/>
  <c r="AJ502" i="1" s="1"/>
  <c r="AK502" i="1" s="1"/>
  <c r="AL502" i="1" s="1"/>
  <c r="AM502" i="1" s="1"/>
  <c r="AN502" i="1" s="1"/>
  <c r="F501" i="1"/>
  <c r="G501" i="1" s="1"/>
  <c r="H501" i="1" s="1"/>
  <c r="I501" i="1" s="1"/>
  <c r="J501" i="1" s="1"/>
  <c r="K501" i="1" s="1"/>
  <c r="L501" i="1" s="1"/>
  <c r="M501" i="1" s="1"/>
  <c r="N501" i="1" s="1"/>
  <c r="O501" i="1" s="1"/>
  <c r="P501" i="1" s="1"/>
  <c r="Q501" i="1" s="1"/>
  <c r="R501" i="1" s="1"/>
  <c r="S501" i="1" s="1"/>
  <c r="T501" i="1" s="1"/>
  <c r="U501" i="1" s="1"/>
  <c r="V501" i="1" s="1"/>
  <c r="W501" i="1" s="1"/>
  <c r="X501" i="1" s="1"/>
  <c r="Y501" i="1" s="1"/>
  <c r="Z501" i="1" s="1"/>
  <c r="AA501" i="1" s="1"/>
  <c r="AB501" i="1" s="1"/>
  <c r="AC501" i="1" s="1"/>
  <c r="AD501" i="1" s="1"/>
  <c r="AE501" i="1" s="1"/>
  <c r="AF501" i="1" s="1"/>
  <c r="AG501" i="1" s="1"/>
  <c r="AH501" i="1" s="1"/>
  <c r="AI501" i="1" s="1"/>
  <c r="AJ501" i="1" s="1"/>
  <c r="AK501" i="1" s="1"/>
  <c r="AL501" i="1" s="1"/>
  <c r="AM501" i="1" s="1"/>
  <c r="AN501" i="1" s="1"/>
  <c r="F500" i="1"/>
  <c r="G500" i="1" s="1"/>
  <c r="H500" i="1" s="1"/>
  <c r="I500" i="1" s="1"/>
  <c r="J500" i="1" s="1"/>
  <c r="K500" i="1" s="1"/>
  <c r="L500" i="1" s="1"/>
  <c r="M500" i="1" s="1"/>
  <c r="N500" i="1" s="1"/>
  <c r="O500" i="1" s="1"/>
  <c r="P500" i="1" s="1"/>
  <c r="Q500" i="1" s="1"/>
  <c r="R500" i="1" s="1"/>
  <c r="S500" i="1" s="1"/>
  <c r="T500" i="1" s="1"/>
  <c r="U500" i="1" s="1"/>
  <c r="V500" i="1" s="1"/>
  <c r="W500" i="1" s="1"/>
  <c r="X500" i="1" s="1"/>
  <c r="Y500" i="1" s="1"/>
  <c r="Z500" i="1" s="1"/>
  <c r="AA500" i="1" s="1"/>
  <c r="AB500" i="1" s="1"/>
  <c r="AC500" i="1" s="1"/>
  <c r="AD500" i="1" s="1"/>
  <c r="AE500" i="1" s="1"/>
  <c r="AF500" i="1" s="1"/>
  <c r="AG500" i="1" s="1"/>
  <c r="AH500" i="1" s="1"/>
  <c r="AI500" i="1" s="1"/>
  <c r="AJ500" i="1" s="1"/>
  <c r="AK500" i="1" s="1"/>
  <c r="AL500" i="1" s="1"/>
  <c r="AM500" i="1" s="1"/>
  <c r="AN500" i="1" s="1"/>
  <c r="F498" i="1"/>
  <c r="G498" i="1" s="1"/>
  <c r="H498" i="1" s="1"/>
  <c r="I498" i="1" s="1"/>
  <c r="J498" i="1" s="1"/>
  <c r="K498" i="1" s="1"/>
  <c r="L498" i="1" s="1"/>
  <c r="M498" i="1" s="1"/>
  <c r="N498" i="1" s="1"/>
  <c r="O498" i="1" s="1"/>
  <c r="P498" i="1" s="1"/>
  <c r="Q498" i="1" s="1"/>
  <c r="R498" i="1" s="1"/>
  <c r="S498" i="1" s="1"/>
  <c r="T498" i="1" s="1"/>
  <c r="U498" i="1" s="1"/>
  <c r="V498" i="1" s="1"/>
  <c r="W498" i="1" s="1"/>
  <c r="X498" i="1" s="1"/>
  <c r="Y498" i="1" s="1"/>
  <c r="Z498" i="1" s="1"/>
  <c r="AA498" i="1" s="1"/>
  <c r="AB498" i="1" s="1"/>
  <c r="AC498" i="1" s="1"/>
  <c r="AD498" i="1" s="1"/>
  <c r="AE498" i="1" s="1"/>
  <c r="AF498" i="1" s="1"/>
  <c r="AG498" i="1" s="1"/>
  <c r="AH498" i="1" s="1"/>
  <c r="AI498" i="1" s="1"/>
  <c r="AJ498" i="1" s="1"/>
  <c r="AK498" i="1" s="1"/>
  <c r="AL498" i="1" s="1"/>
  <c r="AM498" i="1" s="1"/>
  <c r="AN498" i="1" s="1"/>
  <c r="G497" i="1"/>
  <c r="H497" i="1" s="1"/>
  <c r="I497" i="1" s="1"/>
  <c r="J497" i="1" s="1"/>
  <c r="K497" i="1" s="1"/>
  <c r="L497" i="1" s="1"/>
  <c r="M497" i="1" s="1"/>
  <c r="N497" i="1" s="1"/>
  <c r="O497" i="1" s="1"/>
  <c r="P497" i="1" s="1"/>
  <c r="Q497" i="1" s="1"/>
  <c r="R497" i="1" s="1"/>
  <c r="S497" i="1" s="1"/>
  <c r="T497" i="1" s="1"/>
  <c r="U497" i="1" s="1"/>
  <c r="V497" i="1" s="1"/>
  <c r="W497" i="1" s="1"/>
  <c r="X497" i="1" s="1"/>
  <c r="Y497" i="1" s="1"/>
  <c r="Z497" i="1" s="1"/>
  <c r="AA497" i="1" s="1"/>
  <c r="AB497" i="1" s="1"/>
  <c r="AC497" i="1" s="1"/>
  <c r="AD497" i="1" s="1"/>
  <c r="AE497" i="1" s="1"/>
  <c r="AF497" i="1" s="1"/>
  <c r="AG497" i="1" s="1"/>
  <c r="AH497" i="1" s="1"/>
  <c r="AI497" i="1" s="1"/>
  <c r="AJ497" i="1" s="1"/>
  <c r="AK497" i="1" s="1"/>
  <c r="AL497" i="1" s="1"/>
  <c r="AM497" i="1" s="1"/>
  <c r="AN497" i="1" s="1"/>
  <c r="F497" i="1"/>
  <c r="F496" i="1"/>
  <c r="G496" i="1" s="1"/>
  <c r="H496" i="1" s="1"/>
  <c r="I496" i="1" s="1"/>
  <c r="J496" i="1" s="1"/>
  <c r="K496" i="1" s="1"/>
  <c r="L496" i="1" s="1"/>
  <c r="M496" i="1" s="1"/>
  <c r="N496" i="1" s="1"/>
  <c r="O496" i="1" s="1"/>
  <c r="P496" i="1" s="1"/>
  <c r="Q496" i="1" s="1"/>
  <c r="R496" i="1" s="1"/>
  <c r="S496" i="1" s="1"/>
  <c r="T496" i="1" s="1"/>
  <c r="U496" i="1" s="1"/>
  <c r="V496" i="1" s="1"/>
  <c r="W496" i="1" s="1"/>
  <c r="X496" i="1" s="1"/>
  <c r="Y496" i="1" s="1"/>
  <c r="Z496" i="1" s="1"/>
  <c r="AA496" i="1" s="1"/>
  <c r="AB496" i="1" s="1"/>
  <c r="AC496" i="1" s="1"/>
  <c r="AD496" i="1" s="1"/>
  <c r="AE496" i="1" s="1"/>
  <c r="AF496" i="1" s="1"/>
  <c r="AG496" i="1" s="1"/>
  <c r="AH496" i="1" s="1"/>
  <c r="AI496" i="1" s="1"/>
  <c r="AJ496" i="1" s="1"/>
  <c r="AK496" i="1" s="1"/>
  <c r="AL496" i="1" s="1"/>
  <c r="AM496" i="1" s="1"/>
  <c r="AN496" i="1" s="1"/>
  <c r="G495" i="1"/>
  <c r="H495" i="1" s="1"/>
  <c r="I495" i="1" s="1"/>
  <c r="J495" i="1" s="1"/>
  <c r="K495" i="1" s="1"/>
  <c r="L495" i="1" s="1"/>
  <c r="M495" i="1" s="1"/>
  <c r="N495" i="1" s="1"/>
  <c r="O495" i="1" s="1"/>
  <c r="P495" i="1" s="1"/>
  <c r="Q495" i="1" s="1"/>
  <c r="R495" i="1" s="1"/>
  <c r="S495" i="1" s="1"/>
  <c r="T495" i="1" s="1"/>
  <c r="U495" i="1" s="1"/>
  <c r="V495" i="1" s="1"/>
  <c r="W495" i="1" s="1"/>
  <c r="X495" i="1" s="1"/>
  <c r="Y495" i="1" s="1"/>
  <c r="Z495" i="1" s="1"/>
  <c r="AA495" i="1" s="1"/>
  <c r="AB495" i="1" s="1"/>
  <c r="AC495" i="1" s="1"/>
  <c r="AD495" i="1" s="1"/>
  <c r="AE495" i="1" s="1"/>
  <c r="AF495" i="1" s="1"/>
  <c r="AG495" i="1" s="1"/>
  <c r="AH495" i="1" s="1"/>
  <c r="AI495" i="1" s="1"/>
  <c r="AJ495" i="1" s="1"/>
  <c r="AK495" i="1" s="1"/>
  <c r="AL495" i="1" s="1"/>
  <c r="AM495" i="1" s="1"/>
  <c r="AN495" i="1" s="1"/>
  <c r="F495" i="1"/>
  <c r="F494" i="1"/>
  <c r="G494" i="1" s="1"/>
  <c r="H494" i="1" s="1"/>
  <c r="I494" i="1" s="1"/>
  <c r="J494" i="1" s="1"/>
  <c r="K494" i="1" s="1"/>
  <c r="L494" i="1" s="1"/>
  <c r="M494" i="1" s="1"/>
  <c r="N494" i="1" s="1"/>
  <c r="O494" i="1" s="1"/>
  <c r="P494" i="1" s="1"/>
  <c r="Q494" i="1" s="1"/>
  <c r="R494" i="1" s="1"/>
  <c r="S494" i="1" s="1"/>
  <c r="T494" i="1" s="1"/>
  <c r="U494" i="1" s="1"/>
  <c r="V494" i="1" s="1"/>
  <c r="W494" i="1" s="1"/>
  <c r="X494" i="1" s="1"/>
  <c r="Y494" i="1" s="1"/>
  <c r="Z494" i="1" s="1"/>
  <c r="AA494" i="1" s="1"/>
  <c r="AB494" i="1" s="1"/>
  <c r="AC494" i="1" s="1"/>
  <c r="AD494" i="1" s="1"/>
  <c r="AE494" i="1" s="1"/>
  <c r="AF494" i="1" s="1"/>
  <c r="AG494" i="1" s="1"/>
  <c r="AH494" i="1" s="1"/>
  <c r="AI494" i="1" s="1"/>
  <c r="AJ494" i="1" s="1"/>
  <c r="AK494" i="1" s="1"/>
  <c r="AL494" i="1" s="1"/>
  <c r="AM494" i="1" s="1"/>
  <c r="AN494" i="1" s="1"/>
  <c r="G493" i="1"/>
  <c r="H493" i="1" s="1"/>
  <c r="I493" i="1" s="1"/>
  <c r="J493" i="1" s="1"/>
  <c r="K493" i="1" s="1"/>
  <c r="L493" i="1" s="1"/>
  <c r="M493" i="1" s="1"/>
  <c r="N493" i="1" s="1"/>
  <c r="O493" i="1" s="1"/>
  <c r="P493" i="1" s="1"/>
  <c r="Q493" i="1" s="1"/>
  <c r="R493" i="1" s="1"/>
  <c r="S493" i="1" s="1"/>
  <c r="T493" i="1" s="1"/>
  <c r="U493" i="1" s="1"/>
  <c r="V493" i="1" s="1"/>
  <c r="W493" i="1" s="1"/>
  <c r="X493" i="1" s="1"/>
  <c r="Y493" i="1" s="1"/>
  <c r="Z493" i="1" s="1"/>
  <c r="AA493" i="1" s="1"/>
  <c r="AB493" i="1" s="1"/>
  <c r="AC493" i="1" s="1"/>
  <c r="AD493" i="1" s="1"/>
  <c r="AE493" i="1" s="1"/>
  <c r="AF493" i="1" s="1"/>
  <c r="AG493" i="1" s="1"/>
  <c r="AH493" i="1" s="1"/>
  <c r="AI493" i="1" s="1"/>
  <c r="AJ493" i="1" s="1"/>
  <c r="AK493" i="1" s="1"/>
  <c r="AL493" i="1" s="1"/>
  <c r="AM493" i="1" s="1"/>
  <c r="AN493" i="1" s="1"/>
  <c r="F493" i="1"/>
  <c r="F491" i="1"/>
  <c r="G491" i="1" s="1"/>
  <c r="H491" i="1" s="1"/>
  <c r="I491" i="1" s="1"/>
  <c r="J491" i="1" s="1"/>
  <c r="K491" i="1" s="1"/>
  <c r="L491" i="1" s="1"/>
  <c r="M491" i="1" s="1"/>
  <c r="N491" i="1" s="1"/>
  <c r="O491" i="1" s="1"/>
  <c r="P491" i="1" s="1"/>
  <c r="Q491" i="1" s="1"/>
  <c r="R491" i="1" s="1"/>
  <c r="S491" i="1" s="1"/>
  <c r="T491" i="1" s="1"/>
  <c r="U491" i="1" s="1"/>
  <c r="V491" i="1" s="1"/>
  <c r="W491" i="1" s="1"/>
  <c r="X491" i="1" s="1"/>
  <c r="Y491" i="1" s="1"/>
  <c r="Z491" i="1" s="1"/>
  <c r="AA491" i="1" s="1"/>
  <c r="AB491" i="1" s="1"/>
  <c r="AC491" i="1" s="1"/>
  <c r="AD491" i="1" s="1"/>
  <c r="AE491" i="1" s="1"/>
  <c r="AF491" i="1" s="1"/>
  <c r="AG491" i="1" s="1"/>
  <c r="AH491" i="1" s="1"/>
  <c r="AI491" i="1" s="1"/>
  <c r="AJ491" i="1" s="1"/>
  <c r="AK491" i="1" s="1"/>
  <c r="AL491" i="1" s="1"/>
  <c r="AM491" i="1" s="1"/>
  <c r="AN491" i="1" s="1"/>
  <c r="F490" i="1"/>
  <c r="G490" i="1" s="1"/>
  <c r="H490" i="1" s="1"/>
  <c r="I490" i="1" s="1"/>
  <c r="J490" i="1" s="1"/>
  <c r="K490" i="1" s="1"/>
  <c r="L490" i="1" s="1"/>
  <c r="M490" i="1" s="1"/>
  <c r="N490" i="1" s="1"/>
  <c r="O490" i="1" s="1"/>
  <c r="P490" i="1" s="1"/>
  <c r="Q490" i="1" s="1"/>
  <c r="R490" i="1" s="1"/>
  <c r="S490" i="1" s="1"/>
  <c r="T490" i="1" s="1"/>
  <c r="U490" i="1" s="1"/>
  <c r="V490" i="1" s="1"/>
  <c r="W490" i="1" s="1"/>
  <c r="X490" i="1" s="1"/>
  <c r="Y490" i="1" s="1"/>
  <c r="Z490" i="1" s="1"/>
  <c r="AA490" i="1" s="1"/>
  <c r="AB490" i="1" s="1"/>
  <c r="AC490" i="1" s="1"/>
  <c r="AD490" i="1" s="1"/>
  <c r="AE490" i="1" s="1"/>
  <c r="AF490" i="1" s="1"/>
  <c r="AG490" i="1" s="1"/>
  <c r="AH490" i="1" s="1"/>
  <c r="AI490" i="1" s="1"/>
  <c r="AJ490" i="1" s="1"/>
  <c r="AK490" i="1" s="1"/>
  <c r="AL490" i="1" s="1"/>
  <c r="AM490" i="1" s="1"/>
  <c r="AN490" i="1" s="1"/>
  <c r="F489" i="1"/>
  <c r="G489" i="1" s="1"/>
  <c r="H489" i="1" s="1"/>
  <c r="I489" i="1" s="1"/>
  <c r="J489" i="1" s="1"/>
  <c r="K489" i="1" s="1"/>
  <c r="L489" i="1" s="1"/>
  <c r="M489" i="1" s="1"/>
  <c r="N489" i="1" s="1"/>
  <c r="O489" i="1" s="1"/>
  <c r="P489" i="1" s="1"/>
  <c r="Q489" i="1" s="1"/>
  <c r="R489" i="1" s="1"/>
  <c r="S489" i="1" s="1"/>
  <c r="T489" i="1" s="1"/>
  <c r="U489" i="1" s="1"/>
  <c r="V489" i="1" s="1"/>
  <c r="W489" i="1" s="1"/>
  <c r="X489" i="1" s="1"/>
  <c r="Y489" i="1" s="1"/>
  <c r="Z489" i="1" s="1"/>
  <c r="AA489" i="1" s="1"/>
  <c r="AB489" i="1" s="1"/>
  <c r="AC489" i="1" s="1"/>
  <c r="AD489" i="1" s="1"/>
  <c r="AE489" i="1" s="1"/>
  <c r="AF489" i="1" s="1"/>
  <c r="AG489" i="1" s="1"/>
  <c r="AH489" i="1" s="1"/>
  <c r="AI489" i="1" s="1"/>
  <c r="AJ489" i="1" s="1"/>
  <c r="AK489" i="1" s="1"/>
  <c r="AL489" i="1" s="1"/>
  <c r="AM489" i="1" s="1"/>
  <c r="AN489" i="1" s="1"/>
  <c r="F488" i="1"/>
  <c r="G488" i="1" s="1"/>
  <c r="H488" i="1" s="1"/>
  <c r="I488" i="1" s="1"/>
  <c r="J488" i="1" s="1"/>
  <c r="K488" i="1" s="1"/>
  <c r="L488" i="1" s="1"/>
  <c r="M488" i="1" s="1"/>
  <c r="N488" i="1" s="1"/>
  <c r="O488" i="1" s="1"/>
  <c r="P488" i="1" s="1"/>
  <c r="Q488" i="1" s="1"/>
  <c r="R488" i="1" s="1"/>
  <c r="S488" i="1" s="1"/>
  <c r="T488" i="1" s="1"/>
  <c r="U488" i="1" s="1"/>
  <c r="V488" i="1" s="1"/>
  <c r="W488" i="1" s="1"/>
  <c r="X488" i="1" s="1"/>
  <c r="Y488" i="1" s="1"/>
  <c r="Z488" i="1" s="1"/>
  <c r="AA488" i="1" s="1"/>
  <c r="AB488" i="1" s="1"/>
  <c r="AC488" i="1" s="1"/>
  <c r="AD488" i="1" s="1"/>
  <c r="AE488" i="1" s="1"/>
  <c r="AF488" i="1" s="1"/>
  <c r="AG488" i="1" s="1"/>
  <c r="AH488" i="1" s="1"/>
  <c r="AI488" i="1" s="1"/>
  <c r="AJ488" i="1" s="1"/>
  <c r="AK488" i="1" s="1"/>
  <c r="AL488" i="1" s="1"/>
  <c r="AM488" i="1" s="1"/>
  <c r="AN488" i="1" s="1"/>
  <c r="F487" i="1"/>
  <c r="G487" i="1" s="1"/>
  <c r="H487" i="1" s="1"/>
  <c r="I487" i="1" s="1"/>
  <c r="J487" i="1" s="1"/>
  <c r="K487" i="1" s="1"/>
  <c r="L487" i="1" s="1"/>
  <c r="M487" i="1" s="1"/>
  <c r="N487" i="1" s="1"/>
  <c r="O487" i="1" s="1"/>
  <c r="P487" i="1" s="1"/>
  <c r="Q487" i="1" s="1"/>
  <c r="R487" i="1" s="1"/>
  <c r="S487" i="1" s="1"/>
  <c r="T487" i="1" s="1"/>
  <c r="U487" i="1" s="1"/>
  <c r="V487" i="1" s="1"/>
  <c r="W487" i="1" s="1"/>
  <c r="X487" i="1" s="1"/>
  <c r="Y487" i="1" s="1"/>
  <c r="Z487" i="1" s="1"/>
  <c r="AA487" i="1" s="1"/>
  <c r="AB487" i="1" s="1"/>
  <c r="AC487" i="1" s="1"/>
  <c r="AD487" i="1" s="1"/>
  <c r="AE487" i="1" s="1"/>
  <c r="AF487" i="1" s="1"/>
  <c r="AG487" i="1" s="1"/>
  <c r="AH487" i="1" s="1"/>
  <c r="AI487" i="1" s="1"/>
  <c r="AJ487" i="1" s="1"/>
  <c r="AK487" i="1" s="1"/>
  <c r="AL487" i="1" s="1"/>
  <c r="AM487" i="1" s="1"/>
  <c r="AN487" i="1" s="1"/>
  <c r="F486" i="1"/>
  <c r="G486" i="1" s="1"/>
  <c r="H486" i="1" s="1"/>
  <c r="I486" i="1" s="1"/>
  <c r="J486" i="1" s="1"/>
  <c r="K486" i="1" s="1"/>
  <c r="L486" i="1" s="1"/>
  <c r="M486" i="1" s="1"/>
  <c r="N486" i="1" s="1"/>
  <c r="O486" i="1" s="1"/>
  <c r="P486" i="1" s="1"/>
  <c r="Q486" i="1" s="1"/>
  <c r="R486" i="1" s="1"/>
  <c r="S486" i="1" s="1"/>
  <c r="T486" i="1" s="1"/>
  <c r="U486" i="1" s="1"/>
  <c r="V486" i="1" s="1"/>
  <c r="W486" i="1" s="1"/>
  <c r="X486" i="1" s="1"/>
  <c r="Y486" i="1" s="1"/>
  <c r="Z486" i="1" s="1"/>
  <c r="AA486" i="1" s="1"/>
  <c r="AB486" i="1" s="1"/>
  <c r="AC486" i="1" s="1"/>
  <c r="AD486" i="1" s="1"/>
  <c r="AE486" i="1" s="1"/>
  <c r="AF486" i="1" s="1"/>
  <c r="AG486" i="1" s="1"/>
  <c r="AH486" i="1" s="1"/>
  <c r="AI486" i="1" s="1"/>
  <c r="AJ486" i="1" s="1"/>
  <c r="AK486" i="1" s="1"/>
  <c r="AL486" i="1" s="1"/>
  <c r="AM486" i="1" s="1"/>
  <c r="AN486" i="1" s="1"/>
  <c r="H484" i="1"/>
  <c r="I484" i="1" s="1"/>
  <c r="J484" i="1" s="1"/>
  <c r="K484" i="1" s="1"/>
  <c r="L484" i="1" s="1"/>
  <c r="M484" i="1" s="1"/>
  <c r="N484" i="1" s="1"/>
  <c r="O484" i="1" s="1"/>
  <c r="P484" i="1" s="1"/>
  <c r="Q484" i="1" s="1"/>
  <c r="R484" i="1" s="1"/>
  <c r="S484" i="1" s="1"/>
  <c r="T484" i="1" s="1"/>
  <c r="U484" i="1" s="1"/>
  <c r="V484" i="1" s="1"/>
  <c r="W484" i="1" s="1"/>
  <c r="X484" i="1" s="1"/>
  <c r="Y484" i="1" s="1"/>
  <c r="Z484" i="1" s="1"/>
  <c r="AA484" i="1" s="1"/>
  <c r="AB484" i="1" s="1"/>
  <c r="AC484" i="1" s="1"/>
  <c r="AD484" i="1" s="1"/>
  <c r="AE484" i="1" s="1"/>
  <c r="AF484" i="1" s="1"/>
  <c r="AG484" i="1" s="1"/>
  <c r="AH484" i="1" s="1"/>
  <c r="AI484" i="1" s="1"/>
  <c r="AJ484" i="1" s="1"/>
  <c r="AK484" i="1" s="1"/>
  <c r="AL484" i="1" s="1"/>
  <c r="AM484" i="1" s="1"/>
  <c r="AN484" i="1" s="1"/>
  <c r="G484" i="1"/>
  <c r="G483" i="1"/>
  <c r="H483" i="1" s="1"/>
  <c r="I483" i="1" s="1"/>
  <c r="J483" i="1" s="1"/>
  <c r="K483" i="1" s="1"/>
  <c r="L483" i="1" s="1"/>
  <c r="M483" i="1" s="1"/>
  <c r="N483" i="1" s="1"/>
  <c r="O483" i="1" s="1"/>
  <c r="P483" i="1" s="1"/>
  <c r="Q483" i="1" s="1"/>
  <c r="R483" i="1" s="1"/>
  <c r="S483" i="1" s="1"/>
  <c r="T483" i="1" s="1"/>
  <c r="U483" i="1" s="1"/>
  <c r="V483" i="1" s="1"/>
  <c r="W483" i="1" s="1"/>
  <c r="X483" i="1" s="1"/>
  <c r="Y483" i="1" s="1"/>
  <c r="Z483" i="1" s="1"/>
  <c r="AA483" i="1" s="1"/>
  <c r="AB483" i="1" s="1"/>
  <c r="AC483" i="1" s="1"/>
  <c r="AD483" i="1" s="1"/>
  <c r="AE483" i="1" s="1"/>
  <c r="AF483" i="1" s="1"/>
  <c r="AG483" i="1" s="1"/>
  <c r="AH483" i="1" s="1"/>
  <c r="AI483" i="1" s="1"/>
  <c r="AJ483" i="1" s="1"/>
  <c r="AK483" i="1" s="1"/>
  <c r="AL483" i="1" s="1"/>
  <c r="AM483" i="1" s="1"/>
  <c r="AN483" i="1" s="1"/>
  <c r="H482" i="1"/>
  <c r="I482" i="1" s="1"/>
  <c r="J482" i="1" s="1"/>
  <c r="K482" i="1" s="1"/>
  <c r="L482" i="1" s="1"/>
  <c r="M482" i="1" s="1"/>
  <c r="N482" i="1" s="1"/>
  <c r="O482" i="1" s="1"/>
  <c r="P482" i="1" s="1"/>
  <c r="Q482" i="1" s="1"/>
  <c r="R482" i="1" s="1"/>
  <c r="S482" i="1" s="1"/>
  <c r="T482" i="1" s="1"/>
  <c r="U482" i="1" s="1"/>
  <c r="V482" i="1" s="1"/>
  <c r="W482" i="1" s="1"/>
  <c r="X482" i="1" s="1"/>
  <c r="Y482" i="1" s="1"/>
  <c r="Z482" i="1" s="1"/>
  <c r="AA482" i="1" s="1"/>
  <c r="AB482" i="1" s="1"/>
  <c r="AC482" i="1" s="1"/>
  <c r="AD482" i="1" s="1"/>
  <c r="AE482" i="1" s="1"/>
  <c r="AF482" i="1" s="1"/>
  <c r="AG482" i="1" s="1"/>
  <c r="AH482" i="1" s="1"/>
  <c r="AI482" i="1" s="1"/>
  <c r="AJ482" i="1" s="1"/>
  <c r="AK482" i="1" s="1"/>
  <c r="AL482" i="1" s="1"/>
  <c r="AM482" i="1" s="1"/>
  <c r="AN482" i="1" s="1"/>
  <c r="G482" i="1"/>
  <c r="H481" i="1"/>
  <c r="I481" i="1" s="1"/>
  <c r="J481" i="1" s="1"/>
  <c r="K481" i="1" s="1"/>
  <c r="L481" i="1" s="1"/>
  <c r="M481" i="1" s="1"/>
  <c r="N481" i="1" s="1"/>
  <c r="O481" i="1" s="1"/>
  <c r="P481" i="1" s="1"/>
  <c r="Q481" i="1" s="1"/>
  <c r="R481" i="1" s="1"/>
  <c r="S481" i="1" s="1"/>
  <c r="T481" i="1" s="1"/>
  <c r="U481" i="1" s="1"/>
  <c r="V481" i="1" s="1"/>
  <c r="W481" i="1" s="1"/>
  <c r="X481" i="1" s="1"/>
  <c r="Y481" i="1" s="1"/>
  <c r="Z481" i="1" s="1"/>
  <c r="AA481" i="1" s="1"/>
  <c r="AB481" i="1" s="1"/>
  <c r="AC481" i="1" s="1"/>
  <c r="AD481" i="1" s="1"/>
  <c r="AE481" i="1" s="1"/>
  <c r="AF481" i="1" s="1"/>
  <c r="AG481" i="1" s="1"/>
  <c r="AH481" i="1" s="1"/>
  <c r="AI481" i="1" s="1"/>
  <c r="AJ481" i="1" s="1"/>
  <c r="AK481" i="1" s="1"/>
  <c r="AL481" i="1" s="1"/>
  <c r="AM481" i="1" s="1"/>
  <c r="AN481" i="1" s="1"/>
  <c r="G481" i="1"/>
  <c r="G480" i="1"/>
  <c r="H480" i="1" s="1"/>
  <c r="I480" i="1" s="1"/>
  <c r="J480" i="1" s="1"/>
  <c r="K480" i="1" s="1"/>
  <c r="L480" i="1" s="1"/>
  <c r="M480" i="1" s="1"/>
  <c r="N480" i="1" s="1"/>
  <c r="O480" i="1" s="1"/>
  <c r="P480" i="1" s="1"/>
  <c r="Q480" i="1" s="1"/>
  <c r="R480" i="1" s="1"/>
  <c r="S480" i="1" s="1"/>
  <c r="T480" i="1" s="1"/>
  <c r="U480" i="1" s="1"/>
  <c r="V480" i="1" s="1"/>
  <c r="W480" i="1" s="1"/>
  <c r="X480" i="1" s="1"/>
  <c r="Y480" i="1" s="1"/>
  <c r="Z480" i="1" s="1"/>
  <c r="AA480" i="1" s="1"/>
  <c r="AB480" i="1" s="1"/>
  <c r="AC480" i="1" s="1"/>
  <c r="AD480" i="1" s="1"/>
  <c r="AE480" i="1" s="1"/>
  <c r="AF480" i="1" s="1"/>
  <c r="AG480" i="1" s="1"/>
  <c r="AH480" i="1" s="1"/>
  <c r="AI480" i="1" s="1"/>
  <c r="AJ480" i="1" s="1"/>
  <c r="AK480" i="1" s="1"/>
  <c r="AL480" i="1" s="1"/>
  <c r="AM480" i="1" s="1"/>
  <c r="AN480" i="1" s="1"/>
  <c r="G479" i="1"/>
  <c r="H479" i="1" s="1"/>
  <c r="I479" i="1" s="1"/>
  <c r="J479" i="1" s="1"/>
  <c r="K479" i="1" s="1"/>
  <c r="L479" i="1" s="1"/>
  <c r="M479" i="1" s="1"/>
  <c r="N479" i="1" s="1"/>
  <c r="O479" i="1" s="1"/>
  <c r="P479" i="1" s="1"/>
  <c r="Q479" i="1" s="1"/>
  <c r="R479" i="1" s="1"/>
  <c r="S479" i="1" s="1"/>
  <c r="T479" i="1" s="1"/>
  <c r="U479" i="1" s="1"/>
  <c r="V479" i="1" s="1"/>
  <c r="W479" i="1" s="1"/>
  <c r="X479" i="1" s="1"/>
  <c r="Y479" i="1" s="1"/>
  <c r="Z479" i="1" s="1"/>
  <c r="AA479" i="1" s="1"/>
  <c r="AB479" i="1" s="1"/>
  <c r="AC479" i="1" s="1"/>
  <c r="AD479" i="1" s="1"/>
  <c r="AE479" i="1" s="1"/>
  <c r="AF479" i="1" s="1"/>
  <c r="AG479" i="1" s="1"/>
  <c r="AH479" i="1" s="1"/>
  <c r="AI479" i="1" s="1"/>
  <c r="AJ479" i="1" s="1"/>
  <c r="AK479" i="1" s="1"/>
  <c r="AL479" i="1" s="1"/>
  <c r="AM479" i="1" s="1"/>
  <c r="AN479" i="1" s="1"/>
  <c r="F484" i="1"/>
  <c r="F483" i="1"/>
  <c r="F482" i="1"/>
  <c r="F481" i="1"/>
  <c r="F480" i="1"/>
  <c r="F479" i="1"/>
  <c r="F536" i="1"/>
  <c r="G536" i="1" s="1"/>
  <c r="H536" i="1" s="1"/>
  <c r="I536" i="1" s="1"/>
  <c r="J536" i="1" s="1"/>
  <c r="K536" i="1" s="1"/>
  <c r="L536" i="1" s="1"/>
  <c r="M536" i="1" s="1"/>
  <c r="N536" i="1" s="1"/>
  <c r="O536" i="1" s="1"/>
  <c r="P536" i="1" s="1"/>
  <c r="Q536" i="1" s="1"/>
  <c r="R536" i="1" s="1"/>
  <c r="S536" i="1" s="1"/>
  <c r="T536" i="1" s="1"/>
  <c r="U536" i="1" s="1"/>
  <c r="V536" i="1" s="1"/>
  <c r="W536" i="1" s="1"/>
  <c r="X536" i="1" s="1"/>
  <c r="Y536" i="1" s="1"/>
  <c r="Z536" i="1" s="1"/>
  <c r="AA536" i="1" s="1"/>
  <c r="AB536" i="1" s="1"/>
  <c r="AC536" i="1" s="1"/>
  <c r="AD536" i="1" s="1"/>
  <c r="AE536" i="1" s="1"/>
  <c r="AF536" i="1" s="1"/>
  <c r="AG536" i="1" s="1"/>
  <c r="AH536" i="1" s="1"/>
  <c r="AI536" i="1" s="1"/>
  <c r="AJ536" i="1" s="1"/>
  <c r="AK536" i="1" s="1"/>
  <c r="AL536" i="1" s="1"/>
  <c r="AM536" i="1" s="1"/>
  <c r="AN536" i="1" s="1"/>
  <c r="F535" i="1"/>
  <c r="G535" i="1" s="1"/>
  <c r="H535" i="1" s="1"/>
  <c r="I535" i="1" s="1"/>
  <c r="J535" i="1" s="1"/>
  <c r="K535" i="1" s="1"/>
  <c r="L535" i="1" s="1"/>
  <c r="M535" i="1" s="1"/>
  <c r="N535" i="1" s="1"/>
  <c r="O535" i="1" s="1"/>
  <c r="P535" i="1" s="1"/>
  <c r="Q535" i="1" s="1"/>
  <c r="R535" i="1" s="1"/>
  <c r="S535" i="1" s="1"/>
  <c r="T535" i="1" s="1"/>
  <c r="U535" i="1" s="1"/>
  <c r="V535" i="1" s="1"/>
  <c r="W535" i="1" s="1"/>
  <c r="X535" i="1" s="1"/>
  <c r="Y535" i="1" s="1"/>
  <c r="Z535" i="1" s="1"/>
  <c r="AA535" i="1" s="1"/>
  <c r="AB535" i="1" s="1"/>
  <c r="AC535" i="1" s="1"/>
  <c r="AD535" i="1" s="1"/>
  <c r="AE535" i="1" s="1"/>
  <c r="AF535" i="1" s="1"/>
  <c r="AG535" i="1" s="1"/>
  <c r="AH535" i="1" s="1"/>
  <c r="AI535" i="1" s="1"/>
  <c r="AJ535" i="1" s="1"/>
  <c r="AK535" i="1" s="1"/>
  <c r="AL535" i="1" s="1"/>
  <c r="AM535" i="1" s="1"/>
  <c r="AN535" i="1" s="1"/>
  <c r="F534" i="1"/>
  <c r="G534" i="1" s="1"/>
  <c r="H534" i="1" s="1"/>
  <c r="I534" i="1" s="1"/>
  <c r="J534" i="1" s="1"/>
  <c r="K534" i="1" s="1"/>
  <c r="L534" i="1" s="1"/>
  <c r="M534" i="1" s="1"/>
  <c r="N534" i="1" s="1"/>
  <c r="O534" i="1" s="1"/>
  <c r="P534" i="1" s="1"/>
  <c r="Q534" i="1" s="1"/>
  <c r="R534" i="1" s="1"/>
  <c r="S534" i="1" s="1"/>
  <c r="T534" i="1" s="1"/>
  <c r="U534" i="1" s="1"/>
  <c r="V534" i="1" s="1"/>
  <c r="W534" i="1" s="1"/>
  <c r="X534" i="1" s="1"/>
  <c r="Y534" i="1" s="1"/>
  <c r="Z534" i="1" s="1"/>
  <c r="AA534" i="1" s="1"/>
  <c r="AB534" i="1" s="1"/>
  <c r="AC534" i="1" s="1"/>
  <c r="AD534" i="1" s="1"/>
  <c r="AE534" i="1" s="1"/>
  <c r="AF534" i="1" s="1"/>
  <c r="AG534" i="1" s="1"/>
  <c r="AH534" i="1" s="1"/>
  <c r="AI534" i="1" s="1"/>
  <c r="AJ534" i="1" s="1"/>
  <c r="AK534" i="1" s="1"/>
  <c r="AL534" i="1" s="1"/>
  <c r="AM534" i="1" s="1"/>
  <c r="AN534" i="1" s="1"/>
  <c r="F533" i="1"/>
  <c r="G533" i="1" s="1"/>
  <c r="H533" i="1" s="1"/>
  <c r="I533" i="1" s="1"/>
  <c r="J533" i="1" s="1"/>
  <c r="K533" i="1" s="1"/>
  <c r="L533" i="1" s="1"/>
  <c r="M533" i="1" s="1"/>
  <c r="N533" i="1" s="1"/>
  <c r="O533" i="1" s="1"/>
  <c r="P533" i="1" s="1"/>
  <c r="Q533" i="1" s="1"/>
  <c r="R533" i="1" s="1"/>
  <c r="S533" i="1" s="1"/>
  <c r="T533" i="1" s="1"/>
  <c r="U533" i="1" s="1"/>
  <c r="V533" i="1" s="1"/>
  <c r="W533" i="1" s="1"/>
  <c r="X533" i="1" s="1"/>
  <c r="Y533" i="1" s="1"/>
  <c r="Z533" i="1" s="1"/>
  <c r="AA533" i="1" s="1"/>
  <c r="AB533" i="1" s="1"/>
  <c r="AC533" i="1" s="1"/>
  <c r="AD533" i="1" s="1"/>
  <c r="AE533" i="1" s="1"/>
  <c r="AF533" i="1" s="1"/>
  <c r="AG533" i="1" s="1"/>
  <c r="AH533" i="1" s="1"/>
  <c r="AI533" i="1" s="1"/>
  <c r="AJ533" i="1" s="1"/>
  <c r="AK533" i="1" s="1"/>
  <c r="AL533" i="1" s="1"/>
  <c r="AM533" i="1" s="1"/>
  <c r="AN533" i="1" s="1"/>
  <c r="F532" i="1"/>
  <c r="G532" i="1" s="1"/>
  <c r="H532" i="1" s="1"/>
  <c r="I532" i="1" s="1"/>
  <c r="J532" i="1" s="1"/>
  <c r="K532" i="1" s="1"/>
  <c r="L532" i="1" s="1"/>
  <c r="M532" i="1" s="1"/>
  <c r="N532" i="1" s="1"/>
  <c r="O532" i="1" s="1"/>
  <c r="P532" i="1" s="1"/>
  <c r="Q532" i="1" s="1"/>
  <c r="R532" i="1" s="1"/>
  <c r="S532" i="1" s="1"/>
  <c r="T532" i="1" s="1"/>
  <c r="U532" i="1" s="1"/>
  <c r="V532" i="1" s="1"/>
  <c r="W532" i="1" s="1"/>
  <c r="X532" i="1" s="1"/>
  <c r="Y532" i="1" s="1"/>
  <c r="Z532" i="1" s="1"/>
  <c r="AA532" i="1" s="1"/>
  <c r="AB532" i="1" s="1"/>
  <c r="AC532" i="1" s="1"/>
  <c r="AD532" i="1" s="1"/>
  <c r="AE532" i="1" s="1"/>
  <c r="AF532" i="1" s="1"/>
  <c r="AG532" i="1" s="1"/>
  <c r="AH532" i="1" s="1"/>
  <c r="AI532" i="1" s="1"/>
  <c r="AJ532" i="1" s="1"/>
  <c r="AK532" i="1" s="1"/>
  <c r="AL532" i="1" s="1"/>
  <c r="AM532" i="1" s="1"/>
  <c r="AN532" i="1" s="1"/>
  <c r="F531" i="1"/>
  <c r="G531" i="1" s="1"/>
  <c r="H531" i="1" s="1"/>
  <c r="I531" i="1" s="1"/>
  <c r="J531" i="1" s="1"/>
  <c r="K531" i="1" s="1"/>
  <c r="L531" i="1" s="1"/>
  <c r="M531" i="1" s="1"/>
  <c r="N531" i="1" s="1"/>
  <c r="O531" i="1" s="1"/>
  <c r="P531" i="1" s="1"/>
  <c r="Q531" i="1" s="1"/>
  <c r="R531" i="1" s="1"/>
  <c r="S531" i="1" s="1"/>
  <c r="T531" i="1" s="1"/>
  <c r="U531" i="1" s="1"/>
  <c r="V531" i="1" s="1"/>
  <c r="W531" i="1" s="1"/>
  <c r="X531" i="1" s="1"/>
  <c r="Y531" i="1" s="1"/>
  <c r="Z531" i="1" s="1"/>
  <c r="AA531" i="1" s="1"/>
  <c r="AB531" i="1" s="1"/>
  <c r="AC531" i="1" s="1"/>
  <c r="AD531" i="1" s="1"/>
  <c r="AE531" i="1" s="1"/>
  <c r="AF531" i="1" s="1"/>
  <c r="AG531" i="1" s="1"/>
  <c r="AH531" i="1" s="1"/>
  <c r="AI531" i="1" s="1"/>
  <c r="AJ531" i="1" s="1"/>
  <c r="AK531" i="1" s="1"/>
  <c r="AL531" i="1" s="1"/>
  <c r="AM531" i="1" s="1"/>
  <c r="AN531" i="1" s="1"/>
  <c r="G529" i="1"/>
  <c r="H529" i="1" s="1"/>
  <c r="I529" i="1" s="1"/>
  <c r="J529" i="1" s="1"/>
  <c r="K529" i="1" s="1"/>
  <c r="L529" i="1" s="1"/>
  <c r="M529" i="1" s="1"/>
  <c r="N529" i="1" s="1"/>
  <c r="O529" i="1" s="1"/>
  <c r="P529" i="1" s="1"/>
  <c r="Q529" i="1" s="1"/>
  <c r="R529" i="1" s="1"/>
  <c r="S529" i="1" s="1"/>
  <c r="T529" i="1" s="1"/>
  <c r="U529" i="1" s="1"/>
  <c r="V529" i="1" s="1"/>
  <c r="W529" i="1" s="1"/>
  <c r="X529" i="1" s="1"/>
  <c r="Y529" i="1" s="1"/>
  <c r="Z529" i="1" s="1"/>
  <c r="AA529" i="1" s="1"/>
  <c r="AB529" i="1" s="1"/>
  <c r="AC529" i="1" s="1"/>
  <c r="AD529" i="1" s="1"/>
  <c r="AE529" i="1" s="1"/>
  <c r="AF529" i="1" s="1"/>
  <c r="AG529" i="1" s="1"/>
  <c r="AH529" i="1" s="1"/>
  <c r="AI529" i="1" s="1"/>
  <c r="AJ529" i="1" s="1"/>
  <c r="AK529" i="1" s="1"/>
  <c r="AL529" i="1" s="1"/>
  <c r="AM529" i="1" s="1"/>
  <c r="AN529" i="1" s="1"/>
  <c r="F529" i="1"/>
  <c r="F528" i="1"/>
  <c r="G528" i="1" s="1"/>
  <c r="H528" i="1" s="1"/>
  <c r="I528" i="1" s="1"/>
  <c r="J528" i="1" s="1"/>
  <c r="K528" i="1" s="1"/>
  <c r="L528" i="1" s="1"/>
  <c r="M528" i="1" s="1"/>
  <c r="N528" i="1" s="1"/>
  <c r="O528" i="1" s="1"/>
  <c r="P528" i="1" s="1"/>
  <c r="Q528" i="1" s="1"/>
  <c r="R528" i="1" s="1"/>
  <c r="S528" i="1" s="1"/>
  <c r="T528" i="1" s="1"/>
  <c r="U528" i="1" s="1"/>
  <c r="V528" i="1" s="1"/>
  <c r="W528" i="1" s="1"/>
  <c r="X528" i="1" s="1"/>
  <c r="Y528" i="1" s="1"/>
  <c r="Z528" i="1" s="1"/>
  <c r="AA528" i="1" s="1"/>
  <c r="AB528" i="1" s="1"/>
  <c r="AC528" i="1" s="1"/>
  <c r="AD528" i="1" s="1"/>
  <c r="AE528" i="1" s="1"/>
  <c r="AF528" i="1" s="1"/>
  <c r="AG528" i="1" s="1"/>
  <c r="AH528" i="1" s="1"/>
  <c r="AI528" i="1" s="1"/>
  <c r="AJ528" i="1" s="1"/>
  <c r="AK528" i="1" s="1"/>
  <c r="AL528" i="1" s="1"/>
  <c r="AM528" i="1" s="1"/>
  <c r="AN528" i="1" s="1"/>
  <c r="G527" i="1"/>
  <c r="H527" i="1" s="1"/>
  <c r="I527" i="1" s="1"/>
  <c r="J527" i="1" s="1"/>
  <c r="K527" i="1" s="1"/>
  <c r="L527" i="1" s="1"/>
  <c r="M527" i="1" s="1"/>
  <c r="N527" i="1" s="1"/>
  <c r="O527" i="1" s="1"/>
  <c r="P527" i="1" s="1"/>
  <c r="Q527" i="1" s="1"/>
  <c r="R527" i="1" s="1"/>
  <c r="S527" i="1" s="1"/>
  <c r="T527" i="1" s="1"/>
  <c r="U527" i="1" s="1"/>
  <c r="V527" i="1" s="1"/>
  <c r="W527" i="1" s="1"/>
  <c r="X527" i="1" s="1"/>
  <c r="Y527" i="1" s="1"/>
  <c r="Z527" i="1" s="1"/>
  <c r="AA527" i="1" s="1"/>
  <c r="AB527" i="1" s="1"/>
  <c r="AC527" i="1" s="1"/>
  <c r="AD527" i="1" s="1"/>
  <c r="AE527" i="1" s="1"/>
  <c r="AF527" i="1" s="1"/>
  <c r="AG527" i="1" s="1"/>
  <c r="AH527" i="1" s="1"/>
  <c r="AI527" i="1" s="1"/>
  <c r="AJ527" i="1" s="1"/>
  <c r="AK527" i="1" s="1"/>
  <c r="AL527" i="1" s="1"/>
  <c r="AM527" i="1" s="1"/>
  <c r="AN527" i="1" s="1"/>
  <c r="F527" i="1"/>
  <c r="F526" i="1"/>
  <c r="G526" i="1" s="1"/>
  <c r="H526" i="1" s="1"/>
  <c r="I526" i="1" s="1"/>
  <c r="J526" i="1" s="1"/>
  <c r="K526" i="1" s="1"/>
  <c r="L526" i="1" s="1"/>
  <c r="M526" i="1" s="1"/>
  <c r="N526" i="1" s="1"/>
  <c r="O526" i="1" s="1"/>
  <c r="P526" i="1" s="1"/>
  <c r="Q526" i="1" s="1"/>
  <c r="R526" i="1" s="1"/>
  <c r="S526" i="1" s="1"/>
  <c r="T526" i="1" s="1"/>
  <c r="U526" i="1" s="1"/>
  <c r="V526" i="1" s="1"/>
  <c r="W526" i="1" s="1"/>
  <c r="X526" i="1" s="1"/>
  <c r="Y526" i="1" s="1"/>
  <c r="Z526" i="1" s="1"/>
  <c r="AA526" i="1" s="1"/>
  <c r="AB526" i="1" s="1"/>
  <c r="AC526" i="1" s="1"/>
  <c r="AD526" i="1" s="1"/>
  <c r="AE526" i="1" s="1"/>
  <c r="AF526" i="1" s="1"/>
  <c r="AG526" i="1" s="1"/>
  <c r="AH526" i="1" s="1"/>
  <c r="AI526" i="1" s="1"/>
  <c r="AJ526" i="1" s="1"/>
  <c r="AK526" i="1" s="1"/>
  <c r="AL526" i="1" s="1"/>
  <c r="AM526" i="1" s="1"/>
  <c r="AN526" i="1" s="1"/>
  <c r="G525" i="1"/>
  <c r="H525" i="1" s="1"/>
  <c r="I525" i="1" s="1"/>
  <c r="J525" i="1" s="1"/>
  <c r="K525" i="1" s="1"/>
  <c r="L525" i="1" s="1"/>
  <c r="M525" i="1" s="1"/>
  <c r="N525" i="1" s="1"/>
  <c r="O525" i="1" s="1"/>
  <c r="P525" i="1" s="1"/>
  <c r="Q525" i="1" s="1"/>
  <c r="R525" i="1" s="1"/>
  <c r="S525" i="1" s="1"/>
  <c r="T525" i="1" s="1"/>
  <c r="U525" i="1" s="1"/>
  <c r="V525" i="1" s="1"/>
  <c r="W525" i="1" s="1"/>
  <c r="X525" i="1" s="1"/>
  <c r="Y525" i="1" s="1"/>
  <c r="Z525" i="1" s="1"/>
  <c r="AA525" i="1" s="1"/>
  <c r="AB525" i="1" s="1"/>
  <c r="AC525" i="1" s="1"/>
  <c r="AD525" i="1" s="1"/>
  <c r="AE525" i="1" s="1"/>
  <c r="AF525" i="1" s="1"/>
  <c r="AG525" i="1" s="1"/>
  <c r="AH525" i="1" s="1"/>
  <c r="AI525" i="1" s="1"/>
  <c r="AJ525" i="1" s="1"/>
  <c r="AK525" i="1" s="1"/>
  <c r="AL525" i="1" s="1"/>
  <c r="AM525" i="1" s="1"/>
  <c r="AN525" i="1" s="1"/>
  <c r="F525" i="1"/>
  <c r="F524" i="1"/>
  <c r="G524" i="1" s="1"/>
  <c r="H524" i="1" s="1"/>
  <c r="I524" i="1" s="1"/>
  <c r="J524" i="1" s="1"/>
  <c r="K524" i="1" s="1"/>
  <c r="L524" i="1" s="1"/>
  <c r="M524" i="1" s="1"/>
  <c r="N524" i="1" s="1"/>
  <c r="O524" i="1" s="1"/>
  <c r="P524" i="1" s="1"/>
  <c r="Q524" i="1" s="1"/>
  <c r="R524" i="1" s="1"/>
  <c r="S524" i="1" s="1"/>
  <c r="T524" i="1" s="1"/>
  <c r="U524" i="1" s="1"/>
  <c r="V524" i="1" s="1"/>
  <c r="W524" i="1" s="1"/>
  <c r="X524" i="1" s="1"/>
  <c r="Y524" i="1" s="1"/>
  <c r="Z524" i="1" s="1"/>
  <c r="AA524" i="1" s="1"/>
  <c r="AB524" i="1" s="1"/>
  <c r="AC524" i="1" s="1"/>
  <c r="AD524" i="1" s="1"/>
  <c r="AE524" i="1" s="1"/>
  <c r="AF524" i="1" s="1"/>
  <c r="AG524" i="1" s="1"/>
  <c r="AH524" i="1" s="1"/>
  <c r="AI524" i="1" s="1"/>
  <c r="AJ524" i="1" s="1"/>
  <c r="AK524" i="1" s="1"/>
  <c r="AL524" i="1" s="1"/>
  <c r="AM524" i="1" s="1"/>
  <c r="AN524" i="1" s="1"/>
  <c r="H522" i="1"/>
  <c r="I522" i="1" s="1"/>
  <c r="J522" i="1" s="1"/>
  <c r="K522" i="1" s="1"/>
  <c r="L522" i="1" s="1"/>
  <c r="M522" i="1" s="1"/>
  <c r="N522" i="1" s="1"/>
  <c r="O522" i="1" s="1"/>
  <c r="P522" i="1" s="1"/>
  <c r="Q522" i="1" s="1"/>
  <c r="R522" i="1" s="1"/>
  <c r="S522" i="1" s="1"/>
  <c r="T522" i="1" s="1"/>
  <c r="U522" i="1" s="1"/>
  <c r="V522" i="1" s="1"/>
  <c r="W522" i="1" s="1"/>
  <c r="X522" i="1" s="1"/>
  <c r="Y522" i="1" s="1"/>
  <c r="Z522" i="1" s="1"/>
  <c r="AA522" i="1" s="1"/>
  <c r="AB522" i="1" s="1"/>
  <c r="AC522" i="1" s="1"/>
  <c r="AD522" i="1" s="1"/>
  <c r="AE522" i="1" s="1"/>
  <c r="AF522" i="1" s="1"/>
  <c r="AG522" i="1" s="1"/>
  <c r="AH522" i="1" s="1"/>
  <c r="AI522" i="1" s="1"/>
  <c r="AJ522" i="1" s="1"/>
  <c r="AK522" i="1" s="1"/>
  <c r="AL522" i="1" s="1"/>
  <c r="AM522" i="1" s="1"/>
  <c r="AN522" i="1" s="1"/>
  <c r="G522" i="1"/>
  <c r="F522" i="1"/>
  <c r="F521" i="1"/>
  <c r="G521" i="1" s="1"/>
  <c r="H521" i="1" s="1"/>
  <c r="I521" i="1" s="1"/>
  <c r="J521" i="1" s="1"/>
  <c r="K521" i="1" s="1"/>
  <c r="L521" i="1" s="1"/>
  <c r="M521" i="1" s="1"/>
  <c r="N521" i="1" s="1"/>
  <c r="O521" i="1" s="1"/>
  <c r="P521" i="1" s="1"/>
  <c r="Q521" i="1" s="1"/>
  <c r="R521" i="1" s="1"/>
  <c r="S521" i="1" s="1"/>
  <c r="T521" i="1" s="1"/>
  <c r="U521" i="1" s="1"/>
  <c r="V521" i="1" s="1"/>
  <c r="W521" i="1" s="1"/>
  <c r="X521" i="1" s="1"/>
  <c r="Y521" i="1" s="1"/>
  <c r="Z521" i="1" s="1"/>
  <c r="AA521" i="1" s="1"/>
  <c r="AB521" i="1" s="1"/>
  <c r="AC521" i="1" s="1"/>
  <c r="AD521" i="1" s="1"/>
  <c r="AE521" i="1" s="1"/>
  <c r="AF521" i="1" s="1"/>
  <c r="AG521" i="1" s="1"/>
  <c r="AH521" i="1" s="1"/>
  <c r="AI521" i="1" s="1"/>
  <c r="AJ521" i="1" s="1"/>
  <c r="AK521" i="1" s="1"/>
  <c r="AL521" i="1" s="1"/>
  <c r="AM521" i="1" s="1"/>
  <c r="AN521" i="1" s="1"/>
  <c r="H520" i="1"/>
  <c r="I520" i="1" s="1"/>
  <c r="J520" i="1" s="1"/>
  <c r="K520" i="1" s="1"/>
  <c r="L520" i="1" s="1"/>
  <c r="M520" i="1" s="1"/>
  <c r="N520" i="1" s="1"/>
  <c r="O520" i="1" s="1"/>
  <c r="P520" i="1" s="1"/>
  <c r="Q520" i="1" s="1"/>
  <c r="R520" i="1" s="1"/>
  <c r="S520" i="1" s="1"/>
  <c r="T520" i="1" s="1"/>
  <c r="U520" i="1" s="1"/>
  <c r="V520" i="1" s="1"/>
  <c r="W520" i="1" s="1"/>
  <c r="X520" i="1" s="1"/>
  <c r="Y520" i="1" s="1"/>
  <c r="Z520" i="1" s="1"/>
  <c r="AA520" i="1" s="1"/>
  <c r="AB520" i="1" s="1"/>
  <c r="AC520" i="1" s="1"/>
  <c r="AD520" i="1" s="1"/>
  <c r="AE520" i="1" s="1"/>
  <c r="AF520" i="1" s="1"/>
  <c r="AG520" i="1" s="1"/>
  <c r="AH520" i="1" s="1"/>
  <c r="AI520" i="1" s="1"/>
  <c r="AJ520" i="1" s="1"/>
  <c r="AK520" i="1" s="1"/>
  <c r="AL520" i="1" s="1"/>
  <c r="AM520" i="1" s="1"/>
  <c r="AN520" i="1" s="1"/>
  <c r="G520" i="1"/>
  <c r="F520" i="1"/>
  <c r="F519" i="1"/>
  <c r="G519" i="1" s="1"/>
  <c r="H519" i="1" s="1"/>
  <c r="I519" i="1" s="1"/>
  <c r="J519" i="1" s="1"/>
  <c r="K519" i="1" s="1"/>
  <c r="L519" i="1" s="1"/>
  <c r="M519" i="1" s="1"/>
  <c r="N519" i="1" s="1"/>
  <c r="O519" i="1" s="1"/>
  <c r="P519" i="1" s="1"/>
  <c r="Q519" i="1" s="1"/>
  <c r="R519" i="1" s="1"/>
  <c r="S519" i="1" s="1"/>
  <c r="T519" i="1" s="1"/>
  <c r="U519" i="1" s="1"/>
  <c r="V519" i="1" s="1"/>
  <c r="W519" i="1" s="1"/>
  <c r="X519" i="1" s="1"/>
  <c r="Y519" i="1" s="1"/>
  <c r="Z519" i="1" s="1"/>
  <c r="AA519" i="1" s="1"/>
  <c r="AB519" i="1" s="1"/>
  <c r="AC519" i="1" s="1"/>
  <c r="AD519" i="1" s="1"/>
  <c r="AE519" i="1" s="1"/>
  <c r="AF519" i="1" s="1"/>
  <c r="AG519" i="1" s="1"/>
  <c r="AH519" i="1" s="1"/>
  <c r="AI519" i="1" s="1"/>
  <c r="AJ519" i="1" s="1"/>
  <c r="AK519" i="1" s="1"/>
  <c r="AL519" i="1" s="1"/>
  <c r="AM519" i="1" s="1"/>
  <c r="AN519" i="1" s="1"/>
  <c r="H518" i="1"/>
  <c r="I518" i="1" s="1"/>
  <c r="J518" i="1" s="1"/>
  <c r="K518" i="1" s="1"/>
  <c r="L518" i="1" s="1"/>
  <c r="M518" i="1" s="1"/>
  <c r="N518" i="1" s="1"/>
  <c r="O518" i="1" s="1"/>
  <c r="P518" i="1" s="1"/>
  <c r="Q518" i="1" s="1"/>
  <c r="R518" i="1" s="1"/>
  <c r="S518" i="1" s="1"/>
  <c r="T518" i="1" s="1"/>
  <c r="U518" i="1" s="1"/>
  <c r="V518" i="1" s="1"/>
  <c r="W518" i="1" s="1"/>
  <c r="X518" i="1" s="1"/>
  <c r="Y518" i="1" s="1"/>
  <c r="Z518" i="1" s="1"/>
  <c r="AA518" i="1" s="1"/>
  <c r="AB518" i="1" s="1"/>
  <c r="AC518" i="1" s="1"/>
  <c r="AD518" i="1" s="1"/>
  <c r="AE518" i="1" s="1"/>
  <c r="AF518" i="1" s="1"/>
  <c r="AG518" i="1" s="1"/>
  <c r="AH518" i="1" s="1"/>
  <c r="AI518" i="1" s="1"/>
  <c r="AJ518" i="1" s="1"/>
  <c r="AK518" i="1" s="1"/>
  <c r="AL518" i="1" s="1"/>
  <c r="AM518" i="1" s="1"/>
  <c r="AN518" i="1" s="1"/>
  <c r="G518" i="1"/>
  <c r="F518" i="1"/>
  <c r="F517" i="1"/>
  <c r="G517" i="1" s="1"/>
  <c r="H517" i="1" s="1"/>
  <c r="I517" i="1" s="1"/>
  <c r="J517" i="1" s="1"/>
  <c r="K517" i="1" s="1"/>
  <c r="L517" i="1" s="1"/>
  <c r="M517" i="1" s="1"/>
  <c r="N517" i="1" s="1"/>
  <c r="O517" i="1" s="1"/>
  <c r="P517" i="1" s="1"/>
  <c r="Q517" i="1" s="1"/>
  <c r="R517" i="1" s="1"/>
  <c r="S517" i="1" s="1"/>
  <c r="T517" i="1" s="1"/>
  <c r="U517" i="1" s="1"/>
  <c r="V517" i="1" s="1"/>
  <c r="W517" i="1" s="1"/>
  <c r="X517" i="1" s="1"/>
  <c r="Y517" i="1" s="1"/>
  <c r="Z517" i="1" s="1"/>
  <c r="AA517" i="1" s="1"/>
  <c r="AB517" i="1" s="1"/>
  <c r="AC517" i="1" s="1"/>
  <c r="AD517" i="1" s="1"/>
  <c r="AE517" i="1" s="1"/>
  <c r="AF517" i="1" s="1"/>
  <c r="AG517" i="1" s="1"/>
  <c r="AH517" i="1" s="1"/>
  <c r="AI517" i="1" s="1"/>
  <c r="AJ517" i="1" s="1"/>
  <c r="AK517" i="1" s="1"/>
  <c r="AL517" i="1" s="1"/>
  <c r="AM517" i="1" s="1"/>
  <c r="AN517" i="1" s="1"/>
  <c r="G515" i="1"/>
  <c r="H515" i="1" s="1"/>
  <c r="I515" i="1" s="1"/>
  <c r="J515" i="1" s="1"/>
  <c r="K515" i="1" s="1"/>
  <c r="L515" i="1" s="1"/>
  <c r="M515" i="1" s="1"/>
  <c r="N515" i="1" s="1"/>
  <c r="O515" i="1" s="1"/>
  <c r="P515" i="1" s="1"/>
  <c r="Q515" i="1" s="1"/>
  <c r="R515" i="1" s="1"/>
  <c r="S515" i="1" s="1"/>
  <c r="T515" i="1" s="1"/>
  <c r="U515" i="1" s="1"/>
  <c r="V515" i="1" s="1"/>
  <c r="W515" i="1" s="1"/>
  <c r="X515" i="1" s="1"/>
  <c r="Y515" i="1" s="1"/>
  <c r="Z515" i="1" s="1"/>
  <c r="AA515" i="1" s="1"/>
  <c r="AB515" i="1" s="1"/>
  <c r="AC515" i="1" s="1"/>
  <c r="AD515" i="1" s="1"/>
  <c r="AE515" i="1" s="1"/>
  <c r="AF515" i="1" s="1"/>
  <c r="AG515" i="1" s="1"/>
  <c r="AH515" i="1" s="1"/>
  <c r="AI515" i="1" s="1"/>
  <c r="AJ515" i="1" s="1"/>
  <c r="AK515" i="1" s="1"/>
  <c r="AL515" i="1" s="1"/>
  <c r="AM515" i="1" s="1"/>
  <c r="AN515" i="1" s="1"/>
  <c r="G514" i="1"/>
  <c r="H514" i="1" s="1"/>
  <c r="I514" i="1" s="1"/>
  <c r="J514" i="1" s="1"/>
  <c r="K514" i="1" s="1"/>
  <c r="L514" i="1" s="1"/>
  <c r="M514" i="1" s="1"/>
  <c r="N514" i="1" s="1"/>
  <c r="O514" i="1" s="1"/>
  <c r="P514" i="1" s="1"/>
  <c r="Q514" i="1" s="1"/>
  <c r="R514" i="1" s="1"/>
  <c r="S514" i="1" s="1"/>
  <c r="T514" i="1" s="1"/>
  <c r="U514" i="1" s="1"/>
  <c r="V514" i="1" s="1"/>
  <c r="W514" i="1" s="1"/>
  <c r="X514" i="1" s="1"/>
  <c r="Y514" i="1" s="1"/>
  <c r="Z514" i="1" s="1"/>
  <c r="AA514" i="1" s="1"/>
  <c r="AB514" i="1" s="1"/>
  <c r="AC514" i="1" s="1"/>
  <c r="AD514" i="1" s="1"/>
  <c r="AE514" i="1" s="1"/>
  <c r="AF514" i="1" s="1"/>
  <c r="AG514" i="1" s="1"/>
  <c r="AH514" i="1" s="1"/>
  <c r="AI514" i="1" s="1"/>
  <c r="AJ514" i="1" s="1"/>
  <c r="AK514" i="1" s="1"/>
  <c r="AL514" i="1" s="1"/>
  <c r="AM514" i="1" s="1"/>
  <c r="AN514" i="1" s="1"/>
  <c r="G513" i="1"/>
  <c r="H513" i="1" s="1"/>
  <c r="I513" i="1" s="1"/>
  <c r="J513" i="1" s="1"/>
  <c r="K513" i="1" s="1"/>
  <c r="L513" i="1" s="1"/>
  <c r="M513" i="1" s="1"/>
  <c r="N513" i="1" s="1"/>
  <c r="O513" i="1" s="1"/>
  <c r="P513" i="1" s="1"/>
  <c r="Q513" i="1" s="1"/>
  <c r="R513" i="1" s="1"/>
  <c r="S513" i="1" s="1"/>
  <c r="T513" i="1" s="1"/>
  <c r="U513" i="1" s="1"/>
  <c r="V513" i="1" s="1"/>
  <c r="W513" i="1" s="1"/>
  <c r="X513" i="1" s="1"/>
  <c r="Y513" i="1" s="1"/>
  <c r="Z513" i="1" s="1"/>
  <c r="AA513" i="1" s="1"/>
  <c r="AB513" i="1" s="1"/>
  <c r="AC513" i="1" s="1"/>
  <c r="AD513" i="1" s="1"/>
  <c r="AE513" i="1" s="1"/>
  <c r="AF513" i="1" s="1"/>
  <c r="AG513" i="1" s="1"/>
  <c r="AH513" i="1" s="1"/>
  <c r="AI513" i="1" s="1"/>
  <c r="AJ513" i="1" s="1"/>
  <c r="AK513" i="1" s="1"/>
  <c r="AL513" i="1" s="1"/>
  <c r="AM513" i="1" s="1"/>
  <c r="AN513" i="1" s="1"/>
  <c r="H512" i="1"/>
  <c r="I512" i="1" s="1"/>
  <c r="J512" i="1" s="1"/>
  <c r="K512" i="1" s="1"/>
  <c r="L512" i="1" s="1"/>
  <c r="M512" i="1" s="1"/>
  <c r="N512" i="1" s="1"/>
  <c r="O512" i="1" s="1"/>
  <c r="P512" i="1" s="1"/>
  <c r="Q512" i="1" s="1"/>
  <c r="R512" i="1" s="1"/>
  <c r="S512" i="1" s="1"/>
  <c r="T512" i="1" s="1"/>
  <c r="U512" i="1" s="1"/>
  <c r="V512" i="1" s="1"/>
  <c r="W512" i="1" s="1"/>
  <c r="X512" i="1" s="1"/>
  <c r="Y512" i="1" s="1"/>
  <c r="Z512" i="1" s="1"/>
  <c r="AA512" i="1" s="1"/>
  <c r="AB512" i="1" s="1"/>
  <c r="AC512" i="1" s="1"/>
  <c r="AD512" i="1" s="1"/>
  <c r="AE512" i="1" s="1"/>
  <c r="AF512" i="1" s="1"/>
  <c r="AG512" i="1" s="1"/>
  <c r="AH512" i="1" s="1"/>
  <c r="AI512" i="1" s="1"/>
  <c r="AJ512" i="1" s="1"/>
  <c r="AK512" i="1" s="1"/>
  <c r="AL512" i="1" s="1"/>
  <c r="AM512" i="1" s="1"/>
  <c r="AN512" i="1" s="1"/>
  <c r="G512" i="1"/>
  <c r="G511" i="1"/>
  <c r="H511" i="1" s="1"/>
  <c r="I511" i="1" s="1"/>
  <c r="J511" i="1" s="1"/>
  <c r="K511" i="1" s="1"/>
  <c r="L511" i="1" s="1"/>
  <c r="M511" i="1" s="1"/>
  <c r="N511" i="1" s="1"/>
  <c r="O511" i="1" s="1"/>
  <c r="P511" i="1" s="1"/>
  <c r="Q511" i="1" s="1"/>
  <c r="R511" i="1" s="1"/>
  <c r="S511" i="1" s="1"/>
  <c r="T511" i="1" s="1"/>
  <c r="U511" i="1" s="1"/>
  <c r="V511" i="1" s="1"/>
  <c r="W511" i="1" s="1"/>
  <c r="X511" i="1" s="1"/>
  <c r="Y511" i="1" s="1"/>
  <c r="Z511" i="1" s="1"/>
  <c r="AA511" i="1" s="1"/>
  <c r="AB511" i="1" s="1"/>
  <c r="AC511" i="1" s="1"/>
  <c r="AD511" i="1" s="1"/>
  <c r="AE511" i="1" s="1"/>
  <c r="AF511" i="1" s="1"/>
  <c r="AG511" i="1" s="1"/>
  <c r="AH511" i="1" s="1"/>
  <c r="AI511" i="1" s="1"/>
  <c r="AJ511" i="1" s="1"/>
  <c r="AK511" i="1" s="1"/>
  <c r="AL511" i="1" s="1"/>
  <c r="AM511" i="1" s="1"/>
  <c r="AN511" i="1" s="1"/>
  <c r="G510" i="1"/>
  <c r="H510" i="1" s="1"/>
  <c r="I510" i="1" s="1"/>
  <c r="J510" i="1" s="1"/>
  <c r="K510" i="1" s="1"/>
  <c r="L510" i="1" s="1"/>
  <c r="M510" i="1" s="1"/>
  <c r="N510" i="1" s="1"/>
  <c r="O510" i="1" s="1"/>
  <c r="P510" i="1" s="1"/>
  <c r="Q510" i="1" s="1"/>
  <c r="R510" i="1" s="1"/>
  <c r="S510" i="1" s="1"/>
  <c r="T510" i="1" s="1"/>
  <c r="U510" i="1" s="1"/>
  <c r="V510" i="1" s="1"/>
  <c r="W510" i="1" s="1"/>
  <c r="X510" i="1" s="1"/>
  <c r="Y510" i="1" s="1"/>
  <c r="Z510" i="1" s="1"/>
  <c r="AA510" i="1" s="1"/>
  <c r="AB510" i="1" s="1"/>
  <c r="AC510" i="1" s="1"/>
  <c r="AD510" i="1" s="1"/>
  <c r="AE510" i="1" s="1"/>
  <c r="AF510" i="1" s="1"/>
  <c r="AG510" i="1" s="1"/>
  <c r="AH510" i="1" s="1"/>
  <c r="AI510" i="1" s="1"/>
  <c r="AJ510" i="1" s="1"/>
  <c r="AK510" i="1" s="1"/>
  <c r="AL510" i="1" s="1"/>
  <c r="AM510" i="1" s="1"/>
  <c r="AN510" i="1" s="1"/>
  <c r="F515" i="1"/>
  <c r="F514" i="1"/>
  <c r="F513" i="1"/>
  <c r="F512" i="1"/>
  <c r="F511" i="1"/>
  <c r="F510" i="1"/>
  <c r="G567" i="1"/>
  <c r="H567" i="1" s="1"/>
  <c r="I567" i="1" s="1"/>
  <c r="J567" i="1" s="1"/>
  <c r="K567" i="1" s="1"/>
  <c r="L567" i="1" s="1"/>
  <c r="M567" i="1" s="1"/>
  <c r="N567" i="1" s="1"/>
  <c r="O567" i="1" s="1"/>
  <c r="P567" i="1" s="1"/>
  <c r="Q567" i="1" s="1"/>
  <c r="R567" i="1" s="1"/>
  <c r="S567" i="1" s="1"/>
  <c r="T567" i="1" s="1"/>
  <c r="U567" i="1" s="1"/>
  <c r="V567" i="1" s="1"/>
  <c r="W567" i="1" s="1"/>
  <c r="X567" i="1" s="1"/>
  <c r="Y567" i="1" s="1"/>
  <c r="Z567" i="1" s="1"/>
  <c r="AA567" i="1" s="1"/>
  <c r="AB567" i="1" s="1"/>
  <c r="AC567" i="1" s="1"/>
  <c r="AD567" i="1" s="1"/>
  <c r="AE567" i="1" s="1"/>
  <c r="AF567" i="1" s="1"/>
  <c r="AG567" i="1" s="1"/>
  <c r="AH567" i="1" s="1"/>
  <c r="AI567" i="1" s="1"/>
  <c r="AJ567" i="1" s="1"/>
  <c r="AK567" i="1" s="1"/>
  <c r="AL567" i="1" s="1"/>
  <c r="AM567" i="1" s="1"/>
  <c r="AN567" i="1" s="1"/>
  <c r="F567" i="1"/>
  <c r="F566" i="1"/>
  <c r="G566" i="1" s="1"/>
  <c r="H566" i="1" s="1"/>
  <c r="I566" i="1" s="1"/>
  <c r="J566" i="1" s="1"/>
  <c r="K566" i="1" s="1"/>
  <c r="L566" i="1" s="1"/>
  <c r="M566" i="1" s="1"/>
  <c r="N566" i="1" s="1"/>
  <c r="O566" i="1" s="1"/>
  <c r="P566" i="1" s="1"/>
  <c r="Q566" i="1" s="1"/>
  <c r="R566" i="1" s="1"/>
  <c r="S566" i="1" s="1"/>
  <c r="T566" i="1" s="1"/>
  <c r="U566" i="1" s="1"/>
  <c r="V566" i="1" s="1"/>
  <c r="W566" i="1" s="1"/>
  <c r="X566" i="1" s="1"/>
  <c r="Y566" i="1" s="1"/>
  <c r="Z566" i="1" s="1"/>
  <c r="AA566" i="1" s="1"/>
  <c r="AB566" i="1" s="1"/>
  <c r="AC566" i="1" s="1"/>
  <c r="AD566" i="1" s="1"/>
  <c r="AE566" i="1" s="1"/>
  <c r="AF566" i="1" s="1"/>
  <c r="AG566" i="1" s="1"/>
  <c r="AH566" i="1" s="1"/>
  <c r="AI566" i="1" s="1"/>
  <c r="AJ566" i="1" s="1"/>
  <c r="AK566" i="1" s="1"/>
  <c r="AL566" i="1" s="1"/>
  <c r="AM566" i="1" s="1"/>
  <c r="AN566" i="1" s="1"/>
  <c r="G565" i="1"/>
  <c r="H565" i="1" s="1"/>
  <c r="I565" i="1" s="1"/>
  <c r="J565" i="1" s="1"/>
  <c r="K565" i="1" s="1"/>
  <c r="L565" i="1" s="1"/>
  <c r="M565" i="1" s="1"/>
  <c r="N565" i="1" s="1"/>
  <c r="O565" i="1" s="1"/>
  <c r="P565" i="1" s="1"/>
  <c r="Q565" i="1" s="1"/>
  <c r="R565" i="1" s="1"/>
  <c r="S565" i="1" s="1"/>
  <c r="T565" i="1" s="1"/>
  <c r="U565" i="1" s="1"/>
  <c r="V565" i="1" s="1"/>
  <c r="W565" i="1" s="1"/>
  <c r="X565" i="1" s="1"/>
  <c r="Y565" i="1" s="1"/>
  <c r="Z565" i="1" s="1"/>
  <c r="AA565" i="1" s="1"/>
  <c r="AB565" i="1" s="1"/>
  <c r="AC565" i="1" s="1"/>
  <c r="AD565" i="1" s="1"/>
  <c r="AE565" i="1" s="1"/>
  <c r="AF565" i="1" s="1"/>
  <c r="AG565" i="1" s="1"/>
  <c r="AH565" i="1" s="1"/>
  <c r="AI565" i="1" s="1"/>
  <c r="AJ565" i="1" s="1"/>
  <c r="AK565" i="1" s="1"/>
  <c r="AL565" i="1" s="1"/>
  <c r="AM565" i="1" s="1"/>
  <c r="AN565" i="1" s="1"/>
  <c r="F565" i="1"/>
  <c r="F564" i="1"/>
  <c r="G564" i="1" s="1"/>
  <c r="H564" i="1" s="1"/>
  <c r="I564" i="1" s="1"/>
  <c r="J564" i="1" s="1"/>
  <c r="K564" i="1" s="1"/>
  <c r="L564" i="1" s="1"/>
  <c r="M564" i="1" s="1"/>
  <c r="N564" i="1" s="1"/>
  <c r="O564" i="1" s="1"/>
  <c r="P564" i="1" s="1"/>
  <c r="Q564" i="1" s="1"/>
  <c r="R564" i="1" s="1"/>
  <c r="S564" i="1" s="1"/>
  <c r="T564" i="1" s="1"/>
  <c r="U564" i="1" s="1"/>
  <c r="V564" i="1" s="1"/>
  <c r="W564" i="1" s="1"/>
  <c r="X564" i="1" s="1"/>
  <c r="Y564" i="1" s="1"/>
  <c r="Z564" i="1" s="1"/>
  <c r="AA564" i="1" s="1"/>
  <c r="AB564" i="1" s="1"/>
  <c r="AC564" i="1" s="1"/>
  <c r="AD564" i="1" s="1"/>
  <c r="AE564" i="1" s="1"/>
  <c r="AF564" i="1" s="1"/>
  <c r="AG564" i="1" s="1"/>
  <c r="AH564" i="1" s="1"/>
  <c r="AI564" i="1" s="1"/>
  <c r="AJ564" i="1" s="1"/>
  <c r="AK564" i="1" s="1"/>
  <c r="AL564" i="1" s="1"/>
  <c r="AM564" i="1" s="1"/>
  <c r="AN564" i="1" s="1"/>
  <c r="G563" i="1"/>
  <c r="H563" i="1" s="1"/>
  <c r="I563" i="1" s="1"/>
  <c r="J563" i="1" s="1"/>
  <c r="K563" i="1" s="1"/>
  <c r="L563" i="1" s="1"/>
  <c r="M563" i="1" s="1"/>
  <c r="N563" i="1" s="1"/>
  <c r="O563" i="1" s="1"/>
  <c r="P563" i="1" s="1"/>
  <c r="Q563" i="1" s="1"/>
  <c r="R563" i="1" s="1"/>
  <c r="S563" i="1" s="1"/>
  <c r="T563" i="1" s="1"/>
  <c r="U563" i="1" s="1"/>
  <c r="V563" i="1" s="1"/>
  <c r="W563" i="1" s="1"/>
  <c r="X563" i="1" s="1"/>
  <c r="Y563" i="1" s="1"/>
  <c r="Z563" i="1" s="1"/>
  <c r="AA563" i="1" s="1"/>
  <c r="AB563" i="1" s="1"/>
  <c r="AC563" i="1" s="1"/>
  <c r="AD563" i="1" s="1"/>
  <c r="AE563" i="1" s="1"/>
  <c r="AF563" i="1" s="1"/>
  <c r="AG563" i="1" s="1"/>
  <c r="AH563" i="1" s="1"/>
  <c r="AI563" i="1" s="1"/>
  <c r="AJ563" i="1" s="1"/>
  <c r="AK563" i="1" s="1"/>
  <c r="AL563" i="1" s="1"/>
  <c r="AM563" i="1" s="1"/>
  <c r="AN563" i="1" s="1"/>
  <c r="F563" i="1"/>
  <c r="F562" i="1"/>
  <c r="G562" i="1" s="1"/>
  <c r="H562" i="1" s="1"/>
  <c r="I562" i="1" s="1"/>
  <c r="J562" i="1" s="1"/>
  <c r="K562" i="1" s="1"/>
  <c r="L562" i="1" s="1"/>
  <c r="M562" i="1" s="1"/>
  <c r="N562" i="1" s="1"/>
  <c r="O562" i="1" s="1"/>
  <c r="P562" i="1" s="1"/>
  <c r="Q562" i="1" s="1"/>
  <c r="R562" i="1" s="1"/>
  <c r="S562" i="1" s="1"/>
  <c r="T562" i="1" s="1"/>
  <c r="U562" i="1" s="1"/>
  <c r="V562" i="1" s="1"/>
  <c r="W562" i="1" s="1"/>
  <c r="X562" i="1" s="1"/>
  <c r="Y562" i="1" s="1"/>
  <c r="Z562" i="1" s="1"/>
  <c r="AA562" i="1" s="1"/>
  <c r="AB562" i="1" s="1"/>
  <c r="AC562" i="1" s="1"/>
  <c r="AD562" i="1" s="1"/>
  <c r="AE562" i="1" s="1"/>
  <c r="AF562" i="1" s="1"/>
  <c r="AG562" i="1" s="1"/>
  <c r="AH562" i="1" s="1"/>
  <c r="AI562" i="1" s="1"/>
  <c r="AJ562" i="1" s="1"/>
  <c r="AK562" i="1" s="1"/>
  <c r="AL562" i="1" s="1"/>
  <c r="AM562" i="1" s="1"/>
  <c r="AN562" i="1" s="1"/>
  <c r="G560" i="1"/>
  <c r="H560" i="1" s="1"/>
  <c r="I560" i="1" s="1"/>
  <c r="J560" i="1" s="1"/>
  <c r="K560" i="1" s="1"/>
  <c r="L560" i="1" s="1"/>
  <c r="M560" i="1" s="1"/>
  <c r="N560" i="1" s="1"/>
  <c r="O560" i="1" s="1"/>
  <c r="P560" i="1" s="1"/>
  <c r="Q560" i="1" s="1"/>
  <c r="R560" i="1" s="1"/>
  <c r="S560" i="1" s="1"/>
  <c r="T560" i="1" s="1"/>
  <c r="U560" i="1" s="1"/>
  <c r="V560" i="1" s="1"/>
  <c r="W560" i="1" s="1"/>
  <c r="X560" i="1" s="1"/>
  <c r="Y560" i="1" s="1"/>
  <c r="Z560" i="1" s="1"/>
  <c r="AA560" i="1" s="1"/>
  <c r="AB560" i="1" s="1"/>
  <c r="AC560" i="1" s="1"/>
  <c r="AD560" i="1" s="1"/>
  <c r="AE560" i="1" s="1"/>
  <c r="AF560" i="1" s="1"/>
  <c r="AG560" i="1" s="1"/>
  <c r="AH560" i="1" s="1"/>
  <c r="AI560" i="1" s="1"/>
  <c r="AJ560" i="1" s="1"/>
  <c r="AK560" i="1" s="1"/>
  <c r="AL560" i="1" s="1"/>
  <c r="AM560" i="1" s="1"/>
  <c r="AN560" i="1" s="1"/>
  <c r="F560" i="1"/>
  <c r="F559" i="1"/>
  <c r="G559" i="1" s="1"/>
  <c r="H559" i="1" s="1"/>
  <c r="I559" i="1" s="1"/>
  <c r="J559" i="1" s="1"/>
  <c r="K559" i="1" s="1"/>
  <c r="L559" i="1" s="1"/>
  <c r="M559" i="1" s="1"/>
  <c r="N559" i="1" s="1"/>
  <c r="O559" i="1" s="1"/>
  <c r="P559" i="1" s="1"/>
  <c r="Q559" i="1" s="1"/>
  <c r="R559" i="1" s="1"/>
  <c r="S559" i="1" s="1"/>
  <c r="T559" i="1" s="1"/>
  <c r="U559" i="1" s="1"/>
  <c r="V559" i="1" s="1"/>
  <c r="W559" i="1" s="1"/>
  <c r="X559" i="1" s="1"/>
  <c r="Y559" i="1" s="1"/>
  <c r="Z559" i="1" s="1"/>
  <c r="AA559" i="1" s="1"/>
  <c r="AB559" i="1" s="1"/>
  <c r="AC559" i="1" s="1"/>
  <c r="AD559" i="1" s="1"/>
  <c r="AE559" i="1" s="1"/>
  <c r="AF559" i="1" s="1"/>
  <c r="AG559" i="1" s="1"/>
  <c r="AH559" i="1" s="1"/>
  <c r="AI559" i="1" s="1"/>
  <c r="AJ559" i="1" s="1"/>
  <c r="AK559" i="1" s="1"/>
  <c r="AL559" i="1" s="1"/>
  <c r="AM559" i="1" s="1"/>
  <c r="AN559" i="1" s="1"/>
  <c r="G558" i="1"/>
  <c r="H558" i="1" s="1"/>
  <c r="I558" i="1" s="1"/>
  <c r="J558" i="1" s="1"/>
  <c r="K558" i="1" s="1"/>
  <c r="L558" i="1" s="1"/>
  <c r="M558" i="1" s="1"/>
  <c r="N558" i="1" s="1"/>
  <c r="O558" i="1" s="1"/>
  <c r="P558" i="1" s="1"/>
  <c r="Q558" i="1" s="1"/>
  <c r="R558" i="1" s="1"/>
  <c r="S558" i="1" s="1"/>
  <c r="T558" i="1" s="1"/>
  <c r="U558" i="1" s="1"/>
  <c r="V558" i="1" s="1"/>
  <c r="W558" i="1" s="1"/>
  <c r="X558" i="1" s="1"/>
  <c r="Y558" i="1" s="1"/>
  <c r="Z558" i="1" s="1"/>
  <c r="AA558" i="1" s="1"/>
  <c r="AB558" i="1" s="1"/>
  <c r="AC558" i="1" s="1"/>
  <c r="AD558" i="1" s="1"/>
  <c r="AE558" i="1" s="1"/>
  <c r="AF558" i="1" s="1"/>
  <c r="AG558" i="1" s="1"/>
  <c r="AH558" i="1" s="1"/>
  <c r="AI558" i="1" s="1"/>
  <c r="AJ558" i="1" s="1"/>
  <c r="AK558" i="1" s="1"/>
  <c r="AL558" i="1" s="1"/>
  <c r="AM558" i="1" s="1"/>
  <c r="AN558" i="1" s="1"/>
  <c r="F558" i="1"/>
  <c r="F557" i="1"/>
  <c r="G557" i="1" s="1"/>
  <c r="H557" i="1" s="1"/>
  <c r="I557" i="1" s="1"/>
  <c r="J557" i="1" s="1"/>
  <c r="K557" i="1" s="1"/>
  <c r="L557" i="1" s="1"/>
  <c r="M557" i="1" s="1"/>
  <c r="N557" i="1" s="1"/>
  <c r="O557" i="1" s="1"/>
  <c r="P557" i="1" s="1"/>
  <c r="Q557" i="1" s="1"/>
  <c r="R557" i="1" s="1"/>
  <c r="S557" i="1" s="1"/>
  <c r="T557" i="1" s="1"/>
  <c r="U557" i="1" s="1"/>
  <c r="V557" i="1" s="1"/>
  <c r="W557" i="1" s="1"/>
  <c r="X557" i="1" s="1"/>
  <c r="Y557" i="1" s="1"/>
  <c r="Z557" i="1" s="1"/>
  <c r="AA557" i="1" s="1"/>
  <c r="AB557" i="1" s="1"/>
  <c r="AC557" i="1" s="1"/>
  <c r="AD557" i="1" s="1"/>
  <c r="AE557" i="1" s="1"/>
  <c r="AF557" i="1" s="1"/>
  <c r="AG557" i="1" s="1"/>
  <c r="AH557" i="1" s="1"/>
  <c r="AI557" i="1" s="1"/>
  <c r="AJ557" i="1" s="1"/>
  <c r="AK557" i="1" s="1"/>
  <c r="AL557" i="1" s="1"/>
  <c r="AM557" i="1" s="1"/>
  <c r="AN557" i="1" s="1"/>
  <c r="G556" i="1"/>
  <c r="H556" i="1" s="1"/>
  <c r="I556" i="1" s="1"/>
  <c r="J556" i="1" s="1"/>
  <c r="K556" i="1" s="1"/>
  <c r="L556" i="1" s="1"/>
  <c r="M556" i="1" s="1"/>
  <c r="N556" i="1" s="1"/>
  <c r="O556" i="1" s="1"/>
  <c r="P556" i="1" s="1"/>
  <c r="Q556" i="1" s="1"/>
  <c r="R556" i="1" s="1"/>
  <c r="S556" i="1" s="1"/>
  <c r="T556" i="1" s="1"/>
  <c r="U556" i="1" s="1"/>
  <c r="V556" i="1" s="1"/>
  <c r="W556" i="1" s="1"/>
  <c r="X556" i="1" s="1"/>
  <c r="Y556" i="1" s="1"/>
  <c r="Z556" i="1" s="1"/>
  <c r="AA556" i="1" s="1"/>
  <c r="AB556" i="1" s="1"/>
  <c r="AC556" i="1" s="1"/>
  <c r="AD556" i="1" s="1"/>
  <c r="AE556" i="1" s="1"/>
  <c r="AF556" i="1" s="1"/>
  <c r="AG556" i="1" s="1"/>
  <c r="AH556" i="1" s="1"/>
  <c r="AI556" i="1" s="1"/>
  <c r="AJ556" i="1" s="1"/>
  <c r="AK556" i="1" s="1"/>
  <c r="AL556" i="1" s="1"/>
  <c r="AM556" i="1" s="1"/>
  <c r="AN556" i="1" s="1"/>
  <c r="F556" i="1"/>
  <c r="F555" i="1"/>
  <c r="G555" i="1" s="1"/>
  <c r="H555" i="1" s="1"/>
  <c r="I555" i="1" s="1"/>
  <c r="J555" i="1" s="1"/>
  <c r="K555" i="1" s="1"/>
  <c r="L555" i="1" s="1"/>
  <c r="M555" i="1" s="1"/>
  <c r="N555" i="1" s="1"/>
  <c r="O555" i="1" s="1"/>
  <c r="P555" i="1" s="1"/>
  <c r="Q555" i="1" s="1"/>
  <c r="R555" i="1" s="1"/>
  <c r="S555" i="1" s="1"/>
  <c r="T555" i="1" s="1"/>
  <c r="U555" i="1" s="1"/>
  <c r="V555" i="1" s="1"/>
  <c r="W555" i="1" s="1"/>
  <c r="X555" i="1" s="1"/>
  <c r="Y555" i="1" s="1"/>
  <c r="Z555" i="1" s="1"/>
  <c r="AA555" i="1" s="1"/>
  <c r="AB555" i="1" s="1"/>
  <c r="AC555" i="1" s="1"/>
  <c r="AD555" i="1" s="1"/>
  <c r="AE555" i="1" s="1"/>
  <c r="AF555" i="1" s="1"/>
  <c r="AG555" i="1" s="1"/>
  <c r="AH555" i="1" s="1"/>
  <c r="AI555" i="1" s="1"/>
  <c r="AJ555" i="1" s="1"/>
  <c r="AK555" i="1" s="1"/>
  <c r="AL555" i="1" s="1"/>
  <c r="AM555" i="1" s="1"/>
  <c r="AN555" i="1" s="1"/>
  <c r="G553" i="1"/>
  <c r="H553" i="1" s="1"/>
  <c r="I553" i="1" s="1"/>
  <c r="J553" i="1" s="1"/>
  <c r="K553" i="1" s="1"/>
  <c r="L553" i="1" s="1"/>
  <c r="M553" i="1" s="1"/>
  <c r="N553" i="1" s="1"/>
  <c r="O553" i="1" s="1"/>
  <c r="P553" i="1" s="1"/>
  <c r="Q553" i="1" s="1"/>
  <c r="R553" i="1" s="1"/>
  <c r="S553" i="1" s="1"/>
  <c r="T553" i="1" s="1"/>
  <c r="U553" i="1" s="1"/>
  <c r="V553" i="1" s="1"/>
  <c r="W553" i="1" s="1"/>
  <c r="X553" i="1" s="1"/>
  <c r="Y553" i="1" s="1"/>
  <c r="Z553" i="1" s="1"/>
  <c r="AA553" i="1" s="1"/>
  <c r="AB553" i="1" s="1"/>
  <c r="AC553" i="1" s="1"/>
  <c r="AD553" i="1" s="1"/>
  <c r="AE553" i="1" s="1"/>
  <c r="AF553" i="1" s="1"/>
  <c r="AG553" i="1" s="1"/>
  <c r="AH553" i="1" s="1"/>
  <c r="AI553" i="1" s="1"/>
  <c r="AJ553" i="1" s="1"/>
  <c r="AK553" i="1" s="1"/>
  <c r="AL553" i="1" s="1"/>
  <c r="AM553" i="1" s="1"/>
  <c r="AN553" i="1" s="1"/>
  <c r="F553" i="1"/>
  <c r="F552" i="1"/>
  <c r="G552" i="1" s="1"/>
  <c r="H552" i="1" s="1"/>
  <c r="I552" i="1" s="1"/>
  <c r="J552" i="1" s="1"/>
  <c r="K552" i="1" s="1"/>
  <c r="L552" i="1" s="1"/>
  <c r="M552" i="1" s="1"/>
  <c r="N552" i="1" s="1"/>
  <c r="O552" i="1" s="1"/>
  <c r="P552" i="1" s="1"/>
  <c r="Q552" i="1" s="1"/>
  <c r="R552" i="1" s="1"/>
  <c r="S552" i="1" s="1"/>
  <c r="T552" i="1" s="1"/>
  <c r="U552" i="1" s="1"/>
  <c r="V552" i="1" s="1"/>
  <c r="W552" i="1" s="1"/>
  <c r="X552" i="1" s="1"/>
  <c r="Y552" i="1" s="1"/>
  <c r="Z552" i="1" s="1"/>
  <c r="AA552" i="1" s="1"/>
  <c r="AB552" i="1" s="1"/>
  <c r="AC552" i="1" s="1"/>
  <c r="AD552" i="1" s="1"/>
  <c r="AE552" i="1" s="1"/>
  <c r="AF552" i="1" s="1"/>
  <c r="AG552" i="1" s="1"/>
  <c r="AH552" i="1" s="1"/>
  <c r="AI552" i="1" s="1"/>
  <c r="AJ552" i="1" s="1"/>
  <c r="AK552" i="1" s="1"/>
  <c r="AL552" i="1" s="1"/>
  <c r="AM552" i="1" s="1"/>
  <c r="AN552" i="1" s="1"/>
  <c r="G551" i="1"/>
  <c r="H551" i="1" s="1"/>
  <c r="I551" i="1" s="1"/>
  <c r="J551" i="1" s="1"/>
  <c r="K551" i="1" s="1"/>
  <c r="L551" i="1" s="1"/>
  <c r="M551" i="1" s="1"/>
  <c r="N551" i="1" s="1"/>
  <c r="O551" i="1" s="1"/>
  <c r="P551" i="1" s="1"/>
  <c r="Q551" i="1" s="1"/>
  <c r="R551" i="1" s="1"/>
  <c r="S551" i="1" s="1"/>
  <c r="T551" i="1" s="1"/>
  <c r="U551" i="1" s="1"/>
  <c r="V551" i="1" s="1"/>
  <c r="W551" i="1" s="1"/>
  <c r="X551" i="1" s="1"/>
  <c r="Y551" i="1" s="1"/>
  <c r="Z551" i="1" s="1"/>
  <c r="AA551" i="1" s="1"/>
  <c r="AB551" i="1" s="1"/>
  <c r="AC551" i="1" s="1"/>
  <c r="AD551" i="1" s="1"/>
  <c r="AE551" i="1" s="1"/>
  <c r="AF551" i="1" s="1"/>
  <c r="AG551" i="1" s="1"/>
  <c r="AH551" i="1" s="1"/>
  <c r="AI551" i="1" s="1"/>
  <c r="AJ551" i="1" s="1"/>
  <c r="AK551" i="1" s="1"/>
  <c r="AL551" i="1" s="1"/>
  <c r="AM551" i="1" s="1"/>
  <c r="AN551" i="1" s="1"/>
  <c r="F551" i="1"/>
  <c r="F550" i="1"/>
  <c r="G550" i="1" s="1"/>
  <c r="H550" i="1" s="1"/>
  <c r="I550" i="1" s="1"/>
  <c r="J550" i="1" s="1"/>
  <c r="K550" i="1" s="1"/>
  <c r="L550" i="1" s="1"/>
  <c r="M550" i="1" s="1"/>
  <c r="N550" i="1" s="1"/>
  <c r="O550" i="1" s="1"/>
  <c r="P550" i="1" s="1"/>
  <c r="Q550" i="1" s="1"/>
  <c r="R550" i="1" s="1"/>
  <c r="S550" i="1" s="1"/>
  <c r="T550" i="1" s="1"/>
  <c r="U550" i="1" s="1"/>
  <c r="V550" i="1" s="1"/>
  <c r="W550" i="1" s="1"/>
  <c r="X550" i="1" s="1"/>
  <c r="Y550" i="1" s="1"/>
  <c r="Z550" i="1" s="1"/>
  <c r="AA550" i="1" s="1"/>
  <c r="AB550" i="1" s="1"/>
  <c r="AC550" i="1" s="1"/>
  <c r="AD550" i="1" s="1"/>
  <c r="AE550" i="1" s="1"/>
  <c r="AF550" i="1" s="1"/>
  <c r="AG550" i="1" s="1"/>
  <c r="AH550" i="1" s="1"/>
  <c r="AI550" i="1" s="1"/>
  <c r="AJ550" i="1" s="1"/>
  <c r="AK550" i="1" s="1"/>
  <c r="AL550" i="1" s="1"/>
  <c r="AM550" i="1" s="1"/>
  <c r="AN550" i="1" s="1"/>
  <c r="G549" i="1"/>
  <c r="H549" i="1" s="1"/>
  <c r="I549" i="1" s="1"/>
  <c r="J549" i="1" s="1"/>
  <c r="K549" i="1" s="1"/>
  <c r="L549" i="1" s="1"/>
  <c r="M549" i="1" s="1"/>
  <c r="N549" i="1" s="1"/>
  <c r="O549" i="1" s="1"/>
  <c r="P549" i="1" s="1"/>
  <c r="Q549" i="1" s="1"/>
  <c r="R549" i="1" s="1"/>
  <c r="S549" i="1" s="1"/>
  <c r="T549" i="1" s="1"/>
  <c r="U549" i="1" s="1"/>
  <c r="V549" i="1" s="1"/>
  <c r="W549" i="1" s="1"/>
  <c r="X549" i="1" s="1"/>
  <c r="Y549" i="1" s="1"/>
  <c r="Z549" i="1" s="1"/>
  <c r="AA549" i="1" s="1"/>
  <c r="AB549" i="1" s="1"/>
  <c r="AC549" i="1" s="1"/>
  <c r="AD549" i="1" s="1"/>
  <c r="AE549" i="1" s="1"/>
  <c r="AF549" i="1" s="1"/>
  <c r="AG549" i="1" s="1"/>
  <c r="AH549" i="1" s="1"/>
  <c r="AI549" i="1" s="1"/>
  <c r="AJ549" i="1" s="1"/>
  <c r="AK549" i="1" s="1"/>
  <c r="AL549" i="1" s="1"/>
  <c r="AM549" i="1" s="1"/>
  <c r="AN549" i="1" s="1"/>
  <c r="F549" i="1"/>
  <c r="F548" i="1"/>
  <c r="G548" i="1" s="1"/>
  <c r="H548" i="1" s="1"/>
  <c r="I548" i="1" s="1"/>
  <c r="J548" i="1" s="1"/>
  <c r="K548" i="1" s="1"/>
  <c r="L548" i="1" s="1"/>
  <c r="M548" i="1" s="1"/>
  <c r="N548" i="1" s="1"/>
  <c r="O548" i="1" s="1"/>
  <c r="P548" i="1" s="1"/>
  <c r="Q548" i="1" s="1"/>
  <c r="R548" i="1" s="1"/>
  <c r="S548" i="1" s="1"/>
  <c r="T548" i="1" s="1"/>
  <c r="U548" i="1" s="1"/>
  <c r="V548" i="1" s="1"/>
  <c r="W548" i="1" s="1"/>
  <c r="X548" i="1" s="1"/>
  <c r="Y548" i="1" s="1"/>
  <c r="Z548" i="1" s="1"/>
  <c r="AA548" i="1" s="1"/>
  <c r="AB548" i="1" s="1"/>
  <c r="AC548" i="1" s="1"/>
  <c r="AD548" i="1" s="1"/>
  <c r="AE548" i="1" s="1"/>
  <c r="AF548" i="1" s="1"/>
  <c r="AG548" i="1" s="1"/>
  <c r="AH548" i="1" s="1"/>
  <c r="AI548" i="1" s="1"/>
  <c r="AJ548" i="1" s="1"/>
  <c r="AK548" i="1" s="1"/>
  <c r="AL548" i="1" s="1"/>
  <c r="AM548" i="1" s="1"/>
  <c r="AN548" i="1" s="1"/>
  <c r="G546" i="1"/>
  <c r="H546" i="1" s="1"/>
  <c r="I546" i="1" s="1"/>
  <c r="J546" i="1" s="1"/>
  <c r="K546" i="1" s="1"/>
  <c r="L546" i="1" s="1"/>
  <c r="M546" i="1" s="1"/>
  <c r="N546" i="1" s="1"/>
  <c r="O546" i="1" s="1"/>
  <c r="P546" i="1" s="1"/>
  <c r="Q546" i="1" s="1"/>
  <c r="R546" i="1" s="1"/>
  <c r="S546" i="1" s="1"/>
  <c r="T546" i="1" s="1"/>
  <c r="U546" i="1" s="1"/>
  <c r="V546" i="1" s="1"/>
  <c r="W546" i="1" s="1"/>
  <c r="X546" i="1" s="1"/>
  <c r="Y546" i="1" s="1"/>
  <c r="Z546" i="1" s="1"/>
  <c r="AA546" i="1" s="1"/>
  <c r="AB546" i="1" s="1"/>
  <c r="AC546" i="1" s="1"/>
  <c r="AD546" i="1" s="1"/>
  <c r="AE546" i="1" s="1"/>
  <c r="AF546" i="1" s="1"/>
  <c r="AG546" i="1" s="1"/>
  <c r="AH546" i="1" s="1"/>
  <c r="AI546" i="1" s="1"/>
  <c r="AJ546" i="1" s="1"/>
  <c r="AK546" i="1" s="1"/>
  <c r="AL546" i="1" s="1"/>
  <c r="AM546" i="1" s="1"/>
  <c r="AN546" i="1" s="1"/>
  <c r="G545" i="1"/>
  <c r="H545" i="1" s="1"/>
  <c r="I545" i="1" s="1"/>
  <c r="J545" i="1" s="1"/>
  <c r="K545" i="1" s="1"/>
  <c r="L545" i="1" s="1"/>
  <c r="M545" i="1" s="1"/>
  <c r="N545" i="1" s="1"/>
  <c r="O545" i="1" s="1"/>
  <c r="P545" i="1" s="1"/>
  <c r="Q545" i="1" s="1"/>
  <c r="R545" i="1" s="1"/>
  <c r="S545" i="1" s="1"/>
  <c r="T545" i="1" s="1"/>
  <c r="U545" i="1" s="1"/>
  <c r="V545" i="1" s="1"/>
  <c r="W545" i="1" s="1"/>
  <c r="X545" i="1" s="1"/>
  <c r="Y545" i="1" s="1"/>
  <c r="Z545" i="1" s="1"/>
  <c r="AA545" i="1" s="1"/>
  <c r="AB545" i="1" s="1"/>
  <c r="AC545" i="1" s="1"/>
  <c r="AD545" i="1" s="1"/>
  <c r="AE545" i="1" s="1"/>
  <c r="AF545" i="1" s="1"/>
  <c r="AG545" i="1" s="1"/>
  <c r="AH545" i="1" s="1"/>
  <c r="AI545" i="1" s="1"/>
  <c r="AJ545" i="1" s="1"/>
  <c r="AK545" i="1" s="1"/>
  <c r="AL545" i="1" s="1"/>
  <c r="AM545" i="1" s="1"/>
  <c r="AN545" i="1" s="1"/>
  <c r="G544" i="1"/>
  <c r="H544" i="1" s="1"/>
  <c r="I544" i="1" s="1"/>
  <c r="J544" i="1" s="1"/>
  <c r="K544" i="1" s="1"/>
  <c r="L544" i="1" s="1"/>
  <c r="M544" i="1" s="1"/>
  <c r="N544" i="1" s="1"/>
  <c r="O544" i="1" s="1"/>
  <c r="P544" i="1" s="1"/>
  <c r="Q544" i="1" s="1"/>
  <c r="R544" i="1" s="1"/>
  <c r="S544" i="1" s="1"/>
  <c r="T544" i="1" s="1"/>
  <c r="U544" i="1" s="1"/>
  <c r="V544" i="1" s="1"/>
  <c r="W544" i="1" s="1"/>
  <c r="X544" i="1" s="1"/>
  <c r="Y544" i="1" s="1"/>
  <c r="Z544" i="1" s="1"/>
  <c r="AA544" i="1" s="1"/>
  <c r="AB544" i="1" s="1"/>
  <c r="AC544" i="1" s="1"/>
  <c r="AD544" i="1" s="1"/>
  <c r="AE544" i="1" s="1"/>
  <c r="AF544" i="1" s="1"/>
  <c r="AG544" i="1" s="1"/>
  <c r="AH544" i="1" s="1"/>
  <c r="AI544" i="1" s="1"/>
  <c r="AJ544" i="1" s="1"/>
  <c r="AK544" i="1" s="1"/>
  <c r="AL544" i="1" s="1"/>
  <c r="AM544" i="1" s="1"/>
  <c r="AN544" i="1" s="1"/>
  <c r="G543" i="1"/>
  <c r="H543" i="1" s="1"/>
  <c r="I543" i="1" s="1"/>
  <c r="J543" i="1" s="1"/>
  <c r="K543" i="1" s="1"/>
  <c r="L543" i="1" s="1"/>
  <c r="M543" i="1" s="1"/>
  <c r="N543" i="1" s="1"/>
  <c r="O543" i="1" s="1"/>
  <c r="P543" i="1" s="1"/>
  <c r="Q543" i="1" s="1"/>
  <c r="R543" i="1" s="1"/>
  <c r="S543" i="1" s="1"/>
  <c r="T543" i="1" s="1"/>
  <c r="U543" i="1" s="1"/>
  <c r="V543" i="1" s="1"/>
  <c r="W543" i="1" s="1"/>
  <c r="X543" i="1" s="1"/>
  <c r="Y543" i="1" s="1"/>
  <c r="Z543" i="1" s="1"/>
  <c r="AA543" i="1" s="1"/>
  <c r="AB543" i="1" s="1"/>
  <c r="AC543" i="1" s="1"/>
  <c r="AD543" i="1" s="1"/>
  <c r="AE543" i="1" s="1"/>
  <c r="AF543" i="1" s="1"/>
  <c r="AG543" i="1" s="1"/>
  <c r="AH543" i="1" s="1"/>
  <c r="AI543" i="1" s="1"/>
  <c r="AJ543" i="1" s="1"/>
  <c r="AK543" i="1" s="1"/>
  <c r="AL543" i="1" s="1"/>
  <c r="AM543" i="1" s="1"/>
  <c r="AN543" i="1" s="1"/>
  <c r="G542" i="1"/>
  <c r="H542" i="1" s="1"/>
  <c r="I542" i="1" s="1"/>
  <c r="J542" i="1" s="1"/>
  <c r="K542" i="1" s="1"/>
  <c r="L542" i="1" s="1"/>
  <c r="M542" i="1" s="1"/>
  <c r="N542" i="1" s="1"/>
  <c r="O542" i="1" s="1"/>
  <c r="P542" i="1" s="1"/>
  <c r="Q542" i="1" s="1"/>
  <c r="R542" i="1" s="1"/>
  <c r="S542" i="1" s="1"/>
  <c r="T542" i="1" s="1"/>
  <c r="U542" i="1" s="1"/>
  <c r="V542" i="1" s="1"/>
  <c r="W542" i="1" s="1"/>
  <c r="X542" i="1" s="1"/>
  <c r="Y542" i="1" s="1"/>
  <c r="Z542" i="1" s="1"/>
  <c r="AA542" i="1" s="1"/>
  <c r="AB542" i="1" s="1"/>
  <c r="AC542" i="1" s="1"/>
  <c r="AD542" i="1" s="1"/>
  <c r="AE542" i="1" s="1"/>
  <c r="AF542" i="1" s="1"/>
  <c r="AG542" i="1" s="1"/>
  <c r="AH542" i="1" s="1"/>
  <c r="AI542" i="1" s="1"/>
  <c r="AJ542" i="1" s="1"/>
  <c r="AK542" i="1" s="1"/>
  <c r="AL542" i="1" s="1"/>
  <c r="AM542" i="1" s="1"/>
  <c r="AN542" i="1" s="1"/>
  <c r="G541" i="1"/>
  <c r="H541" i="1" s="1"/>
  <c r="I541" i="1" s="1"/>
  <c r="J541" i="1" s="1"/>
  <c r="K541" i="1" s="1"/>
  <c r="L541" i="1" s="1"/>
  <c r="M541" i="1" s="1"/>
  <c r="N541" i="1" s="1"/>
  <c r="O541" i="1" s="1"/>
  <c r="P541" i="1" s="1"/>
  <c r="Q541" i="1" s="1"/>
  <c r="R541" i="1" s="1"/>
  <c r="S541" i="1" s="1"/>
  <c r="T541" i="1" s="1"/>
  <c r="U541" i="1" s="1"/>
  <c r="V541" i="1" s="1"/>
  <c r="W541" i="1" s="1"/>
  <c r="X541" i="1" s="1"/>
  <c r="Y541" i="1" s="1"/>
  <c r="Z541" i="1" s="1"/>
  <c r="AA541" i="1" s="1"/>
  <c r="AB541" i="1" s="1"/>
  <c r="AC541" i="1" s="1"/>
  <c r="AD541" i="1" s="1"/>
  <c r="AE541" i="1" s="1"/>
  <c r="AF541" i="1" s="1"/>
  <c r="AG541" i="1" s="1"/>
  <c r="AH541" i="1" s="1"/>
  <c r="AI541" i="1" s="1"/>
  <c r="AJ541" i="1" s="1"/>
  <c r="AK541" i="1" s="1"/>
  <c r="AL541" i="1" s="1"/>
  <c r="AM541" i="1" s="1"/>
  <c r="AN541" i="1" s="1"/>
  <c r="F546" i="1"/>
  <c r="F545" i="1"/>
  <c r="F544" i="1"/>
  <c r="F543" i="1"/>
  <c r="F542" i="1"/>
  <c r="F541" i="1"/>
  <c r="F598" i="1"/>
  <c r="G598" i="1" s="1"/>
  <c r="H598" i="1" s="1"/>
  <c r="I598" i="1" s="1"/>
  <c r="J598" i="1" s="1"/>
  <c r="K598" i="1" s="1"/>
  <c r="L598" i="1" s="1"/>
  <c r="M598" i="1" s="1"/>
  <c r="N598" i="1" s="1"/>
  <c r="O598" i="1" s="1"/>
  <c r="P598" i="1" s="1"/>
  <c r="Q598" i="1" s="1"/>
  <c r="R598" i="1" s="1"/>
  <c r="S598" i="1" s="1"/>
  <c r="T598" i="1" s="1"/>
  <c r="U598" i="1" s="1"/>
  <c r="V598" i="1" s="1"/>
  <c r="W598" i="1" s="1"/>
  <c r="X598" i="1" s="1"/>
  <c r="Y598" i="1" s="1"/>
  <c r="Z598" i="1" s="1"/>
  <c r="AA598" i="1" s="1"/>
  <c r="AB598" i="1" s="1"/>
  <c r="AC598" i="1" s="1"/>
  <c r="AD598" i="1" s="1"/>
  <c r="AE598" i="1" s="1"/>
  <c r="AF598" i="1" s="1"/>
  <c r="AG598" i="1" s="1"/>
  <c r="AH598" i="1" s="1"/>
  <c r="AI598" i="1" s="1"/>
  <c r="AJ598" i="1" s="1"/>
  <c r="AK598" i="1" s="1"/>
  <c r="AL598" i="1" s="1"/>
  <c r="AM598" i="1" s="1"/>
  <c r="AN598" i="1" s="1"/>
  <c r="G597" i="1"/>
  <c r="H597" i="1" s="1"/>
  <c r="I597" i="1" s="1"/>
  <c r="J597" i="1" s="1"/>
  <c r="K597" i="1" s="1"/>
  <c r="L597" i="1" s="1"/>
  <c r="M597" i="1" s="1"/>
  <c r="N597" i="1" s="1"/>
  <c r="O597" i="1" s="1"/>
  <c r="P597" i="1" s="1"/>
  <c r="Q597" i="1" s="1"/>
  <c r="R597" i="1" s="1"/>
  <c r="S597" i="1" s="1"/>
  <c r="T597" i="1" s="1"/>
  <c r="U597" i="1" s="1"/>
  <c r="V597" i="1" s="1"/>
  <c r="W597" i="1" s="1"/>
  <c r="X597" i="1" s="1"/>
  <c r="Y597" i="1" s="1"/>
  <c r="Z597" i="1" s="1"/>
  <c r="AA597" i="1" s="1"/>
  <c r="AB597" i="1" s="1"/>
  <c r="AC597" i="1" s="1"/>
  <c r="AD597" i="1" s="1"/>
  <c r="AE597" i="1" s="1"/>
  <c r="AF597" i="1" s="1"/>
  <c r="AG597" i="1" s="1"/>
  <c r="AH597" i="1" s="1"/>
  <c r="AI597" i="1" s="1"/>
  <c r="AJ597" i="1" s="1"/>
  <c r="AK597" i="1" s="1"/>
  <c r="AL597" i="1" s="1"/>
  <c r="AM597" i="1" s="1"/>
  <c r="AN597" i="1" s="1"/>
  <c r="F597" i="1"/>
  <c r="F596" i="1"/>
  <c r="G596" i="1" s="1"/>
  <c r="H596" i="1" s="1"/>
  <c r="I596" i="1" s="1"/>
  <c r="J596" i="1" s="1"/>
  <c r="K596" i="1" s="1"/>
  <c r="L596" i="1" s="1"/>
  <c r="M596" i="1" s="1"/>
  <c r="N596" i="1" s="1"/>
  <c r="O596" i="1" s="1"/>
  <c r="P596" i="1" s="1"/>
  <c r="Q596" i="1" s="1"/>
  <c r="R596" i="1" s="1"/>
  <c r="S596" i="1" s="1"/>
  <c r="T596" i="1" s="1"/>
  <c r="U596" i="1" s="1"/>
  <c r="V596" i="1" s="1"/>
  <c r="W596" i="1" s="1"/>
  <c r="X596" i="1" s="1"/>
  <c r="Y596" i="1" s="1"/>
  <c r="Z596" i="1" s="1"/>
  <c r="AA596" i="1" s="1"/>
  <c r="AB596" i="1" s="1"/>
  <c r="AC596" i="1" s="1"/>
  <c r="AD596" i="1" s="1"/>
  <c r="AE596" i="1" s="1"/>
  <c r="AF596" i="1" s="1"/>
  <c r="AG596" i="1" s="1"/>
  <c r="AH596" i="1" s="1"/>
  <c r="AI596" i="1" s="1"/>
  <c r="AJ596" i="1" s="1"/>
  <c r="AK596" i="1" s="1"/>
  <c r="AL596" i="1" s="1"/>
  <c r="AM596" i="1" s="1"/>
  <c r="AN596" i="1" s="1"/>
  <c r="G595" i="1"/>
  <c r="H595" i="1" s="1"/>
  <c r="I595" i="1" s="1"/>
  <c r="J595" i="1" s="1"/>
  <c r="K595" i="1" s="1"/>
  <c r="L595" i="1" s="1"/>
  <c r="M595" i="1" s="1"/>
  <c r="N595" i="1" s="1"/>
  <c r="O595" i="1" s="1"/>
  <c r="P595" i="1" s="1"/>
  <c r="Q595" i="1" s="1"/>
  <c r="R595" i="1" s="1"/>
  <c r="S595" i="1" s="1"/>
  <c r="T595" i="1" s="1"/>
  <c r="U595" i="1" s="1"/>
  <c r="V595" i="1" s="1"/>
  <c r="W595" i="1" s="1"/>
  <c r="X595" i="1" s="1"/>
  <c r="Y595" i="1" s="1"/>
  <c r="Z595" i="1" s="1"/>
  <c r="AA595" i="1" s="1"/>
  <c r="AB595" i="1" s="1"/>
  <c r="AC595" i="1" s="1"/>
  <c r="AD595" i="1" s="1"/>
  <c r="AE595" i="1" s="1"/>
  <c r="AF595" i="1" s="1"/>
  <c r="AG595" i="1" s="1"/>
  <c r="AH595" i="1" s="1"/>
  <c r="AI595" i="1" s="1"/>
  <c r="AJ595" i="1" s="1"/>
  <c r="AK595" i="1" s="1"/>
  <c r="AL595" i="1" s="1"/>
  <c r="AM595" i="1" s="1"/>
  <c r="AN595" i="1" s="1"/>
  <c r="F595" i="1"/>
  <c r="F594" i="1"/>
  <c r="G594" i="1" s="1"/>
  <c r="H594" i="1" s="1"/>
  <c r="I594" i="1" s="1"/>
  <c r="J594" i="1" s="1"/>
  <c r="K594" i="1" s="1"/>
  <c r="L594" i="1" s="1"/>
  <c r="M594" i="1" s="1"/>
  <c r="N594" i="1" s="1"/>
  <c r="O594" i="1" s="1"/>
  <c r="P594" i="1" s="1"/>
  <c r="Q594" i="1" s="1"/>
  <c r="R594" i="1" s="1"/>
  <c r="S594" i="1" s="1"/>
  <c r="T594" i="1" s="1"/>
  <c r="U594" i="1" s="1"/>
  <c r="V594" i="1" s="1"/>
  <c r="W594" i="1" s="1"/>
  <c r="X594" i="1" s="1"/>
  <c r="Y594" i="1" s="1"/>
  <c r="Z594" i="1" s="1"/>
  <c r="AA594" i="1" s="1"/>
  <c r="AB594" i="1" s="1"/>
  <c r="AC594" i="1" s="1"/>
  <c r="AD594" i="1" s="1"/>
  <c r="AE594" i="1" s="1"/>
  <c r="AF594" i="1" s="1"/>
  <c r="AG594" i="1" s="1"/>
  <c r="AH594" i="1" s="1"/>
  <c r="AI594" i="1" s="1"/>
  <c r="AJ594" i="1" s="1"/>
  <c r="AK594" i="1" s="1"/>
  <c r="AL594" i="1" s="1"/>
  <c r="AM594" i="1" s="1"/>
  <c r="AN594" i="1" s="1"/>
  <c r="G593" i="1"/>
  <c r="H593" i="1" s="1"/>
  <c r="I593" i="1" s="1"/>
  <c r="J593" i="1" s="1"/>
  <c r="K593" i="1" s="1"/>
  <c r="L593" i="1" s="1"/>
  <c r="M593" i="1" s="1"/>
  <c r="N593" i="1" s="1"/>
  <c r="O593" i="1" s="1"/>
  <c r="P593" i="1" s="1"/>
  <c r="Q593" i="1" s="1"/>
  <c r="R593" i="1" s="1"/>
  <c r="S593" i="1" s="1"/>
  <c r="T593" i="1" s="1"/>
  <c r="U593" i="1" s="1"/>
  <c r="V593" i="1" s="1"/>
  <c r="W593" i="1" s="1"/>
  <c r="X593" i="1" s="1"/>
  <c r="Y593" i="1" s="1"/>
  <c r="Z593" i="1" s="1"/>
  <c r="AA593" i="1" s="1"/>
  <c r="AB593" i="1" s="1"/>
  <c r="AC593" i="1" s="1"/>
  <c r="AD593" i="1" s="1"/>
  <c r="AE593" i="1" s="1"/>
  <c r="AF593" i="1" s="1"/>
  <c r="AG593" i="1" s="1"/>
  <c r="AH593" i="1" s="1"/>
  <c r="AI593" i="1" s="1"/>
  <c r="AJ593" i="1" s="1"/>
  <c r="AK593" i="1" s="1"/>
  <c r="AL593" i="1" s="1"/>
  <c r="AM593" i="1" s="1"/>
  <c r="AN593" i="1" s="1"/>
  <c r="F593" i="1"/>
  <c r="G591" i="1"/>
  <c r="H591" i="1" s="1"/>
  <c r="I591" i="1" s="1"/>
  <c r="J591" i="1" s="1"/>
  <c r="K591" i="1" s="1"/>
  <c r="L591" i="1" s="1"/>
  <c r="M591" i="1" s="1"/>
  <c r="N591" i="1" s="1"/>
  <c r="O591" i="1" s="1"/>
  <c r="P591" i="1" s="1"/>
  <c r="Q591" i="1" s="1"/>
  <c r="R591" i="1" s="1"/>
  <c r="S591" i="1" s="1"/>
  <c r="T591" i="1" s="1"/>
  <c r="U591" i="1" s="1"/>
  <c r="V591" i="1" s="1"/>
  <c r="W591" i="1" s="1"/>
  <c r="X591" i="1" s="1"/>
  <c r="Y591" i="1" s="1"/>
  <c r="Z591" i="1" s="1"/>
  <c r="AA591" i="1" s="1"/>
  <c r="AB591" i="1" s="1"/>
  <c r="AC591" i="1" s="1"/>
  <c r="AD591" i="1" s="1"/>
  <c r="AE591" i="1" s="1"/>
  <c r="AF591" i="1" s="1"/>
  <c r="AG591" i="1" s="1"/>
  <c r="AH591" i="1" s="1"/>
  <c r="AI591" i="1" s="1"/>
  <c r="AJ591" i="1" s="1"/>
  <c r="AK591" i="1" s="1"/>
  <c r="AL591" i="1" s="1"/>
  <c r="AM591" i="1" s="1"/>
  <c r="AN591" i="1" s="1"/>
  <c r="F591" i="1"/>
  <c r="F590" i="1"/>
  <c r="G590" i="1" s="1"/>
  <c r="H590" i="1" s="1"/>
  <c r="I590" i="1" s="1"/>
  <c r="J590" i="1" s="1"/>
  <c r="K590" i="1" s="1"/>
  <c r="L590" i="1" s="1"/>
  <c r="M590" i="1" s="1"/>
  <c r="N590" i="1" s="1"/>
  <c r="O590" i="1" s="1"/>
  <c r="P590" i="1" s="1"/>
  <c r="Q590" i="1" s="1"/>
  <c r="R590" i="1" s="1"/>
  <c r="S590" i="1" s="1"/>
  <c r="T590" i="1" s="1"/>
  <c r="U590" i="1" s="1"/>
  <c r="V590" i="1" s="1"/>
  <c r="W590" i="1" s="1"/>
  <c r="X590" i="1" s="1"/>
  <c r="Y590" i="1" s="1"/>
  <c r="Z590" i="1" s="1"/>
  <c r="AA590" i="1" s="1"/>
  <c r="AB590" i="1" s="1"/>
  <c r="AC590" i="1" s="1"/>
  <c r="AD590" i="1" s="1"/>
  <c r="AE590" i="1" s="1"/>
  <c r="AF590" i="1" s="1"/>
  <c r="AG590" i="1" s="1"/>
  <c r="AH590" i="1" s="1"/>
  <c r="AI590" i="1" s="1"/>
  <c r="AJ590" i="1" s="1"/>
  <c r="AK590" i="1" s="1"/>
  <c r="AL590" i="1" s="1"/>
  <c r="AM590" i="1" s="1"/>
  <c r="AN590" i="1" s="1"/>
  <c r="G589" i="1"/>
  <c r="H589" i="1" s="1"/>
  <c r="I589" i="1" s="1"/>
  <c r="J589" i="1" s="1"/>
  <c r="K589" i="1" s="1"/>
  <c r="L589" i="1" s="1"/>
  <c r="M589" i="1" s="1"/>
  <c r="N589" i="1" s="1"/>
  <c r="O589" i="1" s="1"/>
  <c r="P589" i="1" s="1"/>
  <c r="Q589" i="1" s="1"/>
  <c r="R589" i="1" s="1"/>
  <c r="S589" i="1" s="1"/>
  <c r="T589" i="1" s="1"/>
  <c r="U589" i="1" s="1"/>
  <c r="V589" i="1" s="1"/>
  <c r="W589" i="1" s="1"/>
  <c r="X589" i="1" s="1"/>
  <c r="Y589" i="1" s="1"/>
  <c r="Z589" i="1" s="1"/>
  <c r="AA589" i="1" s="1"/>
  <c r="AB589" i="1" s="1"/>
  <c r="AC589" i="1" s="1"/>
  <c r="AD589" i="1" s="1"/>
  <c r="AE589" i="1" s="1"/>
  <c r="AF589" i="1" s="1"/>
  <c r="AG589" i="1" s="1"/>
  <c r="AH589" i="1" s="1"/>
  <c r="AI589" i="1" s="1"/>
  <c r="AJ589" i="1" s="1"/>
  <c r="AK589" i="1" s="1"/>
  <c r="AL589" i="1" s="1"/>
  <c r="AM589" i="1" s="1"/>
  <c r="AN589" i="1" s="1"/>
  <c r="F589" i="1"/>
  <c r="F588" i="1"/>
  <c r="G588" i="1" s="1"/>
  <c r="H588" i="1" s="1"/>
  <c r="I588" i="1" s="1"/>
  <c r="J588" i="1" s="1"/>
  <c r="K588" i="1" s="1"/>
  <c r="L588" i="1" s="1"/>
  <c r="M588" i="1" s="1"/>
  <c r="N588" i="1" s="1"/>
  <c r="O588" i="1" s="1"/>
  <c r="P588" i="1" s="1"/>
  <c r="Q588" i="1" s="1"/>
  <c r="R588" i="1" s="1"/>
  <c r="S588" i="1" s="1"/>
  <c r="T588" i="1" s="1"/>
  <c r="U588" i="1" s="1"/>
  <c r="V588" i="1" s="1"/>
  <c r="W588" i="1" s="1"/>
  <c r="X588" i="1" s="1"/>
  <c r="Y588" i="1" s="1"/>
  <c r="Z588" i="1" s="1"/>
  <c r="AA588" i="1" s="1"/>
  <c r="AB588" i="1" s="1"/>
  <c r="AC588" i="1" s="1"/>
  <c r="AD588" i="1" s="1"/>
  <c r="AE588" i="1" s="1"/>
  <c r="AF588" i="1" s="1"/>
  <c r="AG588" i="1" s="1"/>
  <c r="AH588" i="1" s="1"/>
  <c r="AI588" i="1" s="1"/>
  <c r="AJ588" i="1" s="1"/>
  <c r="AK588" i="1" s="1"/>
  <c r="AL588" i="1" s="1"/>
  <c r="AM588" i="1" s="1"/>
  <c r="AN588" i="1" s="1"/>
  <c r="G587" i="1"/>
  <c r="H587" i="1" s="1"/>
  <c r="I587" i="1" s="1"/>
  <c r="J587" i="1" s="1"/>
  <c r="K587" i="1" s="1"/>
  <c r="L587" i="1" s="1"/>
  <c r="M587" i="1" s="1"/>
  <c r="N587" i="1" s="1"/>
  <c r="O587" i="1" s="1"/>
  <c r="P587" i="1" s="1"/>
  <c r="Q587" i="1" s="1"/>
  <c r="R587" i="1" s="1"/>
  <c r="S587" i="1" s="1"/>
  <c r="T587" i="1" s="1"/>
  <c r="U587" i="1" s="1"/>
  <c r="V587" i="1" s="1"/>
  <c r="W587" i="1" s="1"/>
  <c r="X587" i="1" s="1"/>
  <c r="Y587" i="1" s="1"/>
  <c r="Z587" i="1" s="1"/>
  <c r="AA587" i="1" s="1"/>
  <c r="AB587" i="1" s="1"/>
  <c r="AC587" i="1" s="1"/>
  <c r="AD587" i="1" s="1"/>
  <c r="AE587" i="1" s="1"/>
  <c r="AF587" i="1" s="1"/>
  <c r="AG587" i="1" s="1"/>
  <c r="AH587" i="1" s="1"/>
  <c r="AI587" i="1" s="1"/>
  <c r="AJ587" i="1" s="1"/>
  <c r="AK587" i="1" s="1"/>
  <c r="AL587" i="1" s="1"/>
  <c r="AM587" i="1" s="1"/>
  <c r="AN587" i="1" s="1"/>
  <c r="F587" i="1"/>
  <c r="F586" i="1"/>
  <c r="G586" i="1" s="1"/>
  <c r="H586" i="1" s="1"/>
  <c r="I586" i="1" s="1"/>
  <c r="J586" i="1" s="1"/>
  <c r="K586" i="1" s="1"/>
  <c r="L586" i="1" s="1"/>
  <c r="M586" i="1" s="1"/>
  <c r="N586" i="1" s="1"/>
  <c r="O586" i="1" s="1"/>
  <c r="P586" i="1" s="1"/>
  <c r="Q586" i="1" s="1"/>
  <c r="R586" i="1" s="1"/>
  <c r="S586" i="1" s="1"/>
  <c r="T586" i="1" s="1"/>
  <c r="U586" i="1" s="1"/>
  <c r="V586" i="1" s="1"/>
  <c r="W586" i="1" s="1"/>
  <c r="X586" i="1" s="1"/>
  <c r="Y586" i="1" s="1"/>
  <c r="Z586" i="1" s="1"/>
  <c r="AA586" i="1" s="1"/>
  <c r="AB586" i="1" s="1"/>
  <c r="AC586" i="1" s="1"/>
  <c r="AD586" i="1" s="1"/>
  <c r="AE586" i="1" s="1"/>
  <c r="AF586" i="1" s="1"/>
  <c r="AG586" i="1" s="1"/>
  <c r="AH586" i="1" s="1"/>
  <c r="AI586" i="1" s="1"/>
  <c r="AJ586" i="1" s="1"/>
  <c r="AK586" i="1" s="1"/>
  <c r="AL586" i="1" s="1"/>
  <c r="AM586" i="1" s="1"/>
  <c r="AN586" i="1" s="1"/>
  <c r="G584" i="1"/>
  <c r="H584" i="1" s="1"/>
  <c r="I584" i="1" s="1"/>
  <c r="J584" i="1" s="1"/>
  <c r="K584" i="1" s="1"/>
  <c r="L584" i="1" s="1"/>
  <c r="M584" i="1" s="1"/>
  <c r="N584" i="1" s="1"/>
  <c r="O584" i="1" s="1"/>
  <c r="P584" i="1" s="1"/>
  <c r="Q584" i="1" s="1"/>
  <c r="R584" i="1" s="1"/>
  <c r="S584" i="1" s="1"/>
  <c r="T584" i="1" s="1"/>
  <c r="U584" i="1" s="1"/>
  <c r="V584" i="1" s="1"/>
  <c r="W584" i="1" s="1"/>
  <c r="X584" i="1" s="1"/>
  <c r="Y584" i="1" s="1"/>
  <c r="Z584" i="1" s="1"/>
  <c r="AA584" i="1" s="1"/>
  <c r="AB584" i="1" s="1"/>
  <c r="AC584" i="1" s="1"/>
  <c r="AD584" i="1" s="1"/>
  <c r="AE584" i="1" s="1"/>
  <c r="AF584" i="1" s="1"/>
  <c r="AG584" i="1" s="1"/>
  <c r="AH584" i="1" s="1"/>
  <c r="AI584" i="1" s="1"/>
  <c r="AJ584" i="1" s="1"/>
  <c r="AK584" i="1" s="1"/>
  <c r="AL584" i="1" s="1"/>
  <c r="AM584" i="1" s="1"/>
  <c r="AN584" i="1" s="1"/>
  <c r="F584" i="1"/>
  <c r="F583" i="1"/>
  <c r="G583" i="1" s="1"/>
  <c r="H583" i="1" s="1"/>
  <c r="I583" i="1" s="1"/>
  <c r="J583" i="1" s="1"/>
  <c r="K583" i="1" s="1"/>
  <c r="L583" i="1" s="1"/>
  <c r="M583" i="1" s="1"/>
  <c r="N583" i="1" s="1"/>
  <c r="O583" i="1" s="1"/>
  <c r="P583" i="1" s="1"/>
  <c r="Q583" i="1" s="1"/>
  <c r="R583" i="1" s="1"/>
  <c r="S583" i="1" s="1"/>
  <c r="T583" i="1" s="1"/>
  <c r="U583" i="1" s="1"/>
  <c r="V583" i="1" s="1"/>
  <c r="W583" i="1" s="1"/>
  <c r="X583" i="1" s="1"/>
  <c r="Y583" i="1" s="1"/>
  <c r="Z583" i="1" s="1"/>
  <c r="AA583" i="1" s="1"/>
  <c r="AB583" i="1" s="1"/>
  <c r="AC583" i="1" s="1"/>
  <c r="AD583" i="1" s="1"/>
  <c r="AE583" i="1" s="1"/>
  <c r="AF583" i="1" s="1"/>
  <c r="AG583" i="1" s="1"/>
  <c r="AH583" i="1" s="1"/>
  <c r="AI583" i="1" s="1"/>
  <c r="AJ583" i="1" s="1"/>
  <c r="AK583" i="1" s="1"/>
  <c r="AL583" i="1" s="1"/>
  <c r="AM583" i="1" s="1"/>
  <c r="AN583" i="1" s="1"/>
  <c r="G582" i="1"/>
  <c r="H582" i="1" s="1"/>
  <c r="I582" i="1" s="1"/>
  <c r="J582" i="1" s="1"/>
  <c r="K582" i="1" s="1"/>
  <c r="L582" i="1" s="1"/>
  <c r="M582" i="1" s="1"/>
  <c r="N582" i="1" s="1"/>
  <c r="O582" i="1" s="1"/>
  <c r="P582" i="1" s="1"/>
  <c r="Q582" i="1" s="1"/>
  <c r="R582" i="1" s="1"/>
  <c r="S582" i="1" s="1"/>
  <c r="T582" i="1" s="1"/>
  <c r="U582" i="1" s="1"/>
  <c r="V582" i="1" s="1"/>
  <c r="W582" i="1" s="1"/>
  <c r="X582" i="1" s="1"/>
  <c r="Y582" i="1" s="1"/>
  <c r="Z582" i="1" s="1"/>
  <c r="AA582" i="1" s="1"/>
  <c r="AB582" i="1" s="1"/>
  <c r="AC582" i="1" s="1"/>
  <c r="AD582" i="1" s="1"/>
  <c r="AE582" i="1" s="1"/>
  <c r="AF582" i="1" s="1"/>
  <c r="AG582" i="1" s="1"/>
  <c r="AH582" i="1" s="1"/>
  <c r="AI582" i="1" s="1"/>
  <c r="AJ582" i="1" s="1"/>
  <c r="AK582" i="1" s="1"/>
  <c r="AL582" i="1" s="1"/>
  <c r="AM582" i="1" s="1"/>
  <c r="AN582" i="1" s="1"/>
  <c r="F582" i="1"/>
  <c r="F581" i="1"/>
  <c r="G581" i="1" s="1"/>
  <c r="H581" i="1" s="1"/>
  <c r="I581" i="1" s="1"/>
  <c r="J581" i="1" s="1"/>
  <c r="K581" i="1" s="1"/>
  <c r="L581" i="1" s="1"/>
  <c r="M581" i="1" s="1"/>
  <c r="N581" i="1" s="1"/>
  <c r="O581" i="1" s="1"/>
  <c r="P581" i="1" s="1"/>
  <c r="Q581" i="1" s="1"/>
  <c r="R581" i="1" s="1"/>
  <c r="S581" i="1" s="1"/>
  <c r="T581" i="1" s="1"/>
  <c r="U581" i="1" s="1"/>
  <c r="V581" i="1" s="1"/>
  <c r="W581" i="1" s="1"/>
  <c r="X581" i="1" s="1"/>
  <c r="Y581" i="1" s="1"/>
  <c r="Z581" i="1" s="1"/>
  <c r="AA581" i="1" s="1"/>
  <c r="AB581" i="1" s="1"/>
  <c r="AC581" i="1" s="1"/>
  <c r="AD581" i="1" s="1"/>
  <c r="AE581" i="1" s="1"/>
  <c r="AF581" i="1" s="1"/>
  <c r="AG581" i="1" s="1"/>
  <c r="AH581" i="1" s="1"/>
  <c r="AI581" i="1" s="1"/>
  <c r="AJ581" i="1" s="1"/>
  <c r="AK581" i="1" s="1"/>
  <c r="AL581" i="1" s="1"/>
  <c r="AM581" i="1" s="1"/>
  <c r="AN581" i="1" s="1"/>
  <c r="G580" i="1"/>
  <c r="H580" i="1" s="1"/>
  <c r="I580" i="1" s="1"/>
  <c r="J580" i="1" s="1"/>
  <c r="K580" i="1" s="1"/>
  <c r="L580" i="1" s="1"/>
  <c r="M580" i="1" s="1"/>
  <c r="N580" i="1" s="1"/>
  <c r="O580" i="1" s="1"/>
  <c r="P580" i="1" s="1"/>
  <c r="Q580" i="1" s="1"/>
  <c r="R580" i="1" s="1"/>
  <c r="S580" i="1" s="1"/>
  <c r="T580" i="1" s="1"/>
  <c r="U580" i="1" s="1"/>
  <c r="V580" i="1" s="1"/>
  <c r="W580" i="1" s="1"/>
  <c r="X580" i="1" s="1"/>
  <c r="Y580" i="1" s="1"/>
  <c r="Z580" i="1" s="1"/>
  <c r="AA580" i="1" s="1"/>
  <c r="AB580" i="1" s="1"/>
  <c r="AC580" i="1" s="1"/>
  <c r="AD580" i="1" s="1"/>
  <c r="AE580" i="1" s="1"/>
  <c r="AF580" i="1" s="1"/>
  <c r="AG580" i="1" s="1"/>
  <c r="AH580" i="1" s="1"/>
  <c r="AI580" i="1" s="1"/>
  <c r="AJ580" i="1" s="1"/>
  <c r="AK580" i="1" s="1"/>
  <c r="AL580" i="1" s="1"/>
  <c r="AM580" i="1" s="1"/>
  <c r="AN580" i="1" s="1"/>
  <c r="F580" i="1"/>
  <c r="F579" i="1"/>
  <c r="G579" i="1" s="1"/>
  <c r="H579" i="1" s="1"/>
  <c r="I579" i="1" s="1"/>
  <c r="J579" i="1" s="1"/>
  <c r="K579" i="1" s="1"/>
  <c r="L579" i="1" s="1"/>
  <c r="M579" i="1" s="1"/>
  <c r="N579" i="1" s="1"/>
  <c r="O579" i="1" s="1"/>
  <c r="P579" i="1" s="1"/>
  <c r="Q579" i="1" s="1"/>
  <c r="R579" i="1" s="1"/>
  <c r="S579" i="1" s="1"/>
  <c r="T579" i="1" s="1"/>
  <c r="U579" i="1" s="1"/>
  <c r="V579" i="1" s="1"/>
  <c r="W579" i="1" s="1"/>
  <c r="X579" i="1" s="1"/>
  <c r="Y579" i="1" s="1"/>
  <c r="Z579" i="1" s="1"/>
  <c r="AA579" i="1" s="1"/>
  <c r="AB579" i="1" s="1"/>
  <c r="AC579" i="1" s="1"/>
  <c r="AD579" i="1" s="1"/>
  <c r="AE579" i="1" s="1"/>
  <c r="AF579" i="1" s="1"/>
  <c r="AG579" i="1" s="1"/>
  <c r="AH579" i="1" s="1"/>
  <c r="AI579" i="1" s="1"/>
  <c r="AJ579" i="1" s="1"/>
  <c r="AK579" i="1" s="1"/>
  <c r="AL579" i="1" s="1"/>
  <c r="AM579" i="1" s="1"/>
  <c r="AN579" i="1" s="1"/>
  <c r="G577" i="1"/>
  <c r="H577" i="1" s="1"/>
  <c r="I577" i="1" s="1"/>
  <c r="J577" i="1" s="1"/>
  <c r="K577" i="1" s="1"/>
  <c r="L577" i="1" s="1"/>
  <c r="M577" i="1" s="1"/>
  <c r="N577" i="1" s="1"/>
  <c r="O577" i="1" s="1"/>
  <c r="P577" i="1" s="1"/>
  <c r="Q577" i="1" s="1"/>
  <c r="R577" i="1" s="1"/>
  <c r="S577" i="1" s="1"/>
  <c r="T577" i="1" s="1"/>
  <c r="U577" i="1" s="1"/>
  <c r="V577" i="1" s="1"/>
  <c r="W577" i="1" s="1"/>
  <c r="X577" i="1" s="1"/>
  <c r="Y577" i="1" s="1"/>
  <c r="Z577" i="1" s="1"/>
  <c r="AA577" i="1" s="1"/>
  <c r="AB577" i="1" s="1"/>
  <c r="AC577" i="1" s="1"/>
  <c r="AD577" i="1" s="1"/>
  <c r="AE577" i="1" s="1"/>
  <c r="AF577" i="1" s="1"/>
  <c r="AG577" i="1" s="1"/>
  <c r="AH577" i="1" s="1"/>
  <c r="AI577" i="1" s="1"/>
  <c r="AJ577" i="1" s="1"/>
  <c r="AK577" i="1" s="1"/>
  <c r="AL577" i="1" s="1"/>
  <c r="AM577" i="1" s="1"/>
  <c r="AN577" i="1" s="1"/>
  <c r="G576" i="1"/>
  <c r="H576" i="1" s="1"/>
  <c r="I576" i="1" s="1"/>
  <c r="J576" i="1" s="1"/>
  <c r="K576" i="1" s="1"/>
  <c r="L576" i="1" s="1"/>
  <c r="M576" i="1" s="1"/>
  <c r="N576" i="1" s="1"/>
  <c r="O576" i="1" s="1"/>
  <c r="P576" i="1" s="1"/>
  <c r="Q576" i="1" s="1"/>
  <c r="R576" i="1" s="1"/>
  <c r="S576" i="1" s="1"/>
  <c r="T576" i="1" s="1"/>
  <c r="U576" i="1" s="1"/>
  <c r="V576" i="1" s="1"/>
  <c r="W576" i="1" s="1"/>
  <c r="X576" i="1" s="1"/>
  <c r="Y576" i="1" s="1"/>
  <c r="Z576" i="1" s="1"/>
  <c r="AA576" i="1" s="1"/>
  <c r="AB576" i="1" s="1"/>
  <c r="AC576" i="1" s="1"/>
  <c r="AD576" i="1" s="1"/>
  <c r="AE576" i="1" s="1"/>
  <c r="AF576" i="1" s="1"/>
  <c r="AG576" i="1" s="1"/>
  <c r="AH576" i="1" s="1"/>
  <c r="AI576" i="1" s="1"/>
  <c r="AJ576" i="1" s="1"/>
  <c r="AK576" i="1" s="1"/>
  <c r="AL576" i="1" s="1"/>
  <c r="AM576" i="1" s="1"/>
  <c r="AN576" i="1" s="1"/>
  <c r="G575" i="1"/>
  <c r="H575" i="1" s="1"/>
  <c r="I575" i="1" s="1"/>
  <c r="J575" i="1" s="1"/>
  <c r="K575" i="1" s="1"/>
  <c r="L575" i="1" s="1"/>
  <c r="M575" i="1" s="1"/>
  <c r="N575" i="1" s="1"/>
  <c r="O575" i="1" s="1"/>
  <c r="P575" i="1" s="1"/>
  <c r="Q575" i="1" s="1"/>
  <c r="R575" i="1" s="1"/>
  <c r="S575" i="1" s="1"/>
  <c r="T575" i="1" s="1"/>
  <c r="U575" i="1" s="1"/>
  <c r="V575" i="1" s="1"/>
  <c r="W575" i="1" s="1"/>
  <c r="X575" i="1" s="1"/>
  <c r="Y575" i="1" s="1"/>
  <c r="Z575" i="1" s="1"/>
  <c r="AA575" i="1" s="1"/>
  <c r="AB575" i="1" s="1"/>
  <c r="AC575" i="1" s="1"/>
  <c r="AD575" i="1" s="1"/>
  <c r="AE575" i="1" s="1"/>
  <c r="AF575" i="1" s="1"/>
  <c r="AG575" i="1" s="1"/>
  <c r="AH575" i="1" s="1"/>
  <c r="AI575" i="1" s="1"/>
  <c r="AJ575" i="1" s="1"/>
  <c r="AK575" i="1" s="1"/>
  <c r="AL575" i="1" s="1"/>
  <c r="AM575" i="1" s="1"/>
  <c r="AN575" i="1" s="1"/>
  <c r="G574" i="1"/>
  <c r="H574" i="1" s="1"/>
  <c r="I574" i="1" s="1"/>
  <c r="J574" i="1" s="1"/>
  <c r="K574" i="1" s="1"/>
  <c r="L574" i="1" s="1"/>
  <c r="M574" i="1" s="1"/>
  <c r="N574" i="1" s="1"/>
  <c r="O574" i="1" s="1"/>
  <c r="P574" i="1" s="1"/>
  <c r="Q574" i="1" s="1"/>
  <c r="R574" i="1" s="1"/>
  <c r="S574" i="1" s="1"/>
  <c r="T574" i="1" s="1"/>
  <c r="U574" i="1" s="1"/>
  <c r="V574" i="1" s="1"/>
  <c r="W574" i="1" s="1"/>
  <c r="X574" i="1" s="1"/>
  <c r="Y574" i="1" s="1"/>
  <c r="Z574" i="1" s="1"/>
  <c r="AA574" i="1" s="1"/>
  <c r="AB574" i="1" s="1"/>
  <c r="AC574" i="1" s="1"/>
  <c r="AD574" i="1" s="1"/>
  <c r="AE574" i="1" s="1"/>
  <c r="AF574" i="1" s="1"/>
  <c r="AG574" i="1" s="1"/>
  <c r="AH574" i="1" s="1"/>
  <c r="AI574" i="1" s="1"/>
  <c r="AJ574" i="1" s="1"/>
  <c r="AK574" i="1" s="1"/>
  <c r="AL574" i="1" s="1"/>
  <c r="AM574" i="1" s="1"/>
  <c r="AN574" i="1" s="1"/>
  <c r="G573" i="1"/>
  <c r="H573" i="1" s="1"/>
  <c r="I573" i="1" s="1"/>
  <c r="J573" i="1" s="1"/>
  <c r="K573" i="1" s="1"/>
  <c r="L573" i="1" s="1"/>
  <c r="M573" i="1" s="1"/>
  <c r="N573" i="1" s="1"/>
  <c r="O573" i="1" s="1"/>
  <c r="P573" i="1" s="1"/>
  <c r="Q573" i="1" s="1"/>
  <c r="R573" i="1" s="1"/>
  <c r="S573" i="1" s="1"/>
  <c r="T573" i="1" s="1"/>
  <c r="U573" i="1" s="1"/>
  <c r="V573" i="1" s="1"/>
  <c r="W573" i="1" s="1"/>
  <c r="X573" i="1" s="1"/>
  <c r="Y573" i="1" s="1"/>
  <c r="Z573" i="1" s="1"/>
  <c r="AA573" i="1" s="1"/>
  <c r="AB573" i="1" s="1"/>
  <c r="AC573" i="1" s="1"/>
  <c r="AD573" i="1" s="1"/>
  <c r="AE573" i="1" s="1"/>
  <c r="AF573" i="1" s="1"/>
  <c r="AG573" i="1" s="1"/>
  <c r="AH573" i="1" s="1"/>
  <c r="AI573" i="1" s="1"/>
  <c r="AJ573" i="1" s="1"/>
  <c r="AK573" i="1" s="1"/>
  <c r="AL573" i="1" s="1"/>
  <c r="AM573" i="1" s="1"/>
  <c r="AN573" i="1" s="1"/>
  <c r="G572" i="1"/>
  <c r="H572" i="1" s="1"/>
  <c r="I572" i="1" s="1"/>
  <c r="J572" i="1" s="1"/>
  <c r="K572" i="1" s="1"/>
  <c r="L572" i="1" s="1"/>
  <c r="M572" i="1" s="1"/>
  <c r="N572" i="1" s="1"/>
  <c r="O572" i="1" s="1"/>
  <c r="P572" i="1" s="1"/>
  <c r="Q572" i="1" s="1"/>
  <c r="R572" i="1" s="1"/>
  <c r="S572" i="1" s="1"/>
  <c r="T572" i="1" s="1"/>
  <c r="U572" i="1" s="1"/>
  <c r="V572" i="1" s="1"/>
  <c r="W572" i="1" s="1"/>
  <c r="X572" i="1" s="1"/>
  <c r="Y572" i="1" s="1"/>
  <c r="Z572" i="1" s="1"/>
  <c r="AA572" i="1" s="1"/>
  <c r="AB572" i="1" s="1"/>
  <c r="AC572" i="1" s="1"/>
  <c r="AD572" i="1" s="1"/>
  <c r="AE572" i="1" s="1"/>
  <c r="AF572" i="1" s="1"/>
  <c r="AG572" i="1" s="1"/>
  <c r="AH572" i="1" s="1"/>
  <c r="AI572" i="1" s="1"/>
  <c r="AJ572" i="1" s="1"/>
  <c r="AK572" i="1" s="1"/>
  <c r="AL572" i="1" s="1"/>
  <c r="AM572" i="1" s="1"/>
  <c r="AN572" i="1" s="1"/>
  <c r="F577" i="1"/>
  <c r="F576" i="1"/>
  <c r="F575" i="1"/>
  <c r="F574" i="1"/>
  <c r="F573" i="1"/>
  <c r="F572" i="1"/>
  <c r="G629" i="1"/>
  <c r="H629" i="1" s="1"/>
  <c r="I629" i="1" s="1"/>
  <c r="J629" i="1" s="1"/>
  <c r="K629" i="1" s="1"/>
  <c r="L629" i="1" s="1"/>
  <c r="M629" i="1" s="1"/>
  <c r="N629" i="1" s="1"/>
  <c r="O629" i="1" s="1"/>
  <c r="P629" i="1" s="1"/>
  <c r="Q629" i="1" s="1"/>
  <c r="R629" i="1" s="1"/>
  <c r="S629" i="1" s="1"/>
  <c r="T629" i="1" s="1"/>
  <c r="U629" i="1" s="1"/>
  <c r="V629" i="1" s="1"/>
  <c r="W629" i="1" s="1"/>
  <c r="X629" i="1" s="1"/>
  <c r="Y629" i="1" s="1"/>
  <c r="Z629" i="1" s="1"/>
  <c r="AA629" i="1" s="1"/>
  <c r="AB629" i="1" s="1"/>
  <c r="AC629" i="1" s="1"/>
  <c r="AD629" i="1" s="1"/>
  <c r="AE629" i="1" s="1"/>
  <c r="AF629" i="1" s="1"/>
  <c r="AG629" i="1" s="1"/>
  <c r="AH629" i="1" s="1"/>
  <c r="AI629" i="1" s="1"/>
  <c r="AJ629" i="1" s="1"/>
  <c r="AK629" i="1" s="1"/>
  <c r="AL629" i="1" s="1"/>
  <c r="AM629" i="1" s="1"/>
  <c r="AN629" i="1" s="1"/>
  <c r="F629" i="1"/>
  <c r="F628" i="1"/>
  <c r="G628" i="1" s="1"/>
  <c r="H628" i="1" s="1"/>
  <c r="I628" i="1" s="1"/>
  <c r="J628" i="1" s="1"/>
  <c r="K628" i="1" s="1"/>
  <c r="L628" i="1" s="1"/>
  <c r="M628" i="1" s="1"/>
  <c r="N628" i="1" s="1"/>
  <c r="O628" i="1" s="1"/>
  <c r="P628" i="1" s="1"/>
  <c r="Q628" i="1" s="1"/>
  <c r="R628" i="1" s="1"/>
  <c r="S628" i="1" s="1"/>
  <c r="T628" i="1" s="1"/>
  <c r="U628" i="1" s="1"/>
  <c r="V628" i="1" s="1"/>
  <c r="W628" i="1" s="1"/>
  <c r="X628" i="1" s="1"/>
  <c r="Y628" i="1" s="1"/>
  <c r="Z628" i="1" s="1"/>
  <c r="AA628" i="1" s="1"/>
  <c r="AB628" i="1" s="1"/>
  <c r="AC628" i="1" s="1"/>
  <c r="AD628" i="1" s="1"/>
  <c r="AE628" i="1" s="1"/>
  <c r="AF628" i="1" s="1"/>
  <c r="AG628" i="1" s="1"/>
  <c r="AH628" i="1" s="1"/>
  <c r="AI628" i="1" s="1"/>
  <c r="AJ628" i="1" s="1"/>
  <c r="AK628" i="1" s="1"/>
  <c r="AL628" i="1" s="1"/>
  <c r="AM628" i="1" s="1"/>
  <c r="AN628" i="1" s="1"/>
  <c r="G627" i="1"/>
  <c r="H627" i="1" s="1"/>
  <c r="I627" i="1" s="1"/>
  <c r="J627" i="1" s="1"/>
  <c r="K627" i="1" s="1"/>
  <c r="L627" i="1" s="1"/>
  <c r="M627" i="1" s="1"/>
  <c r="N627" i="1" s="1"/>
  <c r="O627" i="1" s="1"/>
  <c r="P627" i="1" s="1"/>
  <c r="Q627" i="1" s="1"/>
  <c r="R627" i="1" s="1"/>
  <c r="S627" i="1" s="1"/>
  <c r="T627" i="1" s="1"/>
  <c r="U627" i="1" s="1"/>
  <c r="V627" i="1" s="1"/>
  <c r="W627" i="1" s="1"/>
  <c r="X627" i="1" s="1"/>
  <c r="Y627" i="1" s="1"/>
  <c r="Z627" i="1" s="1"/>
  <c r="AA627" i="1" s="1"/>
  <c r="AB627" i="1" s="1"/>
  <c r="AC627" i="1" s="1"/>
  <c r="AD627" i="1" s="1"/>
  <c r="AE627" i="1" s="1"/>
  <c r="AF627" i="1" s="1"/>
  <c r="AG627" i="1" s="1"/>
  <c r="AH627" i="1" s="1"/>
  <c r="AI627" i="1" s="1"/>
  <c r="AJ627" i="1" s="1"/>
  <c r="AK627" i="1" s="1"/>
  <c r="AL627" i="1" s="1"/>
  <c r="AM627" i="1" s="1"/>
  <c r="AN627" i="1" s="1"/>
  <c r="F627" i="1"/>
  <c r="F626" i="1"/>
  <c r="G626" i="1" s="1"/>
  <c r="H626" i="1" s="1"/>
  <c r="I626" i="1" s="1"/>
  <c r="J626" i="1" s="1"/>
  <c r="K626" i="1" s="1"/>
  <c r="L626" i="1" s="1"/>
  <c r="M626" i="1" s="1"/>
  <c r="N626" i="1" s="1"/>
  <c r="O626" i="1" s="1"/>
  <c r="P626" i="1" s="1"/>
  <c r="Q626" i="1" s="1"/>
  <c r="R626" i="1" s="1"/>
  <c r="S626" i="1" s="1"/>
  <c r="T626" i="1" s="1"/>
  <c r="U626" i="1" s="1"/>
  <c r="V626" i="1" s="1"/>
  <c r="W626" i="1" s="1"/>
  <c r="X626" i="1" s="1"/>
  <c r="Y626" i="1" s="1"/>
  <c r="Z626" i="1" s="1"/>
  <c r="AA626" i="1" s="1"/>
  <c r="AB626" i="1" s="1"/>
  <c r="AC626" i="1" s="1"/>
  <c r="AD626" i="1" s="1"/>
  <c r="AE626" i="1" s="1"/>
  <c r="AF626" i="1" s="1"/>
  <c r="AG626" i="1" s="1"/>
  <c r="AH626" i="1" s="1"/>
  <c r="AI626" i="1" s="1"/>
  <c r="AJ626" i="1" s="1"/>
  <c r="AK626" i="1" s="1"/>
  <c r="AL626" i="1" s="1"/>
  <c r="AM626" i="1" s="1"/>
  <c r="AN626" i="1" s="1"/>
  <c r="G625" i="1"/>
  <c r="H625" i="1" s="1"/>
  <c r="I625" i="1" s="1"/>
  <c r="J625" i="1" s="1"/>
  <c r="K625" i="1" s="1"/>
  <c r="L625" i="1" s="1"/>
  <c r="M625" i="1" s="1"/>
  <c r="N625" i="1" s="1"/>
  <c r="O625" i="1" s="1"/>
  <c r="P625" i="1" s="1"/>
  <c r="Q625" i="1" s="1"/>
  <c r="R625" i="1" s="1"/>
  <c r="S625" i="1" s="1"/>
  <c r="T625" i="1" s="1"/>
  <c r="U625" i="1" s="1"/>
  <c r="V625" i="1" s="1"/>
  <c r="W625" i="1" s="1"/>
  <c r="X625" i="1" s="1"/>
  <c r="Y625" i="1" s="1"/>
  <c r="Z625" i="1" s="1"/>
  <c r="AA625" i="1" s="1"/>
  <c r="AB625" i="1" s="1"/>
  <c r="AC625" i="1" s="1"/>
  <c r="AD625" i="1" s="1"/>
  <c r="AE625" i="1" s="1"/>
  <c r="AF625" i="1" s="1"/>
  <c r="AG625" i="1" s="1"/>
  <c r="AH625" i="1" s="1"/>
  <c r="AI625" i="1" s="1"/>
  <c r="AJ625" i="1" s="1"/>
  <c r="AK625" i="1" s="1"/>
  <c r="AL625" i="1" s="1"/>
  <c r="AM625" i="1" s="1"/>
  <c r="AN625" i="1" s="1"/>
  <c r="F625" i="1"/>
  <c r="F624" i="1"/>
  <c r="G624" i="1" s="1"/>
  <c r="H624" i="1" s="1"/>
  <c r="I624" i="1" s="1"/>
  <c r="J624" i="1" s="1"/>
  <c r="K624" i="1" s="1"/>
  <c r="L624" i="1" s="1"/>
  <c r="M624" i="1" s="1"/>
  <c r="N624" i="1" s="1"/>
  <c r="O624" i="1" s="1"/>
  <c r="P624" i="1" s="1"/>
  <c r="Q624" i="1" s="1"/>
  <c r="R624" i="1" s="1"/>
  <c r="S624" i="1" s="1"/>
  <c r="T624" i="1" s="1"/>
  <c r="U624" i="1" s="1"/>
  <c r="V624" i="1" s="1"/>
  <c r="W624" i="1" s="1"/>
  <c r="X624" i="1" s="1"/>
  <c r="Y624" i="1" s="1"/>
  <c r="Z624" i="1" s="1"/>
  <c r="AA624" i="1" s="1"/>
  <c r="AB624" i="1" s="1"/>
  <c r="AC624" i="1" s="1"/>
  <c r="AD624" i="1" s="1"/>
  <c r="AE624" i="1" s="1"/>
  <c r="AF624" i="1" s="1"/>
  <c r="AG624" i="1" s="1"/>
  <c r="AH624" i="1" s="1"/>
  <c r="AI624" i="1" s="1"/>
  <c r="AJ624" i="1" s="1"/>
  <c r="AK624" i="1" s="1"/>
  <c r="AL624" i="1" s="1"/>
  <c r="AM624" i="1" s="1"/>
  <c r="AN624" i="1" s="1"/>
  <c r="F622" i="1"/>
  <c r="G622" i="1" s="1"/>
  <c r="H622" i="1" s="1"/>
  <c r="I622" i="1" s="1"/>
  <c r="J622" i="1" s="1"/>
  <c r="K622" i="1" s="1"/>
  <c r="L622" i="1" s="1"/>
  <c r="M622" i="1" s="1"/>
  <c r="N622" i="1" s="1"/>
  <c r="O622" i="1" s="1"/>
  <c r="P622" i="1" s="1"/>
  <c r="Q622" i="1" s="1"/>
  <c r="R622" i="1" s="1"/>
  <c r="S622" i="1" s="1"/>
  <c r="T622" i="1" s="1"/>
  <c r="U622" i="1" s="1"/>
  <c r="V622" i="1" s="1"/>
  <c r="W622" i="1" s="1"/>
  <c r="X622" i="1" s="1"/>
  <c r="Y622" i="1" s="1"/>
  <c r="Z622" i="1" s="1"/>
  <c r="AA622" i="1" s="1"/>
  <c r="AB622" i="1" s="1"/>
  <c r="AC622" i="1" s="1"/>
  <c r="AD622" i="1" s="1"/>
  <c r="AE622" i="1" s="1"/>
  <c r="AF622" i="1" s="1"/>
  <c r="AG622" i="1" s="1"/>
  <c r="AH622" i="1" s="1"/>
  <c r="AI622" i="1" s="1"/>
  <c r="AJ622" i="1" s="1"/>
  <c r="AK622" i="1" s="1"/>
  <c r="AL622" i="1" s="1"/>
  <c r="AM622" i="1" s="1"/>
  <c r="AN622" i="1" s="1"/>
  <c r="F621" i="1"/>
  <c r="G621" i="1" s="1"/>
  <c r="H621" i="1" s="1"/>
  <c r="I621" i="1" s="1"/>
  <c r="J621" i="1" s="1"/>
  <c r="K621" i="1" s="1"/>
  <c r="L621" i="1" s="1"/>
  <c r="M621" i="1" s="1"/>
  <c r="N621" i="1" s="1"/>
  <c r="O621" i="1" s="1"/>
  <c r="P621" i="1" s="1"/>
  <c r="Q621" i="1" s="1"/>
  <c r="R621" i="1" s="1"/>
  <c r="S621" i="1" s="1"/>
  <c r="T621" i="1" s="1"/>
  <c r="U621" i="1" s="1"/>
  <c r="V621" i="1" s="1"/>
  <c r="W621" i="1" s="1"/>
  <c r="X621" i="1" s="1"/>
  <c r="Y621" i="1" s="1"/>
  <c r="Z621" i="1" s="1"/>
  <c r="AA621" i="1" s="1"/>
  <c r="AB621" i="1" s="1"/>
  <c r="AC621" i="1" s="1"/>
  <c r="AD621" i="1" s="1"/>
  <c r="AE621" i="1" s="1"/>
  <c r="AF621" i="1" s="1"/>
  <c r="AG621" i="1" s="1"/>
  <c r="AH621" i="1" s="1"/>
  <c r="AI621" i="1" s="1"/>
  <c r="AJ621" i="1" s="1"/>
  <c r="AK621" i="1" s="1"/>
  <c r="AL621" i="1" s="1"/>
  <c r="AM621" i="1" s="1"/>
  <c r="AN621" i="1" s="1"/>
  <c r="F620" i="1"/>
  <c r="G620" i="1" s="1"/>
  <c r="H620" i="1" s="1"/>
  <c r="I620" i="1" s="1"/>
  <c r="J620" i="1" s="1"/>
  <c r="K620" i="1" s="1"/>
  <c r="L620" i="1" s="1"/>
  <c r="M620" i="1" s="1"/>
  <c r="N620" i="1" s="1"/>
  <c r="O620" i="1" s="1"/>
  <c r="P620" i="1" s="1"/>
  <c r="Q620" i="1" s="1"/>
  <c r="R620" i="1" s="1"/>
  <c r="S620" i="1" s="1"/>
  <c r="T620" i="1" s="1"/>
  <c r="U620" i="1" s="1"/>
  <c r="V620" i="1" s="1"/>
  <c r="W620" i="1" s="1"/>
  <c r="X620" i="1" s="1"/>
  <c r="Y620" i="1" s="1"/>
  <c r="Z620" i="1" s="1"/>
  <c r="AA620" i="1" s="1"/>
  <c r="AB620" i="1" s="1"/>
  <c r="AC620" i="1" s="1"/>
  <c r="AD620" i="1" s="1"/>
  <c r="AE620" i="1" s="1"/>
  <c r="AF620" i="1" s="1"/>
  <c r="AG620" i="1" s="1"/>
  <c r="AH620" i="1" s="1"/>
  <c r="AI620" i="1" s="1"/>
  <c r="AJ620" i="1" s="1"/>
  <c r="AK620" i="1" s="1"/>
  <c r="AL620" i="1" s="1"/>
  <c r="AM620" i="1" s="1"/>
  <c r="AN620" i="1" s="1"/>
  <c r="F619" i="1"/>
  <c r="G619" i="1" s="1"/>
  <c r="H619" i="1" s="1"/>
  <c r="I619" i="1" s="1"/>
  <c r="J619" i="1" s="1"/>
  <c r="K619" i="1" s="1"/>
  <c r="L619" i="1" s="1"/>
  <c r="M619" i="1" s="1"/>
  <c r="N619" i="1" s="1"/>
  <c r="O619" i="1" s="1"/>
  <c r="P619" i="1" s="1"/>
  <c r="Q619" i="1" s="1"/>
  <c r="R619" i="1" s="1"/>
  <c r="S619" i="1" s="1"/>
  <c r="T619" i="1" s="1"/>
  <c r="U619" i="1" s="1"/>
  <c r="V619" i="1" s="1"/>
  <c r="W619" i="1" s="1"/>
  <c r="X619" i="1" s="1"/>
  <c r="Y619" i="1" s="1"/>
  <c r="Z619" i="1" s="1"/>
  <c r="AA619" i="1" s="1"/>
  <c r="AB619" i="1" s="1"/>
  <c r="AC619" i="1" s="1"/>
  <c r="AD619" i="1" s="1"/>
  <c r="AE619" i="1" s="1"/>
  <c r="AF619" i="1" s="1"/>
  <c r="AG619" i="1" s="1"/>
  <c r="AH619" i="1" s="1"/>
  <c r="AI619" i="1" s="1"/>
  <c r="AJ619" i="1" s="1"/>
  <c r="AK619" i="1" s="1"/>
  <c r="AL619" i="1" s="1"/>
  <c r="AM619" i="1" s="1"/>
  <c r="AN619" i="1" s="1"/>
  <c r="F618" i="1"/>
  <c r="G618" i="1" s="1"/>
  <c r="H618" i="1" s="1"/>
  <c r="I618" i="1" s="1"/>
  <c r="J618" i="1" s="1"/>
  <c r="K618" i="1" s="1"/>
  <c r="L618" i="1" s="1"/>
  <c r="M618" i="1" s="1"/>
  <c r="N618" i="1" s="1"/>
  <c r="O618" i="1" s="1"/>
  <c r="P618" i="1" s="1"/>
  <c r="Q618" i="1" s="1"/>
  <c r="R618" i="1" s="1"/>
  <c r="S618" i="1" s="1"/>
  <c r="T618" i="1" s="1"/>
  <c r="U618" i="1" s="1"/>
  <c r="V618" i="1" s="1"/>
  <c r="W618" i="1" s="1"/>
  <c r="X618" i="1" s="1"/>
  <c r="Y618" i="1" s="1"/>
  <c r="Z618" i="1" s="1"/>
  <c r="AA618" i="1" s="1"/>
  <c r="AB618" i="1" s="1"/>
  <c r="AC618" i="1" s="1"/>
  <c r="AD618" i="1" s="1"/>
  <c r="AE618" i="1" s="1"/>
  <c r="AF618" i="1" s="1"/>
  <c r="AG618" i="1" s="1"/>
  <c r="AH618" i="1" s="1"/>
  <c r="AI618" i="1" s="1"/>
  <c r="AJ618" i="1" s="1"/>
  <c r="AK618" i="1" s="1"/>
  <c r="AL618" i="1" s="1"/>
  <c r="AM618" i="1" s="1"/>
  <c r="AN618" i="1" s="1"/>
  <c r="F617" i="1"/>
  <c r="G617" i="1" s="1"/>
  <c r="H617" i="1" s="1"/>
  <c r="I617" i="1" s="1"/>
  <c r="J617" i="1" s="1"/>
  <c r="K617" i="1" s="1"/>
  <c r="L617" i="1" s="1"/>
  <c r="M617" i="1" s="1"/>
  <c r="N617" i="1" s="1"/>
  <c r="O617" i="1" s="1"/>
  <c r="P617" i="1" s="1"/>
  <c r="Q617" i="1" s="1"/>
  <c r="R617" i="1" s="1"/>
  <c r="S617" i="1" s="1"/>
  <c r="T617" i="1" s="1"/>
  <c r="U617" i="1" s="1"/>
  <c r="V617" i="1" s="1"/>
  <c r="W617" i="1" s="1"/>
  <c r="X617" i="1" s="1"/>
  <c r="Y617" i="1" s="1"/>
  <c r="Z617" i="1" s="1"/>
  <c r="AA617" i="1" s="1"/>
  <c r="AB617" i="1" s="1"/>
  <c r="AC617" i="1" s="1"/>
  <c r="AD617" i="1" s="1"/>
  <c r="AE617" i="1" s="1"/>
  <c r="AF617" i="1" s="1"/>
  <c r="AG617" i="1" s="1"/>
  <c r="AH617" i="1" s="1"/>
  <c r="AI617" i="1" s="1"/>
  <c r="AJ617" i="1" s="1"/>
  <c r="AK617" i="1" s="1"/>
  <c r="AL617" i="1" s="1"/>
  <c r="AM617" i="1" s="1"/>
  <c r="AN617" i="1" s="1"/>
  <c r="F615" i="1"/>
  <c r="G615" i="1" s="1"/>
  <c r="H615" i="1" s="1"/>
  <c r="I615" i="1" s="1"/>
  <c r="J615" i="1" s="1"/>
  <c r="K615" i="1" s="1"/>
  <c r="L615" i="1" s="1"/>
  <c r="M615" i="1" s="1"/>
  <c r="N615" i="1" s="1"/>
  <c r="O615" i="1" s="1"/>
  <c r="P615" i="1" s="1"/>
  <c r="Q615" i="1" s="1"/>
  <c r="R615" i="1" s="1"/>
  <c r="S615" i="1" s="1"/>
  <c r="T615" i="1" s="1"/>
  <c r="U615" i="1" s="1"/>
  <c r="V615" i="1" s="1"/>
  <c r="W615" i="1" s="1"/>
  <c r="X615" i="1" s="1"/>
  <c r="Y615" i="1" s="1"/>
  <c r="Z615" i="1" s="1"/>
  <c r="AA615" i="1" s="1"/>
  <c r="AB615" i="1" s="1"/>
  <c r="AC615" i="1" s="1"/>
  <c r="AD615" i="1" s="1"/>
  <c r="AE615" i="1" s="1"/>
  <c r="AF615" i="1" s="1"/>
  <c r="AG615" i="1" s="1"/>
  <c r="AH615" i="1" s="1"/>
  <c r="AI615" i="1" s="1"/>
  <c r="AJ615" i="1" s="1"/>
  <c r="AK615" i="1" s="1"/>
  <c r="AL615" i="1" s="1"/>
  <c r="AM615" i="1" s="1"/>
  <c r="AN615" i="1" s="1"/>
  <c r="F614" i="1"/>
  <c r="G614" i="1" s="1"/>
  <c r="H614" i="1" s="1"/>
  <c r="I614" i="1" s="1"/>
  <c r="J614" i="1" s="1"/>
  <c r="K614" i="1" s="1"/>
  <c r="L614" i="1" s="1"/>
  <c r="M614" i="1" s="1"/>
  <c r="N614" i="1" s="1"/>
  <c r="O614" i="1" s="1"/>
  <c r="P614" i="1" s="1"/>
  <c r="Q614" i="1" s="1"/>
  <c r="R614" i="1" s="1"/>
  <c r="S614" i="1" s="1"/>
  <c r="T614" i="1" s="1"/>
  <c r="U614" i="1" s="1"/>
  <c r="V614" i="1" s="1"/>
  <c r="W614" i="1" s="1"/>
  <c r="X614" i="1" s="1"/>
  <c r="Y614" i="1" s="1"/>
  <c r="Z614" i="1" s="1"/>
  <c r="AA614" i="1" s="1"/>
  <c r="AB614" i="1" s="1"/>
  <c r="AC614" i="1" s="1"/>
  <c r="AD614" i="1" s="1"/>
  <c r="AE614" i="1" s="1"/>
  <c r="AF614" i="1" s="1"/>
  <c r="AG614" i="1" s="1"/>
  <c r="AH614" i="1" s="1"/>
  <c r="AI614" i="1" s="1"/>
  <c r="AJ614" i="1" s="1"/>
  <c r="AK614" i="1" s="1"/>
  <c r="AL614" i="1" s="1"/>
  <c r="AM614" i="1" s="1"/>
  <c r="AN614" i="1" s="1"/>
  <c r="F613" i="1"/>
  <c r="G613" i="1" s="1"/>
  <c r="H613" i="1" s="1"/>
  <c r="I613" i="1" s="1"/>
  <c r="J613" i="1" s="1"/>
  <c r="K613" i="1" s="1"/>
  <c r="L613" i="1" s="1"/>
  <c r="M613" i="1" s="1"/>
  <c r="N613" i="1" s="1"/>
  <c r="O613" i="1" s="1"/>
  <c r="P613" i="1" s="1"/>
  <c r="Q613" i="1" s="1"/>
  <c r="R613" i="1" s="1"/>
  <c r="S613" i="1" s="1"/>
  <c r="T613" i="1" s="1"/>
  <c r="U613" i="1" s="1"/>
  <c r="V613" i="1" s="1"/>
  <c r="W613" i="1" s="1"/>
  <c r="X613" i="1" s="1"/>
  <c r="Y613" i="1" s="1"/>
  <c r="Z613" i="1" s="1"/>
  <c r="AA613" i="1" s="1"/>
  <c r="AB613" i="1" s="1"/>
  <c r="AC613" i="1" s="1"/>
  <c r="AD613" i="1" s="1"/>
  <c r="AE613" i="1" s="1"/>
  <c r="AF613" i="1" s="1"/>
  <c r="AG613" i="1" s="1"/>
  <c r="AH613" i="1" s="1"/>
  <c r="AI613" i="1" s="1"/>
  <c r="AJ613" i="1" s="1"/>
  <c r="AK613" i="1" s="1"/>
  <c r="AL613" i="1" s="1"/>
  <c r="AM613" i="1" s="1"/>
  <c r="AN613" i="1" s="1"/>
  <c r="F612" i="1"/>
  <c r="G612" i="1" s="1"/>
  <c r="H612" i="1" s="1"/>
  <c r="I612" i="1" s="1"/>
  <c r="J612" i="1" s="1"/>
  <c r="K612" i="1" s="1"/>
  <c r="L612" i="1" s="1"/>
  <c r="M612" i="1" s="1"/>
  <c r="N612" i="1" s="1"/>
  <c r="O612" i="1" s="1"/>
  <c r="P612" i="1" s="1"/>
  <c r="Q612" i="1" s="1"/>
  <c r="R612" i="1" s="1"/>
  <c r="S612" i="1" s="1"/>
  <c r="T612" i="1" s="1"/>
  <c r="U612" i="1" s="1"/>
  <c r="V612" i="1" s="1"/>
  <c r="W612" i="1" s="1"/>
  <c r="X612" i="1" s="1"/>
  <c r="Y612" i="1" s="1"/>
  <c r="Z612" i="1" s="1"/>
  <c r="AA612" i="1" s="1"/>
  <c r="AB612" i="1" s="1"/>
  <c r="AC612" i="1" s="1"/>
  <c r="AD612" i="1" s="1"/>
  <c r="AE612" i="1" s="1"/>
  <c r="AF612" i="1" s="1"/>
  <c r="AG612" i="1" s="1"/>
  <c r="AH612" i="1" s="1"/>
  <c r="AI612" i="1" s="1"/>
  <c r="AJ612" i="1" s="1"/>
  <c r="AK612" i="1" s="1"/>
  <c r="AL612" i="1" s="1"/>
  <c r="AM612" i="1" s="1"/>
  <c r="AN612" i="1" s="1"/>
  <c r="F611" i="1"/>
  <c r="G611" i="1" s="1"/>
  <c r="H611" i="1" s="1"/>
  <c r="I611" i="1" s="1"/>
  <c r="J611" i="1" s="1"/>
  <c r="K611" i="1" s="1"/>
  <c r="L611" i="1" s="1"/>
  <c r="M611" i="1" s="1"/>
  <c r="N611" i="1" s="1"/>
  <c r="O611" i="1" s="1"/>
  <c r="P611" i="1" s="1"/>
  <c r="Q611" i="1" s="1"/>
  <c r="R611" i="1" s="1"/>
  <c r="S611" i="1" s="1"/>
  <c r="T611" i="1" s="1"/>
  <c r="U611" i="1" s="1"/>
  <c r="V611" i="1" s="1"/>
  <c r="W611" i="1" s="1"/>
  <c r="X611" i="1" s="1"/>
  <c r="Y611" i="1" s="1"/>
  <c r="Z611" i="1" s="1"/>
  <c r="AA611" i="1" s="1"/>
  <c r="AB611" i="1" s="1"/>
  <c r="AC611" i="1" s="1"/>
  <c r="AD611" i="1" s="1"/>
  <c r="AE611" i="1" s="1"/>
  <c r="AF611" i="1" s="1"/>
  <c r="AG611" i="1" s="1"/>
  <c r="AH611" i="1" s="1"/>
  <c r="AI611" i="1" s="1"/>
  <c r="AJ611" i="1" s="1"/>
  <c r="AK611" i="1" s="1"/>
  <c r="AL611" i="1" s="1"/>
  <c r="AM611" i="1" s="1"/>
  <c r="AN611" i="1" s="1"/>
  <c r="F610" i="1"/>
  <c r="G610" i="1" s="1"/>
  <c r="H610" i="1" s="1"/>
  <c r="I610" i="1" s="1"/>
  <c r="J610" i="1" s="1"/>
  <c r="K610" i="1" s="1"/>
  <c r="L610" i="1" s="1"/>
  <c r="M610" i="1" s="1"/>
  <c r="N610" i="1" s="1"/>
  <c r="O610" i="1" s="1"/>
  <c r="P610" i="1" s="1"/>
  <c r="Q610" i="1" s="1"/>
  <c r="R610" i="1" s="1"/>
  <c r="S610" i="1" s="1"/>
  <c r="T610" i="1" s="1"/>
  <c r="U610" i="1" s="1"/>
  <c r="V610" i="1" s="1"/>
  <c r="W610" i="1" s="1"/>
  <c r="X610" i="1" s="1"/>
  <c r="Y610" i="1" s="1"/>
  <c r="Z610" i="1" s="1"/>
  <c r="AA610" i="1" s="1"/>
  <c r="AB610" i="1" s="1"/>
  <c r="AC610" i="1" s="1"/>
  <c r="AD610" i="1" s="1"/>
  <c r="AE610" i="1" s="1"/>
  <c r="AF610" i="1" s="1"/>
  <c r="AG610" i="1" s="1"/>
  <c r="AH610" i="1" s="1"/>
  <c r="AI610" i="1" s="1"/>
  <c r="AJ610" i="1" s="1"/>
  <c r="AK610" i="1" s="1"/>
  <c r="AL610" i="1" s="1"/>
  <c r="AM610" i="1" s="1"/>
  <c r="AN610" i="1" s="1"/>
  <c r="G608" i="1"/>
  <c r="H608" i="1" s="1"/>
  <c r="I608" i="1" s="1"/>
  <c r="J608" i="1" s="1"/>
  <c r="K608" i="1" s="1"/>
  <c r="L608" i="1" s="1"/>
  <c r="M608" i="1" s="1"/>
  <c r="N608" i="1" s="1"/>
  <c r="O608" i="1" s="1"/>
  <c r="P608" i="1" s="1"/>
  <c r="Q608" i="1" s="1"/>
  <c r="R608" i="1" s="1"/>
  <c r="S608" i="1" s="1"/>
  <c r="T608" i="1" s="1"/>
  <c r="U608" i="1" s="1"/>
  <c r="V608" i="1" s="1"/>
  <c r="W608" i="1" s="1"/>
  <c r="X608" i="1" s="1"/>
  <c r="Y608" i="1" s="1"/>
  <c r="Z608" i="1" s="1"/>
  <c r="AA608" i="1" s="1"/>
  <c r="AB608" i="1" s="1"/>
  <c r="AC608" i="1" s="1"/>
  <c r="AD608" i="1" s="1"/>
  <c r="AE608" i="1" s="1"/>
  <c r="AF608" i="1" s="1"/>
  <c r="AG608" i="1" s="1"/>
  <c r="AH608" i="1" s="1"/>
  <c r="AI608" i="1" s="1"/>
  <c r="AJ608" i="1" s="1"/>
  <c r="AK608" i="1" s="1"/>
  <c r="AL608" i="1" s="1"/>
  <c r="AM608" i="1" s="1"/>
  <c r="AN608" i="1" s="1"/>
  <c r="F608" i="1"/>
  <c r="F607" i="1"/>
  <c r="G607" i="1" s="1"/>
  <c r="H607" i="1" s="1"/>
  <c r="I607" i="1" s="1"/>
  <c r="J607" i="1" s="1"/>
  <c r="K607" i="1" s="1"/>
  <c r="L607" i="1" s="1"/>
  <c r="M607" i="1" s="1"/>
  <c r="N607" i="1" s="1"/>
  <c r="O607" i="1" s="1"/>
  <c r="P607" i="1" s="1"/>
  <c r="Q607" i="1" s="1"/>
  <c r="R607" i="1" s="1"/>
  <c r="S607" i="1" s="1"/>
  <c r="T607" i="1" s="1"/>
  <c r="U607" i="1" s="1"/>
  <c r="V607" i="1" s="1"/>
  <c r="W607" i="1" s="1"/>
  <c r="X607" i="1" s="1"/>
  <c r="Y607" i="1" s="1"/>
  <c r="Z607" i="1" s="1"/>
  <c r="AA607" i="1" s="1"/>
  <c r="AB607" i="1" s="1"/>
  <c r="AC607" i="1" s="1"/>
  <c r="AD607" i="1" s="1"/>
  <c r="AE607" i="1" s="1"/>
  <c r="AF607" i="1" s="1"/>
  <c r="AG607" i="1" s="1"/>
  <c r="AH607" i="1" s="1"/>
  <c r="AI607" i="1" s="1"/>
  <c r="AJ607" i="1" s="1"/>
  <c r="AK607" i="1" s="1"/>
  <c r="AL607" i="1" s="1"/>
  <c r="AM607" i="1" s="1"/>
  <c r="AN607" i="1" s="1"/>
  <c r="G606" i="1"/>
  <c r="H606" i="1" s="1"/>
  <c r="I606" i="1" s="1"/>
  <c r="J606" i="1" s="1"/>
  <c r="K606" i="1" s="1"/>
  <c r="L606" i="1" s="1"/>
  <c r="M606" i="1" s="1"/>
  <c r="N606" i="1" s="1"/>
  <c r="O606" i="1" s="1"/>
  <c r="P606" i="1" s="1"/>
  <c r="Q606" i="1" s="1"/>
  <c r="R606" i="1" s="1"/>
  <c r="S606" i="1" s="1"/>
  <c r="T606" i="1" s="1"/>
  <c r="U606" i="1" s="1"/>
  <c r="V606" i="1" s="1"/>
  <c r="W606" i="1" s="1"/>
  <c r="X606" i="1" s="1"/>
  <c r="Y606" i="1" s="1"/>
  <c r="Z606" i="1" s="1"/>
  <c r="AA606" i="1" s="1"/>
  <c r="AB606" i="1" s="1"/>
  <c r="AC606" i="1" s="1"/>
  <c r="AD606" i="1" s="1"/>
  <c r="AE606" i="1" s="1"/>
  <c r="AF606" i="1" s="1"/>
  <c r="AG606" i="1" s="1"/>
  <c r="AH606" i="1" s="1"/>
  <c r="AI606" i="1" s="1"/>
  <c r="AJ606" i="1" s="1"/>
  <c r="AK606" i="1" s="1"/>
  <c r="AL606" i="1" s="1"/>
  <c r="AM606" i="1" s="1"/>
  <c r="AN606" i="1" s="1"/>
  <c r="F606" i="1"/>
  <c r="F605" i="1"/>
  <c r="G605" i="1" s="1"/>
  <c r="H605" i="1" s="1"/>
  <c r="I605" i="1" s="1"/>
  <c r="J605" i="1" s="1"/>
  <c r="K605" i="1" s="1"/>
  <c r="L605" i="1" s="1"/>
  <c r="M605" i="1" s="1"/>
  <c r="N605" i="1" s="1"/>
  <c r="O605" i="1" s="1"/>
  <c r="P605" i="1" s="1"/>
  <c r="Q605" i="1" s="1"/>
  <c r="R605" i="1" s="1"/>
  <c r="S605" i="1" s="1"/>
  <c r="T605" i="1" s="1"/>
  <c r="U605" i="1" s="1"/>
  <c r="V605" i="1" s="1"/>
  <c r="W605" i="1" s="1"/>
  <c r="X605" i="1" s="1"/>
  <c r="Y605" i="1" s="1"/>
  <c r="Z605" i="1" s="1"/>
  <c r="AA605" i="1" s="1"/>
  <c r="AB605" i="1" s="1"/>
  <c r="AC605" i="1" s="1"/>
  <c r="AD605" i="1" s="1"/>
  <c r="AE605" i="1" s="1"/>
  <c r="AF605" i="1" s="1"/>
  <c r="AG605" i="1" s="1"/>
  <c r="AH605" i="1" s="1"/>
  <c r="AI605" i="1" s="1"/>
  <c r="AJ605" i="1" s="1"/>
  <c r="AK605" i="1" s="1"/>
  <c r="AL605" i="1" s="1"/>
  <c r="AM605" i="1" s="1"/>
  <c r="AN605" i="1" s="1"/>
  <c r="G604" i="1"/>
  <c r="H604" i="1" s="1"/>
  <c r="I604" i="1" s="1"/>
  <c r="J604" i="1" s="1"/>
  <c r="K604" i="1" s="1"/>
  <c r="L604" i="1" s="1"/>
  <c r="M604" i="1" s="1"/>
  <c r="N604" i="1" s="1"/>
  <c r="O604" i="1" s="1"/>
  <c r="P604" i="1" s="1"/>
  <c r="Q604" i="1" s="1"/>
  <c r="R604" i="1" s="1"/>
  <c r="S604" i="1" s="1"/>
  <c r="T604" i="1" s="1"/>
  <c r="U604" i="1" s="1"/>
  <c r="V604" i="1" s="1"/>
  <c r="W604" i="1" s="1"/>
  <c r="X604" i="1" s="1"/>
  <c r="Y604" i="1" s="1"/>
  <c r="Z604" i="1" s="1"/>
  <c r="AA604" i="1" s="1"/>
  <c r="AB604" i="1" s="1"/>
  <c r="AC604" i="1" s="1"/>
  <c r="AD604" i="1" s="1"/>
  <c r="AE604" i="1" s="1"/>
  <c r="AF604" i="1" s="1"/>
  <c r="AG604" i="1" s="1"/>
  <c r="AH604" i="1" s="1"/>
  <c r="AI604" i="1" s="1"/>
  <c r="AJ604" i="1" s="1"/>
  <c r="AK604" i="1" s="1"/>
  <c r="AL604" i="1" s="1"/>
  <c r="AM604" i="1" s="1"/>
  <c r="AN604" i="1" s="1"/>
  <c r="F604" i="1"/>
  <c r="G603" i="1"/>
  <c r="H603" i="1" s="1"/>
  <c r="I603" i="1" s="1"/>
  <c r="J603" i="1" s="1"/>
  <c r="K603" i="1" s="1"/>
  <c r="L603" i="1" s="1"/>
  <c r="M603" i="1" s="1"/>
  <c r="N603" i="1" s="1"/>
  <c r="O603" i="1" s="1"/>
  <c r="P603" i="1" s="1"/>
  <c r="Q603" i="1" s="1"/>
  <c r="R603" i="1" s="1"/>
  <c r="S603" i="1" s="1"/>
  <c r="T603" i="1" s="1"/>
  <c r="U603" i="1" s="1"/>
  <c r="V603" i="1" s="1"/>
  <c r="W603" i="1" s="1"/>
  <c r="X603" i="1" s="1"/>
  <c r="Y603" i="1" s="1"/>
  <c r="Z603" i="1" s="1"/>
  <c r="AA603" i="1" s="1"/>
  <c r="AB603" i="1" s="1"/>
  <c r="AC603" i="1" s="1"/>
  <c r="AD603" i="1" s="1"/>
  <c r="AE603" i="1" s="1"/>
  <c r="AF603" i="1" s="1"/>
  <c r="AG603" i="1" s="1"/>
  <c r="AH603" i="1" s="1"/>
  <c r="AI603" i="1" s="1"/>
  <c r="AJ603" i="1" s="1"/>
  <c r="AK603" i="1" s="1"/>
  <c r="AL603" i="1" s="1"/>
  <c r="AM603" i="1" s="1"/>
  <c r="AN603" i="1" s="1"/>
  <c r="F603" i="1"/>
  <c r="F660" i="1"/>
  <c r="G660" i="1" s="1"/>
  <c r="H660" i="1" s="1"/>
  <c r="I660" i="1" s="1"/>
  <c r="J660" i="1" s="1"/>
  <c r="K660" i="1" s="1"/>
  <c r="L660" i="1" s="1"/>
  <c r="M660" i="1" s="1"/>
  <c r="N660" i="1" s="1"/>
  <c r="O660" i="1" s="1"/>
  <c r="P660" i="1" s="1"/>
  <c r="Q660" i="1" s="1"/>
  <c r="R660" i="1" s="1"/>
  <c r="S660" i="1" s="1"/>
  <c r="T660" i="1" s="1"/>
  <c r="U660" i="1" s="1"/>
  <c r="V660" i="1" s="1"/>
  <c r="W660" i="1" s="1"/>
  <c r="X660" i="1" s="1"/>
  <c r="Y660" i="1" s="1"/>
  <c r="Z660" i="1" s="1"/>
  <c r="AA660" i="1" s="1"/>
  <c r="AB660" i="1" s="1"/>
  <c r="AC660" i="1" s="1"/>
  <c r="AD660" i="1" s="1"/>
  <c r="AE660" i="1" s="1"/>
  <c r="AF660" i="1" s="1"/>
  <c r="AG660" i="1" s="1"/>
  <c r="AH660" i="1" s="1"/>
  <c r="AI660" i="1" s="1"/>
  <c r="AJ660" i="1" s="1"/>
  <c r="AK660" i="1" s="1"/>
  <c r="AL660" i="1" s="1"/>
  <c r="AM660" i="1" s="1"/>
  <c r="AN660" i="1" s="1"/>
  <c r="F659" i="1"/>
  <c r="G659" i="1" s="1"/>
  <c r="H659" i="1" s="1"/>
  <c r="I659" i="1" s="1"/>
  <c r="J659" i="1" s="1"/>
  <c r="K659" i="1" s="1"/>
  <c r="L659" i="1" s="1"/>
  <c r="M659" i="1" s="1"/>
  <c r="N659" i="1" s="1"/>
  <c r="O659" i="1" s="1"/>
  <c r="P659" i="1" s="1"/>
  <c r="Q659" i="1" s="1"/>
  <c r="R659" i="1" s="1"/>
  <c r="S659" i="1" s="1"/>
  <c r="T659" i="1" s="1"/>
  <c r="U659" i="1" s="1"/>
  <c r="V659" i="1" s="1"/>
  <c r="W659" i="1" s="1"/>
  <c r="X659" i="1" s="1"/>
  <c r="Y659" i="1" s="1"/>
  <c r="Z659" i="1" s="1"/>
  <c r="AA659" i="1" s="1"/>
  <c r="AB659" i="1" s="1"/>
  <c r="AC659" i="1" s="1"/>
  <c r="AD659" i="1" s="1"/>
  <c r="AE659" i="1" s="1"/>
  <c r="AF659" i="1" s="1"/>
  <c r="AG659" i="1" s="1"/>
  <c r="AH659" i="1" s="1"/>
  <c r="AI659" i="1" s="1"/>
  <c r="AJ659" i="1" s="1"/>
  <c r="AK659" i="1" s="1"/>
  <c r="AL659" i="1" s="1"/>
  <c r="AM659" i="1" s="1"/>
  <c r="AN659" i="1" s="1"/>
  <c r="F658" i="1"/>
  <c r="G658" i="1" s="1"/>
  <c r="H658" i="1" s="1"/>
  <c r="I658" i="1" s="1"/>
  <c r="J658" i="1" s="1"/>
  <c r="K658" i="1" s="1"/>
  <c r="L658" i="1" s="1"/>
  <c r="M658" i="1" s="1"/>
  <c r="N658" i="1" s="1"/>
  <c r="O658" i="1" s="1"/>
  <c r="P658" i="1" s="1"/>
  <c r="Q658" i="1" s="1"/>
  <c r="R658" i="1" s="1"/>
  <c r="S658" i="1" s="1"/>
  <c r="T658" i="1" s="1"/>
  <c r="U658" i="1" s="1"/>
  <c r="V658" i="1" s="1"/>
  <c r="W658" i="1" s="1"/>
  <c r="X658" i="1" s="1"/>
  <c r="Y658" i="1" s="1"/>
  <c r="Z658" i="1" s="1"/>
  <c r="AA658" i="1" s="1"/>
  <c r="AB658" i="1" s="1"/>
  <c r="AC658" i="1" s="1"/>
  <c r="AD658" i="1" s="1"/>
  <c r="AE658" i="1" s="1"/>
  <c r="AF658" i="1" s="1"/>
  <c r="AG658" i="1" s="1"/>
  <c r="AH658" i="1" s="1"/>
  <c r="AI658" i="1" s="1"/>
  <c r="AJ658" i="1" s="1"/>
  <c r="AK658" i="1" s="1"/>
  <c r="AL658" i="1" s="1"/>
  <c r="AM658" i="1" s="1"/>
  <c r="AN658" i="1" s="1"/>
  <c r="F657" i="1"/>
  <c r="G657" i="1" s="1"/>
  <c r="H657" i="1" s="1"/>
  <c r="I657" i="1" s="1"/>
  <c r="J657" i="1" s="1"/>
  <c r="K657" i="1" s="1"/>
  <c r="L657" i="1" s="1"/>
  <c r="M657" i="1" s="1"/>
  <c r="N657" i="1" s="1"/>
  <c r="O657" i="1" s="1"/>
  <c r="P657" i="1" s="1"/>
  <c r="Q657" i="1" s="1"/>
  <c r="R657" i="1" s="1"/>
  <c r="S657" i="1" s="1"/>
  <c r="T657" i="1" s="1"/>
  <c r="U657" i="1" s="1"/>
  <c r="V657" i="1" s="1"/>
  <c r="W657" i="1" s="1"/>
  <c r="X657" i="1" s="1"/>
  <c r="Y657" i="1" s="1"/>
  <c r="Z657" i="1" s="1"/>
  <c r="AA657" i="1" s="1"/>
  <c r="AB657" i="1" s="1"/>
  <c r="AC657" i="1" s="1"/>
  <c r="AD657" i="1" s="1"/>
  <c r="AE657" i="1" s="1"/>
  <c r="AF657" i="1" s="1"/>
  <c r="AG657" i="1" s="1"/>
  <c r="AH657" i="1" s="1"/>
  <c r="AI657" i="1" s="1"/>
  <c r="AJ657" i="1" s="1"/>
  <c r="AK657" i="1" s="1"/>
  <c r="AL657" i="1" s="1"/>
  <c r="AM657" i="1" s="1"/>
  <c r="AN657" i="1" s="1"/>
  <c r="F656" i="1"/>
  <c r="G656" i="1" s="1"/>
  <c r="H656" i="1" s="1"/>
  <c r="I656" i="1" s="1"/>
  <c r="J656" i="1" s="1"/>
  <c r="K656" i="1" s="1"/>
  <c r="L656" i="1" s="1"/>
  <c r="M656" i="1" s="1"/>
  <c r="N656" i="1" s="1"/>
  <c r="O656" i="1" s="1"/>
  <c r="P656" i="1" s="1"/>
  <c r="Q656" i="1" s="1"/>
  <c r="R656" i="1" s="1"/>
  <c r="S656" i="1" s="1"/>
  <c r="T656" i="1" s="1"/>
  <c r="U656" i="1" s="1"/>
  <c r="V656" i="1" s="1"/>
  <c r="W656" i="1" s="1"/>
  <c r="X656" i="1" s="1"/>
  <c r="Y656" i="1" s="1"/>
  <c r="Z656" i="1" s="1"/>
  <c r="AA656" i="1" s="1"/>
  <c r="AB656" i="1" s="1"/>
  <c r="AC656" i="1" s="1"/>
  <c r="AD656" i="1" s="1"/>
  <c r="AE656" i="1" s="1"/>
  <c r="AF656" i="1" s="1"/>
  <c r="AG656" i="1" s="1"/>
  <c r="AH656" i="1" s="1"/>
  <c r="AI656" i="1" s="1"/>
  <c r="AJ656" i="1" s="1"/>
  <c r="AK656" i="1" s="1"/>
  <c r="AL656" i="1" s="1"/>
  <c r="AM656" i="1" s="1"/>
  <c r="AN656" i="1" s="1"/>
  <c r="F655" i="1"/>
  <c r="G655" i="1" s="1"/>
  <c r="H655" i="1" s="1"/>
  <c r="I655" i="1" s="1"/>
  <c r="J655" i="1" s="1"/>
  <c r="K655" i="1" s="1"/>
  <c r="L655" i="1" s="1"/>
  <c r="M655" i="1" s="1"/>
  <c r="N655" i="1" s="1"/>
  <c r="O655" i="1" s="1"/>
  <c r="P655" i="1" s="1"/>
  <c r="Q655" i="1" s="1"/>
  <c r="R655" i="1" s="1"/>
  <c r="S655" i="1" s="1"/>
  <c r="T655" i="1" s="1"/>
  <c r="U655" i="1" s="1"/>
  <c r="V655" i="1" s="1"/>
  <c r="W655" i="1" s="1"/>
  <c r="X655" i="1" s="1"/>
  <c r="Y655" i="1" s="1"/>
  <c r="Z655" i="1" s="1"/>
  <c r="AA655" i="1" s="1"/>
  <c r="AB655" i="1" s="1"/>
  <c r="AC655" i="1" s="1"/>
  <c r="AD655" i="1" s="1"/>
  <c r="AE655" i="1" s="1"/>
  <c r="AF655" i="1" s="1"/>
  <c r="AG655" i="1" s="1"/>
  <c r="AH655" i="1" s="1"/>
  <c r="AI655" i="1" s="1"/>
  <c r="AJ655" i="1" s="1"/>
  <c r="AK655" i="1" s="1"/>
  <c r="AL655" i="1" s="1"/>
  <c r="AM655" i="1" s="1"/>
  <c r="AN655" i="1" s="1"/>
  <c r="M653" i="1"/>
  <c r="N653" i="1" s="1"/>
  <c r="O653" i="1" s="1"/>
  <c r="P653" i="1" s="1"/>
  <c r="Q653" i="1" s="1"/>
  <c r="R653" i="1" s="1"/>
  <c r="S653" i="1" s="1"/>
  <c r="T653" i="1" s="1"/>
  <c r="U653" i="1" s="1"/>
  <c r="V653" i="1" s="1"/>
  <c r="W653" i="1" s="1"/>
  <c r="X653" i="1" s="1"/>
  <c r="Y653" i="1" s="1"/>
  <c r="Z653" i="1" s="1"/>
  <c r="AA653" i="1" s="1"/>
  <c r="AB653" i="1" s="1"/>
  <c r="AC653" i="1" s="1"/>
  <c r="AD653" i="1" s="1"/>
  <c r="AE653" i="1" s="1"/>
  <c r="AF653" i="1" s="1"/>
  <c r="AG653" i="1" s="1"/>
  <c r="AH653" i="1" s="1"/>
  <c r="AI653" i="1" s="1"/>
  <c r="AJ653" i="1" s="1"/>
  <c r="AK653" i="1" s="1"/>
  <c r="AL653" i="1" s="1"/>
  <c r="AM653" i="1" s="1"/>
  <c r="AN653" i="1" s="1"/>
  <c r="F653" i="1"/>
  <c r="G653" i="1" s="1"/>
  <c r="H653" i="1" s="1"/>
  <c r="I653" i="1" s="1"/>
  <c r="J653" i="1" s="1"/>
  <c r="K653" i="1" s="1"/>
  <c r="L653" i="1" s="1"/>
  <c r="F652" i="1"/>
  <c r="G652" i="1" s="1"/>
  <c r="H652" i="1" s="1"/>
  <c r="I652" i="1" s="1"/>
  <c r="J652" i="1" s="1"/>
  <c r="K652" i="1" s="1"/>
  <c r="L652" i="1" s="1"/>
  <c r="M652" i="1" s="1"/>
  <c r="N652" i="1" s="1"/>
  <c r="O652" i="1" s="1"/>
  <c r="P652" i="1" s="1"/>
  <c r="Q652" i="1" s="1"/>
  <c r="R652" i="1" s="1"/>
  <c r="S652" i="1" s="1"/>
  <c r="T652" i="1" s="1"/>
  <c r="U652" i="1" s="1"/>
  <c r="V652" i="1" s="1"/>
  <c r="W652" i="1" s="1"/>
  <c r="X652" i="1" s="1"/>
  <c r="Y652" i="1" s="1"/>
  <c r="Z652" i="1" s="1"/>
  <c r="AA652" i="1" s="1"/>
  <c r="AB652" i="1" s="1"/>
  <c r="AC652" i="1" s="1"/>
  <c r="AD652" i="1" s="1"/>
  <c r="AE652" i="1" s="1"/>
  <c r="AF652" i="1" s="1"/>
  <c r="AG652" i="1" s="1"/>
  <c r="AH652" i="1" s="1"/>
  <c r="AI652" i="1" s="1"/>
  <c r="AJ652" i="1" s="1"/>
  <c r="AK652" i="1" s="1"/>
  <c r="AL652" i="1" s="1"/>
  <c r="AM652" i="1" s="1"/>
  <c r="AN652" i="1" s="1"/>
  <c r="F651" i="1"/>
  <c r="G651" i="1" s="1"/>
  <c r="H651" i="1" s="1"/>
  <c r="I651" i="1" s="1"/>
  <c r="J651" i="1" s="1"/>
  <c r="K651" i="1" s="1"/>
  <c r="L651" i="1" s="1"/>
  <c r="M651" i="1" s="1"/>
  <c r="N651" i="1" s="1"/>
  <c r="O651" i="1" s="1"/>
  <c r="P651" i="1" s="1"/>
  <c r="Q651" i="1" s="1"/>
  <c r="R651" i="1" s="1"/>
  <c r="S651" i="1" s="1"/>
  <c r="T651" i="1" s="1"/>
  <c r="U651" i="1" s="1"/>
  <c r="V651" i="1" s="1"/>
  <c r="W651" i="1" s="1"/>
  <c r="X651" i="1" s="1"/>
  <c r="Y651" i="1" s="1"/>
  <c r="Z651" i="1" s="1"/>
  <c r="AA651" i="1" s="1"/>
  <c r="AB651" i="1" s="1"/>
  <c r="AC651" i="1" s="1"/>
  <c r="AD651" i="1" s="1"/>
  <c r="AE651" i="1" s="1"/>
  <c r="AF651" i="1" s="1"/>
  <c r="AG651" i="1" s="1"/>
  <c r="AH651" i="1" s="1"/>
  <c r="AI651" i="1" s="1"/>
  <c r="AJ651" i="1" s="1"/>
  <c r="AK651" i="1" s="1"/>
  <c r="AL651" i="1" s="1"/>
  <c r="AM651" i="1" s="1"/>
  <c r="AN651" i="1" s="1"/>
  <c r="F650" i="1"/>
  <c r="G650" i="1" s="1"/>
  <c r="H650" i="1" s="1"/>
  <c r="I650" i="1" s="1"/>
  <c r="J650" i="1" s="1"/>
  <c r="K650" i="1" s="1"/>
  <c r="L650" i="1" s="1"/>
  <c r="M650" i="1" s="1"/>
  <c r="N650" i="1" s="1"/>
  <c r="O650" i="1" s="1"/>
  <c r="P650" i="1" s="1"/>
  <c r="Q650" i="1" s="1"/>
  <c r="R650" i="1" s="1"/>
  <c r="S650" i="1" s="1"/>
  <c r="T650" i="1" s="1"/>
  <c r="U650" i="1" s="1"/>
  <c r="V650" i="1" s="1"/>
  <c r="W650" i="1" s="1"/>
  <c r="X650" i="1" s="1"/>
  <c r="Y650" i="1" s="1"/>
  <c r="Z650" i="1" s="1"/>
  <c r="AA650" i="1" s="1"/>
  <c r="AB650" i="1" s="1"/>
  <c r="AC650" i="1" s="1"/>
  <c r="AD650" i="1" s="1"/>
  <c r="AE650" i="1" s="1"/>
  <c r="AF650" i="1" s="1"/>
  <c r="AG650" i="1" s="1"/>
  <c r="AH650" i="1" s="1"/>
  <c r="AI650" i="1" s="1"/>
  <c r="AJ650" i="1" s="1"/>
  <c r="AK650" i="1" s="1"/>
  <c r="AL650" i="1" s="1"/>
  <c r="AM650" i="1" s="1"/>
  <c r="AN650" i="1" s="1"/>
  <c r="F649" i="1"/>
  <c r="G649" i="1" s="1"/>
  <c r="H649" i="1" s="1"/>
  <c r="I649" i="1" s="1"/>
  <c r="J649" i="1" s="1"/>
  <c r="K649" i="1" s="1"/>
  <c r="L649" i="1" s="1"/>
  <c r="M649" i="1" s="1"/>
  <c r="N649" i="1" s="1"/>
  <c r="O649" i="1" s="1"/>
  <c r="P649" i="1" s="1"/>
  <c r="Q649" i="1" s="1"/>
  <c r="R649" i="1" s="1"/>
  <c r="S649" i="1" s="1"/>
  <c r="T649" i="1" s="1"/>
  <c r="U649" i="1" s="1"/>
  <c r="V649" i="1" s="1"/>
  <c r="W649" i="1" s="1"/>
  <c r="X649" i="1" s="1"/>
  <c r="Y649" i="1" s="1"/>
  <c r="Z649" i="1" s="1"/>
  <c r="AA649" i="1" s="1"/>
  <c r="AB649" i="1" s="1"/>
  <c r="AC649" i="1" s="1"/>
  <c r="AD649" i="1" s="1"/>
  <c r="AE649" i="1" s="1"/>
  <c r="AF649" i="1" s="1"/>
  <c r="AG649" i="1" s="1"/>
  <c r="AH649" i="1" s="1"/>
  <c r="AI649" i="1" s="1"/>
  <c r="AJ649" i="1" s="1"/>
  <c r="AK649" i="1" s="1"/>
  <c r="AL649" i="1" s="1"/>
  <c r="AM649" i="1" s="1"/>
  <c r="AN649" i="1" s="1"/>
  <c r="F648" i="1"/>
  <c r="G648" i="1" s="1"/>
  <c r="H648" i="1" s="1"/>
  <c r="I648" i="1" s="1"/>
  <c r="J648" i="1" s="1"/>
  <c r="K648" i="1" s="1"/>
  <c r="L648" i="1" s="1"/>
  <c r="M648" i="1" s="1"/>
  <c r="N648" i="1" s="1"/>
  <c r="O648" i="1" s="1"/>
  <c r="P648" i="1" s="1"/>
  <c r="Q648" i="1" s="1"/>
  <c r="R648" i="1" s="1"/>
  <c r="S648" i="1" s="1"/>
  <c r="T648" i="1" s="1"/>
  <c r="U648" i="1" s="1"/>
  <c r="V648" i="1" s="1"/>
  <c r="W648" i="1" s="1"/>
  <c r="X648" i="1" s="1"/>
  <c r="Y648" i="1" s="1"/>
  <c r="Z648" i="1" s="1"/>
  <c r="AA648" i="1" s="1"/>
  <c r="AB648" i="1" s="1"/>
  <c r="AC648" i="1" s="1"/>
  <c r="AD648" i="1" s="1"/>
  <c r="AE648" i="1" s="1"/>
  <c r="AF648" i="1" s="1"/>
  <c r="AG648" i="1" s="1"/>
  <c r="AH648" i="1" s="1"/>
  <c r="AI648" i="1" s="1"/>
  <c r="AJ648" i="1" s="1"/>
  <c r="AK648" i="1" s="1"/>
  <c r="AL648" i="1" s="1"/>
  <c r="AM648" i="1" s="1"/>
  <c r="AN648" i="1" s="1"/>
  <c r="G646" i="1"/>
  <c r="H646" i="1" s="1"/>
  <c r="I646" i="1" s="1"/>
  <c r="J646" i="1" s="1"/>
  <c r="K646" i="1" s="1"/>
  <c r="L646" i="1" s="1"/>
  <c r="M646" i="1" s="1"/>
  <c r="N646" i="1" s="1"/>
  <c r="O646" i="1" s="1"/>
  <c r="P646" i="1" s="1"/>
  <c r="Q646" i="1" s="1"/>
  <c r="R646" i="1" s="1"/>
  <c r="S646" i="1" s="1"/>
  <c r="T646" i="1" s="1"/>
  <c r="U646" i="1" s="1"/>
  <c r="V646" i="1" s="1"/>
  <c r="W646" i="1" s="1"/>
  <c r="X646" i="1" s="1"/>
  <c r="Y646" i="1" s="1"/>
  <c r="Z646" i="1" s="1"/>
  <c r="AA646" i="1" s="1"/>
  <c r="AB646" i="1" s="1"/>
  <c r="AC646" i="1" s="1"/>
  <c r="AD646" i="1" s="1"/>
  <c r="AE646" i="1" s="1"/>
  <c r="AF646" i="1" s="1"/>
  <c r="AG646" i="1" s="1"/>
  <c r="AH646" i="1" s="1"/>
  <c r="AI646" i="1" s="1"/>
  <c r="AJ646" i="1" s="1"/>
  <c r="AK646" i="1" s="1"/>
  <c r="AL646" i="1" s="1"/>
  <c r="AM646" i="1" s="1"/>
  <c r="AN646" i="1" s="1"/>
  <c r="F646" i="1"/>
  <c r="F645" i="1"/>
  <c r="G645" i="1" s="1"/>
  <c r="H645" i="1" s="1"/>
  <c r="I645" i="1" s="1"/>
  <c r="J645" i="1" s="1"/>
  <c r="K645" i="1" s="1"/>
  <c r="L645" i="1" s="1"/>
  <c r="M645" i="1" s="1"/>
  <c r="N645" i="1" s="1"/>
  <c r="O645" i="1" s="1"/>
  <c r="P645" i="1" s="1"/>
  <c r="Q645" i="1" s="1"/>
  <c r="R645" i="1" s="1"/>
  <c r="S645" i="1" s="1"/>
  <c r="T645" i="1" s="1"/>
  <c r="U645" i="1" s="1"/>
  <c r="V645" i="1" s="1"/>
  <c r="W645" i="1" s="1"/>
  <c r="X645" i="1" s="1"/>
  <c r="Y645" i="1" s="1"/>
  <c r="Z645" i="1" s="1"/>
  <c r="AA645" i="1" s="1"/>
  <c r="AB645" i="1" s="1"/>
  <c r="AC645" i="1" s="1"/>
  <c r="AD645" i="1" s="1"/>
  <c r="AE645" i="1" s="1"/>
  <c r="AF645" i="1" s="1"/>
  <c r="AG645" i="1" s="1"/>
  <c r="AH645" i="1" s="1"/>
  <c r="AI645" i="1" s="1"/>
  <c r="AJ645" i="1" s="1"/>
  <c r="AK645" i="1" s="1"/>
  <c r="AL645" i="1" s="1"/>
  <c r="AM645" i="1" s="1"/>
  <c r="AN645" i="1" s="1"/>
  <c r="G644" i="1"/>
  <c r="H644" i="1" s="1"/>
  <c r="I644" i="1" s="1"/>
  <c r="J644" i="1" s="1"/>
  <c r="K644" i="1" s="1"/>
  <c r="L644" i="1" s="1"/>
  <c r="M644" i="1" s="1"/>
  <c r="N644" i="1" s="1"/>
  <c r="O644" i="1" s="1"/>
  <c r="P644" i="1" s="1"/>
  <c r="Q644" i="1" s="1"/>
  <c r="R644" i="1" s="1"/>
  <c r="S644" i="1" s="1"/>
  <c r="T644" i="1" s="1"/>
  <c r="U644" i="1" s="1"/>
  <c r="V644" i="1" s="1"/>
  <c r="W644" i="1" s="1"/>
  <c r="X644" i="1" s="1"/>
  <c r="Y644" i="1" s="1"/>
  <c r="Z644" i="1" s="1"/>
  <c r="AA644" i="1" s="1"/>
  <c r="AB644" i="1" s="1"/>
  <c r="AC644" i="1" s="1"/>
  <c r="AD644" i="1" s="1"/>
  <c r="AE644" i="1" s="1"/>
  <c r="AF644" i="1" s="1"/>
  <c r="AG644" i="1" s="1"/>
  <c r="AH644" i="1" s="1"/>
  <c r="AI644" i="1" s="1"/>
  <c r="AJ644" i="1" s="1"/>
  <c r="AK644" i="1" s="1"/>
  <c r="AL644" i="1" s="1"/>
  <c r="AM644" i="1" s="1"/>
  <c r="AN644" i="1" s="1"/>
  <c r="F644" i="1"/>
  <c r="F643" i="1"/>
  <c r="G643" i="1" s="1"/>
  <c r="H643" i="1" s="1"/>
  <c r="I643" i="1" s="1"/>
  <c r="J643" i="1" s="1"/>
  <c r="K643" i="1" s="1"/>
  <c r="L643" i="1" s="1"/>
  <c r="M643" i="1" s="1"/>
  <c r="N643" i="1" s="1"/>
  <c r="O643" i="1" s="1"/>
  <c r="P643" i="1" s="1"/>
  <c r="Q643" i="1" s="1"/>
  <c r="R643" i="1" s="1"/>
  <c r="S643" i="1" s="1"/>
  <c r="T643" i="1" s="1"/>
  <c r="U643" i="1" s="1"/>
  <c r="V643" i="1" s="1"/>
  <c r="W643" i="1" s="1"/>
  <c r="X643" i="1" s="1"/>
  <c r="Y643" i="1" s="1"/>
  <c r="Z643" i="1" s="1"/>
  <c r="AA643" i="1" s="1"/>
  <c r="AB643" i="1" s="1"/>
  <c r="AC643" i="1" s="1"/>
  <c r="AD643" i="1" s="1"/>
  <c r="AE643" i="1" s="1"/>
  <c r="AF643" i="1" s="1"/>
  <c r="AG643" i="1" s="1"/>
  <c r="AH643" i="1" s="1"/>
  <c r="AI643" i="1" s="1"/>
  <c r="AJ643" i="1" s="1"/>
  <c r="AK643" i="1" s="1"/>
  <c r="AL643" i="1" s="1"/>
  <c r="AM643" i="1" s="1"/>
  <c r="AN643" i="1" s="1"/>
  <c r="G642" i="1"/>
  <c r="H642" i="1" s="1"/>
  <c r="I642" i="1" s="1"/>
  <c r="J642" i="1" s="1"/>
  <c r="K642" i="1" s="1"/>
  <c r="L642" i="1" s="1"/>
  <c r="M642" i="1" s="1"/>
  <c r="N642" i="1" s="1"/>
  <c r="O642" i="1" s="1"/>
  <c r="P642" i="1" s="1"/>
  <c r="Q642" i="1" s="1"/>
  <c r="R642" i="1" s="1"/>
  <c r="S642" i="1" s="1"/>
  <c r="T642" i="1" s="1"/>
  <c r="U642" i="1" s="1"/>
  <c r="V642" i="1" s="1"/>
  <c r="W642" i="1" s="1"/>
  <c r="X642" i="1" s="1"/>
  <c r="Y642" i="1" s="1"/>
  <c r="Z642" i="1" s="1"/>
  <c r="AA642" i="1" s="1"/>
  <c r="AB642" i="1" s="1"/>
  <c r="AC642" i="1" s="1"/>
  <c r="AD642" i="1" s="1"/>
  <c r="AE642" i="1" s="1"/>
  <c r="AF642" i="1" s="1"/>
  <c r="AG642" i="1" s="1"/>
  <c r="AH642" i="1" s="1"/>
  <c r="AI642" i="1" s="1"/>
  <c r="AJ642" i="1" s="1"/>
  <c r="AK642" i="1" s="1"/>
  <c r="AL642" i="1" s="1"/>
  <c r="AM642" i="1" s="1"/>
  <c r="AN642" i="1" s="1"/>
  <c r="F642" i="1"/>
  <c r="F641" i="1"/>
  <c r="G641" i="1" s="1"/>
  <c r="H641" i="1" s="1"/>
  <c r="I641" i="1" s="1"/>
  <c r="J641" i="1" s="1"/>
  <c r="K641" i="1" s="1"/>
  <c r="L641" i="1" s="1"/>
  <c r="M641" i="1" s="1"/>
  <c r="N641" i="1" s="1"/>
  <c r="O641" i="1" s="1"/>
  <c r="P641" i="1" s="1"/>
  <c r="Q641" i="1" s="1"/>
  <c r="R641" i="1" s="1"/>
  <c r="S641" i="1" s="1"/>
  <c r="T641" i="1" s="1"/>
  <c r="U641" i="1" s="1"/>
  <c r="V641" i="1" s="1"/>
  <c r="W641" i="1" s="1"/>
  <c r="X641" i="1" s="1"/>
  <c r="Y641" i="1" s="1"/>
  <c r="Z641" i="1" s="1"/>
  <c r="AA641" i="1" s="1"/>
  <c r="AB641" i="1" s="1"/>
  <c r="AC641" i="1" s="1"/>
  <c r="AD641" i="1" s="1"/>
  <c r="AE641" i="1" s="1"/>
  <c r="AF641" i="1" s="1"/>
  <c r="AG641" i="1" s="1"/>
  <c r="AH641" i="1" s="1"/>
  <c r="AI641" i="1" s="1"/>
  <c r="AJ641" i="1" s="1"/>
  <c r="AK641" i="1" s="1"/>
  <c r="AL641" i="1" s="1"/>
  <c r="AM641" i="1" s="1"/>
  <c r="AN641" i="1" s="1"/>
  <c r="F639" i="1"/>
  <c r="G639" i="1" s="1"/>
  <c r="H639" i="1" s="1"/>
  <c r="I639" i="1" s="1"/>
  <c r="J639" i="1" s="1"/>
  <c r="K639" i="1" s="1"/>
  <c r="L639" i="1" s="1"/>
  <c r="M639" i="1" s="1"/>
  <c r="N639" i="1" s="1"/>
  <c r="O639" i="1" s="1"/>
  <c r="P639" i="1" s="1"/>
  <c r="Q639" i="1" s="1"/>
  <c r="R639" i="1" s="1"/>
  <c r="S639" i="1" s="1"/>
  <c r="T639" i="1" s="1"/>
  <c r="U639" i="1" s="1"/>
  <c r="V639" i="1" s="1"/>
  <c r="W639" i="1" s="1"/>
  <c r="X639" i="1" s="1"/>
  <c r="Y639" i="1" s="1"/>
  <c r="Z639" i="1" s="1"/>
  <c r="AA639" i="1" s="1"/>
  <c r="AB639" i="1" s="1"/>
  <c r="AC639" i="1" s="1"/>
  <c r="AD639" i="1" s="1"/>
  <c r="AE639" i="1" s="1"/>
  <c r="AF639" i="1" s="1"/>
  <c r="AG639" i="1" s="1"/>
  <c r="AH639" i="1" s="1"/>
  <c r="AI639" i="1" s="1"/>
  <c r="AJ639" i="1" s="1"/>
  <c r="AK639" i="1" s="1"/>
  <c r="AL639" i="1" s="1"/>
  <c r="AM639" i="1" s="1"/>
  <c r="AN639" i="1" s="1"/>
  <c r="F638" i="1"/>
  <c r="G638" i="1" s="1"/>
  <c r="H638" i="1" s="1"/>
  <c r="I638" i="1" s="1"/>
  <c r="J638" i="1" s="1"/>
  <c r="K638" i="1" s="1"/>
  <c r="L638" i="1" s="1"/>
  <c r="M638" i="1" s="1"/>
  <c r="N638" i="1" s="1"/>
  <c r="O638" i="1" s="1"/>
  <c r="P638" i="1" s="1"/>
  <c r="Q638" i="1" s="1"/>
  <c r="R638" i="1" s="1"/>
  <c r="S638" i="1" s="1"/>
  <c r="T638" i="1" s="1"/>
  <c r="U638" i="1" s="1"/>
  <c r="V638" i="1" s="1"/>
  <c r="W638" i="1" s="1"/>
  <c r="X638" i="1" s="1"/>
  <c r="Y638" i="1" s="1"/>
  <c r="Z638" i="1" s="1"/>
  <c r="AA638" i="1" s="1"/>
  <c r="AB638" i="1" s="1"/>
  <c r="AC638" i="1" s="1"/>
  <c r="AD638" i="1" s="1"/>
  <c r="AE638" i="1" s="1"/>
  <c r="AF638" i="1" s="1"/>
  <c r="AG638" i="1" s="1"/>
  <c r="AH638" i="1" s="1"/>
  <c r="AI638" i="1" s="1"/>
  <c r="AJ638" i="1" s="1"/>
  <c r="AK638" i="1" s="1"/>
  <c r="AL638" i="1" s="1"/>
  <c r="AM638" i="1" s="1"/>
  <c r="AN638" i="1" s="1"/>
  <c r="F637" i="1"/>
  <c r="G637" i="1" s="1"/>
  <c r="H637" i="1" s="1"/>
  <c r="I637" i="1" s="1"/>
  <c r="J637" i="1" s="1"/>
  <c r="K637" i="1" s="1"/>
  <c r="L637" i="1" s="1"/>
  <c r="M637" i="1" s="1"/>
  <c r="N637" i="1" s="1"/>
  <c r="O637" i="1" s="1"/>
  <c r="P637" i="1" s="1"/>
  <c r="Q637" i="1" s="1"/>
  <c r="R637" i="1" s="1"/>
  <c r="S637" i="1" s="1"/>
  <c r="T637" i="1" s="1"/>
  <c r="U637" i="1" s="1"/>
  <c r="V637" i="1" s="1"/>
  <c r="W637" i="1" s="1"/>
  <c r="X637" i="1" s="1"/>
  <c r="Y637" i="1" s="1"/>
  <c r="Z637" i="1" s="1"/>
  <c r="AA637" i="1" s="1"/>
  <c r="AB637" i="1" s="1"/>
  <c r="AC637" i="1" s="1"/>
  <c r="AD637" i="1" s="1"/>
  <c r="AE637" i="1" s="1"/>
  <c r="AF637" i="1" s="1"/>
  <c r="AG637" i="1" s="1"/>
  <c r="AH637" i="1" s="1"/>
  <c r="AI637" i="1" s="1"/>
  <c r="AJ637" i="1" s="1"/>
  <c r="AK637" i="1" s="1"/>
  <c r="AL637" i="1" s="1"/>
  <c r="AM637" i="1" s="1"/>
  <c r="AN637" i="1" s="1"/>
  <c r="F636" i="1"/>
  <c r="G636" i="1" s="1"/>
  <c r="H636" i="1" s="1"/>
  <c r="I636" i="1" s="1"/>
  <c r="J636" i="1" s="1"/>
  <c r="K636" i="1" s="1"/>
  <c r="L636" i="1" s="1"/>
  <c r="M636" i="1" s="1"/>
  <c r="N636" i="1" s="1"/>
  <c r="O636" i="1" s="1"/>
  <c r="P636" i="1" s="1"/>
  <c r="Q636" i="1" s="1"/>
  <c r="R636" i="1" s="1"/>
  <c r="S636" i="1" s="1"/>
  <c r="T636" i="1" s="1"/>
  <c r="U636" i="1" s="1"/>
  <c r="V636" i="1" s="1"/>
  <c r="W636" i="1" s="1"/>
  <c r="X636" i="1" s="1"/>
  <c r="Y636" i="1" s="1"/>
  <c r="Z636" i="1" s="1"/>
  <c r="AA636" i="1" s="1"/>
  <c r="AB636" i="1" s="1"/>
  <c r="AC636" i="1" s="1"/>
  <c r="AD636" i="1" s="1"/>
  <c r="AE636" i="1" s="1"/>
  <c r="AF636" i="1" s="1"/>
  <c r="AG636" i="1" s="1"/>
  <c r="AH636" i="1" s="1"/>
  <c r="AI636" i="1" s="1"/>
  <c r="AJ636" i="1" s="1"/>
  <c r="AK636" i="1" s="1"/>
  <c r="AL636" i="1" s="1"/>
  <c r="AM636" i="1" s="1"/>
  <c r="AN636" i="1" s="1"/>
  <c r="F635" i="1"/>
  <c r="G635" i="1" s="1"/>
  <c r="H635" i="1" s="1"/>
  <c r="I635" i="1" s="1"/>
  <c r="J635" i="1" s="1"/>
  <c r="K635" i="1" s="1"/>
  <c r="L635" i="1" s="1"/>
  <c r="M635" i="1" s="1"/>
  <c r="N635" i="1" s="1"/>
  <c r="O635" i="1" s="1"/>
  <c r="P635" i="1" s="1"/>
  <c r="Q635" i="1" s="1"/>
  <c r="R635" i="1" s="1"/>
  <c r="S635" i="1" s="1"/>
  <c r="T635" i="1" s="1"/>
  <c r="U635" i="1" s="1"/>
  <c r="V635" i="1" s="1"/>
  <c r="W635" i="1" s="1"/>
  <c r="X635" i="1" s="1"/>
  <c r="Y635" i="1" s="1"/>
  <c r="Z635" i="1" s="1"/>
  <c r="AA635" i="1" s="1"/>
  <c r="AB635" i="1" s="1"/>
  <c r="AC635" i="1" s="1"/>
  <c r="AD635" i="1" s="1"/>
  <c r="AE635" i="1" s="1"/>
  <c r="AF635" i="1" s="1"/>
  <c r="AG635" i="1" s="1"/>
  <c r="AH635" i="1" s="1"/>
  <c r="AI635" i="1" s="1"/>
  <c r="AJ635" i="1" s="1"/>
  <c r="AK635" i="1" s="1"/>
  <c r="AL635" i="1" s="1"/>
  <c r="AM635" i="1" s="1"/>
  <c r="AN635" i="1" s="1"/>
  <c r="G634" i="1"/>
  <c r="H634" i="1" s="1"/>
  <c r="I634" i="1" s="1"/>
  <c r="J634" i="1" s="1"/>
  <c r="K634" i="1" s="1"/>
  <c r="L634" i="1" s="1"/>
  <c r="M634" i="1" s="1"/>
  <c r="N634" i="1" s="1"/>
  <c r="O634" i="1" s="1"/>
  <c r="P634" i="1" s="1"/>
  <c r="Q634" i="1" s="1"/>
  <c r="R634" i="1" s="1"/>
  <c r="S634" i="1" s="1"/>
  <c r="T634" i="1" s="1"/>
  <c r="U634" i="1" s="1"/>
  <c r="V634" i="1" s="1"/>
  <c r="W634" i="1" s="1"/>
  <c r="X634" i="1" s="1"/>
  <c r="Y634" i="1" s="1"/>
  <c r="Z634" i="1" s="1"/>
  <c r="AA634" i="1" s="1"/>
  <c r="AB634" i="1" s="1"/>
  <c r="AC634" i="1" s="1"/>
  <c r="AD634" i="1" s="1"/>
  <c r="AE634" i="1" s="1"/>
  <c r="AF634" i="1" s="1"/>
  <c r="AG634" i="1" s="1"/>
  <c r="AH634" i="1" s="1"/>
  <c r="AI634" i="1" s="1"/>
  <c r="AJ634" i="1" s="1"/>
  <c r="AK634" i="1" s="1"/>
  <c r="AL634" i="1" s="1"/>
  <c r="AM634" i="1" s="1"/>
  <c r="AN634" i="1" s="1"/>
  <c r="F634" i="1"/>
  <c r="F691" i="1"/>
  <c r="G691" i="1" s="1"/>
  <c r="H691" i="1" s="1"/>
  <c r="I691" i="1" s="1"/>
  <c r="J691" i="1" s="1"/>
  <c r="K691" i="1" s="1"/>
  <c r="L691" i="1" s="1"/>
  <c r="M691" i="1" s="1"/>
  <c r="N691" i="1" s="1"/>
  <c r="O691" i="1" s="1"/>
  <c r="P691" i="1" s="1"/>
  <c r="Q691" i="1" s="1"/>
  <c r="R691" i="1" s="1"/>
  <c r="S691" i="1" s="1"/>
  <c r="T691" i="1" s="1"/>
  <c r="U691" i="1" s="1"/>
  <c r="V691" i="1" s="1"/>
  <c r="W691" i="1" s="1"/>
  <c r="X691" i="1" s="1"/>
  <c r="Y691" i="1" s="1"/>
  <c r="Z691" i="1" s="1"/>
  <c r="AA691" i="1" s="1"/>
  <c r="AB691" i="1" s="1"/>
  <c r="AC691" i="1" s="1"/>
  <c r="AD691" i="1" s="1"/>
  <c r="AE691" i="1" s="1"/>
  <c r="AF691" i="1" s="1"/>
  <c r="AG691" i="1" s="1"/>
  <c r="AH691" i="1" s="1"/>
  <c r="AI691" i="1" s="1"/>
  <c r="AJ691" i="1" s="1"/>
  <c r="AK691" i="1" s="1"/>
  <c r="AL691" i="1" s="1"/>
  <c r="AM691" i="1" s="1"/>
  <c r="AN691" i="1" s="1"/>
  <c r="F690" i="1"/>
  <c r="G690" i="1" s="1"/>
  <c r="H690" i="1" s="1"/>
  <c r="I690" i="1" s="1"/>
  <c r="J690" i="1" s="1"/>
  <c r="K690" i="1" s="1"/>
  <c r="L690" i="1" s="1"/>
  <c r="M690" i="1" s="1"/>
  <c r="N690" i="1" s="1"/>
  <c r="O690" i="1" s="1"/>
  <c r="P690" i="1" s="1"/>
  <c r="Q690" i="1" s="1"/>
  <c r="R690" i="1" s="1"/>
  <c r="S690" i="1" s="1"/>
  <c r="T690" i="1" s="1"/>
  <c r="U690" i="1" s="1"/>
  <c r="V690" i="1" s="1"/>
  <c r="W690" i="1" s="1"/>
  <c r="X690" i="1" s="1"/>
  <c r="Y690" i="1" s="1"/>
  <c r="Z690" i="1" s="1"/>
  <c r="AA690" i="1" s="1"/>
  <c r="AB690" i="1" s="1"/>
  <c r="AC690" i="1" s="1"/>
  <c r="AD690" i="1" s="1"/>
  <c r="AE690" i="1" s="1"/>
  <c r="AF690" i="1" s="1"/>
  <c r="AG690" i="1" s="1"/>
  <c r="AH690" i="1" s="1"/>
  <c r="AI690" i="1" s="1"/>
  <c r="AJ690" i="1" s="1"/>
  <c r="AK690" i="1" s="1"/>
  <c r="AL690" i="1" s="1"/>
  <c r="AM690" i="1" s="1"/>
  <c r="AN690" i="1" s="1"/>
  <c r="F689" i="1"/>
  <c r="G689" i="1" s="1"/>
  <c r="H689" i="1" s="1"/>
  <c r="I689" i="1" s="1"/>
  <c r="J689" i="1" s="1"/>
  <c r="K689" i="1" s="1"/>
  <c r="L689" i="1" s="1"/>
  <c r="M689" i="1" s="1"/>
  <c r="N689" i="1" s="1"/>
  <c r="O689" i="1" s="1"/>
  <c r="P689" i="1" s="1"/>
  <c r="Q689" i="1" s="1"/>
  <c r="R689" i="1" s="1"/>
  <c r="S689" i="1" s="1"/>
  <c r="T689" i="1" s="1"/>
  <c r="U689" i="1" s="1"/>
  <c r="V689" i="1" s="1"/>
  <c r="W689" i="1" s="1"/>
  <c r="X689" i="1" s="1"/>
  <c r="Y689" i="1" s="1"/>
  <c r="Z689" i="1" s="1"/>
  <c r="AA689" i="1" s="1"/>
  <c r="AB689" i="1" s="1"/>
  <c r="AC689" i="1" s="1"/>
  <c r="AD689" i="1" s="1"/>
  <c r="AE689" i="1" s="1"/>
  <c r="AF689" i="1" s="1"/>
  <c r="AG689" i="1" s="1"/>
  <c r="AH689" i="1" s="1"/>
  <c r="AI689" i="1" s="1"/>
  <c r="AJ689" i="1" s="1"/>
  <c r="AK689" i="1" s="1"/>
  <c r="AL689" i="1" s="1"/>
  <c r="AM689" i="1" s="1"/>
  <c r="AN689" i="1" s="1"/>
  <c r="F688" i="1"/>
  <c r="G688" i="1" s="1"/>
  <c r="H688" i="1" s="1"/>
  <c r="I688" i="1" s="1"/>
  <c r="J688" i="1" s="1"/>
  <c r="K688" i="1" s="1"/>
  <c r="L688" i="1" s="1"/>
  <c r="M688" i="1" s="1"/>
  <c r="N688" i="1" s="1"/>
  <c r="O688" i="1" s="1"/>
  <c r="P688" i="1" s="1"/>
  <c r="Q688" i="1" s="1"/>
  <c r="R688" i="1" s="1"/>
  <c r="S688" i="1" s="1"/>
  <c r="T688" i="1" s="1"/>
  <c r="U688" i="1" s="1"/>
  <c r="V688" i="1" s="1"/>
  <c r="W688" i="1" s="1"/>
  <c r="X688" i="1" s="1"/>
  <c r="Y688" i="1" s="1"/>
  <c r="Z688" i="1" s="1"/>
  <c r="AA688" i="1" s="1"/>
  <c r="AB688" i="1" s="1"/>
  <c r="AC688" i="1" s="1"/>
  <c r="AD688" i="1" s="1"/>
  <c r="AE688" i="1" s="1"/>
  <c r="AF688" i="1" s="1"/>
  <c r="AG688" i="1" s="1"/>
  <c r="AH688" i="1" s="1"/>
  <c r="AI688" i="1" s="1"/>
  <c r="AJ688" i="1" s="1"/>
  <c r="AK688" i="1" s="1"/>
  <c r="AL688" i="1" s="1"/>
  <c r="AM688" i="1" s="1"/>
  <c r="AN688" i="1" s="1"/>
  <c r="F687" i="1"/>
  <c r="G687" i="1" s="1"/>
  <c r="H687" i="1" s="1"/>
  <c r="I687" i="1" s="1"/>
  <c r="J687" i="1" s="1"/>
  <c r="K687" i="1" s="1"/>
  <c r="L687" i="1" s="1"/>
  <c r="M687" i="1" s="1"/>
  <c r="N687" i="1" s="1"/>
  <c r="O687" i="1" s="1"/>
  <c r="P687" i="1" s="1"/>
  <c r="Q687" i="1" s="1"/>
  <c r="R687" i="1" s="1"/>
  <c r="S687" i="1" s="1"/>
  <c r="T687" i="1" s="1"/>
  <c r="U687" i="1" s="1"/>
  <c r="V687" i="1" s="1"/>
  <c r="W687" i="1" s="1"/>
  <c r="X687" i="1" s="1"/>
  <c r="Y687" i="1" s="1"/>
  <c r="Z687" i="1" s="1"/>
  <c r="AA687" i="1" s="1"/>
  <c r="AB687" i="1" s="1"/>
  <c r="AC687" i="1" s="1"/>
  <c r="AD687" i="1" s="1"/>
  <c r="AE687" i="1" s="1"/>
  <c r="AF687" i="1" s="1"/>
  <c r="AG687" i="1" s="1"/>
  <c r="AH687" i="1" s="1"/>
  <c r="AI687" i="1" s="1"/>
  <c r="AJ687" i="1" s="1"/>
  <c r="AK687" i="1" s="1"/>
  <c r="AL687" i="1" s="1"/>
  <c r="AM687" i="1" s="1"/>
  <c r="AN687" i="1" s="1"/>
  <c r="F686" i="1"/>
  <c r="G686" i="1" s="1"/>
  <c r="H686" i="1" s="1"/>
  <c r="I686" i="1" s="1"/>
  <c r="J686" i="1" s="1"/>
  <c r="K686" i="1" s="1"/>
  <c r="L686" i="1" s="1"/>
  <c r="M686" i="1" s="1"/>
  <c r="N686" i="1" s="1"/>
  <c r="O686" i="1" s="1"/>
  <c r="P686" i="1" s="1"/>
  <c r="Q686" i="1" s="1"/>
  <c r="R686" i="1" s="1"/>
  <c r="S686" i="1" s="1"/>
  <c r="T686" i="1" s="1"/>
  <c r="U686" i="1" s="1"/>
  <c r="V686" i="1" s="1"/>
  <c r="W686" i="1" s="1"/>
  <c r="X686" i="1" s="1"/>
  <c r="Y686" i="1" s="1"/>
  <c r="Z686" i="1" s="1"/>
  <c r="AA686" i="1" s="1"/>
  <c r="AB686" i="1" s="1"/>
  <c r="AC686" i="1" s="1"/>
  <c r="AD686" i="1" s="1"/>
  <c r="AE686" i="1" s="1"/>
  <c r="AF686" i="1" s="1"/>
  <c r="AG686" i="1" s="1"/>
  <c r="AH686" i="1" s="1"/>
  <c r="AI686" i="1" s="1"/>
  <c r="AJ686" i="1" s="1"/>
  <c r="AK686" i="1" s="1"/>
  <c r="AL686" i="1" s="1"/>
  <c r="AM686" i="1" s="1"/>
  <c r="AN686" i="1" s="1"/>
  <c r="F684" i="1"/>
  <c r="G684" i="1" s="1"/>
  <c r="H684" i="1" s="1"/>
  <c r="I684" i="1" s="1"/>
  <c r="J684" i="1" s="1"/>
  <c r="K684" i="1" s="1"/>
  <c r="L684" i="1" s="1"/>
  <c r="M684" i="1" s="1"/>
  <c r="N684" i="1" s="1"/>
  <c r="O684" i="1" s="1"/>
  <c r="P684" i="1" s="1"/>
  <c r="Q684" i="1" s="1"/>
  <c r="R684" i="1" s="1"/>
  <c r="S684" i="1" s="1"/>
  <c r="T684" i="1" s="1"/>
  <c r="U684" i="1" s="1"/>
  <c r="V684" i="1" s="1"/>
  <c r="W684" i="1" s="1"/>
  <c r="X684" i="1" s="1"/>
  <c r="Y684" i="1" s="1"/>
  <c r="Z684" i="1" s="1"/>
  <c r="AA684" i="1" s="1"/>
  <c r="AB684" i="1" s="1"/>
  <c r="AC684" i="1" s="1"/>
  <c r="AD684" i="1" s="1"/>
  <c r="AE684" i="1" s="1"/>
  <c r="AF684" i="1" s="1"/>
  <c r="AG684" i="1" s="1"/>
  <c r="AH684" i="1" s="1"/>
  <c r="AI684" i="1" s="1"/>
  <c r="AJ684" i="1" s="1"/>
  <c r="AK684" i="1" s="1"/>
  <c r="AL684" i="1" s="1"/>
  <c r="AM684" i="1" s="1"/>
  <c r="AN684" i="1" s="1"/>
  <c r="F683" i="1"/>
  <c r="G683" i="1" s="1"/>
  <c r="H683" i="1" s="1"/>
  <c r="I683" i="1" s="1"/>
  <c r="J683" i="1" s="1"/>
  <c r="K683" i="1" s="1"/>
  <c r="L683" i="1" s="1"/>
  <c r="M683" i="1" s="1"/>
  <c r="N683" i="1" s="1"/>
  <c r="O683" i="1" s="1"/>
  <c r="P683" i="1" s="1"/>
  <c r="Q683" i="1" s="1"/>
  <c r="R683" i="1" s="1"/>
  <c r="S683" i="1" s="1"/>
  <c r="T683" i="1" s="1"/>
  <c r="U683" i="1" s="1"/>
  <c r="V683" i="1" s="1"/>
  <c r="W683" i="1" s="1"/>
  <c r="X683" i="1" s="1"/>
  <c r="Y683" i="1" s="1"/>
  <c r="Z683" i="1" s="1"/>
  <c r="AA683" i="1" s="1"/>
  <c r="AB683" i="1" s="1"/>
  <c r="AC683" i="1" s="1"/>
  <c r="AD683" i="1" s="1"/>
  <c r="AE683" i="1" s="1"/>
  <c r="AF683" i="1" s="1"/>
  <c r="AG683" i="1" s="1"/>
  <c r="AH683" i="1" s="1"/>
  <c r="AI683" i="1" s="1"/>
  <c r="AJ683" i="1" s="1"/>
  <c r="AK683" i="1" s="1"/>
  <c r="AL683" i="1" s="1"/>
  <c r="AM683" i="1" s="1"/>
  <c r="AN683" i="1" s="1"/>
  <c r="F682" i="1"/>
  <c r="G682" i="1" s="1"/>
  <c r="H682" i="1" s="1"/>
  <c r="I682" i="1" s="1"/>
  <c r="J682" i="1" s="1"/>
  <c r="K682" i="1" s="1"/>
  <c r="L682" i="1" s="1"/>
  <c r="M682" i="1" s="1"/>
  <c r="N682" i="1" s="1"/>
  <c r="O682" i="1" s="1"/>
  <c r="P682" i="1" s="1"/>
  <c r="Q682" i="1" s="1"/>
  <c r="R682" i="1" s="1"/>
  <c r="S682" i="1" s="1"/>
  <c r="T682" i="1" s="1"/>
  <c r="U682" i="1" s="1"/>
  <c r="V682" i="1" s="1"/>
  <c r="W682" i="1" s="1"/>
  <c r="X682" i="1" s="1"/>
  <c r="Y682" i="1" s="1"/>
  <c r="Z682" i="1" s="1"/>
  <c r="AA682" i="1" s="1"/>
  <c r="AB682" i="1" s="1"/>
  <c r="AC682" i="1" s="1"/>
  <c r="AD682" i="1" s="1"/>
  <c r="AE682" i="1" s="1"/>
  <c r="AF682" i="1" s="1"/>
  <c r="AG682" i="1" s="1"/>
  <c r="AH682" i="1" s="1"/>
  <c r="AI682" i="1" s="1"/>
  <c r="AJ682" i="1" s="1"/>
  <c r="AK682" i="1" s="1"/>
  <c r="AL682" i="1" s="1"/>
  <c r="AM682" i="1" s="1"/>
  <c r="AN682" i="1" s="1"/>
  <c r="F681" i="1"/>
  <c r="G681" i="1" s="1"/>
  <c r="H681" i="1" s="1"/>
  <c r="I681" i="1" s="1"/>
  <c r="J681" i="1" s="1"/>
  <c r="K681" i="1" s="1"/>
  <c r="L681" i="1" s="1"/>
  <c r="M681" i="1" s="1"/>
  <c r="N681" i="1" s="1"/>
  <c r="O681" i="1" s="1"/>
  <c r="P681" i="1" s="1"/>
  <c r="Q681" i="1" s="1"/>
  <c r="R681" i="1" s="1"/>
  <c r="S681" i="1" s="1"/>
  <c r="T681" i="1" s="1"/>
  <c r="U681" i="1" s="1"/>
  <c r="V681" i="1" s="1"/>
  <c r="W681" i="1" s="1"/>
  <c r="X681" i="1" s="1"/>
  <c r="Y681" i="1" s="1"/>
  <c r="Z681" i="1" s="1"/>
  <c r="AA681" i="1" s="1"/>
  <c r="AB681" i="1" s="1"/>
  <c r="AC681" i="1" s="1"/>
  <c r="AD681" i="1" s="1"/>
  <c r="AE681" i="1" s="1"/>
  <c r="AF681" i="1" s="1"/>
  <c r="AG681" i="1" s="1"/>
  <c r="AH681" i="1" s="1"/>
  <c r="AI681" i="1" s="1"/>
  <c r="AJ681" i="1" s="1"/>
  <c r="AK681" i="1" s="1"/>
  <c r="AL681" i="1" s="1"/>
  <c r="AM681" i="1" s="1"/>
  <c r="AN681" i="1" s="1"/>
  <c r="F680" i="1"/>
  <c r="G680" i="1" s="1"/>
  <c r="H680" i="1" s="1"/>
  <c r="I680" i="1" s="1"/>
  <c r="J680" i="1" s="1"/>
  <c r="K680" i="1" s="1"/>
  <c r="L680" i="1" s="1"/>
  <c r="M680" i="1" s="1"/>
  <c r="N680" i="1" s="1"/>
  <c r="O680" i="1" s="1"/>
  <c r="P680" i="1" s="1"/>
  <c r="Q680" i="1" s="1"/>
  <c r="R680" i="1" s="1"/>
  <c r="S680" i="1" s="1"/>
  <c r="T680" i="1" s="1"/>
  <c r="U680" i="1" s="1"/>
  <c r="V680" i="1" s="1"/>
  <c r="W680" i="1" s="1"/>
  <c r="X680" i="1" s="1"/>
  <c r="Y680" i="1" s="1"/>
  <c r="Z680" i="1" s="1"/>
  <c r="AA680" i="1" s="1"/>
  <c r="AB680" i="1" s="1"/>
  <c r="AC680" i="1" s="1"/>
  <c r="AD680" i="1" s="1"/>
  <c r="AE680" i="1" s="1"/>
  <c r="AF680" i="1" s="1"/>
  <c r="AG680" i="1" s="1"/>
  <c r="AH680" i="1" s="1"/>
  <c r="AI680" i="1" s="1"/>
  <c r="AJ680" i="1" s="1"/>
  <c r="AK680" i="1" s="1"/>
  <c r="AL680" i="1" s="1"/>
  <c r="AM680" i="1" s="1"/>
  <c r="AN680" i="1" s="1"/>
  <c r="F679" i="1"/>
  <c r="G679" i="1" s="1"/>
  <c r="H679" i="1" s="1"/>
  <c r="I679" i="1" s="1"/>
  <c r="J679" i="1" s="1"/>
  <c r="K679" i="1" s="1"/>
  <c r="L679" i="1" s="1"/>
  <c r="M679" i="1" s="1"/>
  <c r="N679" i="1" s="1"/>
  <c r="O679" i="1" s="1"/>
  <c r="P679" i="1" s="1"/>
  <c r="Q679" i="1" s="1"/>
  <c r="R679" i="1" s="1"/>
  <c r="S679" i="1" s="1"/>
  <c r="T679" i="1" s="1"/>
  <c r="U679" i="1" s="1"/>
  <c r="V679" i="1" s="1"/>
  <c r="W679" i="1" s="1"/>
  <c r="X679" i="1" s="1"/>
  <c r="Y679" i="1" s="1"/>
  <c r="Z679" i="1" s="1"/>
  <c r="AA679" i="1" s="1"/>
  <c r="AB679" i="1" s="1"/>
  <c r="AC679" i="1" s="1"/>
  <c r="AD679" i="1" s="1"/>
  <c r="AE679" i="1" s="1"/>
  <c r="AF679" i="1" s="1"/>
  <c r="AG679" i="1" s="1"/>
  <c r="AH679" i="1" s="1"/>
  <c r="AI679" i="1" s="1"/>
  <c r="AJ679" i="1" s="1"/>
  <c r="AK679" i="1" s="1"/>
  <c r="AL679" i="1" s="1"/>
  <c r="AM679" i="1" s="1"/>
  <c r="AN679" i="1" s="1"/>
  <c r="G677" i="1"/>
  <c r="H677" i="1" s="1"/>
  <c r="I677" i="1" s="1"/>
  <c r="J677" i="1" s="1"/>
  <c r="K677" i="1" s="1"/>
  <c r="L677" i="1" s="1"/>
  <c r="M677" i="1" s="1"/>
  <c r="N677" i="1" s="1"/>
  <c r="O677" i="1" s="1"/>
  <c r="P677" i="1" s="1"/>
  <c r="Q677" i="1" s="1"/>
  <c r="R677" i="1" s="1"/>
  <c r="S677" i="1" s="1"/>
  <c r="T677" i="1" s="1"/>
  <c r="U677" i="1" s="1"/>
  <c r="V677" i="1" s="1"/>
  <c r="W677" i="1" s="1"/>
  <c r="X677" i="1" s="1"/>
  <c r="Y677" i="1" s="1"/>
  <c r="Z677" i="1" s="1"/>
  <c r="AA677" i="1" s="1"/>
  <c r="AB677" i="1" s="1"/>
  <c r="AC677" i="1" s="1"/>
  <c r="AD677" i="1" s="1"/>
  <c r="AE677" i="1" s="1"/>
  <c r="AF677" i="1" s="1"/>
  <c r="AG677" i="1" s="1"/>
  <c r="AH677" i="1" s="1"/>
  <c r="AI677" i="1" s="1"/>
  <c r="AJ677" i="1" s="1"/>
  <c r="AK677" i="1" s="1"/>
  <c r="AL677" i="1" s="1"/>
  <c r="AM677" i="1" s="1"/>
  <c r="AN677" i="1" s="1"/>
  <c r="F677" i="1"/>
  <c r="F676" i="1"/>
  <c r="G676" i="1" s="1"/>
  <c r="H676" i="1" s="1"/>
  <c r="I676" i="1" s="1"/>
  <c r="J676" i="1" s="1"/>
  <c r="K676" i="1" s="1"/>
  <c r="L676" i="1" s="1"/>
  <c r="M676" i="1" s="1"/>
  <c r="N676" i="1" s="1"/>
  <c r="O676" i="1" s="1"/>
  <c r="P676" i="1" s="1"/>
  <c r="Q676" i="1" s="1"/>
  <c r="R676" i="1" s="1"/>
  <c r="S676" i="1" s="1"/>
  <c r="T676" i="1" s="1"/>
  <c r="U676" i="1" s="1"/>
  <c r="V676" i="1" s="1"/>
  <c r="W676" i="1" s="1"/>
  <c r="X676" i="1" s="1"/>
  <c r="Y676" i="1" s="1"/>
  <c r="Z676" i="1" s="1"/>
  <c r="AA676" i="1" s="1"/>
  <c r="AB676" i="1" s="1"/>
  <c r="AC676" i="1" s="1"/>
  <c r="AD676" i="1" s="1"/>
  <c r="AE676" i="1" s="1"/>
  <c r="AF676" i="1" s="1"/>
  <c r="AG676" i="1" s="1"/>
  <c r="AH676" i="1" s="1"/>
  <c r="AI676" i="1" s="1"/>
  <c r="AJ676" i="1" s="1"/>
  <c r="AK676" i="1" s="1"/>
  <c r="AL676" i="1" s="1"/>
  <c r="AM676" i="1" s="1"/>
  <c r="AN676" i="1" s="1"/>
  <c r="G675" i="1"/>
  <c r="H675" i="1" s="1"/>
  <c r="I675" i="1" s="1"/>
  <c r="J675" i="1" s="1"/>
  <c r="K675" i="1" s="1"/>
  <c r="L675" i="1" s="1"/>
  <c r="M675" i="1" s="1"/>
  <c r="N675" i="1" s="1"/>
  <c r="O675" i="1" s="1"/>
  <c r="P675" i="1" s="1"/>
  <c r="Q675" i="1" s="1"/>
  <c r="R675" i="1" s="1"/>
  <c r="S675" i="1" s="1"/>
  <c r="T675" i="1" s="1"/>
  <c r="U675" i="1" s="1"/>
  <c r="V675" i="1" s="1"/>
  <c r="W675" i="1" s="1"/>
  <c r="X675" i="1" s="1"/>
  <c r="Y675" i="1" s="1"/>
  <c r="Z675" i="1" s="1"/>
  <c r="AA675" i="1" s="1"/>
  <c r="AB675" i="1" s="1"/>
  <c r="AC675" i="1" s="1"/>
  <c r="AD675" i="1" s="1"/>
  <c r="AE675" i="1" s="1"/>
  <c r="AF675" i="1" s="1"/>
  <c r="AG675" i="1" s="1"/>
  <c r="AH675" i="1" s="1"/>
  <c r="AI675" i="1" s="1"/>
  <c r="AJ675" i="1" s="1"/>
  <c r="AK675" i="1" s="1"/>
  <c r="AL675" i="1" s="1"/>
  <c r="AM675" i="1" s="1"/>
  <c r="AN675" i="1" s="1"/>
  <c r="F675" i="1"/>
  <c r="F674" i="1"/>
  <c r="G674" i="1" s="1"/>
  <c r="H674" i="1" s="1"/>
  <c r="I674" i="1" s="1"/>
  <c r="J674" i="1" s="1"/>
  <c r="K674" i="1" s="1"/>
  <c r="L674" i="1" s="1"/>
  <c r="M674" i="1" s="1"/>
  <c r="N674" i="1" s="1"/>
  <c r="O674" i="1" s="1"/>
  <c r="P674" i="1" s="1"/>
  <c r="Q674" i="1" s="1"/>
  <c r="R674" i="1" s="1"/>
  <c r="S674" i="1" s="1"/>
  <c r="T674" i="1" s="1"/>
  <c r="U674" i="1" s="1"/>
  <c r="V674" i="1" s="1"/>
  <c r="W674" i="1" s="1"/>
  <c r="X674" i="1" s="1"/>
  <c r="Y674" i="1" s="1"/>
  <c r="Z674" i="1" s="1"/>
  <c r="AA674" i="1" s="1"/>
  <c r="AB674" i="1" s="1"/>
  <c r="AC674" i="1" s="1"/>
  <c r="AD674" i="1" s="1"/>
  <c r="AE674" i="1" s="1"/>
  <c r="AF674" i="1" s="1"/>
  <c r="AG674" i="1" s="1"/>
  <c r="AH674" i="1" s="1"/>
  <c r="AI674" i="1" s="1"/>
  <c r="AJ674" i="1" s="1"/>
  <c r="AK674" i="1" s="1"/>
  <c r="AL674" i="1" s="1"/>
  <c r="AM674" i="1" s="1"/>
  <c r="AN674" i="1" s="1"/>
  <c r="G673" i="1"/>
  <c r="H673" i="1" s="1"/>
  <c r="I673" i="1" s="1"/>
  <c r="J673" i="1" s="1"/>
  <c r="K673" i="1" s="1"/>
  <c r="L673" i="1" s="1"/>
  <c r="M673" i="1" s="1"/>
  <c r="N673" i="1" s="1"/>
  <c r="O673" i="1" s="1"/>
  <c r="P673" i="1" s="1"/>
  <c r="Q673" i="1" s="1"/>
  <c r="R673" i="1" s="1"/>
  <c r="S673" i="1" s="1"/>
  <c r="T673" i="1" s="1"/>
  <c r="U673" i="1" s="1"/>
  <c r="V673" i="1" s="1"/>
  <c r="W673" i="1" s="1"/>
  <c r="X673" i="1" s="1"/>
  <c r="Y673" i="1" s="1"/>
  <c r="Z673" i="1" s="1"/>
  <c r="AA673" i="1" s="1"/>
  <c r="AB673" i="1" s="1"/>
  <c r="AC673" i="1" s="1"/>
  <c r="AD673" i="1" s="1"/>
  <c r="AE673" i="1" s="1"/>
  <c r="AF673" i="1" s="1"/>
  <c r="AG673" i="1" s="1"/>
  <c r="AH673" i="1" s="1"/>
  <c r="AI673" i="1" s="1"/>
  <c r="AJ673" i="1" s="1"/>
  <c r="AK673" i="1" s="1"/>
  <c r="AL673" i="1" s="1"/>
  <c r="AM673" i="1" s="1"/>
  <c r="AN673" i="1" s="1"/>
  <c r="F673" i="1"/>
  <c r="F672" i="1"/>
  <c r="G672" i="1" s="1"/>
  <c r="H672" i="1" s="1"/>
  <c r="I672" i="1" s="1"/>
  <c r="J672" i="1" s="1"/>
  <c r="K672" i="1" s="1"/>
  <c r="L672" i="1" s="1"/>
  <c r="M672" i="1" s="1"/>
  <c r="N672" i="1" s="1"/>
  <c r="O672" i="1" s="1"/>
  <c r="P672" i="1" s="1"/>
  <c r="Q672" i="1" s="1"/>
  <c r="R672" i="1" s="1"/>
  <c r="S672" i="1" s="1"/>
  <c r="T672" i="1" s="1"/>
  <c r="U672" i="1" s="1"/>
  <c r="V672" i="1" s="1"/>
  <c r="W672" i="1" s="1"/>
  <c r="X672" i="1" s="1"/>
  <c r="Y672" i="1" s="1"/>
  <c r="Z672" i="1" s="1"/>
  <c r="AA672" i="1" s="1"/>
  <c r="AB672" i="1" s="1"/>
  <c r="AC672" i="1" s="1"/>
  <c r="AD672" i="1" s="1"/>
  <c r="AE672" i="1" s="1"/>
  <c r="AF672" i="1" s="1"/>
  <c r="AG672" i="1" s="1"/>
  <c r="AH672" i="1" s="1"/>
  <c r="AI672" i="1" s="1"/>
  <c r="AJ672" i="1" s="1"/>
  <c r="AK672" i="1" s="1"/>
  <c r="AL672" i="1" s="1"/>
  <c r="AM672" i="1" s="1"/>
  <c r="AN672" i="1" s="1"/>
  <c r="F670" i="1"/>
  <c r="G670" i="1" s="1"/>
  <c r="H670" i="1" s="1"/>
  <c r="I670" i="1" s="1"/>
  <c r="J670" i="1" s="1"/>
  <c r="K670" i="1" s="1"/>
  <c r="L670" i="1" s="1"/>
  <c r="M670" i="1" s="1"/>
  <c r="N670" i="1" s="1"/>
  <c r="O670" i="1" s="1"/>
  <c r="P670" i="1" s="1"/>
  <c r="Q670" i="1" s="1"/>
  <c r="R670" i="1" s="1"/>
  <c r="S670" i="1" s="1"/>
  <c r="T670" i="1" s="1"/>
  <c r="U670" i="1" s="1"/>
  <c r="V670" i="1" s="1"/>
  <c r="W670" i="1" s="1"/>
  <c r="X670" i="1" s="1"/>
  <c r="Y670" i="1" s="1"/>
  <c r="Z670" i="1" s="1"/>
  <c r="AA670" i="1" s="1"/>
  <c r="AB670" i="1" s="1"/>
  <c r="AC670" i="1" s="1"/>
  <c r="AD670" i="1" s="1"/>
  <c r="AE670" i="1" s="1"/>
  <c r="AF670" i="1" s="1"/>
  <c r="AG670" i="1" s="1"/>
  <c r="AH670" i="1" s="1"/>
  <c r="AI670" i="1" s="1"/>
  <c r="AJ670" i="1" s="1"/>
  <c r="AK670" i="1" s="1"/>
  <c r="AL670" i="1" s="1"/>
  <c r="AM670" i="1" s="1"/>
  <c r="AN670" i="1" s="1"/>
  <c r="F669" i="1"/>
  <c r="G669" i="1" s="1"/>
  <c r="H669" i="1" s="1"/>
  <c r="I669" i="1" s="1"/>
  <c r="J669" i="1" s="1"/>
  <c r="K669" i="1" s="1"/>
  <c r="L669" i="1" s="1"/>
  <c r="M669" i="1" s="1"/>
  <c r="N669" i="1" s="1"/>
  <c r="O669" i="1" s="1"/>
  <c r="P669" i="1" s="1"/>
  <c r="Q669" i="1" s="1"/>
  <c r="R669" i="1" s="1"/>
  <c r="S669" i="1" s="1"/>
  <c r="T669" i="1" s="1"/>
  <c r="U669" i="1" s="1"/>
  <c r="V669" i="1" s="1"/>
  <c r="W669" i="1" s="1"/>
  <c r="X669" i="1" s="1"/>
  <c r="Y669" i="1" s="1"/>
  <c r="Z669" i="1" s="1"/>
  <c r="AA669" i="1" s="1"/>
  <c r="AB669" i="1" s="1"/>
  <c r="AC669" i="1" s="1"/>
  <c r="AD669" i="1" s="1"/>
  <c r="AE669" i="1" s="1"/>
  <c r="AF669" i="1" s="1"/>
  <c r="AG669" i="1" s="1"/>
  <c r="AH669" i="1" s="1"/>
  <c r="AI669" i="1" s="1"/>
  <c r="AJ669" i="1" s="1"/>
  <c r="AK669" i="1" s="1"/>
  <c r="AL669" i="1" s="1"/>
  <c r="AM669" i="1" s="1"/>
  <c r="AN669" i="1" s="1"/>
  <c r="F668" i="1"/>
  <c r="G668" i="1" s="1"/>
  <c r="H668" i="1" s="1"/>
  <c r="I668" i="1" s="1"/>
  <c r="J668" i="1" s="1"/>
  <c r="K668" i="1" s="1"/>
  <c r="L668" i="1" s="1"/>
  <c r="M668" i="1" s="1"/>
  <c r="N668" i="1" s="1"/>
  <c r="O668" i="1" s="1"/>
  <c r="P668" i="1" s="1"/>
  <c r="Q668" i="1" s="1"/>
  <c r="R668" i="1" s="1"/>
  <c r="S668" i="1" s="1"/>
  <c r="T668" i="1" s="1"/>
  <c r="U668" i="1" s="1"/>
  <c r="V668" i="1" s="1"/>
  <c r="W668" i="1" s="1"/>
  <c r="X668" i="1" s="1"/>
  <c r="Y668" i="1" s="1"/>
  <c r="Z668" i="1" s="1"/>
  <c r="AA668" i="1" s="1"/>
  <c r="AB668" i="1" s="1"/>
  <c r="AC668" i="1" s="1"/>
  <c r="AD668" i="1" s="1"/>
  <c r="AE668" i="1" s="1"/>
  <c r="AF668" i="1" s="1"/>
  <c r="AG668" i="1" s="1"/>
  <c r="AH668" i="1" s="1"/>
  <c r="AI668" i="1" s="1"/>
  <c r="AJ668" i="1" s="1"/>
  <c r="AK668" i="1" s="1"/>
  <c r="AL668" i="1" s="1"/>
  <c r="AM668" i="1" s="1"/>
  <c r="AN668" i="1" s="1"/>
  <c r="F667" i="1"/>
  <c r="G667" i="1" s="1"/>
  <c r="H667" i="1" s="1"/>
  <c r="I667" i="1" s="1"/>
  <c r="J667" i="1" s="1"/>
  <c r="K667" i="1" s="1"/>
  <c r="L667" i="1" s="1"/>
  <c r="M667" i="1" s="1"/>
  <c r="N667" i="1" s="1"/>
  <c r="O667" i="1" s="1"/>
  <c r="P667" i="1" s="1"/>
  <c r="Q667" i="1" s="1"/>
  <c r="R667" i="1" s="1"/>
  <c r="S667" i="1" s="1"/>
  <c r="T667" i="1" s="1"/>
  <c r="U667" i="1" s="1"/>
  <c r="V667" i="1" s="1"/>
  <c r="W667" i="1" s="1"/>
  <c r="X667" i="1" s="1"/>
  <c r="Y667" i="1" s="1"/>
  <c r="Z667" i="1" s="1"/>
  <c r="AA667" i="1" s="1"/>
  <c r="AB667" i="1" s="1"/>
  <c r="AC667" i="1" s="1"/>
  <c r="AD667" i="1" s="1"/>
  <c r="AE667" i="1" s="1"/>
  <c r="AF667" i="1" s="1"/>
  <c r="AG667" i="1" s="1"/>
  <c r="AH667" i="1" s="1"/>
  <c r="AI667" i="1" s="1"/>
  <c r="AJ667" i="1" s="1"/>
  <c r="AK667" i="1" s="1"/>
  <c r="AL667" i="1" s="1"/>
  <c r="AM667" i="1" s="1"/>
  <c r="AN667" i="1" s="1"/>
  <c r="G666" i="1"/>
  <c r="H666" i="1" s="1"/>
  <c r="I666" i="1" s="1"/>
  <c r="J666" i="1" s="1"/>
  <c r="K666" i="1" s="1"/>
  <c r="L666" i="1" s="1"/>
  <c r="M666" i="1" s="1"/>
  <c r="N666" i="1" s="1"/>
  <c r="O666" i="1" s="1"/>
  <c r="P666" i="1" s="1"/>
  <c r="Q666" i="1" s="1"/>
  <c r="R666" i="1" s="1"/>
  <c r="S666" i="1" s="1"/>
  <c r="T666" i="1" s="1"/>
  <c r="U666" i="1" s="1"/>
  <c r="V666" i="1" s="1"/>
  <c r="W666" i="1" s="1"/>
  <c r="X666" i="1" s="1"/>
  <c r="Y666" i="1" s="1"/>
  <c r="Z666" i="1" s="1"/>
  <c r="AA666" i="1" s="1"/>
  <c r="AB666" i="1" s="1"/>
  <c r="AC666" i="1" s="1"/>
  <c r="AD666" i="1" s="1"/>
  <c r="AE666" i="1" s="1"/>
  <c r="AF666" i="1" s="1"/>
  <c r="AG666" i="1" s="1"/>
  <c r="AH666" i="1" s="1"/>
  <c r="AI666" i="1" s="1"/>
  <c r="AJ666" i="1" s="1"/>
  <c r="AK666" i="1" s="1"/>
  <c r="AL666" i="1" s="1"/>
  <c r="AM666" i="1" s="1"/>
  <c r="AN666" i="1" s="1"/>
  <c r="F666" i="1"/>
  <c r="H665" i="1"/>
  <c r="I665" i="1" s="1"/>
  <c r="J665" i="1" s="1"/>
  <c r="K665" i="1" s="1"/>
  <c r="L665" i="1" s="1"/>
  <c r="M665" i="1" s="1"/>
  <c r="N665" i="1" s="1"/>
  <c r="O665" i="1" s="1"/>
  <c r="P665" i="1" s="1"/>
  <c r="Q665" i="1" s="1"/>
  <c r="R665" i="1" s="1"/>
  <c r="S665" i="1" s="1"/>
  <c r="T665" i="1" s="1"/>
  <c r="U665" i="1" s="1"/>
  <c r="V665" i="1" s="1"/>
  <c r="W665" i="1" s="1"/>
  <c r="X665" i="1" s="1"/>
  <c r="Y665" i="1" s="1"/>
  <c r="Z665" i="1" s="1"/>
  <c r="AA665" i="1" s="1"/>
  <c r="AB665" i="1" s="1"/>
  <c r="AC665" i="1" s="1"/>
  <c r="AD665" i="1" s="1"/>
  <c r="AE665" i="1" s="1"/>
  <c r="AF665" i="1" s="1"/>
  <c r="AG665" i="1" s="1"/>
  <c r="AH665" i="1" s="1"/>
  <c r="AI665" i="1" s="1"/>
  <c r="AJ665" i="1" s="1"/>
  <c r="AK665" i="1" s="1"/>
  <c r="AL665" i="1" s="1"/>
  <c r="AM665" i="1" s="1"/>
  <c r="AN665" i="1" s="1"/>
  <c r="G665" i="1"/>
  <c r="F665" i="1"/>
  <c r="F350" i="1"/>
  <c r="G350" i="1" s="1"/>
  <c r="H350" i="1" s="1"/>
  <c r="I350" i="1" s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V350" i="1" s="1"/>
  <c r="W350" i="1" s="1"/>
  <c r="X350" i="1" s="1"/>
  <c r="Y350" i="1" s="1"/>
  <c r="Z350" i="1" s="1"/>
  <c r="AA350" i="1" s="1"/>
  <c r="AB350" i="1" s="1"/>
  <c r="AC350" i="1" s="1"/>
  <c r="AD350" i="1" s="1"/>
  <c r="AE350" i="1" s="1"/>
  <c r="AF350" i="1" s="1"/>
  <c r="AG350" i="1" s="1"/>
  <c r="AH350" i="1" s="1"/>
  <c r="AI350" i="1" s="1"/>
  <c r="AJ350" i="1" s="1"/>
  <c r="AK350" i="1" s="1"/>
  <c r="AL350" i="1" s="1"/>
  <c r="AM350" i="1" s="1"/>
  <c r="AN350" i="1" s="1"/>
  <c r="F349" i="1"/>
  <c r="G349" i="1" s="1"/>
  <c r="H349" i="1" s="1"/>
  <c r="I349" i="1" s="1"/>
  <c r="J349" i="1" s="1"/>
  <c r="K349" i="1" s="1"/>
  <c r="L349" i="1" s="1"/>
  <c r="M349" i="1" s="1"/>
  <c r="N349" i="1" s="1"/>
  <c r="O349" i="1" s="1"/>
  <c r="P349" i="1" s="1"/>
  <c r="Q349" i="1" s="1"/>
  <c r="R349" i="1" s="1"/>
  <c r="S349" i="1" s="1"/>
  <c r="T349" i="1" s="1"/>
  <c r="U349" i="1" s="1"/>
  <c r="V349" i="1" s="1"/>
  <c r="W349" i="1" s="1"/>
  <c r="X349" i="1" s="1"/>
  <c r="Y349" i="1" s="1"/>
  <c r="Z349" i="1" s="1"/>
  <c r="AA349" i="1" s="1"/>
  <c r="AB349" i="1" s="1"/>
  <c r="AC349" i="1" s="1"/>
  <c r="AD349" i="1" s="1"/>
  <c r="AE349" i="1" s="1"/>
  <c r="AF349" i="1" s="1"/>
  <c r="AG349" i="1" s="1"/>
  <c r="AH349" i="1" s="1"/>
  <c r="AI349" i="1" s="1"/>
  <c r="AJ349" i="1" s="1"/>
  <c r="AK349" i="1" s="1"/>
  <c r="AL349" i="1" s="1"/>
  <c r="AM349" i="1" s="1"/>
  <c r="AN349" i="1" s="1"/>
  <c r="F348" i="1"/>
  <c r="G348" i="1" s="1"/>
  <c r="H348" i="1" s="1"/>
  <c r="I348" i="1" s="1"/>
  <c r="J348" i="1" s="1"/>
  <c r="K348" i="1" s="1"/>
  <c r="L348" i="1" s="1"/>
  <c r="M348" i="1" s="1"/>
  <c r="N348" i="1" s="1"/>
  <c r="O348" i="1" s="1"/>
  <c r="P348" i="1" s="1"/>
  <c r="Q348" i="1" s="1"/>
  <c r="R348" i="1" s="1"/>
  <c r="S348" i="1" s="1"/>
  <c r="T348" i="1" s="1"/>
  <c r="U348" i="1" s="1"/>
  <c r="V348" i="1" s="1"/>
  <c r="W348" i="1" s="1"/>
  <c r="X348" i="1" s="1"/>
  <c r="Y348" i="1" s="1"/>
  <c r="Z348" i="1" s="1"/>
  <c r="AA348" i="1" s="1"/>
  <c r="AB348" i="1" s="1"/>
  <c r="AC348" i="1" s="1"/>
  <c r="AD348" i="1" s="1"/>
  <c r="AE348" i="1" s="1"/>
  <c r="AF348" i="1" s="1"/>
  <c r="AG348" i="1" s="1"/>
  <c r="AH348" i="1" s="1"/>
  <c r="AI348" i="1" s="1"/>
  <c r="AJ348" i="1" s="1"/>
  <c r="AK348" i="1" s="1"/>
  <c r="AL348" i="1" s="1"/>
  <c r="AM348" i="1" s="1"/>
  <c r="AN348" i="1" s="1"/>
  <c r="F347" i="1"/>
  <c r="G347" i="1" s="1"/>
  <c r="H347" i="1" s="1"/>
  <c r="I347" i="1" s="1"/>
  <c r="J347" i="1" s="1"/>
  <c r="K347" i="1" s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V347" i="1" s="1"/>
  <c r="W347" i="1" s="1"/>
  <c r="X347" i="1" s="1"/>
  <c r="Y347" i="1" s="1"/>
  <c r="Z347" i="1" s="1"/>
  <c r="AA347" i="1" s="1"/>
  <c r="AB347" i="1" s="1"/>
  <c r="AC347" i="1" s="1"/>
  <c r="AD347" i="1" s="1"/>
  <c r="AE347" i="1" s="1"/>
  <c r="AF347" i="1" s="1"/>
  <c r="AG347" i="1" s="1"/>
  <c r="AH347" i="1" s="1"/>
  <c r="AI347" i="1" s="1"/>
  <c r="AJ347" i="1" s="1"/>
  <c r="AK347" i="1" s="1"/>
  <c r="AL347" i="1" s="1"/>
  <c r="AM347" i="1" s="1"/>
  <c r="AN347" i="1" s="1"/>
  <c r="F346" i="1"/>
  <c r="G346" i="1" s="1"/>
  <c r="H346" i="1" s="1"/>
  <c r="I346" i="1" s="1"/>
  <c r="J346" i="1" s="1"/>
  <c r="K346" i="1" s="1"/>
  <c r="L346" i="1" s="1"/>
  <c r="M346" i="1" s="1"/>
  <c r="N346" i="1" s="1"/>
  <c r="O346" i="1" s="1"/>
  <c r="P346" i="1" s="1"/>
  <c r="Q346" i="1" s="1"/>
  <c r="R346" i="1" s="1"/>
  <c r="S346" i="1" s="1"/>
  <c r="T346" i="1" s="1"/>
  <c r="U346" i="1" s="1"/>
  <c r="V346" i="1" s="1"/>
  <c r="W346" i="1" s="1"/>
  <c r="X346" i="1" s="1"/>
  <c r="Y346" i="1" s="1"/>
  <c r="Z346" i="1" s="1"/>
  <c r="AA346" i="1" s="1"/>
  <c r="AB346" i="1" s="1"/>
  <c r="AC346" i="1" s="1"/>
  <c r="AD346" i="1" s="1"/>
  <c r="AE346" i="1" s="1"/>
  <c r="AF346" i="1" s="1"/>
  <c r="AG346" i="1" s="1"/>
  <c r="AH346" i="1" s="1"/>
  <c r="AI346" i="1" s="1"/>
  <c r="AJ346" i="1" s="1"/>
  <c r="AK346" i="1" s="1"/>
  <c r="AL346" i="1" s="1"/>
  <c r="AM346" i="1" s="1"/>
  <c r="AN346" i="1" s="1"/>
  <c r="F345" i="1"/>
  <c r="G345" i="1" s="1"/>
  <c r="H345" i="1" s="1"/>
  <c r="I345" i="1" s="1"/>
  <c r="J345" i="1" s="1"/>
  <c r="K345" i="1" s="1"/>
  <c r="L345" i="1" s="1"/>
  <c r="M345" i="1" s="1"/>
  <c r="N345" i="1" s="1"/>
  <c r="O345" i="1" s="1"/>
  <c r="P345" i="1" s="1"/>
  <c r="Q345" i="1" s="1"/>
  <c r="R345" i="1" s="1"/>
  <c r="S345" i="1" s="1"/>
  <c r="T345" i="1" s="1"/>
  <c r="U345" i="1" s="1"/>
  <c r="V345" i="1" s="1"/>
  <c r="W345" i="1" s="1"/>
  <c r="X345" i="1" s="1"/>
  <c r="Y345" i="1" s="1"/>
  <c r="Z345" i="1" s="1"/>
  <c r="AA345" i="1" s="1"/>
  <c r="AB345" i="1" s="1"/>
  <c r="AC345" i="1" s="1"/>
  <c r="AD345" i="1" s="1"/>
  <c r="AE345" i="1" s="1"/>
  <c r="AF345" i="1" s="1"/>
  <c r="AG345" i="1" s="1"/>
  <c r="AH345" i="1" s="1"/>
  <c r="AI345" i="1" s="1"/>
  <c r="AJ345" i="1" s="1"/>
  <c r="AK345" i="1" s="1"/>
  <c r="AL345" i="1" s="1"/>
  <c r="AM345" i="1" s="1"/>
  <c r="AN345" i="1" s="1"/>
  <c r="F343" i="1"/>
  <c r="G343" i="1" s="1"/>
  <c r="H343" i="1" s="1"/>
  <c r="I343" i="1" s="1"/>
  <c r="J343" i="1" s="1"/>
  <c r="K343" i="1" s="1"/>
  <c r="L343" i="1" s="1"/>
  <c r="M343" i="1" s="1"/>
  <c r="N343" i="1" s="1"/>
  <c r="O343" i="1" s="1"/>
  <c r="P343" i="1" s="1"/>
  <c r="Q343" i="1" s="1"/>
  <c r="R343" i="1" s="1"/>
  <c r="S343" i="1" s="1"/>
  <c r="T343" i="1" s="1"/>
  <c r="U343" i="1" s="1"/>
  <c r="V343" i="1" s="1"/>
  <c r="W343" i="1" s="1"/>
  <c r="X343" i="1" s="1"/>
  <c r="Y343" i="1" s="1"/>
  <c r="Z343" i="1" s="1"/>
  <c r="AA343" i="1" s="1"/>
  <c r="AB343" i="1" s="1"/>
  <c r="AC343" i="1" s="1"/>
  <c r="AD343" i="1" s="1"/>
  <c r="AE343" i="1" s="1"/>
  <c r="AF343" i="1" s="1"/>
  <c r="AG343" i="1" s="1"/>
  <c r="AH343" i="1" s="1"/>
  <c r="AI343" i="1" s="1"/>
  <c r="AJ343" i="1" s="1"/>
  <c r="AK343" i="1" s="1"/>
  <c r="AL343" i="1" s="1"/>
  <c r="AM343" i="1" s="1"/>
  <c r="AN343" i="1" s="1"/>
  <c r="F342" i="1"/>
  <c r="G342" i="1" s="1"/>
  <c r="H342" i="1" s="1"/>
  <c r="I342" i="1" s="1"/>
  <c r="J342" i="1" s="1"/>
  <c r="K342" i="1" s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V342" i="1" s="1"/>
  <c r="W342" i="1" s="1"/>
  <c r="X342" i="1" s="1"/>
  <c r="Y342" i="1" s="1"/>
  <c r="Z342" i="1" s="1"/>
  <c r="AA342" i="1" s="1"/>
  <c r="AB342" i="1" s="1"/>
  <c r="AC342" i="1" s="1"/>
  <c r="AD342" i="1" s="1"/>
  <c r="AE342" i="1" s="1"/>
  <c r="AF342" i="1" s="1"/>
  <c r="AG342" i="1" s="1"/>
  <c r="AH342" i="1" s="1"/>
  <c r="AI342" i="1" s="1"/>
  <c r="AJ342" i="1" s="1"/>
  <c r="AK342" i="1" s="1"/>
  <c r="AL342" i="1" s="1"/>
  <c r="AM342" i="1" s="1"/>
  <c r="AN342" i="1" s="1"/>
  <c r="F341" i="1"/>
  <c r="G341" i="1" s="1"/>
  <c r="H341" i="1" s="1"/>
  <c r="I341" i="1" s="1"/>
  <c r="J341" i="1" s="1"/>
  <c r="K341" i="1" s="1"/>
  <c r="L341" i="1" s="1"/>
  <c r="M341" i="1" s="1"/>
  <c r="N341" i="1" s="1"/>
  <c r="O341" i="1" s="1"/>
  <c r="P341" i="1" s="1"/>
  <c r="Q341" i="1" s="1"/>
  <c r="R341" i="1" s="1"/>
  <c r="S341" i="1" s="1"/>
  <c r="T341" i="1" s="1"/>
  <c r="U341" i="1" s="1"/>
  <c r="V341" i="1" s="1"/>
  <c r="W341" i="1" s="1"/>
  <c r="X341" i="1" s="1"/>
  <c r="Y341" i="1" s="1"/>
  <c r="Z341" i="1" s="1"/>
  <c r="AA341" i="1" s="1"/>
  <c r="AB341" i="1" s="1"/>
  <c r="AC341" i="1" s="1"/>
  <c r="AD341" i="1" s="1"/>
  <c r="AE341" i="1" s="1"/>
  <c r="AF341" i="1" s="1"/>
  <c r="AG341" i="1" s="1"/>
  <c r="AH341" i="1" s="1"/>
  <c r="AI341" i="1" s="1"/>
  <c r="AJ341" i="1" s="1"/>
  <c r="AK341" i="1" s="1"/>
  <c r="AL341" i="1" s="1"/>
  <c r="AM341" i="1" s="1"/>
  <c r="AN341" i="1" s="1"/>
  <c r="F340" i="1"/>
  <c r="G340" i="1" s="1"/>
  <c r="H340" i="1" s="1"/>
  <c r="I340" i="1" s="1"/>
  <c r="J340" i="1" s="1"/>
  <c r="K340" i="1" s="1"/>
  <c r="L340" i="1" s="1"/>
  <c r="M340" i="1" s="1"/>
  <c r="N340" i="1" s="1"/>
  <c r="O340" i="1" s="1"/>
  <c r="P340" i="1" s="1"/>
  <c r="Q340" i="1" s="1"/>
  <c r="R340" i="1" s="1"/>
  <c r="S340" i="1" s="1"/>
  <c r="T340" i="1" s="1"/>
  <c r="U340" i="1" s="1"/>
  <c r="V340" i="1" s="1"/>
  <c r="W340" i="1" s="1"/>
  <c r="X340" i="1" s="1"/>
  <c r="Y340" i="1" s="1"/>
  <c r="Z340" i="1" s="1"/>
  <c r="AA340" i="1" s="1"/>
  <c r="AB340" i="1" s="1"/>
  <c r="AC340" i="1" s="1"/>
  <c r="AD340" i="1" s="1"/>
  <c r="AE340" i="1" s="1"/>
  <c r="AF340" i="1" s="1"/>
  <c r="AG340" i="1" s="1"/>
  <c r="AH340" i="1" s="1"/>
  <c r="AI340" i="1" s="1"/>
  <c r="AJ340" i="1" s="1"/>
  <c r="AK340" i="1" s="1"/>
  <c r="AL340" i="1" s="1"/>
  <c r="AM340" i="1" s="1"/>
  <c r="AN340" i="1" s="1"/>
  <c r="F339" i="1"/>
  <c r="G339" i="1" s="1"/>
  <c r="H339" i="1" s="1"/>
  <c r="I339" i="1" s="1"/>
  <c r="J339" i="1" s="1"/>
  <c r="K339" i="1" s="1"/>
  <c r="L339" i="1" s="1"/>
  <c r="M339" i="1" s="1"/>
  <c r="N339" i="1" s="1"/>
  <c r="O339" i="1" s="1"/>
  <c r="P339" i="1" s="1"/>
  <c r="Q339" i="1" s="1"/>
  <c r="R339" i="1" s="1"/>
  <c r="S339" i="1" s="1"/>
  <c r="T339" i="1" s="1"/>
  <c r="U339" i="1" s="1"/>
  <c r="V339" i="1" s="1"/>
  <c r="W339" i="1" s="1"/>
  <c r="X339" i="1" s="1"/>
  <c r="Y339" i="1" s="1"/>
  <c r="Z339" i="1" s="1"/>
  <c r="AA339" i="1" s="1"/>
  <c r="AB339" i="1" s="1"/>
  <c r="AC339" i="1" s="1"/>
  <c r="AD339" i="1" s="1"/>
  <c r="AE339" i="1" s="1"/>
  <c r="AF339" i="1" s="1"/>
  <c r="AG339" i="1" s="1"/>
  <c r="AH339" i="1" s="1"/>
  <c r="AI339" i="1" s="1"/>
  <c r="AJ339" i="1" s="1"/>
  <c r="AK339" i="1" s="1"/>
  <c r="AL339" i="1" s="1"/>
  <c r="AM339" i="1" s="1"/>
  <c r="AN339" i="1" s="1"/>
  <c r="F338" i="1"/>
  <c r="G338" i="1" s="1"/>
  <c r="H338" i="1" s="1"/>
  <c r="I338" i="1" s="1"/>
  <c r="J338" i="1" s="1"/>
  <c r="K338" i="1" s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V338" i="1" s="1"/>
  <c r="W338" i="1" s="1"/>
  <c r="X338" i="1" s="1"/>
  <c r="Y338" i="1" s="1"/>
  <c r="Z338" i="1" s="1"/>
  <c r="AA338" i="1" s="1"/>
  <c r="AB338" i="1" s="1"/>
  <c r="AC338" i="1" s="1"/>
  <c r="AD338" i="1" s="1"/>
  <c r="AE338" i="1" s="1"/>
  <c r="AF338" i="1" s="1"/>
  <c r="AG338" i="1" s="1"/>
  <c r="AH338" i="1" s="1"/>
  <c r="AI338" i="1" s="1"/>
  <c r="AJ338" i="1" s="1"/>
  <c r="AK338" i="1" s="1"/>
  <c r="AL338" i="1" s="1"/>
  <c r="AM338" i="1" s="1"/>
  <c r="AN338" i="1" s="1"/>
  <c r="F336" i="1"/>
  <c r="G336" i="1" s="1"/>
  <c r="H336" i="1" s="1"/>
  <c r="I336" i="1" s="1"/>
  <c r="J336" i="1" s="1"/>
  <c r="K336" i="1" s="1"/>
  <c r="L336" i="1" s="1"/>
  <c r="M336" i="1" s="1"/>
  <c r="N336" i="1" s="1"/>
  <c r="O336" i="1" s="1"/>
  <c r="P336" i="1" s="1"/>
  <c r="Q336" i="1" s="1"/>
  <c r="R336" i="1" s="1"/>
  <c r="S336" i="1" s="1"/>
  <c r="T336" i="1" s="1"/>
  <c r="U336" i="1" s="1"/>
  <c r="V336" i="1" s="1"/>
  <c r="W336" i="1" s="1"/>
  <c r="X336" i="1" s="1"/>
  <c r="Y336" i="1" s="1"/>
  <c r="Z336" i="1" s="1"/>
  <c r="AA336" i="1" s="1"/>
  <c r="AB336" i="1" s="1"/>
  <c r="AC336" i="1" s="1"/>
  <c r="AD336" i="1" s="1"/>
  <c r="AE336" i="1" s="1"/>
  <c r="AF336" i="1" s="1"/>
  <c r="AG336" i="1" s="1"/>
  <c r="AH336" i="1" s="1"/>
  <c r="AI336" i="1" s="1"/>
  <c r="AJ336" i="1" s="1"/>
  <c r="AK336" i="1" s="1"/>
  <c r="AL336" i="1" s="1"/>
  <c r="AM336" i="1" s="1"/>
  <c r="AN336" i="1" s="1"/>
  <c r="F335" i="1"/>
  <c r="G335" i="1" s="1"/>
  <c r="H335" i="1" s="1"/>
  <c r="I335" i="1" s="1"/>
  <c r="J335" i="1" s="1"/>
  <c r="K335" i="1" s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V335" i="1" s="1"/>
  <c r="W335" i="1" s="1"/>
  <c r="X335" i="1" s="1"/>
  <c r="Y335" i="1" s="1"/>
  <c r="Z335" i="1" s="1"/>
  <c r="AA335" i="1" s="1"/>
  <c r="AB335" i="1" s="1"/>
  <c r="AC335" i="1" s="1"/>
  <c r="AD335" i="1" s="1"/>
  <c r="AE335" i="1" s="1"/>
  <c r="AF335" i="1" s="1"/>
  <c r="AG335" i="1" s="1"/>
  <c r="AH335" i="1" s="1"/>
  <c r="AI335" i="1" s="1"/>
  <c r="AJ335" i="1" s="1"/>
  <c r="AK335" i="1" s="1"/>
  <c r="AL335" i="1" s="1"/>
  <c r="AM335" i="1" s="1"/>
  <c r="AN335" i="1" s="1"/>
  <c r="F334" i="1"/>
  <c r="G334" i="1" s="1"/>
  <c r="H334" i="1" s="1"/>
  <c r="I334" i="1" s="1"/>
  <c r="J334" i="1" s="1"/>
  <c r="K334" i="1" s="1"/>
  <c r="L334" i="1" s="1"/>
  <c r="M334" i="1" s="1"/>
  <c r="N334" i="1" s="1"/>
  <c r="O334" i="1" s="1"/>
  <c r="P334" i="1" s="1"/>
  <c r="Q334" i="1" s="1"/>
  <c r="R334" i="1" s="1"/>
  <c r="S334" i="1" s="1"/>
  <c r="T334" i="1" s="1"/>
  <c r="U334" i="1" s="1"/>
  <c r="V334" i="1" s="1"/>
  <c r="W334" i="1" s="1"/>
  <c r="X334" i="1" s="1"/>
  <c r="Y334" i="1" s="1"/>
  <c r="Z334" i="1" s="1"/>
  <c r="AA334" i="1" s="1"/>
  <c r="AB334" i="1" s="1"/>
  <c r="AC334" i="1" s="1"/>
  <c r="AD334" i="1" s="1"/>
  <c r="AE334" i="1" s="1"/>
  <c r="AF334" i="1" s="1"/>
  <c r="AG334" i="1" s="1"/>
  <c r="AH334" i="1" s="1"/>
  <c r="AI334" i="1" s="1"/>
  <c r="AJ334" i="1" s="1"/>
  <c r="AK334" i="1" s="1"/>
  <c r="AL334" i="1" s="1"/>
  <c r="AM334" i="1" s="1"/>
  <c r="AN334" i="1" s="1"/>
  <c r="F333" i="1"/>
  <c r="G333" i="1" s="1"/>
  <c r="H333" i="1" s="1"/>
  <c r="I333" i="1" s="1"/>
  <c r="J333" i="1" s="1"/>
  <c r="K333" i="1" s="1"/>
  <c r="L333" i="1" s="1"/>
  <c r="M333" i="1" s="1"/>
  <c r="N333" i="1" s="1"/>
  <c r="O333" i="1" s="1"/>
  <c r="P333" i="1" s="1"/>
  <c r="Q333" i="1" s="1"/>
  <c r="R333" i="1" s="1"/>
  <c r="S333" i="1" s="1"/>
  <c r="T333" i="1" s="1"/>
  <c r="U333" i="1" s="1"/>
  <c r="V333" i="1" s="1"/>
  <c r="W333" i="1" s="1"/>
  <c r="X333" i="1" s="1"/>
  <c r="Y333" i="1" s="1"/>
  <c r="Z333" i="1" s="1"/>
  <c r="AA333" i="1" s="1"/>
  <c r="AB333" i="1" s="1"/>
  <c r="AC333" i="1" s="1"/>
  <c r="AD333" i="1" s="1"/>
  <c r="AE333" i="1" s="1"/>
  <c r="AF333" i="1" s="1"/>
  <c r="AG333" i="1" s="1"/>
  <c r="AH333" i="1" s="1"/>
  <c r="AI333" i="1" s="1"/>
  <c r="AJ333" i="1" s="1"/>
  <c r="AK333" i="1" s="1"/>
  <c r="AL333" i="1" s="1"/>
  <c r="AM333" i="1" s="1"/>
  <c r="AN333" i="1" s="1"/>
  <c r="F332" i="1"/>
  <c r="G332" i="1" s="1"/>
  <c r="H332" i="1" s="1"/>
  <c r="I332" i="1" s="1"/>
  <c r="J332" i="1" s="1"/>
  <c r="K332" i="1" s="1"/>
  <c r="L332" i="1" s="1"/>
  <c r="M332" i="1" s="1"/>
  <c r="N332" i="1" s="1"/>
  <c r="O332" i="1" s="1"/>
  <c r="P332" i="1" s="1"/>
  <c r="Q332" i="1" s="1"/>
  <c r="R332" i="1" s="1"/>
  <c r="S332" i="1" s="1"/>
  <c r="T332" i="1" s="1"/>
  <c r="U332" i="1" s="1"/>
  <c r="V332" i="1" s="1"/>
  <c r="W332" i="1" s="1"/>
  <c r="X332" i="1" s="1"/>
  <c r="Y332" i="1" s="1"/>
  <c r="Z332" i="1" s="1"/>
  <c r="AA332" i="1" s="1"/>
  <c r="AB332" i="1" s="1"/>
  <c r="AC332" i="1" s="1"/>
  <c r="AD332" i="1" s="1"/>
  <c r="AE332" i="1" s="1"/>
  <c r="AF332" i="1" s="1"/>
  <c r="AG332" i="1" s="1"/>
  <c r="AH332" i="1" s="1"/>
  <c r="AI332" i="1" s="1"/>
  <c r="AJ332" i="1" s="1"/>
  <c r="AK332" i="1" s="1"/>
  <c r="AL332" i="1" s="1"/>
  <c r="AM332" i="1" s="1"/>
  <c r="AN332" i="1" s="1"/>
  <c r="F331" i="1"/>
  <c r="G331" i="1" s="1"/>
  <c r="H331" i="1" s="1"/>
  <c r="I331" i="1" s="1"/>
  <c r="J331" i="1" s="1"/>
  <c r="K331" i="1" s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V331" i="1" s="1"/>
  <c r="W331" i="1" s="1"/>
  <c r="X331" i="1" s="1"/>
  <c r="Y331" i="1" s="1"/>
  <c r="Z331" i="1" s="1"/>
  <c r="AA331" i="1" s="1"/>
  <c r="AB331" i="1" s="1"/>
  <c r="AC331" i="1" s="1"/>
  <c r="AD331" i="1" s="1"/>
  <c r="AE331" i="1" s="1"/>
  <c r="AF331" i="1" s="1"/>
  <c r="AG331" i="1" s="1"/>
  <c r="AH331" i="1" s="1"/>
  <c r="AI331" i="1" s="1"/>
  <c r="AJ331" i="1" s="1"/>
  <c r="AK331" i="1" s="1"/>
  <c r="AL331" i="1" s="1"/>
  <c r="AM331" i="1" s="1"/>
  <c r="AN331" i="1" s="1"/>
  <c r="F329" i="1"/>
  <c r="G329" i="1" s="1"/>
  <c r="H329" i="1" s="1"/>
  <c r="I329" i="1" s="1"/>
  <c r="J329" i="1" s="1"/>
  <c r="K329" i="1" s="1"/>
  <c r="L329" i="1" s="1"/>
  <c r="M329" i="1" s="1"/>
  <c r="N329" i="1" s="1"/>
  <c r="O329" i="1" s="1"/>
  <c r="P329" i="1" s="1"/>
  <c r="Q329" i="1" s="1"/>
  <c r="R329" i="1" s="1"/>
  <c r="S329" i="1" s="1"/>
  <c r="T329" i="1" s="1"/>
  <c r="U329" i="1" s="1"/>
  <c r="V329" i="1" s="1"/>
  <c r="W329" i="1" s="1"/>
  <c r="X329" i="1" s="1"/>
  <c r="Y329" i="1" s="1"/>
  <c r="Z329" i="1" s="1"/>
  <c r="AA329" i="1" s="1"/>
  <c r="AB329" i="1" s="1"/>
  <c r="AC329" i="1" s="1"/>
  <c r="AD329" i="1" s="1"/>
  <c r="AE329" i="1" s="1"/>
  <c r="AF329" i="1" s="1"/>
  <c r="AG329" i="1" s="1"/>
  <c r="AH329" i="1" s="1"/>
  <c r="AI329" i="1" s="1"/>
  <c r="AJ329" i="1" s="1"/>
  <c r="AK329" i="1" s="1"/>
  <c r="AL329" i="1" s="1"/>
  <c r="AM329" i="1" s="1"/>
  <c r="AN329" i="1" s="1"/>
  <c r="F328" i="1"/>
  <c r="G328" i="1" s="1"/>
  <c r="H328" i="1" s="1"/>
  <c r="I328" i="1" s="1"/>
  <c r="J328" i="1" s="1"/>
  <c r="K328" i="1" s="1"/>
  <c r="L328" i="1" s="1"/>
  <c r="M328" i="1" s="1"/>
  <c r="N328" i="1" s="1"/>
  <c r="O328" i="1" s="1"/>
  <c r="P328" i="1" s="1"/>
  <c r="Q328" i="1" s="1"/>
  <c r="R328" i="1" s="1"/>
  <c r="S328" i="1" s="1"/>
  <c r="T328" i="1" s="1"/>
  <c r="U328" i="1" s="1"/>
  <c r="V328" i="1" s="1"/>
  <c r="W328" i="1" s="1"/>
  <c r="X328" i="1" s="1"/>
  <c r="Y328" i="1" s="1"/>
  <c r="Z328" i="1" s="1"/>
  <c r="AA328" i="1" s="1"/>
  <c r="AB328" i="1" s="1"/>
  <c r="AC328" i="1" s="1"/>
  <c r="AD328" i="1" s="1"/>
  <c r="AE328" i="1" s="1"/>
  <c r="AF328" i="1" s="1"/>
  <c r="AG328" i="1" s="1"/>
  <c r="AH328" i="1" s="1"/>
  <c r="AI328" i="1" s="1"/>
  <c r="AJ328" i="1" s="1"/>
  <c r="AK328" i="1" s="1"/>
  <c r="AL328" i="1" s="1"/>
  <c r="AM328" i="1" s="1"/>
  <c r="AN328" i="1" s="1"/>
  <c r="F327" i="1"/>
  <c r="G327" i="1" s="1"/>
  <c r="H327" i="1" s="1"/>
  <c r="I327" i="1" s="1"/>
  <c r="J327" i="1" s="1"/>
  <c r="K327" i="1" s="1"/>
  <c r="L327" i="1" s="1"/>
  <c r="M327" i="1" s="1"/>
  <c r="N327" i="1" s="1"/>
  <c r="O327" i="1" s="1"/>
  <c r="P327" i="1" s="1"/>
  <c r="Q327" i="1" s="1"/>
  <c r="R327" i="1" s="1"/>
  <c r="S327" i="1" s="1"/>
  <c r="T327" i="1" s="1"/>
  <c r="U327" i="1" s="1"/>
  <c r="V327" i="1" s="1"/>
  <c r="W327" i="1" s="1"/>
  <c r="X327" i="1" s="1"/>
  <c r="Y327" i="1" s="1"/>
  <c r="Z327" i="1" s="1"/>
  <c r="AA327" i="1" s="1"/>
  <c r="AB327" i="1" s="1"/>
  <c r="AC327" i="1" s="1"/>
  <c r="AD327" i="1" s="1"/>
  <c r="AE327" i="1" s="1"/>
  <c r="AF327" i="1" s="1"/>
  <c r="AG327" i="1" s="1"/>
  <c r="AH327" i="1" s="1"/>
  <c r="AI327" i="1" s="1"/>
  <c r="AJ327" i="1" s="1"/>
  <c r="AK327" i="1" s="1"/>
  <c r="AL327" i="1" s="1"/>
  <c r="AM327" i="1" s="1"/>
  <c r="AN327" i="1" s="1"/>
  <c r="F326" i="1"/>
  <c r="G326" i="1" s="1"/>
  <c r="H326" i="1" s="1"/>
  <c r="I326" i="1" s="1"/>
  <c r="J326" i="1" s="1"/>
  <c r="K326" i="1" s="1"/>
  <c r="L326" i="1" s="1"/>
  <c r="M326" i="1" s="1"/>
  <c r="N326" i="1" s="1"/>
  <c r="O326" i="1" s="1"/>
  <c r="P326" i="1" s="1"/>
  <c r="Q326" i="1" s="1"/>
  <c r="R326" i="1" s="1"/>
  <c r="S326" i="1" s="1"/>
  <c r="T326" i="1" s="1"/>
  <c r="U326" i="1" s="1"/>
  <c r="V326" i="1" s="1"/>
  <c r="W326" i="1" s="1"/>
  <c r="X326" i="1" s="1"/>
  <c r="Y326" i="1" s="1"/>
  <c r="Z326" i="1" s="1"/>
  <c r="AA326" i="1" s="1"/>
  <c r="AB326" i="1" s="1"/>
  <c r="AC326" i="1" s="1"/>
  <c r="AD326" i="1" s="1"/>
  <c r="AE326" i="1" s="1"/>
  <c r="AF326" i="1" s="1"/>
  <c r="AG326" i="1" s="1"/>
  <c r="AH326" i="1" s="1"/>
  <c r="AI326" i="1" s="1"/>
  <c r="AJ326" i="1" s="1"/>
  <c r="AK326" i="1" s="1"/>
  <c r="AL326" i="1" s="1"/>
  <c r="AM326" i="1" s="1"/>
  <c r="AN326" i="1" s="1"/>
  <c r="F325" i="1"/>
  <c r="G325" i="1" s="1"/>
  <c r="H325" i="1" s="1"/>
  <c r="I325" i="1" s="1"/>
  <c r="J325" i="1" s="1"/>
  <c r="K325" i="1" s="1"/>
  <c r="L325" i="1" s="1"/>
  <c r="M325" i="1" s="1"/>
  <c r="N325" i="1" s="1"/>
  <c r="O325" i="1" s="1"/>
  <c r="P325" i="1" s="1"/>
  <c r="Q325" i="1" s="1"/>
  <c r="R325" i="1" s="1"/>
  <c r="S325" i="1" s="1"/>
  <c r="T325" i="1" s="1"/>
  <c r="U325" i="1" s="1"/>
  <c r="V325" i="1" s="1"/>
  <c r="W325" i="1" s="1"/>
  <c r="X325" i="1" s="1"/>
  <c r="Y325" i="1" s="1"/>
  <c r="Z325" i="1" s="1"/>
  <c r="AA325" i="1" s="1"/>
  <c r="AB325" i="1" s="1"/>
  <c r="AC325" i="1" s="1"/>
  <c r="AD325" i="1" s="1"/>
  <c r="AE325" i="1" s="1"/>
  <c r="AF325" i="1" s="1"/>
  <c r="AG325" i="1" s="1"/>
  <c r="AH325" i="1" s="1"/>
  <c r="AI325" i="1" s="1"/>
  <c r="AJ325" i="1" s="1"/>
  <c r="AK325" i="1" s="1"/>
  <c r="AL325" i="1" s="1"/>
  <c r="AM325" i="1" s="1"/>
  <c r="AN325" i="1" s="1"/>
  <c r="F324" i="1"/>
  <c r="G324" i="1" s="1"/>
  <c r="H324" i="1" s="1"/>
  <c r="I324" i="1" s="1"/>
  <c r="J324" i="1" s="1"/>
  <c r="K324" i="1" s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V324" i="1" s="1"/>
  <c r="W324" i="1" s="1"/>
  <c r="X324" i="1" s="1"/>
  <c r="Y324" i="1" s="1"/>
  <c r="Z324" i="1" s="1"/>
  <c r="AA324" i="1" s="1"/>
  <c r="AB324" i="1" s="1"/>
  <c r="AC324" i="1" s="1"/>
  <c r="AD324" i="1" s="1"/>
  <c r="AE324" i="1" s="1"/>
  <c r="AF324" i="1" s="1"/>
  <c r="AG324" i="1" s="1"/>
  <c r="AH324" i="1" s="1"/>
  <c r="AI324" i="1" s="1"/>
  <c r="AJ324" i="1" s="1"/>
  <c r="AK324" i="1" s="1"/>
  <c r="AL324" i="1" s="1"/>
  <c r="AM324" i="1" s="1"/>
  <c r="AN324" i="1" s="1"/>
  <c r="AN698" i="1"/>
  <c r="AM698" i="1"/>
  <c r="AL698" i="1"/>
  <c r="AK698" i="1"/>
  <c r="AJ698" i="1"/>
  <c r="AI698" i="1"/>
  <c r="AH698" i="1"/>
  <c r="AG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H698" i="1"/>
  <c r="G698" i="1"/>
  <c r="F698" i="1"/>
  <c r="E698" i="1"/>
  <c r="AN696" i="1"/>
  <c r="AM696" i="1"/>
  <c r="AL696" i="1"/>
  <c r="AK696" i="1"/>
  <c r="AJ696" i="1"/>
  <c r="AI696" i="1"/>
  <c r="AH696" i="1"/>
  <c r="AG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H696" i="1"/>
  <c r="G696" i="1"/>
  <c r="F696" i="1"/>
  <c r="E696" i="1"/>
  <c r="E12" i="37"/>
  <c r="AN600" i="1" s="1"/>
  <c r="E14" i="37"/>
  <c r="AN662" i="1" s="1"/>
  <c r="E13" i="37"/>
  <c r="E11" i="37"/>
  <c r="E8" i="37"/>
  <c r="AN476" i="1" s="1"/>
  <c r="AM476" i="1" s="1"/>
  <c r="E6" i="37"/>
  <c r="AN414" i="1" s="1"/>
  <c r="E4" i="37"/>
  <c r="AN352" i="1" s="1"/>
  <c r="E7" i="37"/>
  <c r="AN445" i="1" s="1"/>
  <c r="AM445" i="1" s="1"/>
  <c r="D6" i="37"/>
  <c r="C6" i="37"/>
  <c r="P414" i="1" s="1"/>
  <c r="O414" i="1" s="1"/>
  <c r="E5" i="37"/>
  <c r="AN383" i="1" s="1"/>
  <c r="AM383" i="1" s="1"/>
  <c r="D5" i="37"/>
  <c r="D12" i="37"/>
  <c r="AB600" i="1" s="1"/>
  <c r="D7" i="37"/>
  <c r="D4" i="37"/>
  <c r="AB352" i="1" s="1"/>
  <c r="D11" i="37"/>
  <c r="AB569" i="1" s="1"/>
  <c r="E10" i="37"/>
  <c r="D10" i="37"/>
  <c r="AB538" i="1" s="1"/>
  <c r="D13" i="37"/>
  <c r="AB631" i="1" s="1"/>
  <c r="D8" i="37"/>
  <c r="AB476" i="1" s="1"/>
  <c r="D14" i="37"/>
  <c r="AB662" i="1" s="1"/>
  <c r="C13" i="37"/>
  <c r="G13" i="37" s="1"/>
  <c r="C11" i="37"/>
  <c r="G11" i="37" s="1"/>
  <c r="C10" i="37"/>
  <c r="P538" i="1" s="1"/>
  <c r="C5" i="37"/>
  <c r="P383" i="1" s="1"/>
  <c r="C14" i="37"/>
  <c r="N14" i="37"/>
  <c r="M14" i="37"/>
  <c r="L14" i="37"/>
  <c r="N13" i="37"/>
  <c r="M13" i="37"/>
  <c r="L13" i="37"/>
  <c r="N12" i="37"/>
  <c r="M12" i="37"/>
  <c r="L12" i="37"/>
  <c r="N11" i="37"/>
  <c r="M11" i="37"/>
  <c r="L11" i="37"/>
  <c r="N10" i="37"/>
  <c r="M10" i="37"/>
  <c r="L10" i="37"/>
  <c r="N9" i="37"/>
  <c r="M9" i="37"/>
  <c r="L9" i="37"/>
  <c r="N8" i="37"/>
  <c r="M8" i="37"/>
  <c r="L8" i="37"/>
  <c r="N7" i="37"/>
  <c r="M7" i="37"/>
  <c r="L7" i="37"/>
  <c r="N6" i="37"/>
  <c r="M6" i="37"/>
  <c r="L6" i="37"/>
  <c r="N5" i="37"/>
  <c r="M5" i="37"/>
  <c r="L5" i="37"/>
  <c r="N4" i="37"/>
  <c r="M4" i="37"/>
  <c r="L4" i="37"/>
  <c r="C4" i="37" s="1"/>
  <c r="N3" i="37"/>
  <c r="E3" i="37"/>
  <c r="AN321" i="1" s="1"/>
  <c r="M3" i="37"/>
  <c r="D3" i="37"/>
  <c r="AB321" i="1" s="1"/>
  <c r="AA17" i="37" s="1"/>
  <c r="L3" i="37"/>
  <c r="H55" i="1" a="1"/>
  <c r="H55" i="1" s="1"/>
  <c r="G55" i="1" a="1"/>
  <c r="G55" i="1" s="1"/>
  <c r="F55" i="1" a="1"/>
  <c r="F55" i="1" s="1"/>
  <c r="E21" i="1"/>
  <c r="E24" i="1" s="1"/>
  <c r="C12" i="37"/>
  <c r="G12" i="37" s="1"/>
  <c r="G8" i="37"/>
  <c r="C7" i="37"/>
  <c r="G7" i="37" s="1"/>
  <c r="P321" i="1"/>
  <c r="AA16" i="37"/>
  <c r="AN16" i="37" s="1"/>
  <c r="Z16" i="37"/>
  <c r="AM16" i="37" s="1"/>
  <c r="Y16" i="37"/>
  <c r="AL16" i="37" s="1"/>
  <c r="X16" i="37"/>
  <c r="AK16" i="37" s="1"/>
  <c r="W16" i="37"/>
  <c r="AJ16" i="37" s="1"/>
  <c r="V16" i="37"/>
  <c r="AI16" i="37" s="1"/>
  <c r="U16" i="37"/>
  <c r="AH16" i="37" s="1"/>
  <c r="T16" i="37"/>
  <c r="AG16" i="37" s="1"/>
  <c r="S16" i="37"/>
  <c r="AF16" i="37" s="1"/>
  <c r="R16" i="37"/>
  <c r="AE16" i="37" s="1"/>
  <c r="Q16" i="37"/>
  <c r="AD16" i="37" s="1"/>
  <c r="P16" i="37"/>
  <c r="AC16" i="37" s="1"/>
  <c r="C28" i="37"/>
  <c r="C27" i="37"/>
  <c r="C26" i="37"/>
  <c r="C25" i="37"/>
  <c r="C24" i="37"/>
  <c r="C23" i="37"/>
  <c r="C22" i="37"/>
  <c r="C21" i="37"/>
  <c r="C20" i="37"/>
  <c r="C19" i="37"/>
  <c r="D18" i="37"/>
  <c r="C18" i="37"/>
  <c r="F17" i="37"/>
  <c r="E17" i="37"/>
  <c r="D17" i="37"/>
  <c r="C17" i="37"/>
  <c r="E314" i="1" a="1"/>
  <c r="E314" i="1" s="1"/>
  <c r="F314" i="1" s="1"/>
  <c r="G314" i="1" s="1"/>
  <c r="H314" i="1" s="1"/>
  <c r="E313" i="1" a="1"/>
  <c r="E313" i="1" s="1"/>
  <c r="F313" i="1" s="1"/>
  <c r="G313" i="1" s="1"/>
  <c r="H313" i="1" s="1"/>
  <c r="E312" i="1" a="1"/>
  <c r="E312" i="1" s="1"/>
  <c r="F312" i="1" s="1"/>
  <c r="G312" i="1" s="1"/>
  <c r="H312" i="1" s="1"/>
  <c r="E311" i="1" a="1"/>
  <c r="E311" i="1" s="1"/>
  <c r="F311" i="1" s="1"/>
  <c r="G311" i="1" s="1"/>
  <c r="H311" i="1" s="1"/>
  <c r="E310" i="1" a="1"/>
  <c r="E310" i="1" s="1"/>
  <c r="F310" i="1" s="1"/>
  <c r="G310" i="1" s="1"/>
  <c r="H310" i="1" s="1"/>
  <c r="E309" i="1" a="1"/>
  <c r="E309" i="1" s="1"/>
  <c r="F309" i="1" s="1"/>
  <c r="G309" i="1" s="1"/>
  <c r="H309" i="1" s="1"/>
  <c r="E307" i="1" a="1"/>
  <c r="E307" i="1" s="1"/>
  <c r="F307" i="1" s="1"/>
  <c r="G307" i="1" s="1"/>
  <c r="H307" i="1" s="1"/>
  <c r="E306" i="1" a="1"/>
  <c r="E306" i="1" s="1"/>
  <c r="F306" i="1" s="1"/>
  <c r="G306" i="1" s="1"/>
  <c r="H306" i="1" s="1"/>
  <c r="E305" i="1" a="1"/>
  <c r="E305" i="1" s="1"/>
  <c r="F305" i="1" s="1"/>
  <c r="G305" i="1" s="1"/>
  <c r="H305" i="1" s="1"/>
  <c r="E304" i="1" a="1"/>
  <c r="E304" i="1" s="1"/>
  <c r="F304" i="1" s="1"/>
  <c r="G304" i="1" s="1"/>
  <c r="H304" i="1" s="1"/>
  <c r="E303" i="1" a="1"/>
  <c r="E303" i="1" s="1"/>
  <c r="F303" i="1" s="1"/>
  <c r="G303" i="1" s="1"/>
  <c r="H303" i="1" s="1"/>
  <c r="E302" i="1" a="1"/>
  <c r="E302" i="1" s="1"/>
  <c r="F302" i="1" s="1"/>
  <c r="G302" i="1" s="1"/>
  <c r="H302" i="1" s="1"/>
  <c r="E300" i="1" a="1"/>
  <c r="E300" i="1" s="1"/>
  <c r="F300" i="1" s="1"/>
  <c r="G300" i="1" s="1"/>
  <c r="H300" i="1" s="1"/>
  <c r="E299" i="1" a="1"/>
  <c r="E299" i="1" s="1"/>
  <c r="F299" i="1" s="1"/>
  <c r="G299" i="1" s="1"/>
  <c r="H299" i="1" s="1"/>
  <c r="E298" i="1" a="1"/>
  <c r="E298" i="1" s="1"/>
  <c r="F298" i="1" s="1"/>
  <c r="G298" i="1" s="1"/>
  <c r="H298" i="1" s="1"/>
  <c r="E297" i="1" a="1"/>
  <c r="E297" i="1" s="1"/>
  <c r="F297" i="1" s="1"/>
  <c r="G297" i="1" s="1"/>
  <c r="H297" i="1" s="1"/>
  <c r="E296" i="1" a="1"/>
  <c r="E296" i="1" s="1"/>
  <c r="F296" i="1" s="1"/>
  <c r="G296" i="1" s="1"/>
  <c r="H296" i="1" s="1"/>
  <c r="E295" i="1" a="1"/>
  <c r="E295" i="1" s="1"/>
  <c r="F295" i="1" s="1"/>
  <c r="G295" i="1" s="1"/>
  <c r="H295" i="1" s="1"/>
  <c r="E293" i="1" a="1"/>
  <c r="E293" i="1" s="1"/>
  <c r="F293" i="1" s="1"/>
  <c r="G293" i="1" s="1"/>
  <c r="H293" i="1" s="1"/>
  <c r="E292" i="1" a="1"/>
  <c r="E292" i="1" s="1"/>
  <c r="F292" i="1" s="1"/>
  <c r="G292" i="1" s="1"/>
  <c r="H292" i="1" s="1"/>
  <c r="E291" i="1" a="1"/>
  <c r="E291" i="1" s="1"/>
  <c r="F291" i="1" s="1"/>
  <c r="G291" i="1" s="1"/>
  <c r="H291" i="1" s="1"/>
  <c r="E290" i="1" a="1"/>
  <c r="E290" i="1" s="1"/>
  <c r="F290" i="1" s="1"/>
  <c r="G290" i="1" s="1"/>
  <c r="H290" i="1" s="1"/>
  <c r="E289" i="1" a="1"/>
  <c r="E289" i="1" s="1"/>
  <c r="F289" i="1" s="1"/>
  <c r="G289" i="1" s="1"/>
  <c r="H289" i="1" s="1"/>
  <c r="E288" i="1" a="1"/>
  <c r="E288" i="1" s="1"/>
  <c r="F288" i="1" s="1"/>
  <c r="G288" i="1" s="1"/>
  <c r="H288" i="1" s="1"/>
  <c r="E286" i="1" a="1"/>
  <c r="E286" i="1" s="1"/>
  <c r="F286" i="1" s="1"/>
  <c r="G286" i="1" s="1"/>
  <c r="H286" i="1" s="1"/>
  <c r="E285" i="1" a="1"/>
  <c r="E285" i="1" s="1"/>
  <c r="F285" i="1" s="1"/>
  <c r="G285" i="1" s="1"/>
  <c r="H285" i="1" s="1"/>
  <c r="E284" i="1" a="1"/>
  <c r="E284" i="1" s="1"/>
  <c r="F284" i="1" s="1"/>
  <c r="G284" i="1" s="1"/>
  <c r="H284" i="1" s="1"/>
  <c r="E283" i="1" a="1"/>
  <c r="E283" i="1" s="1"/>
  <c r="F283" i="1" s="1"/>
  <c r="G283" i="1" s="1"/>
  <c r="H283" i="1" s="1"/>
  <c r="E282" i="1" a="1"/>
  <c r="E282" i="1" s="1"/>
  <c r="F282" i="1" s="1"/>
  <c r="G282" i="1" s="1"/>
  <c r="H282" i="1" s="1"/>
  <c r="E281" i="1" a="1"/>
  <c r="E281" i="1" s="1"/>
  <c r="F281" i="1" s="1"/>
  <c r="G281" i="1" s="1"/>
  <c r="H281" i="1" s="1"/>
  <c r="E279" i="1" a="1"/>
  <c r="E279" i="1" s="1"/>
  <c r="F279" i="1" s="1"/>
  <c r="G279" i="1" s="1"/>
  <c r="H279" i="1" s="1"/>
  <c r="E278" i="1" a="1"/>
  <c r="E278" i="1" s="1"/>
  <c r="F278" i="1" s="1"/>
  <c r="G278" i="1" s="1"/>
  <c r="H278" i="1" s="1"/>
  <c r="E277" i="1" a="1"/>
  <c r="E277" i="1" s="1"/>
  <c r="F277" i="1" s="1"/>
  <c r="G277" i="1" s="1"/>
  <c r="H277" i="1" s="1"/>
  <c r="E276" i="1" a="1"/>
  <c r="E276" i="1" s="1"/>
  <c r="F276" i="1" s="1"/>
  <c r="G276" i="1" s="1"/>
  <c r="H276" i="1" s="1"/>
  <c r="E275" i="1" a="1"/>
  <c r="E275" i="1" s="1"/>
  <c r="F275" i="1" s="1"/>
  <c r="G275" i="1" s="1"/>
  <c r="H275" i="1" s="1"/>
  <c r="E274" i="1" a="1"/>
  <c r="E274" i="1" s="1"/>
  <c r="F274" i="1" s="1"/>
  <c r="G274" i="1" s="1"/>
  <c r="H274" i="1" s="1"/>
  <c r="E272" i="1" a="1"/>
  <c r="E272" i="1" s="1"/>
  <c r="F272" i="1" s="1"/>
  <c r="G272" i="1" s="1"/>
  <c r="H272" i="1" s="1"/>
  <c r="E271" i="1" a="1"/>
  <c r="E271" i="1" s="1"/>
  <c r="F271" i="1" s="1"/>
  <c r="G271" i="1" s="1"/>
  <c r="H271" i="1" s="1"/>
  <c r="E270" i="1" a="1"/>
  <c r="E270" i="1" s="1"/>
  <c r="F270" i="1" s="1"/>
  <c r="G270" i="1" s="1"/>
  <c r="H270" i="1" s="1"/>
  <c r="E269" i="1" a="1"/>
  <c r="E269" i="1" s="1"/>
  <c r="F269" i="1" s="1"/>
  <c r="G269" i="1" s="1"/>
  <c r="H269" i="1" s="1"/>
  <c r="E268" i="1" a="1"/>
  <c r="E268" i="1" s="1"/>
  <c r="F268" i="1" s="1"/>
  <c r="G268" i="1" s="1"/>
  <c r="H268" i="1" s="1"/>
  <c r="E267" i="1" a="1"/>
  <c r="E267" i="1" s="1"/>
  <c r="F267" i="1" s="1"/>
  <c r="G267" i="1" s="1"/>
  <c r="H267" i="1" s="1"/>
  <c r="E265" i="1" a="1"/>
  <c r="E265" i="1" s="1"/>
  <c r="F265" i="1" s="1"/>
  <c r="G265" i="1" s="1"/>
  <c r="H265" i="1" s="1"/>
  <c r="E264" i="1" a="1"/>
  <c r="E264" i="1" s="1"/>
  <c r="F264" i="1" s="1"/>
  <c r="G264" i="1" s="1"/>
  <c r="H264" i="1" s="1"/>
  <c r="E263" i="1" a="1"/>
  <c r="E263" i="1" s="1"/>
  <c r="F263" i="1" s="1"/>
  <c r="G263" i="1" s="1"/>
  <c r="H263" i="1" s="1"/>
  <c r="E262" i="1" a="1"/>
  <c r="E262" i="1" s="1"/>
  <c r="F262" i="1" s="1"/>
  <c r="G262" i="1" s="1"/>
  <c r="H262" i="1" s="1"/>
  <c r="E261" i="1" a="1"/>
  <c r="E261" i="1" s="1"/>
  <c r="F261" i="1" s="1"/>
  <c r="G261" i="1" s="1"/>
  <c r="H261" i="1" s="1"/>
  <c r="E260" i="1" a="1"/>
  <c r="E260" i="1" s="1"/>
  <c r="F260" i="1" s="1"/>
  <c r="G260" i="1" s="1"/>
  <c r="H260" i="1" s="1"/>
  <c r="E258" i="1" a="1"/>
  <c r="E258" i="1" s="1"/>
  <c r="F258" i="1" s="1"/>
  <c r="G258" i="1" s="1"/>
  <c r="H258" i="1" s="1"/>
  <c r="E257" i="1" a="1"/>
  <c r="E257" i="1" s="1"/>
  <c r="F257" i="1" s="1"/>
  <c r="G257" i="1" s="1"/>
  <c r="H257" i="1" s="1"/>
  <c r="E256" i="1" a="1"/>
  <c r="E256" i="1" s="1"/>
  <c r="F256" i="1" s="1"/>
  <c r="G256" i="1" s="1"/>
  <c r="H256" i="1" s="1"/>
  <c r="E255" i="1" a="1"/>
  <c r="E255" i="1" s="1"/>
  <c r="F255" i="1" s="1"/>
  <c r="G255" i="1" s="1"/>
  <c r="H255" i="1" s="1"/>
  <c r="E254" i="1" a="1"/>
  <c r="E254" i="1" s="1"/>
  <c r="F254" i="1" s="1"/>
  <c r="G254" i="1" s="1"/>
  <c r="H254" i="1" s="1"/>
  <c r="E253" i="1" a="1"/>
  <c r="E253" i="1" s="1"/>
  <c r="F253" i="1" s="1"/>
  <c r="G253" i="1" s="1"/>
  <c r="H253" i="1" s="1"/>
  <c r="E251" i="1" a="1"/>
  <c r="E251" i="1" s="1"/>
  <c r="F251" i="1" s="1"/>
  <c r="G251" i="1" s="1"/>
  <c r="H251" i="1" s="1"/>
  <c r="E250" i="1" a="1"/>
  <c r="E250" i="1" s="1"/>
  <c r="F250" i="1" s="1"/>
  <c r="G250" i="1" s="1"/>
  <c r="H250" i="1" s="1"/>
  <c r="E249" i="1" a="1"/>
  <c r="E249" i="1" s="1"/>
  <c r="F249" i="1" s="1"/>
  <c r="G249" i="1" s="1"/>
  <c r="H249" i="1" s="1"/>
  <c r="E248" i="1" a="1"/>
  <c r="E248" i="1" s="1"/>
  <c r="F248" i="1" s="1"/>
  <c r="G248" i="1" s="1"/>
  <c r="H248" i="1" s="1"/>
  <c r="E247" i="1" a="1"/>
  <c r="E247" i="1" s="1"/>
  <c r="F247" i="1" s="1"/>
  <c r="G247" i="1" s="1"/>
  <c r="H247" i="1" s="1"/>
  <c r="E246" i="1" a="1"/>
  <c r="E246" i="1" s="1"/>
  <c r="F246" i="1" s="1"/>
  <c r="G246" i="1" s="1"/>
  <c r="H246" i="1" s="1"/>
  <c r="E244" i="1" a="1"/>
  <c r="E244" i="1" s="1"/>
  <c r="F244" i="1" s="1"/>
  <c r="G244" i="1" s="1"/>
  <c r="H244" i="1" s="1"/>
  <c r="E243" i="1" a="1"/>
  <c r="E243" i="1" s="1"/>
  <c r="F243" i="1" s="1"/>
  <c r="G243" i="1" s="1"/>
  <c r="H243" i="1" s="1"/>
  <c r="E242" i="1" a="1"/>
  <c r="E242" i="1" s="1"/>
  <c r="F242" i="1" s="1"/>
  <c r="G242" i="1" s="1"/>
  <c r="H242" i="1" s="1"/>
  <c r="E241" i="1" a="1"/>
  <c r="E241" i="1" s="1"/>
  <c r="F241" i="1" s="1"/>
  <c r="G241" i="1" s="1"/>
  <c r="H241" i="1" s="1"/>
  <c r="E240" i="1" a="1"/>
  <c r="E240" i="1" s="1"/>
  <c r="F240" i="1" s="1"/>
  <c r="G240" i="1" s="1"/>
  <c r="H240" i="1" s="1"/>
  <c r="E239" i="1" a="1"/>
  <c r="E239" i="1" s="1"/>
  <c r="F239" i="1" s="1"/>
  <c r="G239" i="1" s="1"/>
  <c r="H239" i="1" s="1"/>
  <c r="E237" i="1" a="1"/>
  <c r="E237" i="1" s="1"/>
  <c r="F237" i="1" s="1"/>
  <c r="G237" i="1" s="1"/>
  <c r="H237" i="1" s="1"/>
  <c r="E236" i="1" a="1"/>
  <c r="E236" i="1" s="1"/>
  <c r="F236" i="1" s="1"/>
  <c r="G236" i="1" s="1"/>
  <c r="H236" i="1" s="1"/>
  <c r="E235" i="1" a="1"/>
  <c r="E235" i="1" s="1"/>
  <c r="F235" i="1" s="1"/>
  <c r="G235" i="1" s="1"/>
  <c r="H235" i="1" s="1"/>
  <c r="E234" i="1" a="1"/>
  <c r="E234" i="1" s="1"/>
  <c r="F234" i="1" s="1"/>
  <c r="G234" i="1" s="1"/>
  <c r="H234" i="1" s="1"/>
  <c r="E233" i="1" a="1"/>
  <c r="E233" i="1" s="1"/>
  <c r="F233" i="1" s="1"/>
  <c r="G233" i="1" s="1"/>
  <c r="H233" i="1" s="1"/>
  <c r="E232" i="1" a="1"/>
  <c r="E232" i="1" s="1"/>
  <c r="F232" i="1" s="1"/>
  <c r="G232" i="1" s="1"/>
  <c r="H232" i="1" s="1"/>
  <c r="E208" i="1" a="1"/>
  <c r="E208" i="1" s="1"/>
  <c r="F208" i="1" s="1" a="1"/>
  <c r="F208" i="1" s="1"/>
  <c r="G208" i="1" s="1" a="1"/>
  <c r="G208" i="1" s="1"/>
  <c r="H208" i="1" s="1" a="1"/>
  <c r="H208" i="1" s="1"/>
  <c r="E207" i="1" a="1"/>
  <c r="E207" i="1" s="1"/>
  <c r="F207" i="1" s="1" a="1"/>
  <c r="F207" i="1" s="1"/>
  <c r="G207" i="1" s="1" a="1"/>
  <c r="G207" i="1" s="1"/>
  <c r="H207" i="1" s="1" a="1"/>
  <c r="H207" i="1" s="1"/>
  <c r="E206" i="1" a="1"/>
  <c r="E206" i="1" s="1"/>
  <c r="F206" i="1" s="1" a="1"/>
  <c r="F206" i="1" s="1"/>
  <c r="G206" i="1" s="1" a="1"/>
  <c r="G206" i="1" s="1"/>
  <c r="H206" i="1" s="1" a="1"/>
  <c r="H206" i="1" s="1"/>
  <c r="E205" i="1" a="1"/>
  <c r="E205" i="1" s="1"/>
  <c r="F205" i="1" s="1" a="1"/>
  <c r="F205" i="1" s="1"/>
  <c r="G205" i="1" s="1" a="1"/>
  <c r="G205" i="1" s="1"/>
  <c r="H205" i="1" s="1" a="1"/>
  <c r="H205" i="1" s="1"/>
  <c r="E204" i="1" a="1"/>
  <c r="E204" i="1" s="1"/>
  <c r="F204" i="1" s="1" a="1"/>
  <c r="F204" i="1" s="1"/>
  <c r="G204" i="1" s="1" a="1"/>
  <c r="G204" i="1" s="1"/>
  <c r="H204" i="1" s="1" a="1"/>
  <c r="H204" i="1" s="1"/>
  <c r="E203" i="1" a="1"/>
  <c r="E203" i="1" s="1"/>
  <c r="F203" i="1" s="1" a="1"/>
  <c r="F203" i="1" s="1"/>
  <c r="G203" i="1" s="1" a="1"/>
  <c r="G203" i="1" s="1"/>
  <c r="H203" i="1" s="1" a="1"/>
  <c r="H203" i="1" s="1"/>
  <c r="E201" i="1" a="1"/>
  <c r="E201" i="1" s="1"/>
  <c r="F201" i="1" s="1" a="1"/>
  <c r="F201" i="1" s="1"/>
  <c r="G201" i="1" s="1" a="1"/>
  <c r="G201" i="1" s="1"/>
  <c r="H201" i="1" s="1" a="1"/>
  <c r="H201" i="1" s="1"/>
  <c r="E200" i="1" a="1"/>
  <c r="E200" i="1" s="1"/>
  <c r="F200" i="1" s="1" a="1"/>
  <c r="F200" i="1" s="1"/>
  <c r="G200" i="1" s="1" a="1"/>
  <c r="G200" i="1" s="1"/>
  <c r="H200" i="1" s="1" a="1"/>
  <c r="H200" i="1" s="1"/>
  <c r="E199" i="1" a="1"/>
  <c r="E199" i="1" s="1"/>
  <c r="F199" i="1" s="1" a="1"/>
  <c r="F199" i="1" s="1"/>
  <c r="G199" i="1" s="1" a="1"/>
  <c r="G199" i="1" s="1"/>
  <c r="H199" i="1" s="1" a="1"/>
  <c r="H199" i="1" s="1"/>
  <c r="E198" i="1" a="1"/>
  <c r="E198" i="1" s="1"/>
  <c r="F198" i="1" s="1" a="1"/>
  <c r="F198" i="1" s="1"/>
  <c r="G198" i="1" s="1" a="1"/>
  <c r="G198" i="1" s="1"/>
  <c r="H198" i="1" s="1" a="1"/>
  <c r="H198" i="1" s="1"/>
  <c r="E197" i="1" a="1"/>
  <c r="E197" i="1" s="1"/>
  <c r="F197" i="1" s="1" a="1"/>
  <c r="F197" i="1" s="1"/>
  <c r="G197" i="1" s="1" a="1"/>
  <c r="G197" i="1" s="1"/>
  <c r="H197" i="1" s="1" a="1"/>
  <c r="H197" i="1" s="1"/>
  <c r="E196" i="1" a="1"/>
  <c r="E196" i="1" s="1"/>
  <c r="F196" i="1" s="1" a="1"/>
  <c r="F196" i="1" s="1"/>
  <c r="G196" i="1" s="1" a="1"/>
  <c r="G196" i="1" s="1"/>
  <c r="H196" i="1" s="1" a="1"/>
  <c r="H196" i="1" s="1"/>
  <c r="E229" i="1" a="1"/>
  <c r="E229" i="1" s="1"/>
  <c r="F229" i="1" s="1" a="1"/>
  <c r="F229" i="1" s="1"/>
  <c r="G229" i="1" s="1" a="1"/>
  <c r="G229" i="1" s="1"/>
  <c r="H229" i="1" s="1" a="1"/>
  <c r="H229" i="1" s="1"/>
  <c r="E228" i="1" a="1"/>
  <c r="E228" i="1" s="1"/>
  <c r="F228" i="1" s="1" a="1"/>
  <c r="F228" i="1" s="1"/>
  <c r="G228" i="1" s="1" a="1"/>
  <c r="G228" i="1" s="1"/>
  <c r="H228" i="1" s="1" a="1"/>
  <c r="H228" i="1" s="1"/>
  <c r="E227" i="1" a="1"/>
  <c r="E227" i="1" s="1"/>
  <c r="F227" i="1" s="1" a="1"/>
  <c r="F227" i="1" s="1"/>
  <c r="G227" i="1" s="1" a="1"/>
  <c r="G227" i="1" s="1"/>
  <c r="H227" i="1" s="1" a="1"/>
  <c r="H227" i="1" s="1"/>
  <c r="E226" i="1" a="1"/>
  <c r="E226" i="1" s="1"/>
  <c r="F226" i="1" s="1" a="1"/>
  <c r="F226" i="1" s="1"/>
  <c r="G226" i="1" s="1" a="1"/>
  <c r="G226" i="1" s="1"/>
  <c r="H226" i="1" s="1" a="1"/>
  <c r="H226" i="1" s="1"/>
  <c r="E225" i="1" a="1"/>
  <c r="E225" i="1" s="1"/>
  <c r="F225" i="1" s="1" a="1"/>
  <c r="F225" i="1" s="1"/>
  <c r="G225" i="1" s="1" a="1"/>
  <c r="G225" i="1" s="1"/>
  <c r="H225" i="1" s="1" a="1"/>
  <c r="H225" i="1" s="1"/>
  <c r="E224" i="1" a="1"/>
  <c r="E224" i="1" s="1"/>
  <c r="F224" i="1" s="1" a="1"/>
  <c r="F224" i="1" s="1"/>
  <c r="G224" i="1" s="1" a="1"/>
  <c r="G224" i="1" s="1"/>
  <c r="H224" i="1" s="1" a="1"/>
  <c r="H224" i="1" s="1"/>
  <c r="E222" i="1" a="1"/>
  <c r="E222" i="1" s="1"/>
  <c r="F222" i="1" s="1" a="1"/>
  <c r="F222" i="1" s="1"/>
  <c r="G222" i="1" s="1" a="1"/>
  <c r="G222" i="1" s="1"/>
  <c r="H222" i="1" s="1" a="1"/>
  <c r="H222" i="1" s="1"/>
  <c r="E221" i="1" a="1"/>
  <c r="E221" i="1" s="1"/>
  <c r="F221" i="1" s="1" a="1"/>
  <c r="F221" i="1" s="1"/>
  <c r="G221" i="1" s="1" a="1"/>
  <c r="G221" i="1" s="1"/>
  <c r="H221" i="1" s="1" a="1"/>
  <c r="H221" i="1" s="1"/>
  <c r="E220" i="1" a="1"/>
  <c r="E220" i="1" s="1"/>
  <c r="F220" i="1" s="1" a="1"/>
  <c r="F220" i="1" s="1"/>
  <c r="G220" i="1" s="1" a="1"/>
  <c r="G220" i="1" s="1"/>
  <c r="H220" i="1" s="1" a="1"/>
  <c r="H220" i="1" s="1"/>
  <c r="E219" i="1" a="1"/>
  <c r="E219" i="1" s="1"/>
  <c r="F219" i="1" s="1" a="1"/>
  <c r="F219" i="1" s="1"/>
  <c r="G219" i="1" s="1" a="1"/>
  <c r="G219" i="1" s="1"/>
  <c r="H219" i="1" s="1" a="1"/>
  <c r="H219" i="1" s="1"/>
  <c r="E218" i="1" a="1"/>
  <c r="E218" i="1" s="1"/>
  <c r="F218" i="1" s="1" a="1"/>
  <c r="F218" i="1" s="1"/>
  <c r="G218" i="1" s="1" a="1"/>
  <c r="G218" i="1" s="1"/>
  <c r="H218" i="1" s="1" a="1"/>
  <c r="H218" i="1" s="1"/>
  <c r="E217" i="1" a="1"/>
  <c r="E217" i="1" s="1"/>
  <c r="F217" i="1" s="1" a="1"/>
  <c r="F217" i="1" s="1"/>
  <c r="G217" i="1" s="1" a="1"/>
  <c r="G217" i="1" s="1"/>
  <c r="H217" i="1" s="1" a="1"/>
  <c r="H217" i="1" s="1"/>
  <c r="E194" i="1" a="1"/>
  <c r="E194" i="1" s="1"/>
  <c r="F194" i="1" s="1" a="1"/>
  <c r="F194" i="1" s="1"/>
  <c r="G194" i="1" s="1" a="1"/>
  <c r="G194" i="1" s="1"/>
  <c r="H194" i="1" s="1" a="1"/>
  <c r="H194" i="1" s="1"/>
  <c r="E193" i="1" a="1"/>
  <c r="E193" i="1" s="1"/>
  <c r="F193" i="1" s="1" a="1"/>
  <c r="F193" i="1" s="1"/>
  <c r="G193" i="1" s="1" a="1"/>
  <c r="G193" i="1" s="1"/>
  <c r="H193" i="1" s="1" a="1"/>
  <c r="H193" i="1" s="1"/>
  <c r="E192" i="1" a="1"/>
  <c r="E192" i="1" s="1"/>
  <c r="F192" i="1" s="1" a="1"/>
  <c r="F192" i="1" s="1"/>
  <c r="G192" i="1" s="1" a="1"/>
  <c r="G192" i="1" s="1"/>
  <c r="H192" i="1" s="1" a="1"/>
  <c r="H192" i="1" s="1"/>
  <c r="E191" i="1" a="1"/>
  <c r="E191" i="1" s="1"/>
  <c r="F191" i="1" s="1" a="1"/>
  <c r="F191" i="1" s="1"/>
  <c r="G191" i="1" s="1" a="1"/>
  <c r="G191" i="1" s="1"/>
  <c r="H191" i="1" s="1" a="1"/>
  <c r="H191" i="1" s="1"/>
  <c r="E190" i="1" a="1"/>
  <c r="E190" i="1" s="1"/>
  <c r="F190" i="1" s="1" a="1"/>
  <c r="F190" i="1" s="1"/>
  <c r="G190" i="1" s="1" a="1"/>
  <c r="G190" i="1" s="1"/>
  <c r="H190" i="1" s="1" a="1"/>
  <c r="H190" i="1" s="1"/>
  <c r="E189" i="1" a="1"/>
  <c r="E189" i="1" s="1"/>
  <c r="F189" i="1" s="1" a="1"/>
  <c r="F189" i="1" s="1"/>
  <c r="G189" i="1" s="1" a="1"/>
  <c r="G189" i="1" s="1"/>
  <c r="H189" i="1" s="1" a="1"/>
  <c r="H189" i="1" s="1"/>
  <c r="E187" i="1" a="1"/>
  <c r="E187" i="1" s="1"/>
  <c r="F187" i="1" s="1" a="1"/>
  <c r="F187" i="1" s="1"/>
  <c r="G187" i="1" s="1" a="1"/>
  <c r="G187" i="1" s="1"/>
  <c r="H187" i="1" s="1" a="1"/>
  <c r="H187" i="1" s="1"/>
  <c r="E186" i="1" a="1"/>
  <c r="E186" i="1" s="1"/>
  <c r="F186" i="1" s="1" a="1"/>
  <c r="F186" i="1" s="1"/>
  <c r="G186" i="1" s="1" a="1"/>
  <c r="G186" i="1" s="1"/>
  <c r="H186" i="1" s="1" a="1"/>
  <c r="H186" i="1" s="1"/>
  <c r="E185" i="1" a="1"/>
  <c r="E185" i="1" s="1"/>
  <c r="F185" i="1" s="1" a="1"/>
  <c r="F185" i="1" s="1"/>
  <c r="G185" i="1" s="1" a="1"/>
  <c r="G185" i="1" s="1"/>
  <c r="H185" i="1" s="1" a="1"/>
  <c r="H185" i="1" s="1"/>
  <c r="E184" i="1" a="1"/>
  <c r="E184" i="1" s="1"/>
  <c r="F184" i="1" s="1" a="1"/>
  <c r="F184" i="1" s="1"/>
  <c r="G184" i="1" s="1" a="1"/>
  <c r="G184" i="1" s="1"/>
  <c r="H184" i="1" s="1" a="1"/>
  <c r="H184" i="1" s="1"/>
  <c r="E183" i="1" a="1"/>
  <c r="E183" i="1" s="1"/>
  <c r="F183" i="1" s="1" a="1"/>
  <c r="F183" i="1" s="1"/>
  <c r="G183" i="1" s="1" a="1"/>
  <c r="G183" i="1" s="1"/>
  <c r="H183" i="1" s="1" a="1"/>
  <c r="H183" i="1" s="1"/>
  <c r="E182" i="1" a="1"/>
  <c r="E182" i="1" s="1"/>
  <c r="F182" i="1" s="1" a="1"/>
  <c r="F182" i="1" s="1"/>
  <c r="G182" i="1" s="1" a="1"/>
  <c r="G182" i="1" s="1"/>
  <c r="H182" i="1" s="1" a="1"/>
  <c r="H182" i="1" s="1"/>
  <c r="E180" i="1" a="1"/>
  <c r="E180" i="1" s="1"/>
  <c r="F180" i="1" s="1" a="1"/>
  <c r="F180" i="1" s="1"/>
  <c r="G180" i="1" s="1" a="1"/>
  <c r="G180" i="1" s="1"/>
  <c r="H180" i="1" s="1" a="1"/>
  <c r="H180" i="1" s="1"/>
  <c r="E179" i="1" a="1"/>
  <c r="E179" i="1" s="1"/>
  <c r="F179" i="1" s="1" a="1"/>
  <c r="F179" i="1" s="1"/>
  <c r="G179" i="1" s="1" a="1"/>
  <c r="G179" i="1" s="1"/>
  <c r="H179" i="1" s="1" a="1"/>
  <c r="H179" i="1" s="1"/>
  <c r="E178" i="1" a="1"/>
  <c r="E178" i="1" s="1"/>
  <c r="F178" i="1" s="1" a="1"/>
  <c r="F178" i="1" s="1"/>
  <c r="G178" i="1" s="1" a="1"/>
  <c r="G178" i="1" s="1"/>
  <c r="H178" i="1" s="1" a="1"/>
  <c r="H178" i="1" s="1"/>
  <c r="E177" i="1" a="1"/>
  <c r="E177" i="1" s="1"/>
  <c r="F177" i="1" s="1" a="1"/>
  <c r="F177" i="1" s="1"/>
  <c r="G177" i="1" s="1" a="1"/>
  <c r="G177" i="1" s="1"/>
  <c r="H177" i="1" s="1" a="1"/>
  <c r="H177" i="1" s="1"/>
  <c r="E176" i="1" a="1"/>
  <c r="E176" i="1" s="1"/>
  <c r="F176" i="1" s="1" a="1"/>
  <c r="F176" i="1" s="1"/>
  <c r="G176" i="1" s="1" a="1"/>
  <c r="G176" i="1" s="1"/>
  <c r="H176" i="1" s="1" a="1"/>
  <c r="H176" i="1" s="1"/>
  <c r="E175" i="1" a="1"/>
  <c r="E175" i="1" s="1"/>
  <c r="F175" i="1" s="1" a="1"/>
  <c r="F175" i="1" s="1"/>
  <c r="G175" i="1" s="1" a="1"/>
  <c r="G175" i="1" s="1"/>
  <c r="H175" i="1" s="1" a="1"/>
  <c r="H175" i="1" s="1"/>
  <c r="E173" i="1" a="1"/>
  <c r="E173" i="1" s="1"/>
  <c r="F173" i="1" s="1" a="1"/>
  <c r="F173" i="1" s="1"/>
  <c r="G173" i="1" s="1" a="1"/>
  <c r="G173" i="1" s="1"/>
  <c r="H173" i="1" s="1" a="1"/>
  <c r="H173" i="1" s="1"/>
  <c r="E172" i="1" a="1"/>
  <c r="E172" i="1" s="1"/>
  <c r="F172" i="1" s="1" a="1"/>
  <c r="F172" i="1" s="1"/>
  <c r="G172" i="1" s="1" a="1"/>
  <c r="G172" i="1" s="1"/>
  <c r="H172" i="1" s="1" a="1"/>
  <c r="H172" i="1" s="1"/>
  <c r="E171" i="1" a="1"/>
  <c r="E171" i="1" s="1"/>
  <c r="F171" i="1" s="1" a="1"/>
  <c r="F171" i="1" s="1"/>
  <c r="G171" i="1" s="1" a="1"/>
  <c r="G171" i="1" s="1"/>
  <c r="H171" i="1" s="1" a="1"/>
  <c r="H171" i="1" s="1"/>
  <c r="E170" i="1" a="1"/>
  <c r="E170" i="1" s="1"/>
  <c r="F170" i="1" s="1" a="1"/>
  <c r="F170" i="1" s="1"/>
  <c r="G170" i="1" s="1" a="1"/>
  <c r="G170" i="1" s="1"/>
  <c r="H170" i="1" s="1" a="1"/>
  <c r="H170" i="1" s="1"/>
  <c r="E169" i="1" a="1"/>
  <c r="E169" i="1" s="1"/>
  <c r="F169" i="1" s="1" a="1"/>
  <c r="F169" i="1" s="1"/>
  <c r="G169" i="1" s="1" a="1"/>
  <c r="G169" i="1" s="1"/>
  <c r="H169" i="1" s="1" a="1"/>
  <c r="H169" i="1" s="1"/>
  <c r="E168" i="1" a="1"/>
  <c r="E168" i="1" s="1"/>
  <c r="F168" i="1" s="1" a="1"/>
  <c r="F168" i="1" s="1"/>
  <c r="G168" i="1" s="1" a="1"/>
  <c r="G168" i="1" s="1"/>
  <c r="H168" i="1" s="1" a="1"/>
  <c r="H168" i="1" s="1"/>
  <c r="E166" i="1" a="1"/>
  <c r="E166" i="1" s="1"/>
  <c r="F166" i="1" s="1" a="1"/>
  <c r="F166" i="1" s="1"/>
  <c r="G166" i="1" s="1" a="1"/>
  <c r="G166" i="1" s="1"/>
  <c r="H166" i="1" s="1" a="1"/>
  <c r="H166" i="1" s="1"/>
  <c r="E165" i="1" a="1"/>
  <c r="E165" i="1" s="1"/>
  <c r="F165" i="1" s="1" a="1"/>
  <c r="F165" i="1" s="1"/>
  <c r="G165" i="1" s="1" a="1"/>
  <c r="G165" i="1" s="1"/>
  <c r="H165" i="1" s="1" a="1"/>
  <c r="H165" i="1" s="1"/>
  <c r="E164" i="1" a="1"/>
  <c r="E164" i="1" s="1"/>
  <c r="F164" i="1" s="1" a="1"/>
  <c r="F164" i="1" s="1"/>
  <c r="G164" i="1" s="1" a="1"/>
  <c r="G164" i="1" s="1"/>
  <c r="H164" i="1" s="1" a="1"/>
  <c r="H164" i="1" s="1"/>
  <c r="E163" i="1" a="1"/>
  <c r="E163" i="1" s="1"/>
  <c r="F163" i="1" s="1" a="1"/>
  <c r="F163" i="1" s="1"/>
  <c r="G163" i="1" s="1" a="1"/>
  <c r="G163" i="1" s="1"/>
  <c r="H163" i="1" s="1" a="1"/>
  <c r="H163" i="1" s="1"/>
  <c r="E162" i="1" a="1"/>
  <c r="E162" i="1" s="1"/>
  <c r="F162" i="1" s="1" a="1"/>
  <c r="F162" i="1" s="1"/>
  <c r="G162" i="1" s="1" a="1"/>
  <c r="G162" i="1" s="1"/>
  <c r="H162" i="1" s="1" a="1"/>
  <c r="H162" i="1" s="1"/>
  <c r="E161" i="1" a="1"/>
  <c r="E161" i="1" s="1"/>
  <c r="F161" i="1" s="1" a="1"/>
  <c r="F161" i="1" s="1"/>
  <c r="G161" i="1" s="1" a="1"/>
  <c r="G161" i="1" s="1"/>
  <c r="H161" i="1" s="1" a="1"/>
  <c r="H161" i="1" s="1"/>
  <c r="E159" i="1" a="1"/>
  <c r="E159" i="1" s="1"/>
  <c r="F159" i="1" s="1" a="1"/>
  <c r="F159" i="1" s="1"/>
  <c r="G159" i="1" s="1" a="1"/>
  <c r="G159" i="1" s="1"/>
  <c r="H159" i="1" s="1" a="1"/>
  <c r="H159" i="1" s="1"/>
  <c r="E158" i="1" a="1"/>
  <c r="E158" i="1" s="1"/>
  <c r="F158" i="1" s="1" a="1"/>
  <c r="F158" i="1" s="1"/>
  <c r="G158" i="1" s="1" a="1"/>
  <c r="G158" i="1" s="1"/>
  <c r="H158" i="1" s="1" a="1"/>
  <c r="H158" i="1" s="1"/>
  <c r="E156" i="1" a="1"/>
  <c r="E156" i="1" s="1"/>
  <c r="F156" i="1" s="1" a="1"/>
  <c r="F156" i="1" s="1"/>
  <c r="G156" i="1" s="1" a="1"/>
  <c r="G156" i="1" s="1"/>
  <c r="H156" i="1" s="1" a="1"/>
  <c r="H156" i="1" s="1"/>
  <c r="E154" i="1" a="1"/>
  <c r="E154" i="1" s="1"/>
  <c r="F154" i="1" s="1" a="1"/>
  <c r="F154" i="1" s="1"/>
  <c r="G154" i="1" s="1" a="1"/>
  <c r="G154" i="1" s="1"/>
  <c r="H154" i="1" s="1" a="1"/>
  <c r="H154" i="1" s="1"/>
  <c r="E155" i="1" a="1"/>
  <c r="E155" i="1" s="1"/>
  <c r="F155" i="1" s="1" a="1"/>
  <c r="F155" i="1" s="1"/>
  <c r="G155" i="1" s="1" a="1"/>
  <c r="G155" i="1" s="1"/>
  <c r="H155" i="1" s="1" a="1"/>
  <c r="H155" i="1" s="1"/>
  <c r="E152" i="1" a="1"/>
  <c r="E152" i="1" s="1"/>
  <c r="F152" i="1" s="1" a="1"/>
  <c r="F152" i="1" s="1"/>
  <c r="G152" i="1" s="1" a="1"/>
  <c r="G152" i="1" s="1"/>
  <c r="H152" i="1" s="1" a="1"/>
  <c r="H152" i="1" s="1"/>
  <c r="E151" i="1" a="1"/>
  <c r="E151" i="1" s="1"/>
  <c r="F151" i="1" s="1" a="1"/>
  <c r="F151" i="1" s="1"/>
  <c r="G151" i="1" s="1" a="1"/>
  <c r="G151" i="1" s="1"/>
  <c r="H151" i="1" s="1" a="1"/>
  <c r="H151" i="1" s="1"/>
  <c r="E150" i="1" a="1"/>
  <c r="E150" i="1" s="1"/>
  <c r="F150" i="1" s="1" a="1"/>
  <c r="F150" i="1" s="1"/>
  <c r="G150" i="1" s="1" a="1"/>
  <c r="G150" i="1" s="1"/>
  <c r="H150" i="1" s="1" a="1"/>
  <c r="H150" i="1" s="1"/>
  <c r="E149" i="1" a="1"/>
  <c r="E149" i="1" s="1"/>
  <c r="F149" i="1" s="1" a="1"/>
  <c r="F149" i="1" s="1"/>
  <c r="G149" i="1" s="1" a="1"/>
  <c r="G149" i="1" s="1"/>
  <c r="H149" i="1" s="1" a="1"/>
  <c r="H149" i="1" s="1"/>
  <c r="E148" i="1" a="1"/>
  <c r="E148" i="1" s="1"/>
  <c r="F148" i="1" s="1" a="1"/>
  <c r="F148" i="1" s="1"/>
  <c r="G148" i="1" s="1" a="1"/>
  <c r="G148" i="1" s="1"/>
  <c r="H148" i="1" s="1" a="1"/>
  <c r="H148" i="1" s="1"/>
  <c r="E147" i="1" a="1"/>
  <c r="E147" i="1" s="1"/>
  <c r="F147" i="1" s="1" a="1"/>
  <c r="F147" i="1" s="1"/>
  <c r="G147" i="1" s="1" a="1"/>
  <c r="G147" i="1" s="1"/>
  <c r="H147" i="1" s="1" a="1"/>
  <c r="H147" i="1" s="1"/>
  <c r="E215" i="1" a="1"/>
  <c r="E215" i="1" s="1"/>
  <c r="F215" i="1" s="1" a="1"/>
  <c r="F215" i="1" s="1"/>
  <c r="G215" i="1" s="1" a="1"/>
  <c r="G215" i="1" s="1"/>
  <c r="H215" i="1" s="1" a="1"/>
  <c r="H215" i="1" s="1"/>
  <c r="E214" i="1" a="1"/>
  <c r="E214" i="1" s="1"/>
  <c r="F214" i="1" s="1" a="1"/>
  <c r="F214" i="1" s="1"/>
  <c r="G214" i="1" s="1" a="1"/>
  <c r="G214" i="1" s="1"/>
  <c r="H214" i="1" s="1" a="1"/>
  <c r="H214" i="1" s="1"/>
  <c r="E213" i="1" a="1"/>
  <c r="E213" i="1" s="1"/>
  <c r="F213" i="1" s="1" a="1"/>
  <c r="F213" i="1" s="1"/>
  <c r="G213" i="1" s="1" a="1"/>
  <c r="G213" i="1" s="1"/>
  <c r="H213" i="1" s="1" a="1"/>
  <c r="H213" i="1" s="1"/>
  <c r="E212" i="1" a="1"/>
  <c r="E212" i="1" s="1"/>
  <c r="F212" i="1" s="1" a="1"/>
  <c r="F212" i="1" s="1"/>
  <c r="G212" i="1" s="1" a="1"/>
  <c r="G212" i="1" s="1"/>
  <c r="H212" i="1" s="1" a="1"/>
  <c r="H212" i="1" s="1"/>
  <c r="E211" i="1" a="1"/>
  <c r="E211" i="1" s="1"/>
  <c r="F211" i="1" s="1" a="1"/>
  <c r="F211" i="1" s="1"/>
  <c r="G211" i="1" s="1" a="1"/>
  <c r="G211" i="1" s="1"/>
  <c r="H211" i="1" s="1" a="1"/>
  <c r="H211" i="1" s="1"/>
  <c r="E210" i="1" a="1"/>
  <c r="E210" i="1" s="1"/>
  <c r="F210" i="1" s="1" a="1"/>
  <c r="F210" i="1" s="1"/>
  <c r="G210" i="1" s="1" a="1"/>
  <c r="G210" i="1" s="1"/>
  <c r="H210" i="1" s="1" a="1"/>
  <c r="H210" i="1" s="1"/>
  <c r="E157" i="1" a="1"/>
  <c r="E157" i="1" s="1"/>
  <c r="F157" i="1" s="1" a="1"/>
  <c r="F157" i="1" s="1"/>
  <c r="G157" i="1" s="1" a="1"/>
  <c r="G157" i="1" s="1"/>
  <c r="H157" i="1" s="1" a="1"/>
  <c r="H157" i="1" s="1"/>
  <c r="E109" i="1" a="1"/>
  <c r="E109" i="1" s="1"/>
  <c r="F109" i="1" s="1" a="1"/>
  <c r="F109" i="1" s="1"/>
  <c r="G109" i="1" s="1" a="1"/>
  <c r="G109" i="1" s="1"/>
  <c r="H109" i="1" s="1" a="1"/>
  <c r="H109" i="1" s="1"/>
  <c r="E108" i="1" a="1"/>
  <c r="E108" i="1" s="1"/>
  <c r="F108" i="1" s="1" a="1"/>
  <c r="F108" i="1" s="1"/>
  <c r="G108" i="1" s="1" a="1"/>
  <c r="G108" i="1" s="1"/>
  <c r="H108" i="1" s="1" a="1"/>
  <c r="H108" i="1" s="1"/>
  <c r="E107" i="1" a="1"/>
  <c r="E107" i="1" s="1"/>
  <c r="F107" i="1" s="1" a="1"/>
  <c r="F107" i="1" s="1"/>
  <c r="G107" i="1" s="1" a="1"/>
  <c r="G107" i="1" s="1"/>
  <c r="H107" i="1" s="1" a="1"/>
  <c r="H107" i="1" s="1"/>
  <c r="E106" i="1" a="1"/>
  <c r="E106" i="1" s="1"/>
  <c r="F106" i="1" s="1" a="1"/>
  <c r="F106" i="1" s="1"/>
  <c r="G106" i="1" s="1" a="1"/>
  <c r="G106" i="1" s="1"/>
  <c r="H106" i="1" s="1" a="1"/>
  <c r="H106" i="1" s="1"/>
  <c r="E105" i="1" a="1"/>
  <c r="E105" i="1" s="1"/>
  <c r="F105" i="1" s="1" a="1"/>
  <c r="F105" i="1" s="1"/>
  <c r="G105" i="1" s="1" a="1"/>
  <c r="G105" i="1" s="1"/>
  <c r="H105" i="1" s="1" a="1"/>
  <c r="H105" i="1" s="1"/>
  <c r="E104" i="1" a="1"/>
  <c r="E104" i="1" s="1"/>
  <c r="F104" i="1" s="1" a="1"/>
  <c r="F104" i="1" s="1"/>
  <c r="G104" i="1" s="1" a="1"/>
  <c r="G104" i="1" s="1"/>
  <c r="H104" i="1" s="1" a="1"/>
  <c r="H104" i="1" s="1"/>
  <c r="E116" i="1" a="1"/>
  <c r="E116" i="1" s="1"/>
  <c r="F116" i="1" s="1" a="1"/>
  <c r="F116" i="1" s="1"/>
  <c r="G116" i="1" s="1" a="1"/>
  <c r="G116" i="1" s="1"/>
  <c r="H116" i="1" s="1" a="1"/>
  <c r="H116" i="1" s="1"/>
  <c r="E115" i="1" a="1"/>
  <c r="E115" i="1" s="1"/>
  <c r="F115" i="1" s="1" a="1"/>
  <c r="F115" i="1" s="1"/>
  <c r="G115" i="1" s="1" a="1"/>
  <c r="G115" i="1" s="1"/>
  <c r="H115" i="1" s="1" a="1"/>
  <c r="H115" i="1" s="1"/>
  <c r="E114" i="1" a="1"/>
  <c r="E114" i="1" s="1"/>
  <c r="F114" i="1" s="1" a="1"/>
  <c r="F114" i="1" s="1"/>
  <c r="G114" i="1" s="1" a="1"/>
  <c r="G114" i="1" s="1"/>
  <c r="H114" i="1" s="1" a="1"/>
  <c r="H114" i="1" s="1"/>
  <c r="E113" i="1" a="1"/>
  <c r="E113" i="1" s="1"/>
  <c r="F113" i="1" s="1" a="1"/>
  <c r="F113" i="1" s="1"/>
  <c r="G113" i="1" s="1" a="1"/>
  <c r="G113" i="1" s="1"/>
  <c r="H113" i="1" s="1" a="1"/>
  <c r="H113" i="1" s="1"/>
  <c r="E112" i="1" a="1"/>
  <c r="E112" i="1" s="1"/>
  <c r="F112" i="1" s="1" a="1"/>
  <c r="F112" i="1" s="1"/>
  <c r="G112" i="1" s="1" a="1"/>
  <c r="G112" i="1" s="1"/>
  <c r="H112" i="1" s="1" a="1"/>
  <c r="H112" i="1" s="1"/>
  <c r="E111" i="1" a="1"/>
  <c r="E111" i="1" s="1"/>
  <c r="F111" i="1" s="1" a="1"/>
  <c r="F111" i="1" s="1"/>
  <c r="G111" i="1" s="1" a="1"/>
  <c r="G111" i="1" s="1"/>
  <c r="H111" i="1" s="1" a="1"/>
  <c r="H111" i="1" s="1"/>
  <c r="E123" i="1" a="1"/>
  <c r="E123" i="1" s="1"/>
  <c r="F123" i="1" s="1" a="1"/>
  <c r="F123" i="1" s="1"/>
  <c r="G123" i="1" s="1" a="1"/>
  <c r="G123" i="1" s="1"/>
  <c r="H123" i="1" s="1" a="1"/>
  <c r="H123" i="1" s="1"/>
  <c r="E120" i="1" a="1"/>
  <c r="E120" i="1" s="1"/>
  <c r="F120" i="1" s="1" a="1"/>
  <c r="F120" i="1" s="1"/>
  <c r="G120" i="1" s="1" a="1"/>
  <c r="G120" i="1" s="1"/>
  <c r="H120" i="1" s="1" a="1"/>
  <c r="H120" i="1" s="1"/>
  <c r="E122" i="1" a="1"/>
  <c r="E122" i="1" s="1"/>
  <c r="F122" i="1" s="1" a="1"/>
  <c r="F122" i="1" s="1"/>
  <c r="G122" i="1" s="1" a="1"/>
  <c r="G122" i="1" s="1"/>
  <c r="H122" i="1" s="1" a="1"/>
  <c r="H122" i="1" s="1"/>
  <c r="E121" i="1" a="1"/>
  <c r="E121" i="1" s="1"/>
  <c r="F121" i="1" s="1" a="1"/>
  <c r="F121" i="1" s="1"/>
  <c r="G121" i="1" s="1" a="1"/>
  <c r="G121" i="1" s="1"/>
  <c r="H121" i="1" s="1" a="1"/>
  <c r="H121" i="1" s="1"/>
  <c r="E119" i="1" a="1"/>
  <c r="E119" i="1" s="1"/>
  <c r="F119" i="1" s="1" a="1"/>
  <c r="F119" i="1" s="1"/>
  <c r="G119" i="1" s="1" a="1"/>
  <c r="G119" i="1" s="1"/>
  <c r="H119" i="1" s="1" a="1"/>
  <c r="H119" i="1" s="1"/>
  <c r="E118" i="1" a="1"/>
  <c r="E118" i="1" s="1"/>
  <c r="F118" i="1" s="1" a="1"/>
  <c r="F118" i="1" s="1"/>
  <c r="G118" i="1" s="1" a="1"/>
  <c r="G118" i="1" s="1"/>
  <c r="H118" i="1" s="1" a="1"/>
  <c r="H118" i="1" s="1"/>
  <c r="E127" i="1" a="1"/>
  <c r="E127" i="1" s="1"/>
  <c r="F127" i="1" s="1" a="1"/>
  <c r="F127" i="1" s="1"/>
  <c r="G127" i="1" s="1" a="1"/>
  <c r="G127" i="1" s="1"/>
  <c r="H127" i="1" s="1" a="1"/>
  <c r="H127" i="1" s="1"/>
  <c r="E130" i="1" a="1"/>
  <c r="E130" i="1" s="1"/>
  <c r="F130" i="1" s="1" a="1"/>
  <c r="F130" i="1" s="1"/>
  <c r="G130" i="1" s="1" a="1"/>
  <c r="G130" i="1" s="1"/>
  <c r="H130" i="1" s="1" a="1"/>
  <c r="H130" i="1" s="1"/>
  <c r="E129" i="1" a="1"/>
  <c r="E129" i="1" s="1"/>
  <c r="F129" i="1" s="1" a="1"/>
  <c r="F129" i="1" s="1"/>
  <c r="G129" i="1" s="1" a="1"/>
  <c r="G129" i="1" s="1"/>
  <c r="H129" i="1" s="1" a="1"/>
  <c r="H129" i="1" s="1"/>
  <c r="E128" i="1" a="1"/>
  <c r="E128" i="1" s="1"/>
  <c r="F128" i="1" s="1" a="1"/>
  <c r="F128" i="1" s="1"/>
  <c r="G128" i="1" s="1" a="1"/>
  <c r="G128" i="1" s="1"/>
  <c r="H128" i="1" s="1" a="1"/>
  <c r="H128" i="1" s="1"/>
  <c r="E126" i="1" a="1"/>
  <c r="E126" i="1" s="1"/>
  <c r="F126" i="1" s="1" a="1"/>
  <c r="F126" i="1" s="1"/>
  <c r="G126" i="1" s="1" a="1"/>
  <c r="G126" i="1" s="1"/>
  <c r="H126" i="1" s="1" a="1"/>
  <c r="H126" i="1" s="1"/>
  <c r="E125" i="1" a="1"/>
  <c r="E125" i="1" s="1"/>
  <c r="F125" i="1" s="1" a="1"/>
  <c r="F125" i="1" s="1"/>
  <c r="G125" i="1" s="1" a="1"/>
  <c r="G125" i="1" s="1"/>
  <c r="H125" i="1" s="1" a="1"/>
  <c r="H125" i="1" s="1"/>
  <c r="E102" i="1" a="1"/>
  <c r="E102" i="1" s="1"/>
  <c r="F102" i="1" s="1" a="1"/>
  <c r="F102" i="1" s="1"/>
  <c r="G102" i="1" s="1" a="1"/>
  <c r="G102" i="1" s="1"/>
  <c r="H102" i="1" s="1" a="1"/>
  <c r="H102" i="1" s="1"/>
  <c r="E101" i="1" a="1"/>
  <c r="E101" i="1" s="1"/>
  <c r="F101" i="1" s="1" a="1"/>
  <c r="F101" i="1" s="1"/>
  <c r="G101" i="1" s="1" a="1"/>
  <c r="G101" i="1" s="1"/>
  <c r="H101" i="1" s="1" a="1"/>
  <c r="H101" i="1" s="1"/>
  <c r="E100" i="1" a="1"/>
  <c r="E100" i="1" s="1"/>
  <c r="F100" i="1" s="1" a="1"/>
  <c r="F100" i="1" s="1"/>
  <c r="G100" i="1" s="1" a="1"/>
  <c r="G100" i="1" s="1"/>
  <c r="H100" i="1" s="1" a="1"/>
  <c r="H100" i="1" s="1"/>
  <c r="E99" i="1" a="1"/>
  <c r="E99" i="1" s="1"/>
  <c r="F99" i="1" s="1" a="1"/>
  <c r="F99" i="1" s="1"/>
  <c r="G99" i="1" s="1" a="1"/>
  <c r="G99" i="1" s="1"/>
  <c r="H99" i="1" s="1" a="1"/>
  <c r="H99" i="1" s="1"/>
  <c r="E137" i="1" a="1"/>
  <c r="E137" i="1" s="1"/>
  <c r="F137" i="1" s="1" a="1"/>
  <c r="F137" i="1" s="1"/>
  <c r="G137" i="1" s="1" a="1"/>
  <c r="G137" i="1" s="1"/>
  <c r="H137" i="1" s="1" a="1"/>
  <c r="H137" i="1" s="1"/>
  <c r="E136" i="1" a="1"/>
  <c r="E136" i="1" s="1"/>
  <c r="F136" i="1" s="1" a="1"/>
  <c r="F136" i="1" s="1"/>
  <c r="G136" i="1" s="1" a="1"/>
  <c r="G136" i="1" s="1"/>
  <c r="H136" i="1" s="1" a="1"/>
  <c r="H136" i="1" s="1"/>
  <c r="E135" i="1" a="1"/>
  <c r="E135" i="1" s="1"/>
  <c r="F135" i="1" s="1" a="1"/>
  <c r="F135" i="1" s="1"/>
  <c r="G135" i="1" s="1" a="1"/>
  <c r="G135" i="1" s="1"/>
  <c r="H135" i="1" s="1" a="1"/>
  <c r="H135" i="1" s="1"/>
  <c r="E134" i="1" a="1"/>
  <c r="E134" i="1" s="1"/>
  <c r="F134" i="1" s="1" a="1"/>
  <c r="F134" i="1" s="1"/>
  <c r="G134" i="1" s="1" a="1"/>
  <c r="G134" i="1" s="1"/>
  <c r="H134" i="1" s="1" a="1"/>
  <c r="H134" i="1" s="1"/>
  <c r="E133" i="1" a="1"/>
  <c r="E133" i="1" s="1"/>
  <c r="F133" i="1" s="1" a="1"/>
  <c r="F133" i="1" s="1"/>
  <c r="G133" i="1" s="1" a="1"/>
  <c r="G133" i="1" s="1"/>
  <c r="H133" i="1" s="1" a="1"/>
  <c r="H133" i="1" s="1"/>
  <c r="E132" i="1" a="1"/>
  <c r="E132" i="1" s="1"/>
  <c r="F132" i="1" s="1" a="1"/>
  <c r="F132" i="1" s="1"/>
  <c r="G132" i="1" s="1" a="1"/>
  <c r="G132" i="1" s="1"/>
  <c r="H132" i="1" s="1" a="1"/>
  <c r="H132" i="1" s="1"/>
  <c r="E144" i="1" a="1"/>
  <c r="E144" i="1" s="1"/>
  <c r="F144" i="1" s="1" a="1"/>
  <c r="F144" i="1" s="1"/>
  <c r="G144" i="1" s="1" a="1"/>
  <c r="G144" i="1" s="1"/>
  <c r="H144" i="1" s="1" a="1"/>
  <c r="H144" i="1" s="1"/>
  <c r="E143" i="1" a="1"/>
  <c r="E143" i="1" s="1"/>
  <c r="F143" i="1" s="1" a="1"/>
  <c r="F143" i="1" s="1"/>
  <c r="G143" i="1" s="1" a="1"/>
  <c r="G143" i="1" s="1"/>
  <c r="H143" i="1" s="1" a="1"/>
  <c r="H143" i="1" s="1"/>
  <c r="E142" i="1" a="1"/>
  <c r="E142" i="1" s="1"/>
  <c r="F142" i="1" s="1" a="1"/>
  <c r="F142" i="1" s="1"/>
  <c r="G142" i="1" s="1" a="1"/>
  <c r="G142" i="1" s="1"/>
  <c r="H142" i="1" s="1" a="1"/>
  <c r="H142" i="1" s="1"/>
  <c r="E141" i="1" a="1"/>
  <c r="E141" i="1" s="1"/>
  <c r="F141" i="1" s="1" a="1"/>
  <c r="F141" i="1" s="1"/>
  <c r="G141" i="1" s="1" a="1"/>
  <c r="G141" i="1" s="1"/>
  <c r="H141" i="1" s="1" a="1"/>
  <c r="H141" i="1" s="1"/>
  <c r="E140" i="1" a="1"/>
  <c r="E140" i="1" s="1"/>
  <c r="F140" i="1" s="1" a="1"/>
  <c r="F140" i="1" s="1"/>
  <c r="G140" i="1" s="1" a="1"/>
  <c r="G140" i="1" s="1"/>
  <c r="H140" i="1" s="1" a="1"/>
  <c r="H140" i="1" s="1"/>
  <c r="E139" i="1" a="1"/>
  <c r="E139" i="1" s="1"/>
  <c r="F139" i="1" s="1" a="1"/>
  <c r="F139" i="1" s="1"/>
  <c r="G139" i="1" s="1" a="1"/>
  <c r="G139" i="1" s="1"/>
  <c r="H139" i="1" s="1" a="1"/>
  <c r="H139" i="1" s="1"/>
  <c r="E98" i="1" a="1"/>
  <c r="E98" i="1" s="1"/>
  <c r="F98" i="1" s="1" a="1"/>
  <c r="F98" i="1" s="1"/>
  <c r="G98" i="1" s="1" a="1"/>
  <c r="G98" i="1" s="1"/>
  <c r="H98" i="1" s="1" a="1"/>
  <c r="H98" i="1" s="1"/>
  <c r="E97" i="1" a="1"/>
  <c r="E97" i="1" s="1"/>
  <c r="F97" i="1" s="1" a="1"/>
  <c r="F97" i="1" s="1"/>
  <c r="G97" i="1" s="1" a="1"/>
  <c r="G97" i="1" s="1"/>
  <c r="H97" i="1" s="1" a="1"/>
  <c r="H97" i="1" s="1"/>
  <c r="E95" i="1" a="1"/>
  <c r="E95" i="1" s="1"/>
  <c r="F95" i="1" s="1" a="1"/>
  <c r="F95" i="1" s="1"/>
  <c r="G95" i="1" s="1" a="1"/>
  <c r="G95" i="1" s="1"/>
  <c r="H95" i="1" s="1" a="1"/>
  <c r="H95" i="1" s="1"/>
  <c r="E94" i="1" a="1"/>
  <c r="E94" i="1" s="1"/>
  <c r="F94" i="1" s="1" a="1"/>
  <c r="F94" i="1" s="1"/>
  <c r="G94" i="1" s="1" a="1"/>
  <c r="G94" i="1" s="1"/>
  <c r="H94" i="1" s="1" a="1"/>
  <c r="H94" i="1" s="1"/>
  <c r="E93" i="1" a="1"/>
  <c r="E93" i="1" s="1"/>
  <c r="F93" i="1" s="1" a="1"/>
  <c r="F93" i="1" s="1"/>
  <c r="G93" i="1" s="1" a="1"/>
  <c r="G93" i="1" s="1"/>
  <c r="H93" i="1" s="1" a="1"/>
  <c r="H93" i="1" s="1"/>
  <c r="E92" i="1" a="1"/>
  <c r="E92" i="1" s="1"/>
  <c r="F92" i="1" s="1" a="1"/>
  <c r="F92" i="1" s="1"/>
  <c r="G92" i="1" s="1" a="1"/>
  <c r="G92" i="1" s="1"/>
  <c r="H92" i="1" s="1" a="1"/>
  <c r="H92" i="1" s="1"/>
  <c r="E91" i="1" a="1"/>
  <c r="E91" i="1" s="1"/>
  <c r="F91" i="1" s="1" a="1"/>
  <c r="F91" i="1" s="1"/>
  <c r="G91" i="1" s="1" a="1"/>
  <c r="G91" i="1" s="1"/>
  <c r="H91" i="1" s="1" a="1"/>
  <c r="H91" i="1" s="1"/>
  <c r="E90" i="1" a="1"/>
  <c r="E90" i="1" s="1"/>
  <c r="F90" i="1" s="1" a="1"/>
  <c r="F90" i="1" s="1"/>
  <c r="G90" i="1" s="1" a="1"/>
  <c r="G90" i="1" s="1"/>
  <c r="H90" i="1" s="1" a="1"/>
  <c r="H90" i="1" s="1"/>
  <c r="E88" i="1" a="1"/>
  <c r="E88" i="1" s="1"/>
  <c r="F88" i="1" s="1" a="1"/>
  <c r="F88" i="1" s="1"/>
  <c r="G88" i="1" s="1" a="1"/>
  <c r="G88" i="1" s="1"/>
  <c r="H88" i="1" s="1" a="1"/>
  <c r="H88" i="1" s="1"/>
  <c r="E87" i="1" a="1"/>
  <c r="E87" i="1" s="1"/>
  <c r="F87" i="1" s="1" a="1"/>
  <c r="F87" i="1" s="1"/>
  <c r="G87" i="1" s="1" a="1"/>
  <c r="G87" i="1" s="1"/>
  <c r="H87" i="1" s="1" a="1"/>
  <c r="H87" i="1" s="1"/>
  <c r="E83" i="1" a="1"/>
  <c r="E83" i="1" s="1"/>
  <c r="F83" i="1" s="1" a="1"/>
  <c r="F83" i="1" s="1"/>
  <c r="G83" i="1" s="1" a="1"/>
  <c r="G83" i="1" s="1"/>
  <c r="H83" i="1" s="1" a="1"/>
  <c r="H83" i="1" s="1"/>
  <c r="E86" i="1" a="1"/>
  <c r="E86" i="1" s="1"/>
  <c r="F86" i="1" s="1" a="1"/>
  <c r="F86" i="1" s="1"/>
  <c r="G86" i="1" s="1" a="1"/>
  <c r="G86" i="1" s="1"/>
  <c r="H86" i="1" s="1" a="1"/>
  <c r="H86" i="1" s="1"/>
  <c r="E85" i="1" a="1"/>
  <c r="E85" i="1" s="1"/>
  <c r="F85" i="1" s="1" a="1"/>
  <c r="F85" i="1" s="1"/>
  <c r="G85" i="1" s="1" a="1"/>
  <c r="G85" i="1" s="1"/>
  <c r="H85" i="1" s="1" a="1"/>
  <c r="H85" i="1" s="1"/>
  <c r="E84" i="1" a="1"/>
  <c r="E84" i="1" s="1"/>
  <c r="F84" i="1" s="1" a="1"/>
  <c r="F84" i="1" s="1"/>
  <c r="G84" i="1" s="1" a="1"/>
  <c r="G84" i="1" s="1"/>
  <c r="H84" i="1" s="1" a="1"/>
  <c r="H84" i="1" s="1"/>
  <c r="E76" i="1" a="1"/>
  <c r="E76" i="1" s="1"/>
  <c r="F76" i="1" s="1" a="1"/>
  <c r="F76" i="1" s="1"/>
  <c r="G76" i="1" s="1" a="1"/>
  <c r="G76" i="1" s="1"/>
  <c r="H76" i="1" s="1" a="1"/>
  <c r="H76" i="1" s="1"/>
  <c r="E77" i="1" a="1"/>
  <c r="E77" i="1" s="1"/>
  <c r="F77" i="1" s="1" a="1"/>
  <c r="F77" i="1" s="1"/>
  <c r="G77" i="1" s="1" a="1"/>
  <c r="G77" i="1" s="1"/>
  <c r="H77" i="1" s="1" a="1"/>
  <c r="H77" i="1" s="1"/>
  <c r="E78" i="1" a="1"/>
  <c r="E78" i="1" s="1"/>
  <c r="F78" i="1" s="1" a="1"/>
  <c r="F78" i="1" s="1"/>
  <c r="G78" i="1" s="1" a="1"/>
  <c r="G78" i="1" s="1"/>
  <c r="H78" i="1" s="1" a="1"/>
  <c r="H78" i="1" s="1"/>
  <c r="E79" i="1" a="1"/>
  <c r="E79" i="1" s="1"/>
  <c r="F79" i="1" s="1" a="1"/>
  <c r="F79" i="1" s="1"/>
  <c r="G79" i="1" s="1" a="1"/>
  <c r="G79" i="1" s="1"/>
  <c r="H79" i="1" s="1" a="1"/>
  <c r="H79" i="1" s="1"/>
  <c r="E80" i="1" a="1"/>
  <c r="E80" i="1" s="1"/>
  <c r="F80" i="1" s="1" a="1"/>
  <c r="F80" i="1" s="1"/>
  <c r="G80" i="1" s="1" a="1"/>
  <c r="G80" i="1" s="1"/>
  <c r="H80" i="1" s="1" a="1"/>
  <c r="H80" i="1" s="1"/>
  <c r="E81" i="1" a="1"/>
  <c r="E81" i="1" s="1"/>
  <c r="F81" i="1" s="1" a="1"/>
  <c r="F81" i="1" s="1"/>
  <c r="G81" i="1" s="1" a="1"/>
  <c r="G81" i="1" s="1"/>
  <c r="H81" i="1" s="1" a="1"/>
  <c r="H81" i="1" s="1"/>
  <c r="E74" i="1" a="1"/>
  <c r="E74" i="1" s="1"/>
  <c r="F74" i="1" s="1" a="1"/>
  <c r="F74" i="1" s="1"/>
  <c r="G74" i="1" s="1" a="1"/>
  <c r="G74" i="1" s="1"/>
  <c r="H74" i="1" s="1" a="1"/>
  <c r="H74" i="1" s="1"/>
  <c r="E71" i="1" a="1"/>
  <c r="E71" i="1" s="1"/>
  <c r="F71" i="1" s="1" a="1"/>
  <c r="F71" i="1" s="1"/>
  <c r="G71" i="1" s="1" a="1"/>
  <c r="G71" i="1" s="1"/>
  <c r="H71" i="1" s="1" a="1"/>
  <c r="H71" i="1" s="1"/>
  <c r="E73" i="1" a="1"/>
  <c r="E73" i="1" s="1"/>
  <c r="F73" i="1" s="1" a="1"/>
  <c r="F73" i="1" s="1"/>
  <c r="G73" i="1" s="1" a="1"/>
  <c r="G73" i="1" s="1"/>
  <c r="H73" i="1" s="1" a="1"/>
  <c r="H73" i="1" s="1"/>
  <c r="E72" i="1" a="1"/>
  <c r="E72" i="1" s="1"/>
  <c r="F72" i="1" s="1" a="1"/>
  <c r="F72" i="1" s="1"/>
  <c r="G72" i="1" s="1" a="1"/>
  <c r="G72" i="1" s="1"/>
  <c r="H72" i="1" s="1" a="1"/>
  <c r="H72" i="1" s="1"/>
  <c r="E70" i="1" a="1"/>
  <c r="E70" i="1" s="1"/>
  <c r="F70" i="1" s="1" a="1"/>
  <c r="F70" i="1" s="1"/>
  <c r="G70" i="1" s="1" a="1"/>
  <c r="G70" i="1" s="1"/>
  <c r="H70" i="1" s="1" a="1"/>
  <c r="H70" i="1" s="1"/>
  <c r="E69" i="1" a="1"/>
  <c r="E69" i="1" s="1"/>
  <c r="F69" i="1" s="1" a="1"/>
  <c r="F69" i="1" s="1"/>
  <c r="G69" i="1" s="1" a="1"/>
  <c r="G69" i="1" s="1"/>
  <c r="H69" i="1" s="1" a="1"/>
  <c r="H69" i="1" s="1"/>
  <c r="E67" i="1" a="1"/>
  <c r="E67" i="1" s="1"/>
  <c r="F67" i="1" s="1" a="1"/>
  <c r="F67" i="1" s="1"/>
  <c r="G67" i="1" s="1" a="1"/>
  <c r="G67" i="1" s="1"/>
  <c r="H67" i="1" s="1" a="1"/>
  <c r="H67" i="1" s="1"/>
  <c r="E64" i="1" a="1"/>
  <c r="E64" i="1" s="1"/>
  <c r="F64" i="1" s="1" a="1"/>
  <c r="F64" i="1" s="1"/>
  <c r="G64" i="1" s="1" a="1"/>
  <c r="G64" i="1" s="1"/>
  <c r="H64" i="1" s="1" a="1"/>
  <c r="H64" i="1" s="1"/>
  <c r="E63" i="1" a="1"/>
  <c r="E63" i="1" s="1"/>
  <c r="F63" i="1" s="1" a="1"/>
  <c r="F63" i="1" s="1"/>
  <c r="G63" i="1" s="1" a="1"/>
  <c r="G63" i="1" s="1"/>
  <c r="H63" i="1" s="1" a="1"/>
  <c r="H63" i="1" s="1"/>
  <c r="E65" i="1" a="1"/>
  <c r="E65" i="1" s="1"/>
  <c r="F65" i="1" s="1" a="1"/>
  <c r="F65" i="1" s="1"/>
  <c r="G65" i="1" s="1" a="1"/>
  <c r="G65" i="1" s="1"/>
  <c r="H65" i="1" s="1" a="1"/>
  <c r="H65" i="1" s="1"/>
  <c r="E66" i="1" a="1"/>
  <c r="E66" i="1" s="1"/>
  <c r="F66" i="1" s="1" a="1"/>
  <c r="F66" i="1" s="1"/>
  <c r="G66" i="1" s="1" a="1"/>
  <c r="G66" i="1" s="1"/>
  <c r="H66" i="1" s="1" a="1"/>
  <c r="H66" i="1" s="1"/>
  <c r="E62" i="1" a="1"/>
  <c r="E62" i="1" s="1"/>
  <c r="F62" i="1" s="1" a="1"/>
  <c r="F62" i="1" s="1"/>
  <c r="G62" i="1" s="1" a="1"/>
  <c r="G62" i="1" s="1"/>
  <c r="E55" i="1" a="1"/>
  <c r="E55" i="1" s="1"/>
  <c r="H56" i="1" a="1"/>
  <c r="H56" i="1" s="1"/>
  <c r="G56" i="1" a="1"/>
  <c r="G56" i="1" s="1"/>
  <c r="F56" i="1" a="1"/>
  <c r="F56" i="1" s="1"/>
  <c r="E56" i="1" a="1"/>
  <c r="E56" i="1" s="1"/>
  <c r="AN38" i="1" a="1"/>
  <c r="AN38" i="1" s="1"/>
  <c r="AM38" i="1" a="1"/>
  <c r="AM38" i="1" s="1"/>
  <c r="AL38" i="1" a="1"/>
  <c r="AL38" i="1" s="1"/>
  <c r="AK38" i="1" a="1"/>
  <c r="AK38" i="1" s="1"/>
  <c r="AJ38" i="1" a="1"/>
  <c r="AJ38" i="1" s="1"/>
  <c r="AI38" i="1" a="1"/>
  <c r="AI38" i="1" s="1"/>
  <c r="AH38" i="1" a="1"/>
  <c r="AH38" i="1" s="1"/>
  <c r="AG38" i="1" a="1"/>
  <c r="AG38" i="1" s="1"/>
  <c r="AF38" i="1" a="1"/>
  <c r="AF38" i="1" s="1"/>
  <c r="AE38" i="1" a="1"/>
  <c r="AE38" i="1" s="1"/>
  <c r="AD38" i="1" a="1"/>
  <c r="AD38" i="1" s="1"/>
  <c r="AC38" i="1" a="1"/>
  <c r="AC38" i="1" s="1"/>
  <c r="AB38" i="1" a="1"/>
  <c r="AB38" i="1" s="1"/>
  <c r="AA38" i="1" a="1"/>
  <c r="AA38" i="1" s="1"/>
  <c r="Z38" i="1" a="1"/>
  <c r="Z38" i="1" s="1"/>
  <c r="Y38" i="1" a="1"/>
  <c r="Y38" i="1" s="1"/>
  <c r="X38" i="1" a="1"/>
  <c r="X38" i="1" s="1"/>
  <c r="W38" i="1" a="1"/>
  <c r="W38" i="1" s="1"/>
  <c r="V38" i="1" a="1"/>
  <c r="V38" i="1" s="1"/>
  <c r="U38" i="1" a="1"/>
  <c r="U38" i="1" s="1"/>
  <c r="T38" i="1" a="1"/>
  <c r="T38" i="1" s="1"/>
  <c r="S38" i="1" a="1"/>
  <c r="S38" i="1" s="1"/>
  <c r="R38" i="1" a="1"/>
  <c r="R38" i="1" s="1"/>
  <c r="Q38" i="1" a="1"/>
  <c r="Q38" i="1" s="1"/>
  <c r="P38" i="1" a="1"/>
  <c r="P38" i="1" s="1"/>
  <c r="O38" i="1" a="1"/>
  <c r="O38" i="1" s="1"/>
  <c r="N38" i="1" a="1"/>
  <c r="N38" i="1" s="1"/>
  <c r="M38" i="1" a="1"/>
  <c r="M38" i="1" s="1"/>
  <c r="L38" i="1" a="1"/>
  <c r="L38" i="1" s="1"/>
  <c r="K38" i="1" a="1"/>
  <c r="K38" i="1" s="1"/>
  <c r="J38" i="1" a="1"/>
  <c r="J38" i="1" s="1"/>
  <c r="I38" i="1" a="1"/>
  <c r="I38" i="1" s="1"/>
  <c r="H38" i="1" a="1"/>
  <c r="H38" i="1" s="1"/>
  <c r="G38" i="1" a="1"/>
  <c r="G38" i="1" s="1"/>
  <c r="F38" i="1" a="1"/>
  <c r="F38" i="1" s="1"/>
  <c r="E38" i="1" a="1"/>
  <c r="E38" i="1" s="1"/>
  <c r="E34" i="1" a="1"/>
  <c r="E34" i="1" s="1"/>
  <c r="AN34" i="1" a="1"/>
  <c r="AN34" i="1" s="1"/>
  <c r="AM34" i="1" a="1"/>
  <c r="AM34" i="1" s="1"/>
  <c r="AL34" i="1" a="1"/>
  <c r="AL34" i="1" s="1"/>
  <c r="AK34" i="1" a="1"/>
  <c r="AK34" i="1" s="1"/>
  <c r="AJ34" i="1" a="1"/>
  <c r="AJ34" i="1" s="1"/>
  <c r="AI34" i="1" a="1"/>
  <c r="AI34" i="1" s="1"/>
  <c r="AH34" i="1" a="1"/>
  <c r="AH34" i="1" s="1"/>
  <c r="AG34" i="1" a="1"/>
  <c r="AG34" i="1" s="1"/>
  <c r="AF34" i="1" a="1"/>
  <c r="AF34" i="1" s="1"/>
  <c r="AE34" i="1" a="1"/>
  <c r="AE34" i="1" s="1"/>
  <c r="AD34" i="1" a="1"/>
  <c r="AD34" i="1" s="1"/>
  <c r="AC34" i="1" a="1"/>
  <c r="AC34" i="1" s="1"/>
  <c r="AB34" i="1" a="1"/>
  <c r="AB34" i="1" s="1"/>
  <c r="AA34" i="1" a="1"/>
  <c r="AA34" i="1" s="1"/>
  <c r="Z34" i="1" a="1"/>
  <c r="Z34" i="1" s="1"/>
  <c r="Y34" i="1" a="1"/>
  <c r="Y34" i="1" s="1"/>
  <c r="X34" i="1" a="1"/>
  <c r="X34" i="1" s="1"/>
  <c r="W34" i="1" a="1"/>
  <c r="W34" i="1" s="1"/>
  <c r="V34" i="1" a="1"/>
  <c r="V34" i="1" s="1"/>
  <c r="U34" i="1" a="1"/>
  <c r="U34" i="1" s="1"/>
  <c r="T34" i="1" a="1"/>
  <c r="T34" i="1" s="1"/>
  <c r="S34" i="1" a="1"/>
  <c r="S34" i="1" s="1"/>
  <c r="R34" i="1" a="1"/>
  <c r="R34" i="1" s="1"/>
  <c r="Q34" i="1" a="1"/>
  <c r="Q34" i="1" s="1"/>
  <c r="P34" i="1" a="1"/>
  <c r="P34" i="1" s="1"/>
  <c r="O34" i="1" a="1"/>
  <c r="O34" i="1" s="1"/>
  <c r="N34" i="1" a="1"/>
  <c r="N34" i="1" s="1"/>
  <c r="M34" i="1" a="1"/>
  <c r="M34" i="1" s="1"/>
  <c r="L34" i="1" a="1"/>
  <c r="L34" i="1" s="1"/>
  <c r="K34" i="1" a="1"/>
  <c r="K34" i="1" s="1"/>
  <c r="J34" i="1" a="1"/>
  <c r="J34" i="1" s="1"/>
  <c r="I34" i="1" a="1"/>
  <c r="I34" i="1" s="1"/>
  <c r="H34" i="1" a="1"/>
  <c r="H34" i="1" s="1"/>
  <c r="G34" i="1" a="1"/>
  <c r="G34" i="1" s="1"/>
  <c r="F34" i="1" a="1"/>
  <c r="F34" i="1" s="1"/>
  <c r="E33" i="1" a="1"/>
  <c r="E33" i="1" s="1"/>
  <c r="K33" i="1" a="1"/>
  <c r="K33" i="1" s="1"/>
  <c r="L33" i="1" s="1"/>
  <c r="M33" i="1" s="1"/>
  <c r="N33" i="1" s="1"/>
  <c r="O33" i="1" s="1"/>
  <c r="P33" i="1" s="1"/>
  <c r="Q33" i="1" s="1"/>
  <c r="R33" i="1" s="1"/>
  <c r="S33" i="1" s="1"/>
  <c r="T33" i="1" s="1"/>
  <c r="U33" i="1" s="1"/>
  <c r="V33" i="1" s="1"/>
  <c r="W33" i="1" s="1"/>
  <c r="X33" i="1" s="1"/>
  <c r="Y33" i="1" s="1"/>
  <c r="Z33" i="1" s="1"/>
  <c r="AA33" i="1" s="1"/>
  <c r="AB33" i="1" s="1"/>
  <c r="AC33" i="1" s="1"/>
  <c r="AD33" i="1" s="1"/>
  <c r="AE33" i="1" s="1"/>
  <c r="AF33" i="1" s="1"/>
  <c r="AG33" i="1" s="1"/>
  <c r="AH33" i="1" s="1"/>
  <c r="AI33" i="1" s="1"/>
  <c r="AJ33" i="1" s="1"/>
  <c r="AK33" i="1" s="1"/>
  <c r="AL33" i="1" s="1"/>
  <c r="AM33" i="1" s="1"/>
  <c r="AN33" i="1" s="1"/>
  <c r="J33" i="1" a="1"/>
  <c r="J33" i="1" s="1"/>
  <c r="I33" i="1" a="1"/>
  <c r="I33" i="1" s="1"/>
  <c r="H33" i="1" a="1"/>
  <c r="H33" i="1" s="1"/>
  <c r="G33" i="1" a="1"/>
  <c r="G33" i="1" s="1"/>
  <c r="F33" i="1" a="1"/>
  <c r="F33" i="1" s="1"/>
  <c r="E29" i="1" a="1"/>
  <c r="E29" i="1" s="1"/>
  <c r="AN29" i="1" a="1"/>
  <c r="AN29" i="1" s="1"/>
  <c r="AM29" i="1" a="1"/>
  <c r="AM29" i="1" s="1"/>
  <c r="AL29" i="1" a="1"/>
  <c r="AL29" i="1" s="1"/>
  <c r="AK29" i="1" a="1"/>
  <c r="AK29" i="1" s="1"/>
  <c r="AJ29" i="1" a="1"/>
  <c r="AJ29" i="1" s="1"/>
  <c r="AI29" i="1" a="1"/>
  <c r="AI29" i="1" s="1"/>
  <c r="AH29" i="1" a="1"/>
  <c r="AH29" i="1" s="1"/>
  <c r="AG29" i="1" a="1"/>
  <c r="AG29" i="1" s="1"/>
  <c r="AF29" i="1" a="1"/>
  <c r="AF29" i="1" s="1"/>
  <c r="AE29" i="1" a="1"/>
  <c r="AE29" i="1" s="1"/>
  <c r="AD29" i="1" a="1"/>
  <c r="AD29" i="1" s="1"/>
  <c r="AC29" i="1" a="1"/>
  <c r="AC29" i="1" s="1"/>
  <c r="AB29" i="1" a="1"/>
  <c r="AB29" i="1" s="1"/>
  <c r="AA29" i="1" a="1"/>
  <c r="AA29" i="1" s="1"/>
  <c r="Z29" i="1" a="1"/>
  <c r="Z29" i="1" s="1"/>
  <c r="Y29" i="1" a="1"/>
  <c r="Y29" i="1" s="1"/>
  <c r="X29" i="1" a="1"/>
  <c r="X29" i="1" s="1"/>
  <c r="W29" i="1" a="1"/>
  <c r="W29" i="1" s="1"/>
  <c r="V29" i="1" a="1"/>
  <c r="V29" i="1" s="1"/>
  <c r="U29" i="1" a="1"/>
  <c r="U29" i="1" s="1"/>
  <c r="T29" i="1" a="1"/>
  <c r="T29" i="1" s="1"/>
  <c r="S29" i="1" a="1"/>
  <c r="S29" i="1" s="1"/>
  <c r="R29" i="1" a="1"/>
  <c r="R29" i="1" s="1"/>
  <c r="Q29" i="1" a="1"/>
  <c r="Q29" i="1" s="1"/>
  <c r="P29" i="1" a="1"/>
  <c r="P29" i="1" s="1"/>
  <c r="O29" i="1" a="1"/>
  <c r="O29" i="1" s="1"/>
  <c r="N29" i="1" a="1"/>
  <c r="N29" i="1" s="1"/>
  <c r="M29" i="1" a="1"/>
  <c r="M29" i="1" s="1"/>
  <c r="L29" i="1" a="1"/>
  <c r="L29" i="1" s="1"/>
  <c r="K29" i="1" a="1"/>
  <c r="K29" i="1" s="1"/>
  <c r="J29" i="1" a="1"/>
  <c r="J29" i="1" s="1"/>
  <c r="I29" i="1" a="1"/>
  <c r="I29" i="1" s="1"/>
  <c r="H29" i="1" a="1"/>
  <c r="H29" i="1" s="1"/>
  <c r="G29" i="1" a="1"/>
  <c r="G29" i="1" s="1"/>
  <c r="F29" i="1" a="1"/>
  <c r="F29" i="1" s="1"/>
  <c r="E20" i="1" a="1"/>
  <c r="E20" i="1" s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A1" i="31"/>
  <c r="A1" i="28"/>
  <c r="A1" i="21"/>
  <c r="A1" i="10"/>
  <c r="A1" i="9"/>
  <c r="A1" i="18"/>
  <c r="A1" i="8"/>
  <c r="A1" i="7"/>
  <c r="A1" i="29"/>
  <c r="A1" i="17"/>
  <c r="A1" i="14"/>
  <c r="Q27" i="14"/>
  <c r="E994" i="1"/>
  <c r="E993" i="1"/>
  <c r="E992" i="1"/>
  <c r="E991" i="1"/>
  <c r="E990" i="1"/>
  <c r="E989" i="1"/>
  <c r="E988" i="1"/>
  <c r="E987" i="1"/>
  <c r="AL4" i="28"/>
  <c r="AJ4" i="28"/>
  <c r="AG4" i="28"/>
  <c r="AF4" i="28"/>
  <c r="AE4" i="28"/>
  <c r="AD4" i="28"/>
  <c r="AB4" i="28"/>
  <c r="AN4" i="28" s="1"/>
  <c r="AA4" i="28"/>
  <c r="AM4" i="28" s="1"/>
  <c r="Z4" i="28"/>
  <c r="Y4" i="28"/>
  <c r="AK4" i="28" s="1"/>
  <c r="X4" i="28"/>
  <c r="W4" i="28"/>
  <c r="AI4" i="28" s="1"/>
  <c r="V4" i="28"/>
  <c r="AH4" i="28" s="1"/>
  <c r="U4" i="28"/>
  <c r="T4" i="28"/>
  <c r="S4" i="28"/>
  <c r="R4" i="28"/>
  <c r="Q4" i="28"/>
  <c r="AC4" i="28" s="1"/>
  <c r="AN31" i="2"/>
  <c r="F1002" i="1"/>
  <c r="F1001" i="1"/>
  <c r="F1000" i="1"/>
  <c r="F999" i="1"/>
  <c r="F998" i="1"/>
  <c r="F997" i="1"/>
  <c r="F996" i="1"/>
  <c r="B976" i="1"/>
  <c r="E985" i="1"/>
  <c r="F1003" i="1" s="1"/>
  <c r="AC27" i="28"/>
  <c r="AB27" i="28"/>
  <c r="AN27" i="28" s="1"/>
  <c r="AA27" i="28"/>
  <c r="AM27" i="28" s="1"/>
  <c r="Z27" i="28"/>
  <c r="AL27" i="28" s="1"/>
  <c r="Y27" i="28"/>
  <c r="AK27" i="28" s="1"/>
  <c r="X27" i="28"/>
  <c r="AJ27" i="28" s="1"/>
  <c r="W27" i="28"/>
  <c r="AI27" i="28" s="1"/>
  <c r="V27" i="28"/>
  <c r="AH27" i="28" s="1"/>
  <c r="U27" i="28"/>
  <c r="AG27" i="28" s="1"/>
  <c r="T27" i="28"/>
  <c r="AF27" i="28" s="1"/>
  <c r="S27" i="28"/>
  <c r="AE27" i="28" s="1"/>
  <c r="R27" i="28"/>
  <c r="AD27" i="28" s="1"/>
  <c r="AN8" i="21"/>
  <c r="E44" i="1"/>
  <c r="E1003" i="1" l="1"/>
  <c r="E23" i="1"/>
  <c r="I10" i="37"/>
  <c r="E22" i="1"/>
  <c r="N2" i="37"/>
  <c r="E9" i="37" s="1"/>
  <c r="AN507" i="1" s="1"/>
  <c r="AM507" i="1" s="1"/>
  <c r="L2" i="37"/>
  <c r="C9" i="37" s="1"/>
  <c r="G9" i="37" s="1"/>
  <c r="I11" i="37"/>
  <c r="I5" i="37"/>
  <c r="M2" i="37"/>
  <c r="D9" i="37" s="1"/>
  <c r="AB507" i="1" s="1"/>
  <c r="AA507" i="1" s="1"/>
  <c r="Z507" i="1" s="1"/>
  <c r="Y507" i="1" s="1"/>
  <c r="I13" i="37"/>
  <c r="I3" i="37"/>
  <c r="AN631" i="1"/>
  <c r="AK631" i="1" s="1"/>
  <c r="H4" i="37"/>
  <c r="AB383" i="1"/>
  <c r="AA383" i="1" s="1"/>
  <c r="Z383" i="1" s="1"/>
  <c r="Y383" i="1" s="1"/>
  <c r="I8" i="37"/>
  <c r="AN569" i="1"/>
  <c r="AL569" i="1" s="1"/>
  <c r="AN538" i="1"/>
  <c r="AL538" i="1" s="1"/>
  <c r="AL662" i="1"/>
  <c r="AM662" i="1"/>
  <c r="AK414" i="1"/>
  <c r="AM414" i="1"/>
  <c r="AL414" i="1"/>
  <c r="AM600" i="1"/>
  <c r="AK600" i="1"/>
  <c r="AE321" i="1"/>
  <c r="AE17" i="37" s="1"/>
  <c r="AM321" i="1"/>
  <c r="AM17" i="37" s="1"/>
  <c r="AD321" i="1"/>
  <c r="AD17" i="37" s="1"/>
  <c r="AN17" i="37"/>
  <c r="AL321" i="1"/>
  <c r="AL17" i="37" s="1"/>
  <c r="AK321" i="1"/>
  <c r="AK17" i="37" s="1"/>
  <c r="AF321" i="1"/>
  <c r="AF17" i="37" s="1"/>
  <c r="AM352" i="1"/>
  <c r="AM18" i="37" s="1"/>
  <c r="AK352" i="1"/>
  <c r="AK18" i="37" s="1"/>
  <c r="AN18" i="37"/>
  <c r="I12" i="37"/>
  <c r="I6" i="37"/>
  <c r="I14" i="37"/>
  <c r="AF662" i="1"/>
  <c r="I7" i="37"/>
  <c r="AK476" i="1"/>
  <c r="AL476" i="1"/>
  <c r="AA538" i="1"/>
  <c r="Z538" i="1" s="1"/>
  <c r="Y538" i="1" s="1"/>
  <c r="AA569" i="1"/>
  <c r="Z569" i="1" s="1"/>
  <c r="Y569" i="1" s="1"/>
  <c r="AA600" i="1"/>
  <c r="Z600" i="1" s="1"/>
  <c r="Y600" i="1" s="1"/>
  <c r="AF600" i="1"/>
  <c r="AC600" i="1"/>
  <c r="AE352" i="1"/>
  <c r="AE18" i="37" s="1"/>
  <c r="AF352" i="1"/>
  <c r="AF18" i="37" s="1"/>
  <c r="AB445" i="1"/>
  <c r="AB414" i="1"/>
  <c r="AF414" i="1" s="1"/>
  <c r="AA321" i="1"/>
  <c r="I4" i="37"/>
  <c r="H14" i="37"/>
  <c r="AA662" i="1"/>
  <c r="Z662" i="1" s="1"/>
  <c r="Y662" i="1" s="1"/>
  <c r="AC321" i="1"/>
  <c r="AC17" i="37" s="1"/>
  <c r="O321" i="1"/>
  <c r="M17" i="37" s="1"/>
  <c r="N321" i="1"/>
  <c r="S321" i="1"/>
  <c r="R17" i="37" s="1"/>
  <c r="T321" i="1"/>
  <c r="R321" i="1"/>
  <c r="Q17" i="37" s="1"/>
  <c r="Q321" i="1"/>
  <c r="P17" i="37" s="1"/>
  <c r="N17" i="37"/>
  <c r="O383" i="1"/>
  <c r="T538" i="1"/>
  <c r="N538" i="1"/>
  <c r="M538" i="1" s="1"/>
  <c r="L538" i="1" s="1"/>
  <c r="K538" i="1" s="1"/>
  <c r="J538" i="1" s="1"/>
  <c r="I538" i="1" s="1"/>
  <c r="O538" i="1"/>
  <c r="H3" i="37"/>
  <c r="G14" i="37"/>
  <c r="P352" i="1"/>
  <c r="T352" i="1" s="1"/>
  <c r="G4" i="37"/>
  <c r="H6" i="37"/>
  <c r="P631" i="1"/>
  <c r="Q631" i="1" s="1"/>
  <c r="G5" i="37"/>
  <c r="H7" i="37"/>
  <c r="H8" i="37"/>
  <c r="P445" i="1"/>
  <c r="G3" i="37"/>
  <c r="H5" i="37"/>
  <c r="P600" i="1"/>
  <c r="R600" i="1" s="1"/>
  <c r="P476" i="1"/>
  <c r="T476" i="1" s="1"/>
  <c r="G6" i="37"/>
  <c r="H10" i="37"/>
  <c r="P569" i="1"/>
  <c r="R569" i="1" s="1"/>
  <c r="H11" i="37"/>
  <c r="G10" i="37"/>
  <c r="H12" i="37"/>
  <c r="H13" i="37"/>
  <c r="P662" i="1"/>
  <c r="O662" i="1" s="1"/>
  <c r="N414" i="1"/>
  <c r="M414" i="1" s="1"/>
  <c r="G414" i="1" s="1"/>
  <c r="H414" i="1" s="1"/>
  <c r="I414" i="1" s="1"/>
  <c r="J414" i="1" s="1"/>
  <c r="K414" i="1" s="1"/>
  <c r="L414" i="1" s="1"/>
  <c r="AA18" i="37"/>
  <c r="AK445" i="1"/>
  <c r="AL445" i="1"/>
  <c r="AD600" i="1"/>
  <c r="AL600" i="1"/>
  <c r="AE600" i="1"/>
  <c r="AC662" i="1"/>
  <c r="AD662" i="1"/>
  <c r="AE662" i="1"/>
  <c r="AK662" i="1"/>
  <c r="AA631" i="1"/>
  <c r="Z631" i="1" s="1"/>
  <c r="Y631" i="1" s="1"/>
  <c r="Q538" i="1"/>
  <c r="R538" i="1"/>
  <c r="S538" i="1"/>
  <c r="AA476" i="1"/>
  <c r="Z476" i="1" s="1"/>
  <c r="Y476" i="1" s="1"/>
  <c r="AE476" i="1"/>
  <c r="AF476" i="1"/>
  <c r="AC476" i="1"/>
  <c r="AD476" i="1"/>
  <c r="AD445" i="1"/>
  <c r="N383" i="1"/>
  <c r="M383" i="1" s="1"/>
  <c r="L383" i="1" s="1"/>
  <c r="K383" i="1" s="1"/>
  <c r="J383" i="1" s="1"/>
  <c r="I383" i="1" s="1"/>
  <c r="H383" i="1" s="1"/>
  <c r="G383" i="1" s="1"/>
  <c r="AK383" i="1"/>
  <c r="AL383" i="1"/>
  <c r="AA352" i="1"/>
  <c r="AC352" i="1"/>
  <c r="AC18" i="37" s="1"/>
  <c r="AD352" i="1"/>
  <c r="AD18" i="37" s="1"/>
  <c r="AL352" i="1"/>
  <c r="AL18" i="37" s="1"/>
  <c r="E1002" i="1"/>
  <c r="E998" i="1"/>
  <c r="E999" i="1"/>
  <c r="E996" i="1"/>
  <c r="E997" i="1"/>
  <c r="E1000" i="1"/>
  <c r="E1001" i="1"/>
  <c r="H62" i="1" a="1"/>
  <c r="H62" i="1" s="1"/>
  <c r="AC17" i="28"/>
  <c r="AB17" i="28"/>
  <c r="AN17" i="28" s="1"/>
  <c r="AA17" i="28"/>
  <c r="AM17" i="28" s="1"/>
  <c r="Z17" i="28"/>
  <c r="AL17" i="28" s="1"/>
  <c r="Y17" i="28"/>
  <c r="AK17" i="28" s="1"/>
  <c r="X17" i="28"/>
  <c r="AJ17" i="28" s="1"/>
  <c r="W17" i="28"/>
  <c r="AI17" i="28" s="1"/>
  <c r="V17" i="28"/>
  <c r="AH17" i="28" s="1"/>
  <c r="U17" i="28"/>
  <c r="AG17" i="28" s="1"/>
  <c r="T17" i="28"/>
  <c r="AF17" i="28" s="1"/>
  <c r="S17" i="28"/>
  <c r="AE17" i="28" s="1"/>
  <c r="R17" i="28"/>
  <c r="AD17" i="28" s="1"/>
  <c r="B79" i="23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B95" i="23" s="1"/>
  <c r="B96" i="23" s="1"/>
  <c r="B97" i="23" s="1"/>
  <c r="B98" i="23" s="1"/>
  <c r="B99" i="23" s="1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R383" i="1" l="1"/>
  <c r="AM631" i="1"/>
  <c r="AD414" i="1"/>
  <c r="AF538" i="1"/>
  <c r="AC631" i="1"/>
  <c r="AL631" i="1"/>
  <c r="AE538" i="1"/>
  <c r="AC538" i="1"/>
  <c r="AD538" i="1"/>
  <c r="AL507" i="1"/>
  <c r="AF631" i="1"/>
  <c r="AG631" i="1" s="1"/>
  <c r="AH631" i="1" s="1"/>
  <c r="AI631" i="1" s="1"/>
  <c r="AJ631" i="1" s="1"/>
  <c r="AE631" i="1"/>
  <c r="AD631" i="1"/>
  <c r="AE414" i="1"/>
  <c r="I9" i="37"/>
  <c r="R414" i="1"/>
  <c r="P507" i="1"/>
  <c r="Q507" i="1" s="1"/>
  <c r="H9" i="37"/>
  <c r="N662" i="1"/>
  <c r="M662" i="1" s="1"/>
  <c r="L662" i="1" s="1"/>
  <c r="K662" i="1" s="1"/>
  <c r="J662" i="1" s="1"/>
  <c r="I662" i="1" s="1"/>
  <c r="AK507" i="1"/>
  <c r="AF507" i="1"/>
  <c r="AD507" i="1"/>
  <c r="AC507" i="1"/>
  <c r="T383" i="1"/>
  <c r="U383" i="1" s="1"/>
  <c r="V383" i="1" s="1"/>
  <c r="W383" i="1" s="1"/>
  <c r="X383" i="1" s="1"/>
  <c r="AF383" i="1"/>
  <c r="AG383" i="1" s="1"/>
  <c r="AH383" i="1" s="1"/>
  <c r="AI383" i="1" s="1"/>
  <c r="AJ383" i="1" s="1"/>
  <c r="T414" i="1"/>
  <c r="AE383" i="1"/>
  <c r="Q383" i="1"/>
  <c r="AD383" i="1"/>
  <c r="S414" i="1"/>
  <c r="AC383" i="1"/>
  <c r="S383" i="1"/>
  <c r="Q414" i="1"/>
  <c r="S476" i="1"/>
  <c r="T569" i="1"/>
  <c r="U569" i="1" s="1"/>
  <c r="V569" i="1" s="1"/>
  <c r="W569" i="1" s="1"/>
  <c r="X569" i="1" s="1"/>
  <c r="T631" i="1"/>
  <c r="U631" i="1" s="1"/>
  <c r="V631" i="1" s="1"/>
  <c r="W631" i="1" s="1"/>
  <c r="X631" i="1" s="1"/>
  <c r="R476" i="1"/>
  <c r="S569" i="1"/>
  <c r="R631" i="1"/>
  <c r="Q600" i="1"/>
  <c r="S445" i="1"/>
  <c r="Q476" i="1"/>
  <c r="AE507" i="1"/>
  <c r="AG414" i="1"/>
  <c r="AH414" i="1" s="1"/>
  <c r="AI414" i="1" s="1"/>
  <c r="AJ414" i="1" s="1"/>
  <c r="AF445" i="1"/>
  <c r="AG445" i="1" s="1"/>
  <c r="AH445" i="1" s="1"/>
  <c r="AI445" i="1" s="1"/>
  <c r="AJ445" i="1" s="1"/>
  <c r="U476" i="1"/>
  <c r="V476" i="1" s="1"/>
  <c r="W476" i="1" s="1"/>
  <c r="X476" i="1" s="1"/>
  <c r="AC414" i="1"/>
  <c r="AA414" i="1"/>
  <c r="Z414" i="1" s="1"/>
  <c r="Y414" i="1" s="1"/>
  <c r="U538" i="1"/>
  <c r="V538" i="1" s="1"/>
  <c r="W538" i="1" s="1"/>
  <c r="X538" i="1" s="1"/>
  <c r="AE445" i="1"/>
  <c r="AE569" i="1"/>
  <c r="AM569" i="1"/>
  <c r="AF569" i="1"/>
  <c r="AK569" i="1"/>
  <c r="AC569" i="1"/>
  <c r="AD569" i="1"/>
  <c r="AM538" i="1"/>
  <c r="AK538" i="1"/>
  <c r="AG476" i="1"/>
  <c r="AH476" i="1" s="1"/>
  <c r="AI476" i="1" s="1"/>
  <c r="AJ476" i="1" s="1"/>
  <c r="AG662" i="1"/>
  <c r="AH662" i="1" s="1"/>
  <c r="AI662" i="1" s="1"/>
  <c r="AJ662" i="1" s="1"/>
  <c r="AG600" i="1"/>
  <c r="AH600" i="1" s="1"/>
  <c r="AI600" i="1" s="1"/>
  <c r="AJ600" i="1" s="1"/>
  <c r="AG321" i="1"/>
  <c r="AG17" i="37" s="1"/>
  <c r="AG352" i="1"/>
  <c r="AG18" i="37" s="1"/>
  <c r="Z17" i="37"/>
  <c r="Z321" i="1"/>
  <c r="AA445" i="1"/>
  <c r="Z445" i="1" s="1"/>
  <c r="Y445" i="1" s="1"/>
  <c r="AC445" i="1"/>
  <c r="N445" i="1"/>
  <c r="M445" i="1" s="1"/>
  <c r="L445" i="1" s="1"/>
  <c r="K445" i="1" s="1"/>
  <c r="J445" i="1" s="1"/>
  <c r="I445" i="1" s="1"/>
  <c r="H445" i="1" s="1"/>
  <c r="G445" i="1" s="1"/>
  <c r="O445" i="1"/>
  <c r="T445" i="1"/>
  <c r="R445" i="1"/>
  <c r="R662" i="1"/>
  <c r="Q662" i="1"/>
  <c r="O631" i="1"/>
  <c r="N631" i="1"/>
  <c r="M631" i="1" s="1"/>
  <c r="L631" i="1" s="1"/>
  <c r="K631" i="1" s="1"/>
  <c r="J631" i="1" s="1"/>
  <c r="I631" i="1" s="1"/>
  <c r="Q445" i="1"/>
  <c r="T662" i="1"/>
  <c r="U662" i="1" s="1"/>
  <c r="V662" i="1" s="1"/>
  <c r="W662" i="1" s="1"/>
  <c r="X662" i="1" s="1"/>
  <c r="Q569" i="1"/>
  <c r="O569" i="1"/>
  <c r="N569" i="1"/>
  <c r="G569" i="1"/>
  <c r="H569" i="1" s="1"/>
  <c r="M569" i="1"/>
  <c r="K569" i="1"/>
  <c r="L569" i="1" s="1"/>
  <c r="J569" i="1"/>
  <c r="I569" i="1"/>
  <c r="S662" i="1"/>
  <c r="S17" i="37"/>
  <c r="Q352" i="1"/>
  <c r="P18" i="37" s="1"/>
  <c r="R352" i="1"/>
  <c r="Q18" i="37" s="1"/>
  <c r="S352" i="1"/>
  <c r="R18" i="37" s="1"/>
  <c r="O352" i="1"/>
  <c r="M18" i="37" s="1"/>
  <c r="N352" i="1"/>
  <c r="N18" i="37"/>
  <c r="O476" i="1"/>
  <c r="N476" i="1"/>
  <c r="M476" i="1" s="1"/>
  <c r="L476" i="1" s="1"/>
  <c r="K476" i="1" s="1"/>
  <c r="J476" i="1" s="1"/>
  <c r="I476" i="1" s="1"/>
  <c r="H476" i="1" s="1"/>
  <c r="G476" i="1" s="1"/>
  <c r="L17" i="37"/>
  <c r="M321" i="1"/>
  <c r="S631" i="1"/>
  <c r="N600" i="1"/>
  <c r="S600" i="1"/>
  <c r="M600" i="1"/>
  <c r="G600" i="1"/>
  <c r="I600" i="1"/>
  <c r="K600" i="1"/>
  <c r="J600" i="1"/>
  <c r="O600" i="1"/>
  <c r="T600" i="1"/>
  <c r="U600" i="1" s="1"/>
  <c r="V600" i="1" s="1"/>
  <c r="W600" i="1" s="1"/>
  <c r="X600" i="1" s="1"/>
  <c r="S18" i="37"/>
  <c r="Z352" i="1"/>
  <c r="Z18" i="37"/>
  <c r="D9" i="31"/>
  <c r="D8" i="31"/>
  <c r="D11" i="31"/>
  <c r="D17" i="31"/>
  <c r="D16" i="31"/>
  <c r="D15" i="31"/>
  <c r="D12" i="31"/>
  <c r="AG538" i="1" l="1"/>
  <c r="AH538" i="1" s="1"/>
  <c r="AI538" i="1" s="1"/>
  <c r="AJ538" i="1" s="1"/>
  <c r="AG569" i="1"/>
  <c r="AH569" i="1" s="1"/>
  <c r="AI569" i="1" s="1"/>
  <c r="AJ569" i="1" s="1"/>
  <c r="O507" i="1"/>
  <c r="N507" i="1"/>
  <c r="M507" i="1" s="1"/>
  <c r="G507" i="1" s="1"/>
  <c r="H507" i="1" s="1"/>
  <c r="I507" i="1" s="1"/>
  <c r="J507" i="1" s="1"/>
  <c r="K507" i="1" s="1"/>
  <c r="L507" i="1" s="1"/>
  <c r="T507" i="1"/>
  <c r="U507" i="1" s="1"/>
  <c r="V507" i="1" s="1"/>
  <c r="W507" i="1" s="1"/>
  <c r="X507" i="1" s="1"/>
  <c r="S507" i="1"/>
  <c r="R507" i="1"/>
  <c r="AG507" i="1"/>
  <c r="AH507" i="1" s="1"/>
  <c r="AI507" i="1" s="1"/>
  <c r="AJ507" i="1" s="1"/>
  <c r="U414" i="1"/>
  <c r="V414" i="1" s="1"/>
  <c r="W414" i="1" s="1"/>
  <c r="X414" i="1" s="1"/>
  <c r="U445" i="1"/>
  <c r="V445" i="1" s="1"/>
  <c r="W445" i="1" s="1"/>
  <c r="X445" i="1" s="1"/>
  <c r="AH321" i="1"/>
  <c r="AI321" i="1" s="1"/>
  <c r="AH352" i="1"/>
  <c r="AH18" i="37" s="1"/>
  <c r="Y321" i="1"/>
  <c r="Y17" i="37"/>
  <c r="M352" i="1"/>
  <c r="L18" i="37"/>
  <c r="K17" i="37"/>
  <c r="L321" i="1"/>
  <c r="Y18" i="37"/>
  <c r="Y352" i="1"/>
  <c r="D7" i="31"/>
  <c r="F34" i="2"/>
  <c r="G34" i="2" s="1"/>
  <c r="H34" i="2" s="1"/>
  <c r="I34" i="2" s="1"/>
  <c r="J34" i="2" s="1"/>
  <c r="K34" i="2" s="1"/>
  <c r="L34" i="2" s="1"/>
  <c r="M34" i="2" s="1"/>
  <c r="N34" i="2" s="1"/>
  <c r="O34" i="2" s="1"/>
  <c r="P34" i="2" s="1"/>
  <c r="Q34" i="2" s="1"/>
  <c r="R34" i="2" s="1"/>
  <c r="S34" i="2" s="1"/>
  <c r="T34" i="2" s="1"/>
  <c r="U34" i="2" s="1"/>
  <c r="V34" i="2" s="1"/>
  <c r="W34" i="2" s="1"/>
  <c r="X34" i="2" s="1"/>
  <c r="Y34" i="2" s="1"/>
  <c r="Z34" i="2" s="1"/>
  <c r="AA34" i="2" s="1"/>
  <c r="AB34" i="2" s="1"/>
  <c r="AC34" i="2" s="1"/>
  <c r="AD34" i="2" s="1"/>
  <c r="AE34" i="2" s="1"/>
  <c r="AF34" i="2" s="1"/>
  <c r="AG34" i="2" s="1"/>
  <c r="AH34" i="2" s="1"/>
  <c r="AI34" i="2" s="1"/>
  <c r="AJ34" i="2" s="1"/>
  <c r="AK34" i="2" s="1"/>
  <c r="AL34" i="2" s="1"/>
  <c r="AM34" i="2" s="1"/>
  <c r="AN34" i="2" s="1"/>
  <c r="AH17" i="37" l="1"/>
  <c r="AI352" i="1"/>
  <c r="AJ352" i="1" s="1"/>
  <c r="AJ18" i="37" s="1"/>
  <c r="X17" i="37"/>
  <c r="U321" i="1"/>
  <c r="AJ321" i="1"/>
  <c r="AJ17" i="37" s="1"/>
  <c r="AI17" i="37"/>
  <c r="G352" i="1"/>
  <c r="K18" i="37"/>
  <c r="J17" i="37"/>
  <c r="K321" i="1"/>
  <c r="X18" i="37"/>
  <c r="U352" i="1"/>
  <c r="B14" i="2"/>
  <c r="B15" i="2" s="1"/>
  <c r="E13" i="21"/>
  <c r="AB12" i="21"/>
  <c r="AN12" i="21" s="1"/>
  <c r="AA12" i="21"/>
  <c r="AM12" i="21" s="1"/>
  <c r="Z12" i="21"/>
  <c r="AL12" i="21" s="1"/>
  <c r="Y12" i="21"/>
  <c r="AK12" i="21" s="1"/>
  <c r="X12" i="21"/>
  <c r="AJ12" i="21" s="1"/>
  <c r="W12" i="21"/>
  <c r="AI12" i="21" s="1"/>
  <c r="V12" i="21"/>
  <c r="AH12" i="21" s="1"/>
  <c r="U12" i="21"/>
  <c r="AG12" i="21" s="1"/>
  <c r="T12" i="21"/>
  <c r="AF12" i="21" s="1"/>
  <c r="S12" i="21"/>
  <c r="AE12" i="21" s="1"/>
  <c r="R12" i="21"/>
  <c r="AD12" i="21" s="1"/>
  <c r="Q12" i="21"/>
  <c r="AC12" i="21" s="1"/>
  <c r="AO17" i="37" l="1"/>
  <c r="AI18" i="37"/>
  <c r="AO18" i="37" s="1"/>
  <c r="V321" i="1"/>
  <c r="T17" i="37"/>
  <c r="I17" i="37"/>
  <c r="J321" i="1"/>
  <c r="H352" i="1"/>
  <c r="E18" i="37"/>
  <c r="V352" i="1"/>
  <c r="T18" i="37"/>
  <c r="AB18" i="21"/>
  <c r="AN18" i="21" s="1"/>
  <c r="AA18" i="21"/>
  <c r="AM18" i="21" s="1"/>
  <c r="Z18" i="21"/>
  <c r="AL18" i="21" s="1"/>
  <c r="Y18" i="21"/>
  <c r="AK18" i="21" s="1"/>
  <c r="X18" i="21"/>
  <c r="AJ18" i="21" s="1"/>
  <c r="W18" i="21"/>
  <c r="AI18" i="21" s="1"/>
  <c r="V18" i="21"/>
  <c r="AH18" i="21" s="1"/>
  <c r="U18" i="21"/>
  <c r="AG18" i="21" s="1"/>
  <c r="T18" i="21"/>
  <c r="AF18" i="21" s="1"/>
  <c r="S18" i="21"/>
  <c r="AE18" i="21" s="1"/>
  <c r="R18" i="21"/>
  <c r="AD18" i="21" s="1"/>
  <c r="Q18" i="21"/>
  <c r="AC18" i="21" s="1"/>
  <c r="E29" i="13"/>
  <c r="E29" i="14" s="1"/>
  <c r="E7" i="21" s="1"/>
  <c r="AN29" i="13"/>
  <c r="AN29" i="14" s="1"/>
  <c r="AN7" i="21" s="1"/>
  <c r="AM29" i="13"/>
  <c r="AM29" i="14" s="1"/>
  <c r="AM7" i="21" s="1"/>
  <c r="AL29" i="13"/>
  <c r="AL29" i="14" s="1"/>
  <c r="AL7" i="21" s="1"/>
  <c r="AK29" i="13"/>
  <c r="AK29" i="14" s="1"/>
  <c r="AK7" i="21" s="1"/>
  <c r="AJ29" i="13"/>
  <c r="AJ29" i="14" s="1"/>
  <c r="AJ7" i="21" s="1"/>
  <c r="AI29" i="13"/>
  <c r="AI29" i="14" s="1"/>
  <c r="AI7" i="21" s="1"/>
  <c r="AH29" i="13"/>
  <c r="AH29" i="14" s="1"/>
  <c r="AH7" i="21" s="1"/>
  <c r="AG29" i="13"/>
  <c r="AG29" i="14" s="1"/>
  <c r="AG7" i="21" s="1"/>
  <c r="AF29" i="13"/>
  <c r="AF29" i="14" s="1"/>
  <c r="AF7" i="21" s="1"/>
  <c r="AE29" i="13"/>
  <c r="AE29" i="14" s="1"/>
  <c r="AE7" i="21" s="1"/>
  <c r="AD29" i="13"/>
  <c r="AD29" i="14" s="1"/>
  <c r="AD7" i="21" s="1"/>
  <c r="AC29" i="13"/>
  <c r="AC29" i="14" s="1"/>
  <c r="AC7" i="21" s="1"/>
  <c r="AB29" i="13"/>
  <c r="AB29" i="14" s="1"/>
  <c r="AB7" i="21" s="1"/>
  <c r="AA29" i="13"/>
  <c r="AA29" i="14" s="1"/>
  <c r="AA7" i="21" s="1"/>
  <c r="Z29" i="13"/>
  <c r="Z29" i="14" s="1"/>
  <c r="Z7" i="21" s="1"/>
  <c r="Y29" i="13"/>
  <c r="Y29" i="14" s="1"/>
  <c r="Y7" i="21" s="1"/>
  <c r="X29" i="13"/>
  <c r="X29" i="14" s="1"/>
  <c r="X7" i="21" s="1"/>
  <c r="W29" i="13"/>
  <c r="W29" i="14" s="1"/>
  <c r="W7" i="21" s="1"/>
  <c r="V29" i="13"/>
  <c r="V29" i="14" s="1"/>
  <c r="V7" i="21" s="1"/>
  <c r="U29" i="13"/>
  <c r="U29" i="14" s="1"/>
  <c r="U7" i="21" s="1"/>
  <c r="T29" i="13"/>
  <c r="T29" i="14" s="1"/>
  <c r="T7" i="21" s="1"/>
  <c r="S29" i="13"/>
  <c r="S29" i="14" s="1"/>
  <c r="S7" i="21" s="1"/>
  <c r="R29" i="13"/>
  <c r="R29" i="14" s="1"/>
  <c r="R7" i="21" s="1"/>
  <c r="Q29" i="13"/>
  <c r="Q29" i="14" s="1"/>
  <c r="Q7" i="21" s="1"/>
  <c r="P29" i="13"/>
  <c r="P29" i="14" s="1"/>
  <c r="P7" i="21" s="1"/>
  <c r="O29" i="13"/>
  <c r="O29" i="14" s="1"/>
  <c r="O7" i="21" s="1"/>
  <c r="N29" i="13"/>
  <c r="N29" i="14" s="1"/>
  <c r="N7" i="21" s="1"/>
  <c r="M29" i="13"/>
  <c r="M29" i="14" s="1"/>
  <c r="M7" i="21" s="1"/>
  <c r="L29" i="13"/>
  <c r="L29" i="14" s="1"/>
  <c r="L7" i="21" s="1"/>
  <c r="K29" i="13"/>
  <c r="K29" i="14" s="1"/>
  <c r="K7" i="21" s="1"/>
  <c r="J29" i="13"/>
  <c r="J29" i="14" s="1"/>
  <c r="J7" i="21" s="1"/>
  <c r="I29" i="13"/>
  <c r="I29" i="14" s="1"/>
  <c r="I7" i="21" s="1"/>
  <c r="H29" i="13"/>
  <c r="H29" i="14" s="1"/>
  <c r="H7" i="21" s="1"/>
  <c r="G29" i="13"/>
  <c r="G29" i="14" s="1"/>
  <c r="G7" i="21" s="1"/>
  <c r="F29" i="13"/>
  <c r="F29" i="14" s="1"/>
  <c r="F7" i="21" s="1"/>
  <c r="AN9" i="21"/>
  <c r="AM9" i="21"/>
  <c r="AL9" i="21"/>
  <c r="AK9" i="21"/>
  <c r="AJ9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E5" i="21"/>
  <c r="AN25" i="14"/>
  <c r="AN24" i="14" s="1"/>
  <c r="AM25" i="14"/>
  <c r="AM24" i="14" s="1"/>
  <c r="AL25" i="14"/>
  <c r="AL24" i="14" s="1"/>
  <c r="AK25" i="14"/>
  <c r="AK24" i="14" s="1"/>
  <c r="AJ25" i="14"/>
  <c r="AJ24" i="14" s="1"/>
  <c r="AI25" i="14"/>
  <c r="AI24" i="14" s="1"/>
  <c r="AH25" i="14"/>
  <c r="AH24" i="14" s="1"/>
  <c r="AG25" i="14"/>
  <c r="AG24" i="14" s="1"/>
  <c r="AF25" i="14"/>
  <c r="AF24" i="14" s="1"/>
  <c r="AE25" i="14"/>
  <c r="AE24" i="14" s="1"/>
  <c r="AD25" i="14"/>
  <c r="AD24" i="14" s="1"/>
  <c r="AC25" i="14"/>
  <c r="AC24" i="14" s="1"/>
  <c r="AB25" i="14"/>
  <c r="AB24" i="14" s="1"/>
  <c r="AA25" i="14"/>
  <c r="AA24" i="14" s="1"/>
  <c r="Z25" i="14"/>
  <c r="Z24" i="14" s="1"/>
  <c r="Y25" i="14"/>
  <c r="Y24" i="14" s="1"/>
  <c r="X25" i="14"/>
  <c r="X24" i="14" s="1"/>
  <c r="W25" i="14"/>
  <c r="W24" i="14" s="1"/>
  <c r="V25" i="14"/>
  <c r="V24" i="14" s="1"/>
  <c r="U25" i="14"/>
  <c r="U24" i="14" s="1"/>
  <c r="T25" i="14"/>
  <c r="T24" i="14" s="1"/>
  <c r="S25" i="14"/>
  <c r="S24" i="14" s="1"/>
  <c r="R25" i="14"/>
  <c r="R24" i="14" s="1"/>
  <c r="Q25" i="14"/>
  <c r="Q24" i="14" s="1"/>
  <c r="P25" i="14"/>
  <c r="P24" i="14" s="1"/>
  <c r="O25" i="14"/>
  <c r="O24" i="14" s="1"/>
  <c r="N25" i="14"/>
  <c r="N24" i="14" s="1"/>
  <c r="M25" i="14"/>
  <c r="M24" i="14" s="1"/>
  <c r="L25" i="14"/>
  <c r="L24" i="14" s="1"/>
  <c r="K25" i="14"/>
  <c r="K24" i="14" s="1"/>
  <c r="J25" i="14"/>
  <c r="J24" i="14" s="1"/>
  <c r="I25" i="14"/>
  <c r="I24" i="14" s="1"/>
  <c r="H25" i="14"/>
  <c r="H24" i="14" s="1"/>
  <c r="G25" i="14"/>
  <c r="G24" i="14" s="1"/>
  <c r="F25" i="14"/>
  <c r="F24" i="14" s="1"/>
  <c r="E25" i="14"/>
  <c r="E24" i="14" s="1"/>
  <c r="E31" i="13"/>
  <c r="AA31" i="13" s="1"/>
  <c r="E46" i="1"/>
  <c r="E30" i="13" s="1"/>
  <c r="F30" i="13" s="1"/>
  <c r="D34" i="10"/>
  <c r="D33" i="10"/>
  <c r="D32" i="10"/>
  <c r="D31" i="10"/>
  <c r="D30" i="10"/>
  <c r="D29" i="10"/>
  <c r="D28" i="10"/>
  <c r="D27" i="10"/>
  <c r="D26" i="10"/>
  <c r="D25" i="10"/>
  <c r="G47" i="10"/>
  <c r="H47" i="10" s="1"/>
  <c r="I47" i="10" s="1"/>
  <c r="J47" i="10" s="1"/>
  <c r="K47" i="10" s="1"/>
  <c r="L47" i="10" s="1"/>
  <c r="M47" i="10" s="1"/>
  <c r="N47" i="10" s="1"/>
  <c r="O47" i="10" s="1"/>
  <c r="P47" i="10" s="1"/>
  <c r="Q47" i="10" s="1"/>
  <c r="F46" i="10"/>
  <c r="P56" i="10"/>
  <c r="O55" i="10"/>
  <c r="P55" i="10" s="1"/>
  <c r="N54" i="10"/>
  <c r="O54" i="10" s="1"/>
  <c r="P54" i="10" s="1"/>
  <c r="M53" i="10"/>
  <c r="N53" i="10" s="1"/>
  <c r="O53" i="10" s="1"/>
  <c r="P53" i="10" s="1"/>
  <c r="P52" i="10" s="1"/>
  <c r="L52" i="10"/>
  <c r="M52" i="10" s="1"/>
  <c r="N52" i="10" s="1"/>
  <c r="O52" i="10" s="1"/>
  <c r="O51" i="10" s="1"/>
  <c r="K51" i="10"/>
  <c r="L51" i="10" s="1"/>
  <c r="M51" i="10" s="1"/>
  <c r="N51" i="10" s="1"/>
  <c r="N50" i="10" s="1"/>
  <c r="J50" i="10"/>
  <c r="K50" i="10" s="1"/>
  <c r="L50" i="10" s="1"/>
  <c r="M50" i="10" s="1"/>
  <c r="M49" i="10" s="1"/>
  <c r="I49" i="10"/>
  <c r="J49" i="10" s="1"/>
  <c r="K49" i="10" s="1"/>
  <c r="L49" i="10" s="1"/>
  <c r="L48" i="10" s="1"/>
  <c r="H48" i="10"/>
  <c r="I48" i="10" s="1"/>
  <c r="J48" i="10" s="1"/>
  <c r="K48" i="10" s="1"/>
  <c r="U17" i="37" l="1"/>
  <c r="W321" i="1"/>
  <c r="I352" i="1"/>
  <c r="F18" i="37"/>
  <c r="H17" i="37"/>
  <c r="I321" i="1"/>
  <c r="G17" i="37" s="1"/>
  <c r="W352" i="1"/>
  <c r="U18" i="37"/>
  <c r="E28" i="14"/>
  <c r="G30" i="13"/>
  <c r="AH31" i="13"/>
  <c r="AC31" i="13"/>
  <c r="AD31" i="13"/>
  <c r="AF31" i="13"/>
  <c r="T31" i="13"/>
  <c r="AB31" i="13"/>
  <c r="F31" i="13"/>
  <c r="F28" i="14" s="1"/>
  <c r="N31" i="13"/>
  <c r="O31" i="13"/>
  <c r="P31" i="13"/>
  <c r="Q31" i="13"/>
  <c r="R31" i="13"/>
  <c r="AE31" i="13"/>
  <c r="S31" i="13"/>
  <c r="AG31" i="13"/>
  <c r="G31" i="13"/>
  <c r="U31" i="13"/>
  <c r="AI31" i="13"/>
  <c r="H31" i="13"/>
  <c r="V31" i="13"/>
  <c r="AJ31" i="13"/>
  <c r="I31" i="13"/>
  <c r="W31" i="13"/>
  <c r="AK31" i="13"/>
  <c r="J31" i="13"/>
  <c r="X31" i="13"/>
  <c r="AL31" i="13"/>
  <c r="K31" i="13"/>
  <c r="Y31" i="13"/>
  <c r="AM31" i="13"/>
  <c r="L31" i="13"/>
  <c r="Z31" i="13"/>
  <c r="AN31" i="13"/>
  <c r="M31" i="13"/>
  <c r="G46" i="10"/>
  <c r="Q48" i="10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R47" i="10"/>
  <c r="O17" i="37" l="1"/>
  <c r="X321" i="1"/>
  <c r="W17" i="37" s="1"/>
  <c r="V17" i="37"/>
  <c r="J352" i="1"/>
  <c r="G18" i="37"/>
  <c r="V18" i="37"/>
  <c r="X352" i="1"/>
  <c r="W18" i="37" s="1"/>
  <c r="H30" i="13"/>
  <c r="G28" i="14"/>
  <c r="H46" i="10"/>
  <c r="S47" i="10"/>
  <c r="R48" i="10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AB18" i="37" l="1"/>
  <c r="AB17" i="37"/>
  <c r="K352" i="1"/>
  <c r="H18" i="37"/>
  <c r="I30" i="13"/>
  <c r="H28" i="14"/>
  <c r="I46" i="10"/>
  <c r="T47" i="10"/>
  <c r="S48" i="10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L352" i="1" l="1"/>
  <c r="J18" i="37" s="1"/>
  <c r="I18" i="37"/>
  <c r="J30" i="13"/>
  <c r="I28" i="14"/>
  <c r="J46" i="10"/>
  <c r="U47" i="10"/>
  <c r="T48" i="10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O18" i="37" l="1"/>
  <c r="K30" i="13"/>
  <c r="J28" i="14"/>
  <c r="K46" i="10"/>
  <c r="V47" i="10"/>
  <c r="U48" i="10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L30" i="13" l="1"/>
  <c r="K28" i="14"/>
  <c r="L46" i="10"/>
  <c r="W47" i="10"/>
  <c r="V48" i="10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M30" i="13" l="1"/>
  <c r="L28" i="14"/>
  <c r="M46" i="10"/>
  <c r="X47" i="10"/>
  <c r="W48" i="10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N30" i="13" l="1"/>
  <c r="M28" i="14"/>
  <c r="N46" i="10"/>
  <c r="Y47" i="10"/>
  <c r="X48" i="10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O30" i="13" l="1"/>
  <c r="N28" i="14"/>
  <c r="O46" i="10"/>
  <c r="Z47" i="10"/>
  <c r="Y48" i="10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P30" i="13" l="1"/>
  <c r="O28" i="14"/>
  <c r="P46" i="10"/>
  <c r="AA47" i="10"/>
  <c r="Z48" i="10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Q30" i="13" l="1"/>
  <c r="P28" i="14"/>
  <c r="Q46" i="10"/>
  <c r="AB47" i="10"/>
  <c r="AA48" i="10"/>
  <c r="AA49" i="10" s="1"/>
  <c r="AA50" i="10" s="1"/>
  <c r="AA51" i="10" s="1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R30" i="13" l="1"/>
  <c r="Q28" i="14"/>
  <c r="R46" i="10"/>
  <c r="AC47" i="10"/>
  <c r="AB48" i="10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S30" i="13" l="1"/>
  <c r="R28" i="14"/>
  <c r="S46" i="10"/>
  <c r="AD47" i="10"/>
  <c r="AC48" i="10"/>
  <c r="AC49" i="10" s="1"/>
  <c r="AC50" i="10" s="1"/>
  <c r="AC51" i="10" s="1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T30" i="13" l="1"/>
  <c r="S28" i="14"/>
  <c r="T46" i="10"/>
  <c r="AE47" i="10"/>
  <c r="AD48" i="10"/>
  <c r="AD49" i="10" s="1"/>
  <c r="AD50" i="10" s="1"/>
  <c r="AD51" i="10" s="1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71" i="10" s="1"/>
  <c r="U30" i="13" l="1"/>
  <c r="T28" i="14"/>
  <c r="U46" i="10"/>
  <c r="AF47" i="10"/>
  <c r="AE48" i="10"/>
  <c r="AE49" i="10" s="1"/>
  <c r="AE50" i="10" s="1"/>
  <c r="AE51" i="10" s="1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71" i="10" s="1"/>
  <c r="AE72" i="10" s="1"/>
  <c r="V30" i="13" l="1"/>
  <c r="U28" i="14"/>
  <c r="V46" i="10"/>
  <c r="AG47" i="10"/>
  <c r="AF48" i="10"/>
  <c r="AF49" i="10" s="1"/>
  <c r="AF50" i="10" s="1"/>
  <c r="AF51" i="10" s="1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71" i="10" s="1"/>
  <c r="AF72" i="10" s="1"/>
  <c r="AF73" i="10" s="1"/>
  <c r="W30" i="13" l="1"/>
  <c r="V28" i="14"/>
  <c r="W46" i="10"/>
  <c r="AH47" i="10"/>
  <c r="AG48" i="10"/>
  <c r="AG49" i="10" s="1"/>
  <c r="AG50" i="10" s="1"/>
  <c r="AG51" i="10" s="1"/>
  <c r="AG52" i="10" s="1"/>
  <c r="AG53" i="10" s="1"/>
  <c r="AG54" i="10" s="1"/>
  <c r="AG55" i="10" s="1"/>
  <c r="AG56" i="10" s="1"/>
  <c r="AG57" i="10" s="1"/>
  <c r="AG58" i="10" s="1"/>
  <c r="AG59" i="10" s="1"/>
  <c r="AG60" i="10" s="1"/>
  <c r="AG61" i="10" s="1"/>
  <c r="AG62" i="10" s="1"/>
  <c r="AG63" i="10" s="1"/>
  <c r="AG64" i="10" s="1"/>
  <c r="AG65" i="10" s="1"/>
  <c r="AG66" i="10" s="1"/>
  <c r="AG67" i="10" s="1"/>
  <c r="AG68" i="10" s="1"/>
  <c r="AG69" i="10" s="1"/>
  <c r="AG70" i="10" s="1"/>
  <c r="AG71" i="10" s="1"/>
  <c r="AG72" i="10" s="1"/>
  <c r="AG73" i="10" s="1"/>
  <c r="AG74" i="10" s="1"/>
  <c r="X30" i="13" l="1"/>
  <c r="W28" i="14"/>
  <c r="X46" i="10"/>
  <c r="AI47" i="10"/>
  <c r="AH48" i="10"/>
  <c r="AH49" i="10" s="1"/>
  <c r="AH50" i="10" s="1"/>
  <c r="AH51" i="10" s="1"/>
  <c r="AH52" i="10" s="1"/>
  <c r="AH53" i="10" s="1"/>
  <c r="AH54" i="10" s="1"/>
  <c r="AH55" i="10" s="1"/>
  <c r="AH56" i="10" s="1"/>
  <c r="AH57" i="10" s="1"/>
  <c r="AH58" i="10" s="1"/>
  <c r="AH59" i="10" s="1"/>
  <c r="AH60" i="10" s="1"/>
  <c r="AH61" i="10" s="1"/>
  <c r="AH62" i="10" s="1"/>
  <c r="AH63" i="10" s="1"/>
  <c r="AH64" i="10" s="1"/>
  <c r="AH65" i="10" s="1"/>
  <c r="AH66" i="10" s="1"/>
  <c r="AH67" i="10" s="1"/>
  <c r="AH68" i="10" s="1"/>
  <c r="AH69" i="10" s="1"/>
  <c r="AH70" i="10" s="1"/>
  <c r="AH71" i="10" s="1"/>
  <c r="AH72" i="10" s="1"/>
  <c r="AH73" i="10" s="1"/>
  <c r="AH74" i="10" s="1"/>
  <c r="AH75" i="10" s="1"/>
  <c r="Y30" i="13" l="1"/>
  <c r="X28" i="14"/>
  <c r="Y46" i="10"/>
  <c r="AJ47" i="10"/>
  <c r="AI48" i="10"/>
  <c r="AI49" i="10" s="1"/>
  <c r="AI50" i="10" s="1"/>
  <c r="AI51" i="10" s="1"/>
  <c r="AI52" i="10" s="1"/>
  <c r="AI53" i="10" s="1"/>
  <c r="AI54" i="10" s="1"/>
  <c r="AI55" i="10" s="1"/>
  <c r="AI56" i="10" s="1"/>
  <c r="AI57" i="10" s="1"/>
  <c r="AI58" i="10" s="1"/>
  <c r="AI59" i="10" s="1"/>
  <c r="AI60" i="10" s="1"/>
  <c r="AI61" i="10" s="1"/>
  <c r="AI62" i="10" s="1"/>
  <c r="AI63" i="10" s="1"/>
  <c r="AI64" i="10" s="1"/>
  <c r="AI65" i="10" s="1"/>
  <c r="AI66" i="10" s="1"/>
  <c r="AI67" i="10" s="1"/>
  <c r="AI68" i="10" s="1"/>
  <c r="AI69" i="10" s="1"/>
  <c r="AI70" i="10" s="1"/>
  <c r="AI71" i="10" s="1"/>
  <c r="AI72" i="10" s="1"/>
  <c r="AI73" i="10" s="1"/>
  <c r="AI74" i="10" s="1"/>
  <c r="AI75" i="10" s="1"/>
  <c r="AI76" i="10" s="1"/>
  <c r="Z30" i="13" l="1"/>
  <c r="Y28" i="14"/>
  <c r="Z46" i="10"/>
  <c r="AK47" i="10"/>
  <c r="AJ48" i="10"/>
  <c r="AJ49" i="10" s="1"/>
  <c r="AJ50" i="10" s="1"/>
  <c r="AJ51" i="10" s="1"/>
  <c r="AJ52" i="10" s="1"/>
  <c r="AJ53" i="10" s="1"/>
  <c r="AJ54" i="10" s="1"/>
  <c r="AJ55" i="10" s="1"/>
  <c r="AJ56" i="10" s="1"/>
  <c r="AJ57" i="10" s="1"/>
  <c r="AJ58" i="10" s="1"/>
  <c r="AJ59" i="10" s="1"/>
  <c r="AJ60" i="10" s="1"/>
  <c r="AJ61" i="10" s="1"/>
  <c r="AJ62" i="10" s="1"/>
  <c r="AJ63" i="10" s="1"/>
  <c r="AJ64" i="10" s="1"/>
  <c r="AJ65" i="10" s="1"/>
  <c r="AJ66" i="10" s="1"/>
  <c r="AJ67" i="10" s="1"/>
  <c r="AJ68" i="10" s="1"/>
  <c r="AJ69" i="10" s="1"/>
  <c r="AJ70" i="10" s="1"/>
  <c r="AJ71" i="10" s="1"/>
  <c r="AJ72" i="10" s="1"/>
  <c r="AJ73" i="10" s="1"/>
  <c r="AJ74" i="10" s="1"/>
  <c r="AJ75" i="10" s="1"/>
  <c r="AJ76" i="10" s="1"/>
  <c r="AJ77" i="10" s="1"/>
  <c r="AA30" i="13" l="1"/>
  <c r="Z28" i="14"/>
  <c r="AA46" i="10"/>
  <c r="AL47" i="10"/>
  <c r="AK48" i="10"/>
  <c r="AK49" i="10" s="1"/>
  <c r="AK50" i="10" s="1"/>
  <c r="AK51" i="10" s="1"/>
  <c r="AK52" i="10" s="1"/>
  <c r="AK53" i="10" s="1"/>
  <c r="AK54" i="10" s="1"/>
  <c r="AK55" i="10" s="1"/>
  <c r="AK56" i="10" s="1"/>
  <c r="AK57" i="10" s="1"/>
  <c r="AK58" i="10" s="1"/>
  <c r="AK59" i="10" s="1"/>
  <c r="AK60" i="10" s="1"/>
  <c r="AK61" i="10" s="1"/>
  <c r="AK62" i="10" s="1"/>
  <c r="AK63" i="10" s="1"/>
  <c r="AK64" i="10" s="1"/>
  <c r="AK65" i="10" s="1"/>
  <c r="AK66" i="10" s="1"/>
  <c r="AK67" i="10" s="1"/>
  <c r="AK68" i="10" s="1"/>
  <c r="AK69" i="10" s="1"/>
  <c r="AK70" i="10" s="1"/>
  <c r="AK71" i="10" s="1"/>
  <c r="AK72" i="10" s="1"/>
  <c r="AK73" i="10" s="1"/>
  <c r="AK74" i="10" s="1"/>
  <c r="AK75" i="10" s="1"/>
  <c r="AK76" i="10" s="1"/>
  <c r="AK77" i="10" s="1"/>
  <c r="AK78" i="10" s="1"/>
  <c r="AB30" i="13" l="1"/>
  <c r="AA28" i="14"/>
  <c r="AB46" i="10"/>
  <c r="AM47" i="10"/>
  <c r="AL48" i="10"/>
  <c r="AL49" i="10" s="1"/>
  <c r="AL50" i="10" s="1"/>
  <c r="AL51" i="10" s="1"/>
  <c r="AL52" i="10" s="1"/>
  <c r="AL53" i="10" s="1"/>
  <c r="AL54" i="10" s="1"/>
  <c r="AL55" i="10" s="1"/>
  <c r="AL56" i="10" s="1"/>
  <c r="AL57" i="10" s="1"/>
  <c r="AL58" i="10" s="1"/>
  <c r="AL59" i="10" s="1"/>
  <c r="AL60" i="10" s="1"/>
  <c r="AL61" i="10" s="1"/>
  <c r="AL62" i="10" s="1"/>
  <c r="AL63" i="10" s="1"/>
  <c r="AL64" i="10" s="1"/>
  <c r="AL65" i="10" s="1"/>
  <c r="AL66" i="10" s="1"/>
  <c r="AL67" i="10" s="1"/>
  <c r="AL68" i="10" s="1"/>
  <c r="AL69" i="10" s="1"/>
  <c r="AL70" i="10" s="1"/>
  <c r="AL71" i="10" s="1"/>
  <c r="AL72" i="10" s="1"/>
  <c r="AL73" i="10" s="1"/>
  <c r="AL74" i="10" s="1"/>
  <c r="AL75" i="10" s="1"/>
  <c r="AL76" i="10" s="1"/>
  <c r="AL77" i="10" s="1"/>
  <c r="AL78" i="10" s="1"/>
  <c r="AL79" i="10" s="1"/>
  <c r="AC30" i="13" l="1"/>
  <c r="AB28" i="14"/>
  <c r="AC46" i="10"/>
  <c r="AN47" i="10"/>
  <c r="AN48" i="10" s="1"/>
  <c r="AN49" i="10" s="1"/>
  <c r="AN50" i="10" s="1"/>
  <c r="AN51" i="10" s="1"/>
  <c r="AN52" i="10" s="1"/>
  <c r="AN53" i="10" s="1"/>
  <c r="AN54" i="10" s="1"/>
  <c r="AN55" i="10" s="1"/>
  <c r="AN56" i="10" s="1"/>
  <c r="AN57" i="10" s="1"/>
  <c r="AN58" i="10" s="1"/>
  <c r="AN59" i="10" s="1"/>
  <c r="AN60" i="10" s="1"/>
  <c r="AN61" i="10" s="1"/>
  <c r="AN62" i="10" s="1"/>
  <c r="AN63" i="10" s="1"/>
  <c r="AN64" i="10" s="1"/>
  <c r="AN65" i="10" s="1"/>
  <c r="AN66" i="10" s="1"/>
  <c r="AN67" i="10" s="1"/>
  <c r="AN68" i="10" s="1"/>
  <c r="AN69" i="10" s="1"/>
  <c r="AN70" i="10" s="1"/>
  <c r="AN71" i="10" s="1"/>
  <c r="AN72" i="10" s="1"/>
  <c r="AN73" i="10" s="1"/>
  <c r="AN74" i="10" s="1"/>
  <c r="AN75" i="10" s="1"/>
  <c r="AN76" i="10" s="1"/>
  <c r="AN77" i="10" s="1"/>
  <c r="AN78" i="10" s="1"/>
  <c r="AN79" i="10" s="1"/>
  <c r="AN80" i="10" s="1"/>
  <c r="AN81" i="10" s="1"/>
  <c r="AM48" i="10"/>
  <c r="AM49" i="10" s="1"/>
  <c r="AM50" i="10" s="1"/>
  <c r="AM51" i="10" s="1"/>
  <c r="AM52" i="10" s="1"/>
  <c r="AM53" i="10" s="1"/>
  <c r="AM54" i="10" s="1"/>
  <c r="AM55" i="10" s="1"/>
  <c r="AM56" i="10" s="1"/>
  <c r="AM57" i="10" s="1"/>
  <c r="AM58" i="10" s="1"/>
  <c r="AM59" i="10" s="1"/>
  <c r="AM60" i="10" s="1"/>
  <c r="AM61" i="10" s="1"/>
  <c r="AM62" i="10" s="1"/>
  <c r="AM63" i="10" s="1"/>
  <c r="AM64" i="10" s="1"/>
  <c r="AM65" i="10" s="1"/>
  <c r="AM66" i="10" s="1"/>
  <c r="AM67" i="10" s="1"/>
  <c r="AM68" i="10" s="1"/>
  <c r="AM69" i="10" s="1"/>
  <c r="AM70" i="10" s="1"/>
  <c r="AM71" i="10" s="1"/>
  <c r="AM72" i="10" s="1"/>
  <c r="AM73" i="10" s="1"/>
  <c r="AM74" i="10" s="1"/>
  <c r="AM75" i="10" s="1"/>
  <c r="AM76" i="10" s="1"/>
  <c r="AM77" i="10" s="1"/>
  <c r="AM78" i="10" s="1"/>
  <c r="AM79" i="10" s="1"/>
  <c r="AM80" i="10" s="1"/>
  <c r="AD30" i="13" l="1"/>
  <c r="AC28" i="14"/>
  <c r="AD46" i="10"/>
  <c r="AE30" i="13" l="1"/>
  <c r="AD28" i="14"/>
  <c r="AE46" i="10"/>
  <c r="AF30" i="13" l="1"/>
  <c r="AE28" i="14"/>
  <c r="AF46" i="10"/>
  <c r="AG30" i="13" l="1"/>
  <c r="AF28" i="14"/>
  <c r="AG46" i="10"/>
  <c r="AH30" i="13" l="1"/>
  <c r="AG28" i="14"/>
  <c r="AH46" i="10"/>
  <c r="AI30" i="13" l="1"/>
  <c r="AH28" i="14"/>
  <c r="AI46" i="10"/>
  <c r="AJ30" i="13" l="1"/>
  <c r="AI28" i="14"/>
  <c r="AJ46" i="10"/>
  <c r="AK30" i="13" l="1"/>
  <c r="AJ28" i="14"/>
  <c r="AK46" i="10"/>
  <c r="AL30" i="13" l="1"/>
  <c r="AK28" i="14"/>
  <c r="AL46" i="10"/>
  <c r="AM30" i="13" l="1"/>
  <c r="AL28" i="14"/>
  <c r="AM46" i="10"/>
  <c r="AN30" i="13" l="1"/>
  <c r="AN28" i="14" s="1"/>
  <c r="AM28" i="14"/>
  <c r="AN46" i="10"/>
  <c r="F36" i="9" l="1"/>
  <c r="G36" i="9" s="1"/>
  <c r="H36" i="9" s="1"/>
  <c r="I36" i="9" s="1"/>
  <c r="J36" i="9" s="1"/>
  <c r="K36" i="9" s="1"/>
  <c r="L36" i="9" s="1"/>
  <c r="M36" i="9" s="1"/>
  <c r="N36" i="9" s="1"/>
  <c r="O36" i="9" s="1"/>
  <c r="P36" i="9" s="1"/>
  <c r="R36" i="9"/>
  <c r="S36" i="9" s="1"/>
  <c r="T36" i="9" s="1"/>
  <c r="U36" i="9" s="1"/>
  <c r="V36" i="9" s="1"/>
  <c r="W36" i="9" s="1"/>
  <c r="X36" i="9" s="1"/>
  <c r="Y36" i="9" s="1"/>
  <c r="Z36" i="9" s="1"/>
  <c r="AA36" i="9" s="1"/>
  <c r="AB36" i="9" s="1"/>
  <c r="AD36" i="9"/>
  <c r="AE36" i="9" s="1"/>
  <c r="AF36" i="9" s="1"/>
  <c r="AG36" i="9" s="1"/>
  <c r="AH36" i="9" s="1"/>
  <c r="AI36" i="9" s="1"/>
  <c r="AJ36" i="9" s="1"/>
  <c r="AK36" i="9" s="1"/>
  <c r="AL36" i="9" s="1"/>
  <c r="AM36" i="9" s="1"/>
  <c r="AN36" i="9" s="1"/>
  <c r="E35" i="9"/>
  <c r="P19" i="9"/>
  <c r="P18" i="10" s="1"/>
  <c r="P29" i="10" s="1"/>
  <c r="O19" i="9"/>
  <c r="O18" i="10" s="1"/>
  <c r="O29" i="10" s="1"/>
  <c r="N19" i="9"/>
  <c r="N18" i="10" s="1"/>
  <c r="N29" i="10" s="1"/>
  <c r="M19" i="9"/>
  <c r="M18" i="10" s="1"/>
  <c r="M29" i="10" s="1"/>
  <c r="L19" i="9"/>
  <c r="L18" i="10" s="1"/>
  <c r="L29" i="10" s="1"/>
  <c r="K19" i="9"/>
  <c r="K18" i="10" s="1"/>
  <c r="K29" i="10" s="1"/>
  <c r="J19" i="9"/>
  <c r="J18" i="10" s="1"/>
  <c r="J29" i="10" s="1"/>
  <c r="I19" i="9"/>
  <c r="I18" i="10" s="1"/>
  <c r="I29" i="10" s="1"/>
  <c r="H19" i="9"/>
  <c r="H18" i="10" s="1"/>
  <c r="H29" i="10" s="1"/>
  <c r="G19" i="9"/>
  <c r="G18" i="10" s="1"/>
  <c r="G29" i="10" s="1"/>
  <c r="F19" i="9"/>
  <c r="F18" i="10" s="1"/>
  <c r="F29" i="10" s="1"/>
  <c r="P18" i="9"/>
  <c r="P17" i="10" s="1"/>
  <c r="P28" i="10" s="1"/>
  <c r="O18" i="9"/>
  <c r="O17" i="10" s="1"/>
  <c r="O28" i="10" s="1"/>
  <c r="N18" i="9"/>
  <c r="N17" i="10" s="1"/>
  <c r="N28" i="10" s="1"/>
  <c r="M18" i="9"/>
  <c r="M17" i="10" s="1"/>
  <c r="M28" i="10" s="1"/>
  <c r="L18" i="9"/>
  <c r="L17" i="10" s="1"/>
  <c r="L28" i="10" s="1"/>
  <c r="K18" i="9"/>
  <c r="K17" i="10" s="1"/>
  <c r="K28" i="10" s="1"/>
  <c r="J18" i="9"/>
  <c r="J17" i="10" s="1"/>
  <c r="J28" i="10" s="1"/>
  <c r="I18" i="9"/>
  <c r="I17" i="10" s="1"/>
  <c r="I28" i="10" s="1"/>
  <c r="H18" i="9"/>
  <c r="H17" i="10" s="1"/>
  <c r="H28" i="10" s="1"/>
  <c r="G18" i="9"/>
  <c r="G17" i="10" s="1"/>
  <c r="G28" i="10" s="1"/>
  <c r="F18" i="9"/>
  <c r="F17" i="10" s="1"/>
  <c r="F28" i="10" s="1"/>
  <c r="E19" i="9"/>
  <c r="E18" i="10" s="1"/>
  <c r="E29" i="10" s="1"/>
  <c r="E18" i="9"/>
  <c r="E17" i="10" s="1"/>
  <c r="E28" i="10" s="1"/>
  <c r="AN22" i="9"/>
  <c r="AN20" i="10" s="1"/>
  <c r="AN31" i="10" s="1"/>
  <c r="AM22" i="9"/>
  <c r="AM20" i="10" s="1"/>
  <c r="AM31" i="10" s="1"/>
  <c r="AL22" i="9"/>
  <c r="AL20" i="10" s="1"/>
  <c r="AL31" i="10" s="1"/>
  <c r="AK22" i="9"/>
  <c r="AK20" i="10" s="1"/>
  <c r="AK31" i="10" s="1"/>
  <c r="AJ22" i="9"/>
  <c r="AJ20" i="10" s="1"/>
  <c r="AJ31" i="10" s="1"/>
  <c r="AI22" i="9"/>
  <c r="AI20" i="10" s="1"/>
  <c r="AI31" i="10" s="1"/>
  <c r="AH22" i="9"/>
  <c r="AH20" i="10" s="1"/>
  <c r="AH31" i="10" s="1"/>
  <c r="AG22" i="9"/>
  <c r="AG20" i="10" s="1"/>
  <c r="AG31" i="10" s="1"/>
  <c r="AF22" i="9"/>
  <c r="AF20" i="10" s="1"/>
  <c r="AF31" i="10" s="1"/>
  <c r="AE22" i="9"/>
  <c r="AE20" i="10" s="1"/>
  <c r="AE31" i="10" s="1"/>
  <c r="AD22" i="9"/>
  <c r="AD20" i="10" s="1"/>
  <c r="AD31" i="10" s="1"/>
  <c r="AC22" i="9"/>
  <c r="AC20" i="10" s="1"/>
  <c r="AC31" i="10" s="1"/>
  <c r="AB22" i="9"/>
  <c r="AB20" i="10" s="1"/>
  <c r="AB31" i="10" s="1"/>
  <c r="AA22" i="9"/>
  <c r="AA20" i="10" s="1"/>
  <c r="AA31" i="10" s="1"/>
  <c r="Z22" i="9"/>
  <c r="Z20" i="10" s="1"/>
  <c r="Z31" i="10" s="1"/>
  <c r="Y22" i="9"/>
  <c r="Y20" i="10" s="1"/>
  <c r="Y31" i="10" s="1"/>
  <c r="X22" i="9"/>
  <c r="X20" i="10" s="1"/>
  <c r="X31" i="10" s="1"/>
  <c r="W22" i="9"/>
  <c r="W20" i="10" s="1"/>
  <c r="W31" i="10" s="1"/>
  <c r="V22" i="9"/>
  <c r="V20" i="10" s="1"/>
  <c r="V31" i="10" s="1"/>
  <c r="U22" i="9"/>
  <c r="U20" i="10" s="1"/>
  <c r="U31" i="10" s="1"/>
  <c r="T22" i="9"/>
  <c r="T20" i="10" s="1"/>
  <c r="T31" i="10" s="1"/>
  <c r="S22" i="9"/>
  <c r="S20" i="10" s="1"/>
  <c r="S31" i="10" s="1"/>
  <c r="R22" i="9"/>
  <c r="R20" i="10" s="1"/>
  <c r="R31" i="10" s="1"/>
  <c r="Q22" i="9"/>
  <c r="Q20" i="10" s="1"/>
  <c r="Q31" i="10" s="1"/>
  <c r="P22" i="9"/>
  <c r="P20" i="10" s="1"/>
  <c r="P31" i="10" s="1"/>
  <c r="O22" i="9"/>
  <c r="O20" i="10" s="1"/>
  <c r="O31" i="10" s="1"/>
  <c r="N22" i="9"/>
  <c r="N20" i="10" s="1"/>
  <c r="N31" i="10" s="1"/>
  <c r="M22" i="9"/>
  <c r="M20" i="10" s="1"/>
  <c r="M31" i="10" s="1"/>
  <c r="L22" i="9"/>
  <c r="L20" i="10" s="1"/>
  <c r="L31" i="10" s="1"/>
  <c r="K22" i="9"/>
  <c r="K20" i="10" s="1"/>
  <c r="K31" i="10" s="1"/>
  <c r="J22" i="9"/>
  <c r="J20" i="10" s="1"/>
  <c r="J31" i="10" s="1"/>
  <c r="I22" i="9"/>
  <c r="I20" i="10" s="1"/>
  <c r="I31" i="10" s="1"/>
  <c r="H22" i="9"/>
  <c r="H20" i="10" s="1"/>
  <c r="H31" i="10" s="1"/>
  <c r="G22" i="9"/>
  <c r="G20" i="10" s="1"/>
  <c r="G31" i="10" s="1"/>
  <c r="F22" i="9"/>
  <c r="F20" i="10" s="1"/>
  <c r="F31" i="10" s="1"/>
  <c r="E22" i="9"/>
  <c r="E20" i="10" s="1"/>
  <c r="E31" i="10" s="1"/>
  <c r="AN21" i="9"/>
  <c r="AN19" i="10" s="1"/>
  <c r="AN30" i="10" s="1"/>
  <c r="AM21" i="9"/>
  <c r="AM19" i="10" s="1"/>
  <c r="AM30" i="10" s="1"/>
  <c r="AL21" i="9"/>
  <c r="AL19" i="10" s="1"/>
  <c r="AL30" i="10" s="1"/>
  <c r="AK21" i="9"/>
  <c r="AK19" i="10" s="1"/>
  <c r="AK30" i="10" s="1"/>
  <c r="AJ21" i="9"/>
  <c r="AJ19" i="10" s="1"/>
  <c r="AJ30" i="10" s="1"/>
  <c r="AI21" i="9"/>
  <c r="AI19" i="10" s="1"/>
  <c r="AI30" i="10" s="1"/>
  <c r="AH21" i="9"/>
  <c r="AH19" i="10" s="1"/>
  <c r="AH30" i="10" s="1"/>
  <c r="AG21" i="9"/>
  <c r="AG19" i="10" s="1"/>
  <c r="AG30" i="10" s="1"/>
  <c r="AF21" i="9"/>
  <c r="AF19" i="10" s="1"/>
  <c r="AF30" i="10" s="1"/>
  <c r="AE21" i="9"/>
  <c r="AE19" i="10" s="1"/>
  <c r="AE30" i="10" s="1"/>
  <c r="AD21" i="9"/>
  <c r="AD19" i="10" s="1"/>
  <c r="AD30" i="10" s="1"/>
  <c r="AC21" i="9"/>
  <c r="AC19" i="10" s="1"/>
  <c r="AC30" i="10" s="1"/>
  <c r="AB21" i="9"/>
  <c r="AB19" i="10" s="1"/>
  <c r="AB30" i="10" s="1"/>
  <c r="AA21" i="9"/>
  <c r="AA19" i="10" s="1"/>
  <c r="AA30" i="10" s="1"/>
  <c r="Z21" i="9"/>
  <c r="Z19" i="10" s="1"/>
  <c r="Z30" i="10" s="1"/>
  <c r="Y21" i="9"/>
  <c r="Y19" i="10" s="1"/>
  <c r="Y30" i="10" s="1"/>
  <c r="X21" i="9"/>
  <c r="X19" i="10" s="1"/>
  <c r="X30" i="10" s="1"/>
  <c r="W21" i="9"/>
  <c r="W19" i="10" s="1"/>
  <c r="W30" i="10" s="1"/>
  <c r="V21" i="9"/>
  <c r="V19" i="10" s="1"/>
  <c r="V30" i="10" s="1"/>
  <c r="U21" i="9"/>
  <c r="U19" i="10" s="1"/>
  <c r="U30" i="10" s="1"/>
  <c r="T21" i="9"/>
  <c r="T19" i="10" s="1"/>
  <c r="T30" i="10" s="1"/>
  <c r="S21" i="9"/>
  <c r="S19" i="10" s="1"/>
  <c r="S30" i="10" s="1"/>
  <c r="R21" i="9"/>
  <c r="R19" i="10" s="1"/>
  <c r="R30" i="10" s="1"/>
  <c r="Q21" i="9"/>
  <c r="Q19" i="10" s="1"/>
  <c r="Q30" i="10" s="1"/>
  <c r="P21" i="9"/>
  <c r="P19" i="10" s="1"/>
  <c r="P30" i="10" s="1"/>
  <c r="O21" i="9"/>
  <c r="O19" i="10" s="1"/>
  <c r="O30" i="10" s="1"/>
  <c r="N21" i="9"/>
  <c r="N19" i="10" s="1"/>
  <c r="N30" i="10" s="1"/>
  <c r="M21" i="9"/>
  <c r="M19" i="10" s="1"/>
  <c r="M30" i="10" s="1"/>
  <c r="L21" i="9"/>
  <c r="L19" i="10" s="1"/>
  <c r="L30" i="10" s="1"/>
  <c r="K21" i="9"/>
  <c r="K19" i="10" s="1"/>
  <c r="K30" i="10" s="1"/>
  <c r="J21" i="9"/>
  <c r="J19" i="10" s="1"/>
  <c r="J30" i="10" s="1"/>
  <c r="I21" i="9"/>
  <c r="I19" i="10" s="1"/>
  <c r="I30" i="10" s="1"/>
  <c r="H21" i="9"/>
  <c r="H19" i="10" s="1"/>
  <c r="H30" i="10" s="1"/>
  <c r="G21" i="9"/>
  <c r="G19" i="10" s="1"/>
  <c r="G30" i="10" s="1"/>
  <c r="F21" i="9"/>
  <c r="F19" i="10" s="1"/>
  <c r="F30" i="10" s="1"/>
  <c r="E21" i="9"/>
  <c r="E19" i="10" s="1"/>
  <c r="E30" i="10" s="1"/>
  <c r="AN16" i="9"/>
  <c r="AN16" i="10" s="1"/>
  <c r="AN27" i="10" s="1"/>
  <c r="AM16" i="9"/>
  <c r="AM16" i="10" s="1"/>
  <c r="AM27" i="10" s="1"/>
  <c r="AL16" i="9"/>
  <c r="AL16" i="10" s="1"/>
  <c r="AL27" i="10" s="1"/>
  <c r="AK16" i="9"/>
  <c r="AK16" i="10" s="1"/>
  <c r="AK27" i="10" s="1"/>
  <c r="AJ16" i="9"/>
  <c r="AJ16" i="10" s="1"/>
  <c r="AJ27" i="10" s="1"/>
  <c r="AI16" i="9"/>
  <c r="AI16" i="10" s="1"/>
  <c r="AI27" i="10" s="1"/>
  <c r="AH16" i="9"/>
  <c r="AH16" i="10" s="1"/>
  <c r="AH27" i="10" s="1"/>
  <c r="AG16" i="9"/>
  <c r="AG16" i="10" s="1"/>
  <c r="AG27" i="10" s="1"/>
  <c r="AF16" i="9"/>
  <c r="AF16" i="10" s="1"/>
  <c r="AF27" i="10" s="1"/>
  <c r="AE16" i="9"/>
  <c r="AE16" i="10" s="1"/>
  <c r="AE27" i="10" s="1"/>
  <c r="AD16" i="9"/>
  <c r="AD16" i="10" s="1"/>
  <c r="AD27" i="10" s="1"/>
  <c r="AC16" i="9"/>
  <c r="AC16" i="10" s="1"/>
  <c r="AC27" i="10" s="1"/>
  <c r="AB16" i="9"/>
  <c r="AB16" i="10" s="1"/>
  <c r="AB27" i="10" s="1"/>
  <c r="AA16" i="9"/>
  <c r="AA16" i="10" s="1"/>
  <c r="AA27" i="10" s="1"/>
  <c r="Z16" i="9"/>
  <c r="Z16" i="10" s="1"/>
  <c r="Z27" i="10" s="1"/>
  <c r="Y16" i="9"/>
  <c r="Y16" i="10" s="1"/>
  <c r="Y27" i="10" s="1"/>
  <c r="X16" i="9"/>
  <c r="X16" i="10" s="1"/>
  <c r="X27" i="10" s="1"/>
  <c r="W16" i="9"/>
  <c r="W16" i="10" s="1"/>
  <c r="W27" i="10" s="1"/>
  <c r="V16" i="9"/>
  <c r="V16" i="10" s="1"/>
  <c r="V27" i="10" s="1"/>
  <c r="U16" i="9"/>
  <c r="U16" i="10" s="1"/>
  <c r="U27" i="10" s="1"/>
  <c r="T16" i="9"/>
  <c r="T16" i="10" s="1"/>
  <c r="T27" i="10" s="1"/>
  <c r="S16" i="9"/>
  <c r="S16" i="10" s="1"/>
  <c r="S27" i="10" s="1"/>
  <c r="R16" i="9"/>
  <c r="R16" i="10" s="1"/>
  <c r="R27" i="10" s="1"/>
  <c r="Q16" i="9"/>
  <c r="Q16" i="10" s="1"/>
  <c r="Q27" i="10" s="1"/>
  <c r="P16" i="9"/>
  <c r="P16" i="10" s="1"/>
  <c r="P27" i="10" s="1"/>
  <c r="O16" i="9"/>
  <c r="O16" i="10" s="1"/>
  <c r="O27" i="10" s="1"/>
  <c r="N16" i="9"/>
  <c r="N16" i="10" s="1"/>
  <c r="N27" i="10" s="1"/>
  <c r="M16" i="9"/>
  <c r="M16" i="10" s="1"/>
  <c r="M27" i="10" s="1"/>
  <c r="L16" i="9"/>
  <c r="L16" i="10" s="1"/>
  <c r="L27" i="10" s="1"/>
  <c r="K16" i="9"/>
  <c r="K16" i="10" s="1"/>
  <c r="K27" i="10" s="1"/>
  <c r="J16" i="9"/>
  <c r="J16" i="10" s="1"/>
  <c r="J27" i="10" s="1"/>
  <c r="I16" i="9"/>
  <c r="I16" i="10" s="1"/>
  <c r="I27" i="10" s="1"/>
  <c r="H16" i="9"/>
  <c r="H16" i="10" s="1"/>
  <c r="H27" i="10" s="1"/>
  <c r="G16" i="9"/>
  <c r="G16" i="10" s="1"/>
  <c r="G27" i="10" s="1"/>
  <c r="F16" i="9"/>
  <c r="F16" i="10" s="1"/>
  <c r="F27" i="10" s="1"/>
  <c r="E16" i="9"/>
  <c r="E16" i="10" s="1"/>
  <c r="E27" i="10" s="1"/>
  <c r="E15" i="9"/>
  <c r="E15" i="10" s="1"/>
  <c r="E26" i="10" s="1"/>
  <c r="AN14" i="9"/>
  <c r="AN14" i="10" s="1"/>
  <c r="AN25" i="10" s="1"/>
  <c r="AM14" i="9"/>
  <c r="AM14" i="10" s="1"/>
  <c r="AM25" i="10" s="1"/>
  <c r="AL14" i="9"/>
  <c r="AL14" i="10" s="1"/>
  <c r="AL25" i="10" s="1"/>
  <c r="AK14" i="9"/>
  <c r="AK14" i="10" s="1"/>
  <c r="AK25" i="10" s="1"/>
  <c r="AJ14" i="9"/>
  <c r="AJ14" i="10" s="1"/>
  <c r="AJ25" i="10" s="1"/>
  <c r="AI14" i="9"/>
  <c r="AI14" i="10" s="1"/>
  <c r="AI25" i="10" s="1"/>
  <c r="AH14" i="9"/>
  <c r="AH14" i="10" s="1"/>
  <c r="AH25" i="10" s="1"/>
  <c r="AG14" i="9"/>
  <c r="AG14" i="10" s="1"/>
  <c r="AG25" i="10" s="1"/>
  <c r="AF14" i="9"/>
  <c r="AF14" i="10" s="1"/>
  <c r="AF25" i="10" s="1"/>
  <c r="AE14" i="9"/>
  <c r="AE14" i="10" s="1"/>
  <c r="AE25" i="10" s="1"/>
  <c r="AD14" i="9"/>
  <c r="AD14" i="10" s="1"/>
  <c r="AD25" i="10" s="1"/>
  <c r="AC14" i="9"/>
  <c r="AC14" i="10" s="1"/>
  <c r="AC25" i="10" s="1"/>
  <c r="AB14" i="9"/>
  <c r="AB14" i="10" s="1"/>
  <c r="AB25" i="10" s="1"/>
  <c r="AA14" i="9"/>
  <c r="AA14" i="10" s="1"/>
  <c r="AA25" i="10" s="1"/>
  <c r="Z14" i="9"/>
  <c r="Z14" i="10" s="1"/>
  <c r="Z25" i="10" s="1"/>
  <c r="Y14" i="9"/>
  <c r="Y14" i="10" s="1"/>
  <c r="Y25" i="10" s="1"/>
  <c r="X14" i="9"/>
  <c r="X14" i="10" s="1"/>
  <c r="X25" i="10" s="1"/>
  <c r="W14" i="9"/>
  <c r="W14" i="10" s="1"/>
  <c r="W25" i="10" s="1"/>
  <c r="V14" i="9"/>
  <c r="V14" i="10" s="1"/>
  <c r="V25" i="10" s="1"/>
  <c r="U14" i="9"/>
  <c r="U14" i="10" s="1"/>
  <c r="U25" i="10" s="1"/>
  <c r="T14" i="9"/>
  <c r="T14" i="10" s="1"/>
  <c r="T25" i="10" s="1"/>
  <c r="S14" i="9"/>
  <c r="S14" i="10" s="1"/>
  <c r="S25" i="10" s="1"/>
  <c r="R14" i="9"/>
  <c r="R14" i="10" s="1"/>
  <c r="R25" i="10" s="1"/>
  <c r="Q14" i="9"/>
  <c r="Q14" i="10" s="1"/>
  <c r="Q25" i="10" s="1"/>
  <c r="P14" i="9"/>
  <c r="P14" i="10" s="1"/>
  <c r="P25" i="10" s="1"/>
  <c r="O14" i="9"/>
  <c r="O14" i="10" s="1"/>
  <c r="O25" i="10" s="1"/>
  <c r="N14" i="9"/>
  <c r="N14" i="10" s="1"/>
  <c r="N25" i="10" s="1"/>
  <c r="M14" i="9"/>
  <c r="M14" i="10" s="1"/>
  <c r="M25" i="10" s="1"/>
  <c r="L14" i="9"/>
  <c r="L14" i="10" s="1"/>
  <c r="L25" i="10" s="1"/>
  <c r="K14" i="9"/>
  <c r="K14" i="10" s="1"/>
  <c r="K25" i="10" s="1"/>
  <c r="J14" i="9"/>
  <c r="J14" i="10" s="1"/>
  <c r="J25" i="10" s="1"/>
  <c r="I14" i="9"/>
  <c r="I14" i="10" s="1"/>
  <c r="I25" i="10" s="1"/>
  <c r="H14" i="9"/>
  <c r="H14" i="10" s="1"/>
  <c r="H25" i="10" s="1"/>
  <c r="G14" i="9"/>
  <c r="G14" i="10" s="1"/>
  <c r="G25" i="10" s="1"/>
  <c r="F14" i="9"/>
  <c r="F14" i="10" s="1"/>
  <c r="F25" i="10" s="1"/>
  <c r="E14" i="9"/>
  <c r="E14" i="10" s="1"/>
  <c r="E25" i="10" s="1"/>
  <c r="F937" i="1"/>
  <c r="F15" i="9" s="1"/>
  <c r="F15" i="10" s="1"/>
  <c r="F26" i="10" s="1"/>
  <c r="E37" i="9"/>
  <c r="F37" i="9" s="1"/>
  <c r="G37" i="9" s="1"/>
  <c r="H37" i="9" s="1"/>
  <c r="I37" i="9" s="1"/>
  <c r="J37" i="9" s="1"/>
  <c r="K37" i="9" s="1"/>
  <c r="L37" i="9" s="1"/>
  <c r="M37" i="9" s="1"/>
  <c r="N37" i="9" s="1"/>
  <c r="O37" i="9" s="1"/>
  <c r="P37" i="9" s="1"/>
  <c r="Q37" i="9" s="1"/>
  <c r="R37" i="9" s="1"/>
  <c r="S37" i="9" s="1"/>
  <c r="T37" i="9" s="1"/>
  <c r="U37" i="9" s="1"/>
  <c r="V37" i="9" s="1"/>
  <c r="W37" i="9" s="1"/>
  <c r="X37" i="9" s="1"/>
  <c r="Y37" i="9" s="1"/>
  <c r="Z37" i="9" s="1"/>
  <c r="AA37" i="9" s="1"/>
  <c r="AB37" i="9" s="1"/>
  <c r="AC37" i="9" s="1"/>
  <c r="AD37" i="9" s="1"/>
  <c r="AE37" i="9" s="1"/>
  <c r="AF37" i="9" s="1"/>
  <c r="AG37" i="9" s="1"/>
  <c r="AH37" i="9" s="1"/>
  <c r="AI37" i="9" s="1"/>
  <c r="AJ37" i="9" s="1"/>
  <c r="AK37" i="9" s="1"/>
  <c r="AL37" i="9" s="1"/>
  <c r="AM37" i="9" s="1"/>
  <c r="AN37" i="9" s="1"/>
  <c r="AN961" i="1"/>
  <c r="AM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Z961" i="1"/>
  <c r="Y961" i="1"/>
  <c r="X961" i="1"/>
  <c r="W961" i="1"/>
  <c r="V961" i="1"/>
  <c r="U961" i="1"/>
  <c r="T961" i="1"/>
  <c r="S961" i="1"/>
  <c r="R961" i="1"/>
  <c r="Q961" i="1"/>
  <c r="P961" i="1"/>
  <c r="O961" i="1"/>
  <c r="N961" i="1"/>
  <c r="M961" i="1"/>
  <c r="L961" i="1"/>
  <c r="K961" i="1"/>
  <c r="J961" i="1"/>
  <c r="I961" i="1"/>
  <c r="H961" i="1"/>
  <c r="G961" i="1"/>
  <c r="F961" i="1"/>
  <c r="E961" i="1"/>
  <c r="E40" i="10" l="1"/>
  <c r="F40" i="10"/>
  <c r="G40" i="10"/>
  <c r="H40" i="10"/>
  <c r="I40" i="10"/>
  <c r="J40" i="10"/>
  <c r="K40" i="10"/>
  <c r="L40" i="10"/>
  <c r="M40" i="10"/>
  <c r="N40" i="10"/>
  <c r="O40" i="10"/>
  <c r="P40" i="10"/>
  <c r="F37" i="10"/>
  <c r="E37" i="10"/>
  <c r="E39" i="10"/>
  <c r="E6" i="10" s="1"/>
  <c r="F39" i="10"/>
  <c r="G39" i="10"/>
  <c r="G6" i="10" s="1"/>
  <c r="H39" i="10"/>
  <c r="I39" i="10"/>
  <c r="J39" i="10"/>
  <c r="K39" i="10"/>
  <c r="L39" i="10"/>
  <c r="M39" i="10"/>
  <c r="N39" i="10"/>
  <c r="O39" i="10"/>
  <c r="P39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F36" i="10"/>
  <c r="E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F17" i="9"/>
  <c r="F6" i="9" s="1"/>
  <c r="G17" i="9"/>
  <c r="G6" i="9" s="1"/>
  <c r="M17" i="9"/>
  <c r="M6" i="9" s="1"/>
  <c r="L17" i="9"/>
  <c r="L6" i="9" s="1"/>
  <c r="H17" i="9"/>
  <c r="H6" i="9" s="1"/>
  <c r="O17" i="9"/>
  <c r="O6" i="9" s="1"/>
  <c r="AE65" i="9"/>
  <c r="AF65" i="9" s="1"/>
  <c r="AG65" i="9" s="1"/>
  <c r="Z60" i="9"/>
  <c r="AA60" i="9" s="1"/>
  <c r="Y59" i="9"/>
  <c r="R52" i="9"/>
  <c r="S52" i="9" s="1"/>
  <c r="M47" i="9"/>
  <c r="N47" i="9" s="1"/>
  <c r="S53" i="9"/>
  <c r="T53" i="9" s="1"/>
  <c r="L46" i="9"/>
  <c r="M46" i="9" s="1"/>
  <c r="AK71" i="9"/>
  <c r="AL71" i="9" s="1"/>
  <c r="P17" i="9"/>
  <c r="P6" i="9" s="1"/>
  <c r="AJ70" i="9"/>
  <c r="AK70" i="9" s="1"/>
  <c r="AI69" i="9"/>
  <c r="AJ69" i="9" s="1"/>
  <c r="E17" i="9"/>
  <c r="E6" i="9" s="1"/>
  <c r="AD64" i="9"/>
  <c r="AE64" i="9" s="1"/>
  <c r="X58" i="9"/>
  <c r="Y58" i="9" s="1"/>
  <c r="Q51" i="9"/>
  <c r="R51" i="9" s="1"/>
  <c r="K45" i="9"/>
  <c r="L45" i="9" s="1"/>
  <c r="N17" i="9"/>
  <c r="N6" i="9" s="1"/>
  <c r="F40" i="9"/>
  <c r="AH68" i="9"/>
  <c r="AI68" i="9" s="1"/>
  <c r="AJ68" i="9" s="1"/>
  <c r="AC63" i="9"/>
  <c r="AD63" i="9" s="1"/>
  <c r="AE63" i="9" s="1"/>
  <c r="W57" i="9"/>
  <c r="X57" i="9" s="1"/>
  <c r="K20" i="9"/>
  <c r="K7" i="9" s="1"/>
  <c r="Y20" i="9"/>
  <c r="Y7" i="9" s="1"/>
  <c r="AM20" i="9"/>
  <c r="AM7" i="9" s="1"/>
  <c r="G41" i="9"/>
  <c r="H41" i="9" s="1"/>
  <c r="I41" i="9" s="1"/>
  <c r="J41" i="9" s="1"/>
  <c r="P50" i="9"/>
  <c r="J44" i="9"/>
  <c r="K44" i="9" s="1"/>
  <c r="L44" i="9" s="1"/>
  <c r="I17" i="9"/>
  <c r="I6" i="9" s="1"/>
  <c r="AN74" i="9"/>
  <c r="AB62" i="9"/>
  <c r="AC62" i="9" s="1"/>
  <c r="V56" i="9"/>
  <c r="W56" i="9" s="1"/>
  <c r="X56" i="9" s="1"/>
  <c r="J17" i="9"/>
  <c r="J6" i="9" s="1"/>
  <c r="AM73" i="9"/>
  <c r="AN73" i="9" s="1"/>
  <c r="O49" i="9"/>
  <c r="I43" i="9"/>
  <c r="J43" i="9" s="1"/>
  <c r="K17" i="9"/>
  <c r="K6" i="9" s="1"/>
  <c r="AG67" i="9"/>
  <c r="U55" i="9"/>
  <c r="AL72" i="9"/>
  <c r="AM72" i="9" s="1"/>
  <c r="AN72" i="9" s="1"/>
  <c r="AA61" i="9"/>
  <c r="N48" i="9"/>
  <c r="H42" i="9"/>
  <c r="I42" i="9" s="1"/>
  <c r="AF66" i="9"/>
  <c r="AG66" i="9" s="1"/>
  <c r="T54" i="9"/>
  <c r="U54" i="9" s="1"/>
  <c r="L20" i="9"/>
  <c r="L7" i="9" s="1"/>
  <c r="AN20" i="9"/>
  <c r="AN7" i="9" s="1"/>
  <c r="AF20" i="9"/>
  <c r="AF7" i="9" s="1"/>
  <c r="Q20" i="9"/>
  <c r="Q7" i="9" s="1"/>
  <c r="AE20" i="9"/>
  <c r="AE7" i="9" s="1"/>
  <c r="J20" i="9"/>
  <c r="J7" i="9" s="1"/>
  <c r="X20" i="9"/>
  <c r="X7" i="9" s="1"/>
  <c r="AL20" i="9"/>
  <c r="AL7" i="9" s="1"/>
  <c r="R20" i="9"/>
  <c r="R7" i="9" s="1"/>
  <c r="E20" i="9"/>
  <c r="E7" i="9" s="1"/>
  <c r="O20" i="9"/>
  <c r="O7" i="9" s="1"/>
  <c r="AC20" i="9"/>
  <c r="AC7" i="9" s="1"/>
  <c r="G937" i="1"/>
  <c r="H937" i="1" s="1"/>
  <c r="W20" i="9"/>
  <c r="W7" i="9" s="1"/>
  <c r="AK20" i="9"/>
  <c r="AK7" i="9" s="1"/>
  <c r="F13" i="9"/>
  <c r="F5" i="9" s="1"/>
  <c r="Z20" i="9"/>
  <c r="Z7" i="9" s="1"/>
  <c r="G20" i="9"/>
  <c r="G7" i="9" s="1"/>
  <c r="U20" i="9"/>
  <c r="U7" i="9" s="1"/>
  <c r="AI20" i="9"/>
  <c r="AI7" i="9" s="1"/>
  <c r="M20" i="9"/>
  <c r="M7" i="9" s="1"/>
  <c r="AA20" i="9"/>
  <c r="AA7" i="9" s="1"/>
  <c r="N20" i="9"/>
  <c r="N7" i="9" s="1"/>
  <c r="AB20" i="9"/>
  <c r="AB7" i="9" s="1"/>
  <c r="E13" i="9"/>
  <c r="E5" i="9" s="1"/>
  <c r="I20" i="9"/>
  <c r="I7" i="9" s="1"/>
  <c r="AD20" i="9"/>
  <c r="AD7" i="9" s="1"/>
  <c r="H20" i="9"/>
  <c r="H7" i="9" s="1"/>
  <c r="V20" i="9"/>
  <c r="V7" i="9" s="1"/>
  <c r="AJ20" i="9"/>
  <c r="AJ7" i="9" s="1"/>
  <c r="P20" i="9"/>
  <c r="P7" i="9" s="1"/>
  <c r="S20" i="9"/>
  <c r="S7" i="9" s="1"/>
  <c r="AG20" i="9"/>
  <c r="AG7" i="9" s="1"/>
  <c r="F20" i="9"/>
  <c r="F7" i="9" s="1"/>
  <c r="T20" i="9"/>
  <c r="T7" i="9" s="1"/>
  <c r="AH20" i="9"/>
  <c r="AH7" i="9" s="1"/>
  <c r="H6" i="10" l="1"/>
  <c r="AF7" i="10"/>
  <c r="R7" i="10"/>
  <c r="J6" i="10"/>
  <c r="AI7" i="10"/>
  <c r="U7" i="10"/>
  <c r="G7" i="10"/>
  <c r="F6" i="10"/>
  <c r="AE7" i="10"/>
  <c r="AC7" i="10"/>
  <c r="O7" i="10"/>
  <c r="AD7" i="10"/>
  <c r="AJ7" i="10"/>
  <c r="V7" i="10"/>
  <c r="H7" i="10"/>
  <c r="AA7" i="10"/>
  <c r="M7" i="10"/>
  <c r="P7" i="10"/>
  <c r="N6" i="10"/>
  <c r="K6" i="10"/>
  <c r="AK7" i="10"/>
  <c r="I7" i="10"/>
  <c r="W7" i="10"/>
  <c r="J7" i="10"/>
  <c r="AH7" i="10"/>
  <c r="T7" i="10"/>
  <c r="F7" i="10"/>
  <c r="AG7" i="10"/>
  <c r="S7" i="10"/>
  <c r="E7" i="10"/>
  <c r="I6" i="10"/>
  <c r="Q7" i="10"/>
  <c r="AB7" i="10"/>
  <c r="N7" i="10"/>
  <c r="O6" i="10"/>
  <c r="L6" i="10"/>
  <c r="M6" i="10"/>
  <c r="X7" i="10"/>
  <c r="AL7" i="10"/>
  <c r="P6" i="10"/>
  <c r="AN7" i="10"/>
  <c r="Z7" i="10"/>
  <c r="L7" i="10"/>
  <c r="E5" i="10"/>
  <c r="AM7" i="10"/>
  <c r="Y7" i="10"/>
  <c r="K7" i="10"/>
  <c r="F5" i="10"/>
  <c r="AB60" i="9"/>
  <c r="AC60" i="9" s="1"/>
  <c r="AH66" i="9"/>
  <c r="AI66" i="9" s="1"/>
  <c r="Z59" i="9"/>
  <c r="AA59" i="9" s="1"/>
  <c r="U53" i="9"/>
  <c r="V53" i="9" s="1"/>
  <c r="G40" i="9"/>
  <c r="AL70" i="9"/>
  <c r="AM70" i="9" s="1"/>
  <c r="AN70" i="9" s="1"/>
  <c r="T52" i="9"/>
  <c r="U52" i="9" s="1"/>
  <c r="V52" i="9" s="1"/>
  <c r="N46" i="9"/>
  <c r="O46" i="9" s="1"/>
  <c r="AK69" i="9"/>
  <c r="AL69" i="9" s="1"/>
  <c r="V54" i="9"/>
  <c r="W54" i="9" s="1"/>
  <c r="AF64" i="9"/>
  <c r="AG64" i="9" s="1"/>
  <c r="AH67" i="9"/>
  <c r="AI67" i="9" s="1"/>
  <c r="AJ67" i="9" s="1"/>
  <c r="Y57" i="9"/>
  <c r="Z57" i="9" s="1"/>
  <c r="AH65" i="9"/>
  <c r="AI65" i="9" s="1"/>
  <c r="AJ65" i="9" s="1"/>
  <c r="K43" i="9"/>
  <c r="L43" i="9" s="1"/>
  <c r="M43" i="9" s="1"/>
  <c r="S51" i="9"/>
  <c r="V55" i="9"/>
  <c r="W55" i="9" s="1"/>
  <c r="X55" i="9" s="1"/>
  <c r="O47" i="9"/>
  <c r="P47" i="9" s="1"/>
  <c r="AD62" i="9"/>
  <c r="AE62" i="9" s="1"/>
  <c r="AM71" i="9"/>
  <c r="AN71" i="9" s="1"/>
  <c r="AK68" i="9"/>
  <c r="AL68" i="9" s="1"/>
  <c r="AM68" i="9" s="1"/>
  <c r="AN68" i="9" s="1"/>
  <c r="M45" i="9"/>
  <c r="N45" i="9" s="1"/>
  <c r="Z58" i="9"/>
  <c r="AA58" i="9" s="1"/>
  <c r="P49" i="9"/>
  <c r="O48" i="9"/>
  <c r="Q50" i="9"/>
  <c r="R50" i="9" s="1"/>
  <c r="S50" i="9" s="1"/>
  <c r="AB61" i="9"/>
  <c r="J42" i="9"/>
  <c r="M44" i="9"/>
  <c r="Y56" i="9"/>
  <c r="AF63" i="9"/>
  <c r="K41" i="9"/>
  <c r="G15" i="9"/>
  <c r="I937" i="1"/>
  <c r="H15" i="9"/>
  <c r="H13" i="9" l="1"/>
  <c r="H5" i="9" s="1"/>
  <c r="H15" i="10"/>
  <c r="H26" i="10" s="1"/>
  <c r="G13" i="9"/>
  <c r="G5" i="9" s="1"/>
  <c r="G15" i="10"/>
  <c r="G26" i="10" s="1"/>
  <c r="AA57" i="9"/>
  <c r="AB57" i="9" s="1"/>
  <c r="AC57" i="9" s="1"/>
  <c r="O45" i="9"/>
  <c r="P45" i="9" s="1"/>
  <c r="AB59" i="9"/>
  <c r="P46" i="9"/>
  <c r="Q46" i="9" s="1"/>
  <c r="AF62" i="9"/>
  <c r="AG62" i="9" s="1"/>
  <c r="AH62" i="9" s="1"/>
  <c r="AJ66" i="9"/>
  <c r="K42" i="9"/>
  <c r="H40" i="9"/>
  <c r="AC61" i="9"/>
  <c r="AD61" i="9" s="1"/>
  <c r="AM69" i="9"/>
  <c r="AN69" i="9" s="1"/>
  <c r="AH64" i="9"/>
  <c r="P48" i="9"/>
  <c r="Q48" i="9" s="1"/>
  <c r="T51" i="9"/>
  <c r="Q49" i="9"/>
  <c r="N43" i="9"/>
  <c r="N44" i="9"/>
  <c r="Q47" i="9"/>
  <c r="T50" i="9"/>
  <c r="W52" i="9"/>
  <c r="W53" i="9"/>
  <c r="X53" i="9" s="1"/>
  <c r="Y53" i="9" s="1"/>
  <c r="X54" i="9"/>
  <c r="Y54" i="9" s="1"/>
  <c r="Y55" i="9"/>
  <c r="Z55" i="9" s="1"/>
  <c r="Z56" i="9"/>
  <c r="AB58" i="9"/>
  <c r="AD60" i="9"/>
  <c r="AG63" i="9"/>
  <c r="AK65" i="9"/>
  <c r="AL65" i="9" s="1"/>
  <c r="AM65" i="9" s="1"/>
  <c r="AK67" i="9"/>
  <c r="AL67" i="9" s="1"/>
  <c r="L41" i="9"/>
  <c r="M41" i="9" s="1"/>
  <c r="J937" i="1"/>
  <c r="I15" i="9"/>
  <c r="G37" i="10" l="1"/>
  <c r="G5" i="10" s="1"/>
  <c r="H37" i="10"/>
  <c r="H5" i="10" s="1"/>
  <c r="I13" i="9"/>
  <c r="I5" i="9" s="1"/>
  <c r="I15" i="10"/>
  <c r="I26" i="10" s="1"/>
  <c r="I37" i="10" s="1"/>
  <c r="I5" i="10" s="1"/>
  <c r="R46" i="9"/>
  <c r="S46" i="9" s="1"/>
  <c r="T46" i="9" s="1"/>
  <c r="U46" i="9" s="1"/>
  <c r="Q45" i="9"/>
  <c r="R45" i="9" s="1"/>
  <c r="AC59" i="9"/>
  <c r="AD59" i="9" s="1"/>
  <c r="AE61" i="9"/>
  <c r="AF61" i="9" s="1"/>
  <c r="Z54" i="9"/>
  <c r="R49" i="9"/>
  <c r="L42" i="9"/>
  <c r="AK66" i="9"/>
  <c r="I40" i="9"/>
  <c r="J40" i="9" s="1"/>
  <c r="AI64" i="9"/>
  <c r="AJ64" i="9" s="1"/>
  <c r="U51" i="9"/>
  <c r="V51" i="9" s="1"/>
  <c r="R48" i="9"/>
  <c r="S48" i="9" s="1"/>
  <c r="O43" i="9"/>
  <c r="O44" i="9"/>
  <c r="P44" i="9" s="1"/>
  <c r="R47" i="9"/>
  <c r="U50" i="9"/>
  <c r="X52" i="9"/>
  <c r="Z53" i="9"/>
  <c r="AA53" i="9" s="1"/>
  <c r="AB53" i="9" s="1"/>
  <c r="AA55" i="9"/>
  <c r="AB55" i="9" s="1"/>
  <c r="AA56" i="9"/>
  <c r="AB56" i="9" s="1"/>
  <c r="AD57" i="9"/>
  <c r="AC58" i="9"/>
  <c r="AE60" i="9"/>
  <c r="AF60" i="9" s="1"/>
  <c r="AI62" i="9"/>
  <c r="AJ62" i="9" s="1"/>
  <c r="AH63" i="9"/>
  <c r="AN65" i="9"/>
  <c r="AM67" i="9"/>
  <c r="AN67" i="9" s="1"/>
  <c r="N41" i="9"/>
  <c r="O41" i="9" s="1"/>
  <c r="K937" i="1"/>
  <c r="J15" i="9"/>
  <c r="AG61" i="9" l="1"/>
  <c r="AH61" i="9" s="1"/>
  <c r="AI61" i="9" s="1"/>
  <c r="AJ61" i="9" s="1"/>
  <c r="AK61" i="9" s="1"/>
  <c r="AL61" i="9" s="1"/>
  <c r="AM61" i="9" s="1"/>
  <c r="AN61" i="9" s="1"/>
  <c r="J13" i="9"/>
  <c r="J5" i="9" s="1"/>
  <c r="J15" i="10"/>
  <c r="J26" i="10" s="1"/>
  <c r="AE59" i="9"/>
  <c r="AF59" i="9" s="1"/>
  <c r="AA54" i="9"/>
  <c r="AB54" i="9" s="1"/>
  <c r="AL66" i="9"/>
  <c r="AM66" i="9" s="1"/>
  <c r="S49" i="9"/>
  <c r="T49" i="9" s="1"/>
  <c r="M42" i="9"/>
  <c r="K40" i="9"/>
  <c r="W51" i="9"/>
  <c r="X51" i="9" s="1"/>
  <c r="Y51" i="9" s="1"/>
  <c r="Z51" i="9" s="1"/>
  <c r="AK64" i="9"/>
  <c r="AL64" i="9" s="1"/>
  <c r="T48" i="9"/>
  <c r="U48" i="9" s="1"/>
  <c r="P43" i="9"/>
  <c r="Q43" i="9" s="1"/>
  <c r="Q44" i="9"/>
  <c r="S45" i="9"/>
  <c r="V46" i="9"/>
  <c r="W46" i="9" s="1"/>
  <c r="S47" i="9"/>
  <c r="V50" i="9"/>
  <c r="W50" i="9" s="1"/>
  <c r="X50" i="9" s="1"/>
  <c r="Y50" i="9" s="1"/>
  <c r="Z50" i="9" s="1"/>
  <c r="Y52" i="9"/>
  <c r="Z52" i="9" s="1"/>
  <c r="AC53" i="9"/>
  <c r="AD53" i="9" s="1"/>
  <c r="AC55" i="9"/>
  <c r="AC56" i="9"/>
  <c r="AE57" i="9"/>
  <c r="AD58" i="9"/>
  <c r="AE58" i="9" s="1"/>
  <c r="AF58" i="9" s="1"/>
  <c r="AG60" i="9"/>
  <c r="AK62" i="9"/>
  <c r="AI63" i="9"/>
  <c r="AJ63" i="9" s="1"/>
  <c r="AK63" i="9" s="1"/>
  <c r="P41" i="9"/>
  <c r="L937" i="1"/>
  <c r="K15" i="9"/>
  <c r="J37" i="10" l="1"/>
  <c r="J5" i="10" s="1"/>
  <c r="K13" i="9"/>
  <c r="K5" i="9" s="1"/>
  <c r="K15" i="10"/>
  <c r="K26" i="10" s="1"/>
  <c r="AG59" i="9"/>
  <c r="AH59" i="9" s="1"/>
  <c r="AC54" i="9"/>
  <c r="AD54" i="9" s="1"/>
  <c r="AM64" i="9"/>
  <c r="AN64" i="9" s="1"/>
  <c r="N42" i="9"/>
  <c r="O42" i="9" s="1"/>
  <c r="AN66" i="9"/>
  <c r="L40" i="9"/>
  <c r="U49" i="9"/>
  <c r="V49" i="9" s="1"/>
  <c r="AL63" i="9"/>
  <c r="AM63" i="9" s="1"/>
  <c r="AN63" i="9" s="1"/>
  <c r="V48" i="9"/>
  <c r="R43" i="9"/>
  <c r="R44" i="9"/>
  <c r="S44" i="9" s="1"/>
  <c r="T45" i="9"/>
  <c r="X46" i="9"/>
  <c r="Y46" i="9" s="1"/>
  <c r="Z46" i="9" s="1"/>
  <c r="T47" i="9"/>
  <c r="AA50" i="9"/>
  <c r="AB50" i="9" s="1"/>
  <c r="AA51" i="9"/>
  <c r="AB51" i="9" s="1"/>
  <c r="AC51" i="9" s="1"/>
  <c r="AD51" i="9" s="1"/>
  <c r="AE51" i="9" s="1"/>
  <c r="AF51" i="9" s="1"/>
  <c r="AG51" i="9" s="1"/>
  <c r="AH51" i="9" s="1"/>
  <c r="AI51" i="9" s="1"/>
  <c r="AJ51" i="9" s="1"/>
  <c r="AK51" i="9" s="1"/>
  <c r="AL51" i="9" s="1"/>
  <c r="AM51" i="9" s="1"/>
  <c r="AN51" i="9" s="1"/>
  <c r="AA52" i="9"/>
  <c r="AB52" i="9" s="1"/>
  <c r="AE53" i="9"/>
  <c r="AD55" i="9"/>
  <c r="AE55" i="9" s="1"/>
  <c r="AF55" i="9" s="1"/>
  <c r="AG55" i="9" s="1"/>
  <c r="AH55" i="9" s="1"/>
  <c r="AI55" i="9" s="1"/>
  <c r="AJ55" i="9" s="1"/>
  <c r="AK55" i="9" s="1"/>
  <c r="AL55" i="9" s="1"/>
  <c r="AM55" i="9" s="1"/>
  <c r="AN55" i="9" s="1"/>
  <c r="AD56" i="9"/>
  <c r="AE56" i="9" s="1"/>
  <c r="AF56" i="9" s="1"/>
  <c r="AG56" i="9" s="1"/>
  <c r="AH56" i="9" s="1"/>
  <c r="AI56" i="9" s="1"/>
  <c r="AJ56" i="9" s="1"/>
  <c r="AK56" i="9" s="1"/>
  <c r="AL56" i="9" s="1"/>
  <c r="AM56" i="9" s="1"/>
  <c r="AN56" i="9" s="1"/>
  <c r="AF57" i="9"/>
  <c r="AG57" i="9" s="1"/>
  <c r="AH57" i="9" s="1"/>
  <c r="AI57" i="9" s="1"/>
  <c r="AJ57" i="9" s="1"/>
  <c r="AK57" i="9" s="1"/>
  <c r="AL57" i="9" s="1"/>
  <c r="AM57" i="9" s="1"/>
  <c r="AN57" i="9" s="1"/>
  <c r="AG58" i="9"/>
  <c r="AH58" i="9" s="1"/>
  <c r="AI58" i="9" s="1"/>
  <c r="AJ58" i="9" s="1"/>
  <c r="AK58" i="9" s="1"/>
  <c r="AL58" i="9" s="1"/>
  <c r="AM58" i="9" s="1"/>
  <c r="AN58" i="9" s="1"/>
  <c r="AH60" i="9"/>
  <c r="AI60" i="9" s="1"/>
  <c r="AJ60" i="9" s="1"/>
  <c r="AK60" i="9" s="1"/>
  <c r="AL60" i="9" s="1"/>
  <c r="AM60" i="9" s="1"/>
  <c r="AN60" i="9" s="1"/>
  <c r="AL62" i="9"/>
  <c r="AM62" i="9" s="1"/>
  <c r="AN62" i="9" s="1"/>
  <c r="Q41" i="9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AJ41" i="9" s="1"/>
  <c r="AK41" i="9" s="1"/>
  <c r="AL41" i="9" s="1"/>
  <c r="AM41" i="9" s="1"/>
  <c r="AN41" i="9" s="1"/>
  <c r="M937" i="1"/>
  <c r="L15" i="9"/>
  <c r="AI59" i="9" l="1"/>
  <c r="AJ59" i="9" s="1"/>
  <c r="AK59" i="9" s="1"/>
  <c r="AL59" i="9" s="1"/>
  <c r="AM59" i="9" s="1"/>
  <c r="AN59" i="9" s="1"/>
  <c r="K37" i="10"/>
  <c r="K5" i="10" s="1"/>
  <c r="L13" i="9"/>
  <c r="L5" i="9" s="1"/>
  <c r="L15" i="10"/>
  <c r="L26" i="10" s="1"/>
  <c r="L37" i="10" s="1"/>
  <c r="L5" i="10" s="1"/>
  <c r="P42" i="9"/>
  <c r="Q42" i="9" s="1"/>
  <c r="T44" i="9"/>
  <c r="U44" i="9" s="1"/>
  <c r="W49" i="9"/>
  <c r="X49" i="9" s="1"/>
  <c r="Y49" i="9" s="1"/>
  <c r="Z49" i="9" s="1"/>
  <c r="AA49" i="9" s="1"/>
  <c r="AB49" i="9" s="1"/>
  <c r="AC49" i="9" s="1"/>
  <c r="AD49" i="9" s="1"/>
  <c r="AE49" i="9" s="1"/>
  <c r="AF49" i="9" s="1"/>
  <c r="AG49" i="9" s="1"/>
  <c r="AH49" i="9" s="1"/>
  <c r="AI49" i="9" s="1"/>
  <c r="AJ49" i="9" s="1"/>
  <c r="AK49" i="9" s="1"/>
  <c r="AL49" i="9" s="1"/>
  <c r="AM49" i="9" s="1"/>
  <c r="AN49" i="9" s="1"/>
  <c r="M40" i="9"/>
  <c r="AE54" i="9"/>
  <c r="AF54" i="9" s="1"/>
  <c r="AG54" i="9" s="1"/>
  <c r="AH54" i="9" s="1"/>
  <c r="AI54" i="9" s="1"/>
  <c r="AJ54" i="9" s="1"/>
  <c r="AK54" i="9" s="1"/>
  <c r="AL54" i="9" s="1"/>
  <c r="AM54" i="9" s="1"/>
  <c r="AN54" i="9" s="1"/>
  <c r="AA46" i="9"/>
  <c r="AB46" i="9" s="1"/>
  <c r="AC46" i="9" s="1"/>
  <c r="AD46" i="9" s="1"/>
  <c r="AE46" i="9" s="1"/>
  <c r="AF46" i="9" s="1"/>
  <c r="AG46" i="9" s="1"/>
  <c r="W48" i="9"/>
  <c r="X48" i="9" s="1"/>
  <c r="S43" i="9"/>
  <c r="U45" i="9"/>
  <c r="V45" i="9" s="1"/>
  <c r="W45" i="9" s="1"/>
  <c r="X45" i="9" s="1"/>
  <c r="Y45" i="9" s="1"/>
  <c r="Z45" i="9" s="1"/>
  <c r="AA45" i="9" s="1"/>
  <c r="AB45" i="9" s="1"/>
  <c r="AC45" i="9" s="1"/>
  <c r="AD45" i="9" s="1"/>
  <c r="AE45" i="9" s="1"/>
  <c r="AF45" i="9" s="1"/>
  <c r="AG45" i="9" s="1"/>
  <c r="AH45" i="9" s="1"/>
  <c r="AI45" i="9" s="1"/>
  <c r="U47" i="9"/>
  <c r="V47" i="9" s="1"/>
  <c r="W47" i="9" s="1"/>
  <c r="X47" i="9" s="1"/>
  <c r="Y47" i="9" s="1"/>
  <c r="Z47" i="9" s="1"/>
  <c r="AA47" i="9" s="1"/>
  <c r="AB47" i="9" s="1"/>
  <c r="AC47" i="9" s="1"/>
  <c r="AD47" i="9" s="1"/>
  <c r="AE47" i="9" s="1"/>
  <c r="AF47" i="9" s="1"/>
  <c r="AG47" i="9" s="1"/>
  <c r="AH47" i="9" s="1"/>
  <c r="AI47" i="9" s="1"/>
  <c r="AC50" i="9"/>
  <c r="AD50" i="9" s="1"/>
  <c r="AE50" i="9" s="1"/>
  <c r="AF50" i="9" s="1"/>
  <c r="AG50" i="9" s="1"/>
  <c r="AH50" i="9" s="1"/>
  <c r="AI50" i="9" s="1"/>
  <c r="AJ50" i="9" s="1"/>
  <c r="AK50" i="9" s="1"/>
  <c r="AL50" i="9" s="1"/>
  <c r="AM50" i="9" s="1"/>
  <c r="AN50" i="9" s="1"/>
  <c r="AC52" i="9"/>
  <c r="AD52" i="9" s="1"/>
  <c r="AE52" i="9" s="1"/>
  <c r="AF52" i="9" s="1"/>
  <c r="AG52" i="9" s="1"/>
  <c r="AH52" i="9" s="1"/>
  <c r="AI52" i="9" s="1"/>
  <c r="AJ52" i="9" s="1"/>
  <c r="AK52" i="9" s="1"/>
  <c r="AL52" i="9" s="1"/>
  <c r="AM52" i="9" s="1"/>
  <c r="AN52" i="9" s="1"/>
  <c r="AF53" i="9"/>
  <c r="AG53" i="9" s="1"/>
  <c r="AH53" i="9" s="1"/>
  <c r="AI53" i="9" s="1"/>
  <c r="AJ53" i="9" s="1"/>
  <c r="AK53" i="9" s="1"/>
  <c r="AL53" i="9" s="1"/>
  <c r="AM53" i="9" s="1"/>
  <c r="AN53" i="9" s="1"/>
  <c r="N937" i="1"/>
  <c r="M15" i="9"/>
  <c r="M13" i="9" l="1"/>
  <c r="M5" i="9" s="1"/>
  <c r="M15" i="10"/>
  <c r="M26" i="10" s="1"/>
  <c r="V44" i="9"/>
  <c r="W44" i="9" s="1"/>
  <c r="X44" i="9" s="1"/>
  <c r="Y44" i="9" s="1"/>
  <c r="Z44" i="9" s="1"/>
  <c r="AA44" i="9" s="1"/>
  <c r="AB44" i="9" s="1"/>
  <c r="AC44" i="9" s="1"/>
  <c r="AD44" i="9" s="1"/>
  <c r="AE44" i="9" s="1"/>
  <c r="AF44" i="9" s="1"/>
  <c r="AG44" i="9" s="1"/>
  <c r="AH44" i="9" s="1"/>
  <c r="AI44" i="9" s="1"/>
  <c r="AJ44" i="9" s="1"/>
  <c r="AK44" i="9" s="1"/>
  <c r="AL44" i="9" s="1"/>
  <c r="AM44" i="9" s="1"/>
  <c r="AN44" i="9" s="1"/>
  <c r="R42" i="9"/>
  <c r="S42" i="9" s="1"/>
  <c r="T42" i="9" s="1"/>
  <c r="U42" i="9" s="1"/>
  <c r="V42" i="9" s="1"/>
  <c r="W42" i="9" s="1"/>
  <c r="X42" i="9" s="1"/>
  <c r="Y42" i="9" s="1"/>
  <c r="Z42" i="9" s="1"/>
  <c r="AA42" i="9" s="1"/>
  <c r="AB42" i="9" s="1"/>
  <c r="AC42" i="9" s="1"/>
  <c r="N40" i="9"/>
  <c r="AH46" i="9"/>
  <c r="AI46" i="9" s="1"/>
  <c r="AJ46" i="9" s="1"/>
  <c r="AK46" i="9" s="1"/>
  <c r="Y48" i="9"/>
  <c r="Z48" i="9" s="1"/>
  <c r="AA48" i="9" s="1"/>
  <c r="AB48" i="9" s="1"/>
  <c r="AC48" i="9" s="1"/>
  <c r="AD48" i="9" s="1"/>
  <c r="AE48" i="9" s="1"/>
  <c r="AF48" i="9" s="1"/>
  <c r="AG48" i="9" s="1"/>
  <c r="AH48" i="9" s="1"/>
  <c r="AI48" i="9" s="1"/>
  <c r="AJ48" i="9" s="1"/>
  <c r="AK48" i="9" s="1"/>
  <c r="AL48" i="9" s="1"/>
  <c r="AM48" i="9" s="1"/>
  <c r="AN48" i="9" s="1"/>
  <c r="T43" i="9"/>
  <c r="U43" i="9" s="1"/>
  <c r="V43" i="9" s="1"/>
  <c r="W43" i="9" s="1"/>
  <c r="X43" i="9" s="1"/>
  <c r="Y43" i="9" s="1"/>
  <c r="Z43" i="9" s="1"/>
  <c r="AA43" i="9" s="1"/>
  <c r="AB43" i="9" s="1"/>
  <c r="AC43" i="9" s="1"/>
  <c r="AD43" i="9" s="1"/>
  <c r="AE43" i="9" s="1"/>
  <c r="AF43" i="9" s="1"/>
  <c r="AG43" i="9" s="1"/>
  <c r="AH43" i="9" s="1"/>
  <c r="AI43" i="9" s="1"/>
  <c r="AJ43" i="9" s="1"/>
  <c r="AK43" i="9" s="1"/>
  <c r="AL43" i="9" s="1"/>
  <c r="AM43" i="9" s="1"/>
  <c r="AN43" i="9" s="1"/>
  <c r="AJ45" i="9"/>
  <c r="AK45" i="9" s="1"/>
  <c r="AL45" i="9" s="1"/>
  <c r="AM45" i="9" s="1"/>
  <c r="AN45" i="9" s="1"/>
  <c r="AJ47" i="9"/>
  <c r="AK47" i="9" s="1"/>
  <c r="AL47" i="9" s="1"/>
  <c r="AM47" i="9" s="1"/>
  <c r="AN47" i="9" s="1"/>
  <c r="O937" i="1"/>
  <c r="N15" i="9"/>
  <c r="M37" i="10" l="1"/>
  <c r="M5" i="10" s="1"/>
  <c r="N13" i="9"/>
  <c r="N5" i="9" s="1"/>
  <c r="N15" i="10"/>
  <c r="N26" i="10" s="1"/>
  <c r="AL46" i="9"/>
  <c r="AM46" i="9" s="1"/>
  <c r="AN46" i="9" s="1"/>
  <c r="AD42" i="9"/>
  <c r="AE42" i="9" s="1"/>
  <c r="AF42" i="9" s="1"/>
  <c r="AG42" i="9" s="1"/>
  <c r="AH42" i="9" s="1"/>
  <c r="AI42" i="9" s="1"/>
  <c r="AJ42" i="9" s="1"/>
  <c r="AK42" i="9" s="1"/>
  <c r="AL42" i="9" s="1"/>
  <c r="AM42" i="9" s="1"/>
  <c r="AN42" i="9" s="1"/>
  <c r="O40" i="9"/>
  <c r="P40" i="9" s="1"/>
  <c r="P937" i="1"/>
  <c r="O15" i="9"/>
  <c r="N37" i="10" l="1"/>
  <c r="N5" i="10" s="1"/>
  <c r="O13" i="9"/>
  <c r="O5" i="9" s="1"/>
  <c r="O15" i="10"/>
  <c r="O26" i="10" s="1"/>
  <c r="O37" i="10" s="1"/>
  <c r="O5" i="10" s="1"/>
  <c r="Q40" i="9"/>
  <c r="Q937" i="1"/>
  <c r="P15" i="9"/>
  <c r="P13" i="9" l="1"/>
  <c r="P5" i="9" s="1"/>
  <c r="P15" i="10"/>
  <c r="P26" i="10" s="1"/>
  <c r="R40" i="9"/>
  <c r="R937" i="1"/>
  <c r="Q15" i="9"/>
  <c r="P37" i="10" l="1"/>
  <c r="P5" i="10" s="1"/>
  <c r="Q13" i="9"/>
  <c r="Q5" i="9" s="1"/>
  <c r="Q15" i="10"/>
  <c r="Q26" i="10" s="1"/>
  <c r="S40" i="9"/>
  <c r="S937" i="1"/>
  <c r="R15" i="9"/>
  <c r="Q37" i="10" l="1"/>
  <c r="Q5" i="10" s="1"/>
  <c r="R13" i="9"/>
  <c r="R5" i="9" s="1"/>
  <c r="R15" i="10"/>
  <c r="R26" i="10" s="1"/>
  <c r="T40" i="9"/>
  <c r="T937" i="1"/>
  <c r="S15" i="9"/>
  <c r="R37" i="10" l="1"/>
  <c r="R5" i="10" s="1"/>
  <c r="S13" i="9"/>
  <c r="S5" i="9" s="1"/>
  <c r="S15" i="10"/>
  <c r="S26" i="10" s="1"/>
  <c r="U40" i="9"/>
  <c r="U937" i="1"/>
  <c r="T15" i="9"/>
  <c r="S37" i="10" l="1"/>
  <c r="S5" i="10" s="1"/>
  <c r="T13" i="9"/>
  <c r="T5" i="9" s="1"/>
  <c r="T15" i="10"/>
  <c r="T26" i="10" s="1"/>
  <c r="V40" i="9"/>
  <c r="V937" i="1"/>
  <c r="U15" i="9"/>
  <c r="T37" i="10" l="1"/>
  <c r="T5" i="10" s="1"/>
  <c r="U13" i="9"/>
  <c r="U5" i="9" s="1"/>
  <c r="U15" i="10"/>
  <c r="U26" i="10" s="1"/>
  <c r="W40" i="9"/>
  <c r="W937" i="1"/>
  <c r="V15" i="9"/>
  <c r="U37" i="10" l="1"/>
  <c r="U5" i="10" s="1"/>
  <c r="V13" i="9"/>
  <c r="V5" i="9" s="1"/>
  <c r="V15" i="10"/>
  <c r="V26" i="10" s="1"/>
  <c r="V37" i="10" s="1"/>
  <c r="V5" i="10" s="1"/>
  <c r="X40" i="9"/>
  <c r="X937" i="1"/>
  <c r="W15" i="9"/>
  <c r="W13" i="9" l="1"/>
  <c r="W5" i="9" s="1"/>
  <c r="W15" i="10"/>
  <c r="W26" i="10" s="1"/>
  <c r="W37" i="10" s="1"/>
  <c r="W5" i="10" s="1"/>
  <c r="Y40" i="9"/>
  <c r="Y937" i="1"/>
  <c r="X15" i="9"/>
  <c r="X13" i="9" l="1"/>
  <c r="X5" i="9" s="1"/>
  <c r="X15" i="10"/>
  <c r="X26" i="10" s="1"/>
  <c r="Z40" i="9"/>
  <c r="Z937" i="1"/>
  <c r="Y15" i="9"/>
  <c r="X37" i="10" l="1"/>
  <c r="X5" i="10" s="1"/>
  <c r="Y13" i="9"/>
  <c r="Y5" i="9" s="1"/>
  <c r="Y15" i="10"/>
  <c r="Y26" i="10" s="1"/>
  <c r="Y37" i="10" s="1"/>
  <c r="Y5" i="10" s="1"/>
  <c r="AA40" i="9"/>
  <c r="AA937" i="1"/>
  <c r="Z15" i="9"/>
  <c r="Z13" i="9" l="1"/>
  <c r="Z5" i="9" s="1"/>
  <c r="Z15" i="10"/>
  <c r="Z26" i="10" s="1"/>
  <c r="AB40" i="9"/>
  <c r="AB937" i="1"/>
  <c r="AA15" i="9"/>
  <c r="Z37" i="10" l="1"/>
  <c r="Z5" i="10" s="1"/>
  <c r="AA13" i="9"/>
  <c r="AA5" i="9" s="1"/>
  <c r="AA15" i="10"/>
  <c r="AA26" i="10" s="1"/>
  <c r="AA37" i="10" s="1"/>
  <c r="AA5" i="10" s="1"/>
  <c r="AC40" i="9"/>
  <c r="AC937" i="1"/>
  <c r="AB15" i="9"/>
  <c r="AB13" i="9" l="1"/>
  <c r="AB5" i="9" s="1"/>
  <c r="AB15" i="10"/>
  <c r="AB26" i="10" s="1"/>
  <c r="AD40" i="9"/>
  <c r="AD937" i="1"/>
  <c r="AC15" i="9"/>
  <c r="AB37" i="10" l="1"/>
  <c r="AB5" i="10" s="1"/>
  <c r="AC13" i="9"/>
  <c r="AC5" i="9" s="1"/>
  <c r="AC15" i="10"/>
  <c r="AC26" i="10" s="1"/>
  <c r="AE40" i="9"/>
  <c r="AE937" i="1"/>
  <c r="AD15" i="9"/>
  <c r="AC37" i="10" l="1"/>
  <c r="AC5" i="10" s="1"/>
  <c r="AD13" i="9"/>
  <c r="AD5" i="9" s="1"/>
  <c r="AD15" i="10"/>
  <c r="AD26" i="10" s="1"/>
  <c r="AF40" i="9"/>
  <c r="AF937" i="1"/>
  <c r="AE15" i="9"/>
  <c r="AE37" i="10" l="1"/>
  <c r="AE5" i="10" s="1"/>
  <c r="AD37" i="10"/>
  <c r="AD5" i="10" s="1"/>
  <c r="AE13" i="9"/>
  <c r="AE5" i="9" s="1"/>
  <c r="AE15" i="10"/>
  <c r="AE26" i="10" s="1"/>
  <c r="AG40" i="9"/>
  <c r="AG937" i="1"/>
  <c r="AF15" i="9"/>
  <c r="AF13" i="9" l="1"/>
  <c r="AF5" i="9" s="1"/>
  <c r="AF15" i="10"/>
  <c r="AF26" i="10" s="1"/>
  <c r="AH40" i="9"/>
  <c r="AH937" i="1"/>
  <c r="AG15" i="9"/>
  <c r="AF37" i="10" l="1"/>
  <c r="AF5" i="10" s="1"/>
  <c r="AG13" i="9"/>
  <c r="AG5" i="9" s="1"/>
  <c r="AG15" i="10"/>
  <c r="AG26" i="10" s="1"/>
  <c r="AI40" i="9"/>
  <c r="AI937" i="1"/>
  <c r="AH15" i="9"/>
  <c r="AG37" i="10" l="1"/>
  <c r="AG5" i="10" s="1"/>
  <c r="AH13" i="9"/>
  <c r="AH5" i="9" s="1"/>
  <c r="AH15" i="10"/>
  <c r="AH26" i="10" s="1"/>
  <c r="AJ40" i="9"/>
  <c r="AJ937" i="1"/>
  <c r="AI15" i="9"/>
  <c r="AH37" i="10" l="1"/>
  <c r="AH5" i="10" s="1"/>
  <c r="AI13" i="9"/>
  <c r="AI5" i="9" s="1"/>
  <c r="AI15" i="10"/>
  <c r="AI26" i="10" s="1"/>
  <c r="AK40" i="9"/>
  <c r="AK937" i="1"/>
  <c r="AJ15" i="9"/>
  <c r="AI37" i="10" l="1"/>
  <c r="AI5" i="10" s="1"/>
  <c r="AJ13" i="9"/>
  <c r="AJ5" i="9" s="1"/>
  <c r="AJ15" i="10"/>
  <c r="AJ26" i="10" s="1"/>
  <c r="AL40" i="9"/>
  <c r="AL937" i="1"/>
  <c r="AK15" i="9"/>
  <c r="AJ37" i="10" l="1"/>
  <c r="AJ5" i="10" s="1"/>
  <c r="AK13" i="9"/>
  <c r="AK5" i="9" s="1"/>
  <c r="AK15" i="10"/>
  <c r="AK26" i="10" s="1"/>
  <c r="AK37" i="10" s="1"/>
  <c r="AK5" i="10" s="1"/>
  <c r="AM40" i="9"/>
  <c r="AM937" i="1"/>
  <c r="AL15" i="9"/>
  <c r="AL13" i="9" l="1"/>
  <c r="AL5" i="9" s="1"/>
  <c r="AL15" i="10"/>
  <c r="AL26" i="10" s="1"/>
  <c r="AN40" i="9"/>
  <c r="AN937" i="1"/>
  <c r="AN15" i="9" s="1"/>
  <c r="AM15" i="9"/>
  <c r="AL37" i="10" l="1"/>
  <c r="AL5" i="10" s="1"/>
  <c r="AM13" i="9"/>
  <c r="AM5" i="9" s="1"/>
  <c r="AM15" i="10"/>
  <c r="AM26" i="10" s="1"/>
  <c r="AM37" i="10" s="1"/>
  <c r="AM5" i="10" s="1"/>
  <c r="AN13" i="9"/>
  <c r="AN5" i="9" s="1"/>
  <c r="AN15" i="10"/>
  <c r="AN26" i="10" s="1"/>
  <c r="E94" i="8"/>
  <c r="E93" i="8"/>
  <c r="E92" i="8"/>
  <c r="E91" i="8"/>
  <c r="E90" i="8"/>
  <c r="E89" i="8"/>
  <c r="E88" i="8"/>
  <c r="E87" i="8"/>
  <c r="E86" i="8"/>
  <c r="E85" i="8"/>
  <c r="E84" i="8"/>
  <c r="E83" i="8"/>
  <c r="AN814" i="1"/>
  <c r="AM814" i="1"/>
  <c r="AL814" i="1"/>
  <c r="AK814" i="1"/>
  <c r="AJ814" i="1"/>
  <c r="AI814" i="1"/>
  <c r="AH814" i="1"/>
  <c r="AG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H814" i="1"/>
  <c r="G814" i="1"/>
  <c r="F814" i="1"/>
  <c r="E814" i="1"/>
  <c r="AN779" i="1"/>
  <c r="AM779" i="1"/>
  <c r="AL779" i="1"/>
  <c r="AK779" i="1"/>
  <c r="AJ779" i="1"/>
  <c r="AI779" i="1"/>
  <c r="AH779" i="1"/>
  <c r="AG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S779" i="1"/>
  <c r="R779" i="1"/>
  <c r="Q779" i="1"/>
  <c r="P779" i="1"/>
  <c r="O779" i="1"/>
  <c r="N779" i="1"/>
  <c r="M779" i="1"/>
  <c r="L779" i="1"/>
  <c r="K779" i="1"/>
  <c r="J779" i="1"/>
  <c r="I779" i="1"/>
  <c r="H779" i="1"/>
  <c r="G779" i="1"/>
  <c r="F779" i="1"/>
  <c r="AN778" i="1"/>
  <c r="AM778" i="1"/>
  <c r="AL778" i="1"/>
  <c r="AK778" i="1"/>
  <c r="AJ778" i="1"/>
  <c r="AI778" i="1"/>
  <c r="AH778" i="1"/>
  <c r="AG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H778" i="1"/>
  <c r="G778" i="1"/>
  <c r="F778" i="1"/>
  <c r="E779" i="1"/>
  <c r="E778" i="1"/>
  <c r="AN17" i="18"/>
  <c r="AN5" i="18" s="1"/>
  <c r="AM17" i="18"/>
  <c r="AM5" i="18" s="1"/>
  <c r="AL17" i="18"/>
  <c r="AL5" i="18" s="1"/>
  <c r="AK17" i="18"/>
  <c r="AK5" i="18" s="1"/>
  <c r="AJ17" i="18"/>
  <c r="AJ5" i="18" s="1"/>
  <c r="AI17" i="18"/>
  <c r="AI5" i="18" s="1"/>
  <c r="AH17" i="18"/>
  <c r="AH5" i="18" s="1"/>
  <c r="AG17" i="18"/>
  <c r="AG5" i="18" s="1"/>
  <c r="AF17" i="18"/>
  <c r="AF5" i="18" s="1"/>
  <c r="AE17" i="18"/>
  <c r="AE5" i="18" s="1"/>
  <c r="AD17" i="18"/>
  <c r="AD5" i="18" s="1"/>
  <c r="AC17" i="18"/>
  <c r="AC5" i="18" s="1"/>
  <c r="AB17" i="18"/>
  <c r="AB5" i="18" s="1"/>
  <c r="AA17" i="18"/>
  <c r="AA5" i="18" s="1"/>
  <c r="Z17" i="18"/>
  <c r="Z5" i="18" s="1"/>
  <c r="Y17" i="18"/>
  <c r="Y5" i="18" s="1"/>
  <c r="X17" i="18"/>
  <c r="X5" i="18" s="1"/>
  <c r="W17" i="18"/>
  <c r="W5" i="18" s="1"/>
  <c r="V17" i="18"/>
  <c r="V5" i="18" s="1"/>
  <c r="U17" i="18"/>
  <c r="U5" i="18" s="1"/>
  <c r="T17" i="18"/>
  <c r="T5" i="18" s="1"/>
  <c r="S17" i="18"/>
  <c r="S5" i="18" s="1"/>
  <c r="R17" i="18"/>
  <c r="R5" i="18" s="1"/>
  <c r="Q17" i="18"/>
  <c r="Q5" i="18" s="1"/>
  <c r="P17" i="18"/>
  <c r="P5" i="18" s="1"/>
  <c r="O17" i="18"/>
  <c r="O5" i="18" s="1"/>
  <c r="N17" i="18"/>
  <c r="N5" i="18" s="1"/>
  <c r="M17" i="18"/>
  <c r="M5" i="18" s="1"/>
  <c r="L17" i="18"/>
  <c r="L5" i="18" s="1"/>
  <c r="K17" i="18"/>
  <c r="K5" i="18" s="1"/>
  <c r="J17" i="18"/>
  <c r="J5" i="18" s="1"/>
  <c r="I17" i="18"/>
  <c r="I5" i="18" s="1"/>
  <c r="H17" i="18"/>
  <c r="H5" i="18" s="1"/>
  <c r="G17" i="18"/>
  <c r="G5" i="18" s="1"/>
  <c r="F17" i="18"/>
  <c r="F5" i="18" s="1"/>
  <c r="E17" i="18"/>
  <c r="E5" i="18" s="1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34" i="8"/>
  <c r="E33" i="8"/>
  <c r="E32" i="8"/>
  <c r="E31" i="8"/>
  <c r="E30" i="8"/>
  <c r="E29" i="8"/>
  <c r="E28" i="8"/>
  <c r="AN74" i="8"/>
  <c r="AB74" i="8"/>
  <c r="P74" i="8"/>
  <c r="AC72" i="8"/>
  <c r="Q72" i="8"/>
  <c r="E72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E875" i="1"/>
  <c r="C32" i="12"/>
  <c r="C31" i="12"/>
  <c r="C35" i="12"/>
  <c r="C34" i="12"/>
  <c r="C33" i="12"/>
  <c r="C30" i="12"/>
  <c r="C29" i="12"/>
  <c r="AN37" i="10" l="1"/>
  <c r="AN5" i="10" s="1"/>
  <c r="X16" i="8"/>
  <c r="AE16" i="8"/>
  <c r="J16" i="8"/>
  <c r="K16" i="8"/>
  <c r="Y16" i="8"/>
  <c r="AM16" i="8"/>
  <c r="T16" i="8"/>
  <c r="E99" i="8"/>
  <c r="E98" i="8"/>
  <c r="E104" i="8"/>
  <c r="L16" i="8"/>
  <c r="Z16" i="8"/>
  <c r="AN16" i="8"/>
  <c r="M16" i="8"/>
  <c r="AA16" i="8"/>
  <c r="AH16" i="8"/>
  <c r="G16" i="8"/>
  <c r="E16" i="8"/>
  <c r="U16" i="8"/>
  <c r="E97" i="8"/>
  <c r="N16" i="8"/>
  <c r="AB16" i="8"/>
  <c r="AI16" i="8"/>
  <c r="O16" i="8"/>
  <c r="AC16" i="8"/>
  <c r="V16" i="8"/>
  <c r="AJ16" i="8"/>
  <c r="Q16" i="8"/>
  <c r="AL16" i="8"/>
  <c r="E108" i="8"/>
  <c r="E107" i="8"/>
  <c r="E106" i="8"/>
  <c r="F16" i="8"/>
  <c r="E105" i="8"/>
  <c r="AF16" i="8"/>
  <c r="S16" i="8"/>
  <c r="AG16" i="8"/>
  <c r="E103" i="8"/>
  <c r="E102" i="8"/>
  <c r="R16" i="8"/>
  <c r="H16" i="8"/>
  <c r="E101" i="8"/>
  <c r="I16" i="8"/>
  <c r="W16" i="8"/>
  <c r="AK16" i="8"/>
  <c r="E100" i="8"/>
  <c r="P16" i="8"/>
  <c r="AD16" i="8"/>
  <c r="E82" i="8"/>
  <c r="AI27" i="8"/>
  <c r="O27" i="8"/>
  <c r="AC27" i="8"/>
  <c r="H27" i="8"/>
  <c r="F27" i="8"/>
  <c r="T27" i="8"/>
  <c r="AH27" i="8"/>
  <c r="M27" i="8"/>
  <c r="AA27" i="8"/>
  <c r="P27" i="8"/>
  <c r="Q27" i="8"/>
  <c r="J27" i="8"/>
  <c r="X27" i="8"/>
  <c r="AL27" i="8"/>
  <c r="R27" i="8"/>
  <c r="AF27" i="8"/>
  <c r="K27" i="8"/>
  <c r="AM27" i="8"/>
  <c r="V27" i="8"/>
  <c r="S27" i="8"/>
  <c r="AG27" i="8"/>
  <c r="L27" i="8"/>
  <c r="Z27" i="8"/>
  <c r="AN27" i="8"/>
  <c r="AJ27" i="8"/>
  <c r="AE27" i="8"/>
  <c r="AD27" i="8"/>
  <c r="I27" i="8"/>
  <c r="W27" i="8"/>
  <c r="AK27" i="8"/>
  <c r="Y27" i="8"/>
  <c r="N27" i="8"/>
  <c r="AB27" i="8"/>
  <c r="G27" i="8"/>
  <c r="U27" i="8"/>
  <c r="E27" i="8"/>
  <c r="E35" i="8"/>
  <c r="AB773" i="1"/>
  <c r="AN773" i="1" s="1"/>
  <c r="AA773" i="1"/>
  <c r="AM773" i="1" s="1"/>
  <c r="Z773" i="1"/>
  <c r="AL773" i="1" s="1"/>
  <c r="Y773" i="1"/>
  <c r="AK773" i="1" s="1"/>
  <c r="X773" i="1"/>
  <c r="AJ773" i="1" s="1"/>
  <c r="W773" i="1"/>
  <c r="AI773" i="1" s="1"/>
  <c r="V773" i="1"/>
  <c r="AH773" i="1" s="1"/>
  <c r="U773" i="1"/>
  <c r="AG773" i="1" s="1"/>
  <c r="T773" i="1"/>
  <c r="AF773" i="1" s="1"/>
  <c r="S773" i="1"/>
  <c r="AE773" i="1" s="1"/>
  <c r="R773" i="1"/>
  <c r="AD773" i="1" s="1"/>
  <c r="Q773" i="1"/>
  <c r="AC773" i="1" s="1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50" i="18" l="1"/>
  <c r="E41" i="18"/>
  <c r="E58" i="18"/>
  <c r="E42" i="18"/>
  <c r="E34" i="18"/>
  <c r="E52" i="18"/>
  <c r="E19" i="18"/>
  <c r="E44" i="18"/>
  <c r="E36" i="18"/>
  <c r="E32" i="18"/>
  <c r="E54" i="18"/>
  <c r="E38" i="18"/>
  <c r="E46" i="18"/>
  <c r="E28" i="18"/>
  <c r="E57" i="18"/>
  <c r="E27" i="18"/>
  <c r="E25" i="18"/>
  <c r="E45" i="18"/>
  <c r="E20" i="18"/>
  <c r="E48" i="18"/>
  <c r="E24" i="18"/>
  <c r="E49" i="18"/>
  <c r="E33" i="18"/>
  <c r="E37" i="18"/>
  <c r="E23" i="18"/>
  <c r="E40" i="18"/>
  <c r="E56" i="18"/>
  <c r="E53" i="18"/>
  <c r="E29" i="18"/>
  <c r="E21" i="18"/>
  <c r="E96" i="8"/>
  <c r="E25" i="8" s="1"/>
  <c r="Q26" i="8"/>
  <c r="AE26" i="8"/>
  <c r="P26" i="8"/>
  <c r="AD26" i="8"/>
  <c r="AA26" i="8"/>
  <c r="AN26" i="8"/>
  <c r="AL26" i="8"/>
  <c r="N26" i="8"/>
  <c r="AB26" i="8"/>
  <c r="R26" i="8"/>
  <c r="AF26" i="8"/>
  <c r="S26" i="8"/>
  <c r="AG26" i="8"/>
  <c r="K26" i="8"/>
  <c r="Y26" i="8"/>
  <c r="AM26" i="8"/>
  <c r="F26" i="8"/>
  <c r="T26" i="8"/>
  <c r="AH26" i="8"/>
  <c r="L26" i="8"/>
  <c r="G26" i="8"/>
  <c r="U26" i="8"/>
  <c r="AI26" i="8"/>
  <c r="M26" i="8"/>
  <c r="J26" i="8"/>
  <c r="X26" i="8"/>
  <c r="Z26" i="8"/>
  <c r="H26" i="8"/>
  <c r="V26" i="8"/>
  <c r="AJ26" i="8"/>
  <c r="I26" i="8"/>
  <c r="W26" i="8"/>
  <c r="AK26" i="8"/>
  <c r="AC26" i="8"/>
  <c r="O26" i="8"/>
  <c r="E39" i="18" l="1"/>
  <c r="E55" i="18"/>
  <c r="E13" i="18" s="1"/>
  <c r="E24" i="8"/>
  <c r="E20" i="8"/>
  <c r="E31" i="18"/>
  <c r="E35" i="18"/>
  <c r="E43" i="18"/>
  <c r="E10" i="18" s="1"/>
  <c r="E21" i="8"/>
  <c r="E18" i="18"/>
  <c r="E6" i="18" s="1"/>
  <c r="E17" i="8"/>
  <c r="E47" i="18"/>
  <c r="E11" i="18" s="1"/>
  <c r="E22" i="8"/>
  <c r="E51" i="18"/>
  <c r="E12" i="18" s="1"/>
  <c r="E23" i="8"/>
  <c r="E26" i="18"/>
  <c r="E8" i="18" s="1"/>
  <c r="E19" i="8"/>
  <c r="E22" i="18"/>
  <c r="E7" i="18" s="1"/>
  <c r="E18" i="8"/>
  <c r="S6" i="8"/>
  <c r="S30" i="12" s="1"/>
  <c r="S60" i="8"/>
  <c r="AG6" i="8"/>
  <c r="AG30" i="12" s="1"/>
  <c r="AG60" i="8"/>
  <c r="X6" i="8"/>
  <c r="X30" i="12" s="1"/>
  <c r="X60" i="8"/>
  <c r="AE6" i="8"/>
  <c r="AE30" i="12" s="1"/>
  <c r="AE60" i="8"/>
  <c r="Z6" i="8"/>
  <c r="Z30" i="12" s="1"/>
  <c r="Z60" i="8"/>
  <c r="AA6" i="8"/>
  <c r="AA30" i="12" s="1"/>
  <c r="AA60" i="8"/>
  <c r="L6" i="8"/>
  <c r="L30" i="12" s="1"/>
  <c r="L60" i="8"/>
  <c r="AD6" i="8"/>
  <c r="AD30" i="12" s="1"/>
  <c r="AD60" i="8"/>
  <c r="AC6" i="8"/>
  <c r="AC30" i="12" s="1"/>
  <c r="AC60" i="8"/>
  <c r="J6" i="8"/>
  <c r="J30" i="12" s="1"/>
  <c r="J60" i="8"/>
  <c r="AH6" i="8"/>
  <c r="AH30" i="12" s="1"/>
  <c r="AH60" i="8"/>
  <c r="P6" i="8"/>
  <c r="P30" i="12" s="1"/>
  <c r="P60" i="8"/>
  <c r="AK6" i="8"/>
  <c r="AK30" i="12" s="1"/>
  <c r="AK60" i="8"/>
  <c r="T6" i="8"/>
  <c r="T30" i="12" s="1"/>
  <c r="T60" i="8"/>
  <c r="W6" i="8"/>
  <c r="W30" i="12" s="1"/>
  <c r="W60" i="8"/>
  <c r="F6" i="8"/>
  <c r="F30" i="12" s="1"/>
  <c r="F60" i="8"/>
  <c r="Q6" i="8"/>
  <c r="Q30" i="12" s="1"/>
  <c r="Q60" i="8"/>
  <c r="I6" i="8"/>
  <c r="I30" i="12" s="1"/>
  <c r="I60" i="8"/>
  <c r="M6" i="8"/>
  <c r="M30" i="12" s="1"/>
  <c r="M60" i="8"/>
  <c r="AI6" i="8"/>
  <c r="AI30" i="12" s="1"/>
  <c r="AI60" i="8"/>
  <c r="AF6" i="8"/>
  <c r="AF30" i="12" s="1"/>
  <c r="AF60" i="8"/>
  <c r="U6" i="8"/>
  <c r="U30" i="12" s="1"/>
  <c r="U60" i="8"/>
  <c r="R6" i="8"/>
  <c r="R30" i="12" s="1"/>
  <c r="R60" i="8"/>
  <c r="O6" i="8"/>
  <c r="O30" i="12" s="1"/>
  <c r="O60" i="8"/>
  <c r="G6" i="8"/>
  <c r="G30" i="12" s="1"/>
  <c r="G60" i="8"/>
  <c r="AJ6" i="8"/>
  <c r="AJ30" i="12" s="1"/>
  <c r="AJ60" i="8"/>
  <c r="AB6" i="8"/>
  <c r="AB30" i="12" s="1"/>
  <c r="AB60" i="8"/>
  <c r="V6" i="8"/>
  <c r="V30" i="12" s="1"/>
  <c r="V60" i="8"/>
  <c r="AM6" i="8"/>
  <c r="AM30" i="12" s="1"/>
  <c r="AM60" i="8"/>
  <c r="N6" i="8"/>
  <c r="N30" i="12" s="1"/>
  <c r="N60" i="8"/>
  <c r="H6" i="8"/>
  <c r="H30" i="12" s="1"/>
  <c r="H60" i="8"/>
  <c r="Y6" i="8"/>
  <c r="Y30" i="12" s="1"/>
  <c r="Y60" i="8"/>
  <c r="AL6" i="8"/>
  <c r="AL30" i="12" s="1"/>
  <c r="AL60" i="8"/>
  <c r="K6" i="8"/>
  <c r="K30" i="12" s="1"/>
  <c r="K60" i="8"/>
  <c r="AN6" i="8"/>
  <c r="AN30" i="12" s="1"/>
  <c r="AN60" i="8"/>
  <c r="E80" i="7"/>
  <c r="E53" i="7" s="1"/>
  <c r="AN135" i="7"/>
  <c r="AN134" i="7"/>
  <c r="AM134" i="7"/>
  <c r="AN133" i="7"/>
  <c r="AM133" i="7"/>
  <c r="AL133" i="7"/>
  <c r="AN132" i="7"/>
  <c r="AM132" i="7"/>
  <c r="AL132" i="7"/>
  <c r="AK132" i="7"/>
  <c r="AN131" i="7"/>
  <c r="AM131" i="7"/>
  <c r="AL131" i="7"/>
  <c r="AK131" i="7"/>
  <c r="AJ131" i="7"/>
  <c r="AN130" i="7"/>
  <c r="AM130" i="7"/>
  <c r="AL130" i="7"/>
  <c r="AK130" i="7"/>
  <c r="AJ130" i="7"/>
  <c r="AI130" i="7"/>
  <c r="AN129" i="7"/>
  <c r="AM129" i="7"/>
  <c r="AL129" i="7"/>
  <c r="AK129" i="7"/>
  <c r="AJ129" i="7"/>
  <c r="AI129" i="7"/>
  <c r="AH129" i="7"/>
  <c r="AN128" i="7"/>
  <c r="AM128" i="7"/>
  <c r="AL128" i="7"/>
  <c r="AK128" i="7"/>
  <c r="AJ128" i="7"/>
  <c r="AI128" i="7"/>
  <c r="AH128" i="7"/>
  <c r="AG128" i="7"/>
  <c r="AN127" i="7"/>
  <c r="AM127" i="7"/>
  <c r="AL127" i="7"/>
  <c r="AK127" i="7"/>
  <c r="AJ127" i="7"/>
  <c r="AI127" i="7"/>
  <c r="AH127" i="7"/>
  <c r="AG127" i="7"/>
  <c r="AF127" i="7"/>
  <c r="AN126" i="7"/>
  <c r="AM126" i="7"/>
  <c r="AL126" i="7"/>
  <c r="AK126" i="7"/>
  <c r="AJ126" i="7"/>
  <c r="AI126" i="7"/>
  <c r="AH126" i="7"/>
  <c r="AG126" i="7"/>
  <c r="AF126" i="7"/>
  <c r="AE126" i="7"/>
  <c r="AN125" i="7"/>
  <c r="AM125" i="7"/>
  <c r="AL125" i="7"/>
  <c r="AK125" i="7"/>
  <c r="AJ125" i="7"/>
  <c r="AI125" i="7"/>
  <c r="AH125" i="7"/>
  <c r="AG125" i="7"/>
  <c r="AF125" i="7"/>
  <c r="AE125" i="7"/>
  <c r="AD125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F80" i="7" s="1"/>
  <c r="F53" i="7" s="1"/>
  <c r="E54" i="7"/>
  <c r="E51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F728" i="1"/>
  <c r="F54" i="7" s="1"/>
  <c r="AN724" i="1"/>
  <c r="AM724" i="1"/>
  <c r="AL724" i="1"/>
  <c r="AK724" i="1"/>
  <c r="AJ724" i="1"/>
  <c r="AI724" i="1"/>
  <c r="AH724" i="1"/>
  <c r="AG724" i="1"/>
  <c r="AF724" i="1"/>
  <c r="AE724" i="1"/>
  <c r="AD724" i="1"/>
  <c r="AC724" i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P724" i="1"/>
  <c r="O724" i="1"/>
  <c r="N724" i="1"/>
  <c r="M724" i="1"/>
  <c r="L724" i="1"/>
  <c r="K724" i="1"/>
  <c r="J724" i="1"/>
  <c r="I724" i="1"/>
  <c r="H724" i="1"/>
  <c r="G724" i="1"/>
  <c r="F724" i="1"/>
  <c r="E724" i="1"/>
  <c r="E733" i="1"/>
  <c r="E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AN767" i="1"/>
  <c r="AN47" i="7" s="1"/>
  <c r="AM767" i="1"/>
  <c r="AM47" i="7" s="1"/>
  <c r="AL767" i="1"/>
  <c r="AL47" i="7" s="1"/>
  <c r="AK767" i="1"/>
  <c r="AK47" i="7" s="1"/>
  <c r="AJ767" i="1"/>
  <c r="AJ47" i="7" s="1"/>
  <c r="AI767" i="1"/>
  <c r="AI47" i="7" s="1"/>
  <c r="AH767" i="1"/>
  <c r="AH47" i="7" s="1"/>
  <c r="AG767" i="1"/>
  <c r="AG47" i="7" s="1"/>
  <c r="AF767" i="1"/>
  <c r="AF47" i="7" s="1"/>
  <c r="AE767" i="1"/>
  <c r="AE47" i="7" s="1"/>
  <c r="AD767" i="1"/>
  <c r="AD47" i="7" s="1"/>
  <c r="AC767" i="1"/>
  <c r="AC47" i="7" s="1"/>
  <c r="AB767" i="1"/>
  <c r="AB47" i="7" s="1"/>
  <c r="AA767" i="1"/>
  <c r="AA47" i="7" s="1"/>
  <c r="Z767" i="1"/>
  <c r="Z47" i="7" s="1"/>
  <c r="Y767" i="1"/>
  <c r="Y47" i="7" s="1"/>
  <c r="X767" i="1"/>
  <c r="X47" i="7" s="1"/>
  <c r="W767" i="1"/>
  <c r="W47" i="7" s="1"/>
  <c r="V767" i="1"/>
  <c r="V47" i="7" s="1"/>
  <c r="U767" i="1"/>
  <c r="U47" i="7" s="1"/>
  <c r="T767" i="1"/>
  <c r="T47" i="7" s="1"/>
  <c r="S767" i="1"/>
  <c r="S47" i="7" s="1"/>
  <c r="R767" i="1"/>
  <c r="R47" i="7" s="1"/>
  <c r="Q767" i="1"/>
  <c r="Q47" i="7" s="1"/>
  <c r="P767" i="1"/>
  <c r="P47" i="7" s="1"/>
  <c r="O767" i="1"/>
  <c r="O47" i="7" s="1"/>
  <c r="N767" i="1"/>
  <c r="N47" i="7" s="1"/>
  <c r="M767" i="1"/>
  <c r="M47" i="7" s="1"/>
  <c r="L767" i="1"/>
  <c r="L47" i="7" s="1"/>
  <c r="K767" i="1"/>
  <c r="K47" i="7" s="1"/>
  <c r="J767" i="1"/>
  <c r="J47" i="7" s="1"/>
  <c r="I767" i="1"/>
  <c r="I47" i="7" s="1"/>
  <c r="H767" i="1"/>
  <c r="H47" i="7" s="1"/>
  <c r="G767" i="1"/>
  <c r="G47" i="7" s="1"/>
  <c r="F767" i="1"/>
  <c r="F47" i="7" s="1"/>
  <c r="E767" i="1"/>
  <c r="E47" i="7" s="1"/>
  <c r="AN763" i="1"/>
  <c r="AN32" i="7" s="1"/>
  <c r="AM763" i="1"/>
  <c r="AM32" i="7" s="1"/>
  <c r="AL763" i="1"/>
  <c r="AL32" i="7" s="1"/>
  <c r="AK763" i="1"/>
  <c r="AK32" i="7" s="1"/>
  <c r="AJ763" i="1"/>
  <c r="AJ32" i="7" s="1"/>
  <c r="AI763" i="1"/>
  <c r="AI32" i="7" s="1"/>
  <c r="AH763" i="1"/>
  <c r="AH32" i="7" s="1"/>
  <c r="AG763" i="1"/>
  <c r="AG32" i="7" s="1"/>
  <c r="AF763" i="1"/>
  <c r="AF32" i="7" s="1"/>
  <c r="AE763" i="1"/>
  <c r="AE32" i="7" s="1"/>
  <c r="AD763" i="1"/>
  <c r="AD32" i="7" s="1"/>
  <c r="AC763" i="1"/>
  <c r="AC32" i="7" s="1"/>
  <c r="AB763" i="1"/>
  <c r="AB32" i="7" s="1"/>
  <c r="AA763" i="1"/>
  <c r="AA32" i="7" s="1"/>
  <c r="Z763" i="1"/>
  <c r="Z32" i="7" s="1"/>
  <c r="Y763" i="1"/>
  <c r="Y32" i="7" s="1"/>
  <c r="X763" i="1"/>
  <c r="X32" i="7" s="1"/>
  <c r="W763" i="1"/>
  <c r="W32" i="7" s="1"/>
  <c r="V763" i="1"/>
  <c r="V32" i="7" s="1"/>
  <c r="U763" i="1"/>
  <c r="U32" i="7" s="1"/>
  <c r="T763" i="1"/>
  <c r="T32" i="7" s="1"/>
  <c r="S763" i="1"/>
  <c r="S32" i="7" s="1"/>
  <c r="R763" i="1"/>
  <c r="R32" i="7" s="1"/>
  <c r="Q763" i="1"/>
  <c r="Q32" i="7" s="1"/>
  <c r="P763" i="1"/>
  <c r="P32" i="7" s="1"/>
  <c r="O763" i="1"/>
  <c r="O32" i="7" s="1"/>
  <c r="N763" i="1"/>
  <c r="N32" i="7" s="1"/>
  <c r="M763" i="1"/>
  <c r="M32" i="7" s="1"/>
  <c r="L763" i="1"/>
  <c r="L32" i="7" s="1"/>
  <c r="K763" i="1"/>
  <c r="K32" i="7" s="1"/>
  <c r="J763" i="1"/>
  <c r="J32" i="7" s="1"/>
  <c r="I763" i="1"/>
  <c r="I32" i="7" s="1"/>
  <c r="H763" i="1"/>
  <c r="H32" i="7" s="1"/>
  <c r="G763" i="1"/>
  <c r="G32" i="7" s="1"/>
  <c r="F763" i="1"/>
  <c r="F32" i="7" s="1"/>
  <c r="E763" i="1"/>
  <c r="E32" i="7" s="1"/>
  <c r="AN753" i="1"/>
  <c r="AM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H753" i="1"/>
  <c r="G753" i="1"/>
  <c r="F753" i="1"/>
  <c r="E753" i="1"/>
  <c r="AN748" i="1"/>
  <c r="AM748" i="1"/>
  <c r="AL748" i="1"/>
  <c r="AK748" i="1"/>
  <c r="AJ748" i="1"/>
  <c r="AI748" i="1"/>
  <c r="AH748" i="1"/>
  <c r="AG748" i="1"/>
  <c r="AF748" i="1"/>
  <c r="AE748" i="1"/>
  <c r="AD748" i="1"/>
  <c r="AC748" i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P748" i="1"/>
  <c r="O748" i="1"/>
  <c r="N748" i="1"/>
  <c r="M748" i="1"/>
  <c r="L748" i="1"/>
  <c r="K748" i="1"/>
  <c r="J748" i="1"/>
  <c r="I748" i="1"/>
  <c r="H748" i="1"/>
  <c r="G748" i="1"/>
  <c r="F748" i="1"/>
  <c r="E748" i="1"/>
  <c r="AN743" i="1"/>
  <c r="AM743" i="1"/>
  <c r="AL743" i="1"/>
  <c r="AK743" i="1"/>
  <c r="AJ743" i="1"/>
  <c r="AI743" i="1"/>
  <c r="AH743" i="1"/>
  <c r="AG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S743" i="1"/>
  <c r="R743" i="1"/>
  <c r="Q743" i="1"/>
  <c r="P743" i="1"/>
  <c r="O743" i="1"/>
  <c r="N743" i="1"/>
  <c r="M743" i="1"/>
  <c r="L743" i="1"/>
  <c r="K743" i="1"/>
  <c r="J743" i="1"/>
  <c r="I743" i="1"/>
  <c r="H743" i="1"/>
  <c r="G743" i="1"/>
  <c r="F743" i="1"/>
  <c r="E743" i="1"/>
  <c r="AN738" i="1"/>
  <c r="AM738" i="1"/>
  <c r="AL738" i="1"/>
  <c r="AK738" i="1"/>
  <c r="AJ738" i="1"/>
  <c r="AI738" i="1"/>
  <c r="AH738" i="1"/>
  <c r="AG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H738" i="1"/>
  <c r="G738" i="1"/>
  <c r="F738" i="1"/>
  <c r="E738" i="1"/>
  <c r="AN733" i="1"/>
  <c r="AM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H733" i="1"/>
  <c r="G733" i="1"/>
  <c r="F733" i="1"/>
  <c r="AB60" i="7"/>
  <c r="AN60" i="7" s="1"/>
  <c r="AA60" i="7"/>
  <c r="AM60" i="7" s="1"/>
  <c r="Z60" i="7"/>
  <c r="AL60" i="7" s="1"/>
  <c r="Y60" i="7"/>
  <c r="AK60" i="7" s="1"/>
  <c r="X60" i="7"/>
  <c r="AJ60" i="7" s="1"/>
  <c r="W60" i="7"/>
  <c r="AI60" i="7" s="1"/>
  <c r="V60" i="7"/>
  <c r="AH60" i="7" s="1"/>
  <c r="U60" i="7"/>
  <c r="AG60" i="7" s="1"/>
  <c r="T60" i="7"/>
  <c r="AF60" i="7" s="1"/>
  <c r="S60" i="7"/>
  <c r="AE60" i="7" s="1"/>
  <c r="R60" i="7"/>
  <c r="AD60" i="7" s="1"/>
  <c r="Q60" i="7"/>
  <c r="AC60" i="7" s="1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E351" i="17"/>
  <c r="E350" i="17"/>
  <c r="E349" i="17"/>
  <c r="E348" i="17"/>
  <c r="E347" i="17"/>
  <c r="E346" i="17"/>
  <c r="E344" i="17"/>
  <c r="E343" i="17"/>
  <c r="E342" i="17"/>
  <c r="E341" i="17"/>
  <c r="E340" i="17"/>
  <c r="E339" i="17"/>
  <c r="E332" i="17"/>
  <c r="E337" i="17"/>
  <c r="E336" i="17"/>
  <c r="E335" i="17"/>
  <c r="E334" i="17"/>
  <c r="E333" i="17"/>
  <c r="E325" i="17"/>
  <c r="E330" i="17"/>
  <c r="E329" i="17"/>
  <c r="E328" i="17"/>
  <c r="E327" i="17"/>
  <c r="E326" i="17"/>
  <c r="E316" i="17"/>
  <c r="E315" i="17"/>
  <c r="E314" i="17"/>
  <c r="E313" i="17"/>
  <c r="E312" i="17"/>
  <c r="E323" i="17"/>
  <c r="E322" i="17"/>
  <c r="E321" i="17"/>
  <c r="E320" i="17"/>
  <c r="E319" i="17"/>
  <c r="E318" i="17"/>
  <c r="E311" i="17"/>
  <c r="E304" i="17"/>
  <c r="E309" i="17"/>
  <c r="E308" i="17"/>
  <c r="E307" i="17"/>
  <c r="E306" i="17"/>
  <c r="E305" i="17"/>
  <c r="E302" i="17"/>
  <c r="E301" i="17"/>
  <c r="E300" i="17"/>
  <c r="E299" i="17"/>
  <c r="E298" i="17"/>
  <c r="E297" i="17"/>
  <c r="E295" i="17"/>
  <c r="E294" i="17"/>
  <c r="E293" i="17"/>
  <c r="E292" i="17"/>
  <c r="E291" i="17"/>
  <c r="E290" i="17"/>
  <c r="E288" i="17"/>
  <c r="E287" i="17"/>
  <c r="E286" i="17"/>
  <c r="E285" i="17"/>
  <c r="E284" i="17"/>
  <c r="E283" i="17"/>
  <c r="E281" i="17"/>
  <c r="E280" i="17"/>
  <c r="E279" i="17"/>
  <c r="E278" i="17"/>
  <c r="E277" i="17"/>
  <c r="E276" i="17"/>
  <c r="E269" i="17"/>
  <c r="E274" i="17"/>
  <c r="E273" i="17"/>
  <c r="E272" i="17"/>
  <c r="E271" i="17"/>
  <c r="E270" i="17"/>
  <c r="G11" i="17"/>
  <c r="H11" i="17" s="1"/>
  <c r="F11" i="17"/>
  <c r="A1" i="34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5" i="30"/>
  <c r="E24" i="30"/>
  <c r="E23" i="30"/>
  <c r="E22" i="30"/>
  <c r="E21" i="30"/>
  <c r="AN701" i="1"/>
  <c r="AM701" i="1"/>
  <c r="AL701" i="1"/>
  <c r="AK701" i="1"/>
  <c r="AJ701" i="1"/>
  <c r="AI701" i="1"/>
  <c r="AH701" i="1"/>
  <c r="AG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H701" i="1"/>
  <c r="G701" i="1"/>
  <c r="F701" i="1"/>
  <c r="E701" i="1"/>
  <c r="AN700" i="1"/>
  <c r="AM700" i="1"/>
  <c r="AL700" i="1"/>
  <c r="AK700" i="1"/>
  <c r="AJ700" i="1"/>
  <c r="AI700" i="1"/>
  <c r="AH700" i="1"/>
  <c r="AG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H700" i="1"/>
  <c r="G700" i="1"/>
  <c r="F700" i="1"/>
  <c r="E700" i="1"/>
  <c r="AN694" i="1"/>
  <c r="AM694" i="1"/>
  <c r="AL694" i="1"/>
  <c r="AK694" i="1"/>
  <c r="AJ694" i="1"/>
  <c r="AI694" i="1"/>
  <c r="AH694" i="1"/>
  <c r="AG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H694" i="1"/>
  <c r="G694" i="1"/>
  <c r="F694" i="1"/>
  <c r="E694" i="1"/>
  <c r="D28" i="37"/>
  <c r="D27" i="37"/>
  <c r="D26" i="37"/>
  <c r="D25" i="37"/>
  <c r="D24" i="37"/>
  <c r="D23" i="37"/>
  <c r="D22" i="37"/>
  <c r="D21" i="37"/>
  <c r="D20" i="37"/>
  <c r="D19" i="37"/>
  <c r="F230" i="1"/>
  <c r="G230" i="1" s="1"/>
  <c r="H230" i="1" s="1"/>
  <c r="F145" i="1"/>
  <c r="G145" i="1" s="1"/>
  <c r="H145" i="1" s="1"/>
  <c r="F60" i="1"/>
  <c r="G60" i="1" s="1"/>
  <c r="H60" i="1" s="1"/>
  <c r="F54" i="1"/>
  <c r="G54" i="1" s="1"/>
  <c r="H54" i="1" s="1"/>
  <c r="C354" i="29"/>
  <c r="C347" i="29"/>
  <c r="C340" i="29"/>
  <c r="C333" i="29"/>
  <c r="C326" i="29"/>
  <c r="C319" i="29"/>
  <c r="C312" i="29"/>
  <c r="C305" i="29"/>
  <c r="C298" i="29"/>
  <c r="C291" i="29"/>
  <c r="C284" i="29"/>
  <c r="C277" i="29"/>
  <c r="C269" i="29"/>
  <c r="C262" i="29"/>
  <c r="C255" i="29"/>
  <c r="C248" i="29"/>
  <c r="C241" i="29"/>
  <c r="C234" i="29"/>
  <c r="C227" i="29"/>
  <c r="C220" i="29"/>
  <c r="C213" i="29"/>
  <c r="C206" i="29"/>
  <c r="C199" i="29"/>
  <c r="C192" i="29"/>
  <c r="C184" i="29"/>
  <c r="C177" i="29"/>
  <c r="C170" i="29"/>
  <c r="C163" i="29"/>
  <c r="C156" i="29"/>
  <c r="C149" i="29"/>
  <c r="C142" i="29"/>
  <c r="C135" i="29"/>
  <c r="C128" i="29"/>
  <c r="C121" i="29"/>
  <c r="C114" i="29"/>
  <c r="C107" i="29"/>
  <c r="C99" i="29"/>
  <c r="C92" i="29"/>
  <c r="C85" i="29"/>
  <c r="C78" i="29"/>
  <c r="C71" i="29"/>
  <c r="C64" i="29"/>
  <c r="C57" i="29"/>
  <c r="C50" i="29"/>
  <c r="C43" i="29"/>
  <c r="C36" i="29"/>
  <c r="C29" i="29"/>
  <c r="C22" i="29"/>
  <c r="AB12" i="29"/>
  <c r="AN12" i="29" s="1"/>
  <c r="AA12" i="29"/>
  <c r="AM12" i="29" s="1"/>
  <c r="Z12" i="29"/>
  <c r="AL12" i="29" s="1"/>
  <c r="Y12" i="29"/>
  <c r="AK12" i="29" s="1"/>
  <c r="X12" i="29"/>
  <c r="AJ12" i="29" s="1"/>
  <c r="W12" i="29"/>
  <c r="AI12" i="29" s="1"/>
  <c r="V12" i="29"/>
  <c r="AH12" i="29" s="1"/>
  <c r="U12" i="29"/>
  <c r="AG12" i="29" s="1"/>
  <c r="T12" i="29"/>
  <c r="AF12" i="29" s="1"/>
  <c r="S12" i="29"/>
  <c r="AE12" i="29" s="1"/>
  <c r="R12" i="29"/>
  <c r="AD12" i="29" s="1"/>
  <c r="Q12" i="29"/>
  <c r="AC12" i="29" s="1"/>
  <c r="B37" i="23"/>
  <c r="B36" i="23"/>
  <c r="B35" i="23"/>
  <c r="B34" i="23"/>
  <c r="B33" i="23"/>
  <c r="B32" i="23"/>
  <c r="B31" i="23"/>
  <c r="B30" i="23"/>
  <c r="B29" i="23"/>
  <c r="B28" i="23"/>
  <c r="B27" i="23"/>
  <c r="B26" i="23"/>
  <c r="C308" i="1"/>
  <c r="C301" i="1"/>
  <c r="C294" i="1"/>
  <c r="C287" i="1"/>
  <c r="C280" i="1"/>
  <c r="C273" i="1"/>
  <c r="C266" i="1"/>
  <c r="C259" i="1"/>
  <c r="C252" i="1"/>
  <c r="C245" i="1"/>
  <c r="C238" i="1"/>
  <c r="C231" i="1"/>
  <c r="C223" i="1"/>
  <c r="C216" i="1"/>
  <c r="C209" i="1"/>
  <c r="C202" i="1"/>
  <c r="C195" i="1"/>
  <c r="C188" i="1"/>
  <c r="C181" i="1"/>
  <c r="C174" i="1"/>
  <c r="C167" i="1"/>
  <c r="C160" i="1"/>
  <c r="C153" i="1"/>
  <c r="C146" i="1"/>
  <c r="C138" i="1"/>
  <c r="C131" i="1"/>
  <c r="C124" i="1"/>
  <c r="C117" i="1"/>
  <c r="C110" i="1"/>
  <c r="C103" i="1"/>
  <c r="C96" i="1"/>
  <c r="C89" i="1"/>
  <c r="C82" i="1"/>
  <c r="C75" i="1"/>
  <c r="C68" i="1"/>
  <c r="C61" i="1"/>
  <c r="E15" i="8" l="1"/>
  <c r="E5" i="8" s="1"/>
  <c r="E29" i="12" s="1"/>
  <c r="E30" i="18"/>
  <c r="E9" i="18" s="1"/>
  <c r="E14" i="18" s="1"/>
  <c r="F86" i="8"/>
  <c r="F100" i="8"/>
  <c r="F87" i="8"/>
  <c r="F101" i="8"/>
  <c r="F88" i="8"/>
  <c r="F102" i="8"/>
  <c r="F90" i="8"/>
  <c r="F104" i="8"/>
  <c r="F91" i="8"/>
  <c r="F105" i="8"/>
  <c r="F89" i="8"/>
  <c r="F103" i="8"/>
  <c r="F92" i="8"/>
  <c r="F106" i="8"/>
  <c r="F93" i="8"/>
  <c r="F107" i="8"/>
  <c r="F94" i="8"/>
  <c r="F108" i="8"/>
  <c r="F83" i="8"/>
  <c r="F97" i="8"/>
  <c r="F84" i="8"/>
  <c r="F98" i="8"/>
  <c r="F85" i="8"/>
  <c r="F99" i="8"/>
  <c r="I80" i="7"/>
  <c r="I53" i="7" s="1"/>
  <c r="F51" i="7"/>
  <c r="G80" i="7"/>
  <c r="G53" i="7" s="1"/>
  <c r="H80" i="7"/>
  <c r="H53" i="7" s="1"/>
  <c r="G728" i="1"/>
  <c r="G54" i="7" s="1"/>
  <c r="E52" i="7"/>
  <c r="F52" i="7"/>
  <c r="H276" i="17"/>
  <c r="H337" i="17"/>
  <c r="H347" i="17"/>
  <c r="H298" i="17"/>
  <c r="H292" i="17"/>
  <c r="H283" i="17"/>
  <c r="H299" i="17"/>
  <c r="H284" i="17"/>
  <c r="H332" i="17"/>
  <c r="H349" i="17"/>
  <c r="H348" i="17"/>
  <c r="H300" i="17"/>
  <c r="H270" i="17"/>
  <c r="H286" i="17"/>
  <c r="H302" i="17"/>
  <c r="H319" i="17"/>
  <c r="H351" i="17"/>
  <c r="H295" i="17"/>
  <c r="H326" i="17"/>
  <c r="F320" i="17"/>
  <c r="E329" i="29" s="1"/>
  <c r="H271" i="17"/>
  <c r="H287" i="17"/>
  <c r="H311" i="17"/>
  <c r="H320" i="17"/>
  <c r="H312" i="17"/>
  <c r="H321" i="17"/>
  <c r="G305" i="17"/>
  <c r="H305" i="17"/>
  <c r="F314" i="17"/>
  <c r="E323" i="29" s="1"/>
  <c r="H277" i="17"/>
  <c r="F277" i="17"/>
  <c r="E22" i="37"/>
  <c r="E23" i="37"/>
  <c r="H330" i="17"/>
  <c r="H278" i="17"/>
  <c r="H294" i="17"/>
  <c r="H334" i="17"/>
  <c r="H343" i="17"/>
  <c r="E19" i="37"/>
  <c r="H281" i="17"/>
  <c r="E24" i="37"/>
  <c r="H279" i="17"/>
  <c r="G279" i="17"/>
  <c r="H344" i="17"/>
  <c r="E20" i="37"/>
  <c r="F326" i="17"/>
  <c r="H280" i="17"/>
  <c r="H297" i="17"/>
  <c r="F297" i="17"/>
  <c r="H336" i="17"/>
  <c r="G329" i="17"/>
  <c r="H346" i="17"/>
  <c r="F346" i="17"/>
  <c r="H327" i="17"/>
  <c r="E21" i="37"/>
  <c r="E27" i="37"/>
  <c r="F280" i="17"/>
  <c r="E289" i="29" s="1"/>
  <c r="F293" i="17"/>
  <c r="G306" i="17"/>
  <c r="H335" i="17"/>
  <c r="G280" i="17"/>
  <c r="H273" i="17"/>
  <c r="H290" i="17"/>
  <c r="F290" i="17"/>
  <c r="E299" i="29" s="1"/>
  <c r="H306" i="17"/>
  <c r="H322" i="17"/>
  <c r="H339" i="17"/>
  <c r="F339" i="17"/>
  <c r="E348" i="29" s="1"/>
  <c r="H272" i="17"/>
  <c r="G272" i="17"/>
  <c r="H274" i="17"/>
  <c r="H291" i="17"/>
  <c r="H307" i="17"/>
  <c r="H323" i="17"/>
  <c r="G323" i="17"/>
  <c r="H340" i="17"/>
  <c r="F273" i="17"/>
  <c r="E282" i="29" s="1"/>
  <c r="G314" i="17"/>
  <c r="H315" i="17"/>
  <c r="H325" i="17"/>
  <c r="H341" i="17"/>
  <c r="G273" i="17"/>
  <c r="F288" i="17"/>
  <c r="E297" i="29" s="1"/>
  <c r="H293" i="17"/>
  <c r="G293" i="17"/>
  <c r="G316" i="17"/>
  <c r="F309" i="17"/>
  <c r="H333" i="17"/>
  <c r="H342" i="17"/>
  <c r="H269" i="17"/>
  <c r="H285" i="17"/>
  <c r="H301" i="17"/>
  <c r="H318" i="17"/>
  <c r="H350" i="17"/>
  <c r="E25" i="37"/>
  <c r="E28" i="37"/>
  <c r="H304" i="17"/>
  <c r="F319" i="17"/>
  <c r="E328" i="29" s="1"/>
  <c r="G313" i="17"/>
  <c r="H328" i="17"/>
  <c r="G337" i="17"/>
  <c r="F276" i="17"/>
  <c r="E285" i="29" s="1"/>
  <c r="F284" i="17"/>
  <c r="E293" i="29" s="1"/>
  <c r="F292" i="17"/>
  <c r="E301" i="29" s="1"/>
  <c r="F300" i="17"/>
  <c r="G308" i="17"/>
  <c r="G319" i="17"/>
  <c r="H313" i="17"/>
  <c r="G325" i="17"/>
  <c r="F334" i="17"/>
  <c r="F341" i="17"/>
  <c r="E350" i="29" s="1"/>
  <c r="F349" i="17"/>
  <c r="F298" i="17"/>
  <c r="G287" i="17"/>
  <c r="G295" i="17"/>
  <c r="F308" i="17"/>
  <c r="E317" i="29" s="1"/>
  <c r="F325" i="17"/>
  <c r="E334" i="29" s="1"/>
  <c r="G344" i="17"/>
  <c r="F272" i="17"/>
  <c r="G276" i="17"/>
  <c r="G284" i="17"/>
  <c r="G292" i="17"/>
  <c r="G300" i="17"/>
  <c r="F305" i="17"/>
  <c r="H308" i="17"/>
  <c r="F323" i="17"/>
  <c r="F329" i="17"/>
  <c r="E338" i="29" s="1"/>
  <c r="G334" i="17"/>
  <c r="F332" i="17"/>
  <c r="E341" i="29" s="1"/>
  <c r="G341" i="17"/>
  <c r="G349" i="17"/>
  <c r="G269" i="17"/>
  <c r="F285" i="17"/>
  <c r="F301" i="17"/>
  <c r="E310" i="29" s="1"/>
  <c r="G320" i="17"/>
  <c r="F311" i="17"/>
  <c r="H314" i="17"/>
  <c r="G326" i="17"/>
  <c r="F335" i="17"/>
  <c r="E344" i="29" s="1"/>
  <c r="F342" i="17"/>
  <c r="F350" i="17"/>
  <c r="E359" i="29" s="1"/>
  <c r="G332" i="17"/>
  <c r="G277" i="17"/>
  <c r="G285" i="17"/>
  <c r="G301" i="17"/>
  <c r="F306" i="17"/>
  <c r="E315" i="29" s="1"/>
  <c r="G311" i="17"/>
  <c r="F330" i="17"/>
  <c r="E339" i="29" s="1"/>
  <c r="G335" i="17"/>
  <c r="G342" i="17"/>
  <c r="G350" i="17"/>
  <c r="F294" i="17"/>
  <c r="F302" i="17"/>
  <c r="E311" i="29" s="1"/>
  <c r="G321" i="17"/>
  <c r="F312" i="17"/>
  <c r="E321" i="29" s="1"/>
  <c r="G327" i="17"/>
  <c r="F336" i="17"/>
  <c r="E345" i="29" s="1"/>
  <c r="F343" i="17"/>
  <c r="E352" i="29" s="1"/>
  <c r="F351" i="17"/>
  <c r="E360" i="29" s="1"/>
  <c r="F269" i="17"/>
  <c r="E278" i="29" s="1"/>
  <c r="F315" i="17"/>
  <c r="E324" i="29" s="1"/>
  <c r="G330" i="17"/>
  <c r="F270" i="17"/>
  <c r="E279" i="29" s="1"/>
  <c r="G281" i="17"/>
  <c r="G298" i="17"/>
  <c r="G270" i="17"/>
  <c r="F274" i="17"/>
  <c r="E283" i="29" s="1"/>
  <c r="G278" i="17"/>
  <c r="G286" i="17"/>
  <c r="G294" i="17"/>
  <c r="F307" i="17"/>
  <c r="E316" i="29" s="1"/>
  <c r="F318" i="17"/>
  <c r="E327" i="29" s="1"/>
  <c r="G312" i="17"/>
  <c r="G336" i="17"/>
  <c r="G343" i="17"/>
  <c r="G351" i="17"/>
  <c r="G274" i="17"/>
  <c r="F283" i="17"/>
  <c r="F291" i="17"/>
  <c r="F300" i="29" s="1"/>
  <c r="F299" i="17"/>
  <c r="G307" i="17"/>
  <c r="G318" i="17"/>
  <c r="F316" i="17"/>
  <c r="E325" i="29" s="1"/>
  <c r="F333" i="17"/>
  <c r="F342" i="29" s="1"/>
  <c r="F340" i="17"/>
  <c r="F348" i="17"/>
  <c r="E357" i="29" s="1"/>
  <c r="F281" i="17"/>
  <c r="F347" i="17"/>
  <c r="F321" i="17"/>
  <c r="G315" i="17"/>
  <c r="G347" i="17"/>
  <c r="F286" i="17"/>
  <c r="E295" i="29" s="1"/>
  <c r="F271" i="17"/>
  <c r="E280" i="29" s="1"/>
  <c r="G283" i="17"/>
  <c r="G291" i="17"/>
  <c r="G299" i="17"/>
  <c r="F304" i="17"/>
  <c r="F313" i="29" s="1"/>
  <c r="F322" i="17"/>
  <c r="E331" i="29" s="1"/>
  <c r="F328" i="17"/>
  <c r="E337" i="29" s="1"/>
  <c r="G333" i="17"/>
  <c r="G340" i="17"/>
  <c r="G348" i="17"/>
  <c r="F327" i="17"/>
  <c r="F278" i="17"/>
  <c r="E287" i="29" s="1"/>
  <c r="G302" i="17"/>
  <c r="G271" i="17"/>
  <c r="F279" i="17"/>
  <c r="E288" i="29" s="1"/>
  <c r="F287" i="17"/>
  <c r="F295" i="17"/>
  <c r="E304" i="29" s="1"/>
  <c r="G304" i="17"/>
  <c r="G322" i="17"/>
  <c r="F313" i="17"/>
  <c r="E322" i="29" s="1"/>
  <c r="G328" i="17"/>
  <c r="F337" i="17"/>
  <c r="E346" i="29" s="1"/>
  <c r="F344" i="17"/>
  <c r="C661" i="1"/>
  <c r="C630" i="1"/>
  <c r="C599" i="1"/>
  <c r="C568" i="1"/>
  <c r="C537" i="1"/>
  <c r="C506" i="1"/>
  <c r="C475" i="1"/>
  <c r="C444" i="1"/>
  <c r="C413" i="1"/>
  <c r="C382" i="1"/>
  <c r="C351" i="1"/>
  <c r="C320" i="1"/>
  <c r="AB315" i="1"/>
  <c r="AN315" i="1" s="1"/>
  <c r="AA315" i="1"/>
  <c r="AM315" i="1" s="1"/>
  <c r="Z315" i="1"/>
  <c r="AL315" i="1" s="1"/>
  <c r="Y315" i="1"/>
  <c r="AK315" i="1" s="1"/>
  <c r="X315" i="1"/>
  <c r="AJ315" i="1" s="1"/>
  <c r="W315" i="1"/>
  <c r="AI315" i="1" s="1"/>
  <c r="V315" i="1"/>
  <c r="AH315" i="1" s="1"/>
  <c r="U315" i="1"/>
  <c r="AG315" i="1" s="1"/>
  <c r="T315" i="1"/>
  <c r="AF315" i="1" s="1"/>
  <c r="S315" i="1"/>
  <c r="AE315" i="1" s="1"/>
  <c r="R315" i="1"/>
  <c r="AD315" i="1" s="1"/>
  <c r="Q315" i="1"/>
  <c r="AC315" i="1" s="1"/>
  <c r="AB20" i="29"/>
  <c r="AN20" i="29" s="1"/>
  <c r="AA20" i="29"/>
  <c r="AM20" i="29" s="1"/>
  <c r="Z20" i="29"/>
  <c r="AL20" i="29" s="1"/>
  <c r="Y20" i="29"/>
  <c r="AK20" i="29" s="1"/>
  <c r="X20" i="29"/>
  <c r="AJ20" i="29" s="1"/>
  <c r="W20" i="29"/>
  <c r="AI20" i="29" s="1"/>
  <c r="V20" i="29"/>
  <c r="AH20" i="29" s="1"/>
  <c r="U20" i="29"/>
  <c r="AG20" i="29" s="1"/>
  <c r="T20" i="29"/>
  <c r="AF20" i="29" s="1"/>
  <c r="S20" i="29"/>
  <c r="AE20" i="29" s="1"/>
  <c r="R20" i="29"/>
  <c r="AD20" i="29" s="1"/>
  <c r="Q20" i="29"/>
  <c r="AC20" i="29" s="1"/>
  <c r="AB4" i="29"/>
  <c r="AN4" i="29" s="1"/>
  <c r="AA4" i="29"/>
  <c r="AM4" i="29" s="1"/>
  <c r="Z4" i="29"/>
  <c r="AL4" i="29" s="1"/>
  <c r="Y4" i="29"/>
  <c r="AK4" i="29" s="1"/>
  <c r="X4" i="29"/>
  <c r="AJ4" i="29" s="1"/>
  <c r="W4" i="29"/>
  <c r="AI4" i="29" s="1"/>
  <c r="V4" i="29"/>
  <c r="AH4" i="29" s="1"/>
  <c r="U4" i="29"/>
  <c r="AG4" i="29" s="1"/>
  <c r="T4" i="29"/>
  <c r="AF4" i="29" s="1"/>
  <c r="S4" i="29"/>
  <c r="AE4" i="29" s="1"/>
  <c r="R4" i="29"/>
  <c r="AD4" i="29" s="1"/>
  <c r="Q4" i="29"/>
  <c r="AC4" i="29" s="1"/>
  <c r="C21" i="35"/>
  <c r="A1" i="35"/>
  <c r="A1" i="33"/>
  <c r="E25" i="34"/>
  <c r="D25" i="34"/>
  <c r="C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C126" i="32"/>
  <c r="C122" i="32"/>
  <c r="C120" i="32"/>
  <c r="C110" i="32"/>
  <c r="C116" i="32"/>
  <c r="C76" i="32"/>
  <c r="C73" i="32"/>
  <c r="C78" i="32"/>
  <c r="C114" i="32" s="1"/>
  <c r="C80" i="32"/>
  <c r="C87" i="32"/>
  <c r="C84" i="32"/>
  <c r="C52" i="32"/>
  <c r="C46" i="32"/>
  <c r="C34" i="32"/>
  <c r="E26" i="30" s="1"/>
  <c r="C57" i="32"/>
  <c r="C127" i="32" s="1"/>
  <c r="C345" i="17"/>
  <c r="C338" i="17"/>
  <c r="C331" i="17"/>
  <c r="C324" i="17"/>
  <c r="C317" i="17"/>
  <c r="C310" i="17"/>
  <c r="C303" i="17"/>
  <c r="C296" i="17"/>
  <c r="C289" i="17"/>
  <c r="C282" i="17"/>
  <c r="C275" i="17"/>
  <c r="C268" i="17"/>
  <c r="C260" i="17"/>
  <c r="C253" i="17"/>
  <c r="C246" i="17"/>
  <c r="C239" i="17"/>
  <c r="C232" i="17"/>
  <c r="C225" i="17"/>
  <c r="C218" i="17"/>
  <c r="C211" i="17"/>
  <c r="C204" i="17"/>
  <c r="C197" i="17"/>
  <c r="C190" i="17"/>
  <c r="C183" i="17"/>
  <c r="C175" i="17"/>
  <c r="C168" i="17"/>
  <c r="C161" i="17"/>
  <c r="C154" i="17"/>
  <c r="C147" i="17"/>
  <c r="C140" i="17"/>
  <c r="C133" i="17"/>
  <c r="C126" i="17"/>
  <c r="C119" i="17"/>
  <c r="C112" i="17"/>
  <c r="C105" i="17"/>
  <c r="C98" i="17"/>
  <c r="C90" i="17"/>
  <c r="C83" i="17"/>
  <c r="C76" i="17"/>
  <c r="C69" i="17"/>
  <c r="C62" i="17"/>
  <c r="C55" i="17"/>
  <c r="C48" i="17"/>
  <c r="C41" i="17"/>
  <c r="C34" i="17"/>
  <c r="C27" i="17"/>
  <c r="C20" i="17"/>
  <c r="C13" i="17"/>
  <c r="A1" i="32"/>
  <c r="E345" i="17"/>
  <c r="E338" i="17"/>
  <c r="E331" i="17"/>
  <c r="E324" i="17"/>
  <c r="E317" i="17"/>
  <c r="E310" i="17"/>
  <c r="E303" i="17"/>
  <c r="E296" i="17"/>
  <c r="E289" i="17"/>
  <c r="E282" i="17"/>
  <c r="E275" i="17"/>
  <c r="E268" i="17"/>
  <c r="C18" i="30"/>
  <c r="C17" i="30"/>
  <c r="C16" i="30"/>
  <c r="C15" i="30"/>
  <c r="C14" i="30"/>
  <c r="C13" i="30"/>
  <c r="A1" i="30"/>
  <c r="F4" i="17"/>
  <c r="G4" i="17" s="1"/>
  <c r="H4" i="17" s="1"/>
  <c r="AB16" i="18"/>
  <c r="AN16" i="18" s="1"/>
  <c r="AA16" i="18"/>
  <c r="AM16" i="18" s="1"/>
  <c r="Z16" i="18"/>
  <c r="AL16" i="18" s="1"/>
  <c r="Y16" i="18"/>
  <c r="AK16" i="18" s="1"/>
  <c r="X16" i="18"/>
  <c r="AJ16" i="18" s="1"/>
  <c r="W16" i="18"/>
  <c r="AI16" i="18" s="1"/>
  <c r="V16" i="18"/>
  <c r="AH16" i="18" s="1"/>
  <c r="U16" i="18"/>
  <c r="AG16" i="18" s="1"/>
  <c r="T16" i="18"/>
  <c r="AF16" i="18" s="1"/>
  <c r="S16" i="18"/>
  <c r="AE16" i="18" s="1"/>
  <c r="R16" i="18"/>
  <c r="AD16" i="18" s="1"/>
  <c r="Q16" i="18"/>
  <c r="AC16" i="18" s="1"/>
  <c r="AB4" i="18"/>
  <c r="AN4" i="18" s="1"/>
  <c r="AA4" i="18"/>
  <c r="AM4" i="18" s="1"/>
  <c r="Z4" i="18"/>
  <c r="AL4" i="18" s="1"/>
  <c r="Y4" i="18"/>
  <c r="AK4" i="18" s="1"/>
  <c r="X4" i="18"/>
  <c r="AJ4" i="18" s="1"/>
  <c r="W4" i="18"/>
  <c r="AI4" i="18" s="1"/>
  <c r="V4" i="18"/>
  <c r="AH4" i="18" s="1"/>
  <c r="U4" i="18"/>
  <c r="AG4" i="18" s="1"/>
  <c r="T4" i="18"/>
  <c r="AF4" i="18" s="1"/>
  <c r="S4" i="18"/>
  <c r="AE4" i="18" s="1"/>
  <c r="R4" i="18"/>
  <c r="AD4" i="18" s="1"/>
  <c r="Q4" i="18"/>
  <c r="AC4" i="18" s="1"/>
  <c r="AB12" i="14"/>
  <c r="AN12" i="14" s="1"/>
  <c r="AA12" i="14"/>
  <c r="AM12" i="14" s="1"/>
  <c r="Z12" i="14"/>
  <c r="AL12" i="14" s="1"/>
  <c r="Y12" i="14"/>
  <c r="AK12" i="14" s="1"/>
  <c r="X12" i="14"/>
  <c r="AJ12" i="14" s="1"/>
  <c r="W12" i="14"/>
  <c r="AI12" i="14" s="1"/>
  <c r="V12" i="14"/>
  <c r="AH12" i="14" s="1"/>
  <c r="U12" i="14"/>
  <c r="AG12" i="14" s="1"/>
  <c r="T12" i="14"/>
  <c r="AF12" i="14" s="1"/>
  <c r="S12" i="14"/>
  <c r="AE12" i="14" s="1"/>
  <c r="R12" i="14"/>
  <c r="AD12" i="14" s="1"/>
  <c r="Q12" i="14"/>
  <c r="AC12" i="14" s="1"/>
  <c r="AB4" i="14"/>
  <c r="AN4" i="14" s="1"/>
  <c r="AA4" i="14"/>
  <c r="AM4" i="14" s="1"/>
  <c r="Z4" i="14"/>
  <c r="AL4" i="14" s="1"/>
  <c r="Y4" i="14"/>
  <c r="AK4" i="14" s="1"/>
  <c r="X4" i="14"/>
  <c r="AJ4" i="14" s="1"/>
  <c r="W4" i="14"/>
  <c r="AI4" i="14" s="1"/>
  <c r="V4" i="14"/>
  <c r="AH4" i="14" s="1"/>
  <c r="U4" i="14"/>
  <c r="AG4" i="14" s="1"/>
  <c r="T4" i="14"/>
  <c r="AF4" i="14" s="1"/>
  <c r="S4" i="14"/>
  <c r="AE4" i="14" s="1"/>
  <c r="R4" i="14"/>
  <c r="AD4" i="14" s="1"/>
  <c r="Q4" i="14"/>
  <c r="AC4" i="14" s="1"/>
  <c r="AB9" i="13"/>
  <c r="AN9" i="13" s="1"/>
  <c r="AA9" i="13"/>
  <c r="AM9" i="13" s="1"/>
  <c r="Z9" i="13"/>
  <c r="AL9" i="13" s="1"/>
  <c r="Y9" i="13"/>
  <c r="AK9" i="13" s="1"/>
  <c r="X9" i="13"/>
  <c r="AJ9" i="13" s="1"/>
  <c r="W9" i="13"/>
  <c r="AI9" i="13" s="1"/>
  <c r="V9" i="13"/>
  <c r="AH9" i="13" s="1"/>
  <c r="U9" i="13"/>
  <c r="AG9" i="13" s="1"/>
  <c r="T9" i="13"/>
  <c r="AF9" i="13" s="1"/>
  <c r="S9" i="13"/>
  <c r="AE9" i="13" s="1"/>
  <c r="R9" i="13"/>
  <c r="AD9" i="13" s="1"/>
  <c r="Q9" i="13"/>
  <c r="AC9" i="13" s="1"/>
  <c r="AB4" i="13"/>
  <c r="AN4" i="13" s="1"/>
  <c r="AA4" i="13"/>
  <c r="AM4" i="13" s="1"/>
  <c r="Z4" i="13"/>
  <c r="AL4" i="13" s="1"/>
  <c r="Y4" i="13"/>
  <c r="AK4" i="13" s="1"/>
  <c r="X4" i="13"/>
  <c r="AJ4" i="13" s="1"/>
  <c r="W4" i="13"/>
  <c r="AI4" i="13" s="1"/>
  <c r="V4" i="13"/>
  <c r="AH4" i="13" s="1"/>
  <c r="U4" i="13"/>
  <c r="AG4" i="13" s="1"/>
  <c r="T4" i="13"/>
  <c r="AF4" i="13" s="1"/>
  <c r="S4" i="13"/>
  <c r="AE4" i="13" s="1"/>
  <c r="R4" i="13"/>
  <c r="AD4" i="13" s="1"/>
  <c r="Q4" i="13"/>
  <c r="AC4" i="13" s="1"/>
  <c r="AB12" i="2"/>
  <c r="AN12" i="2" s="1"/>
  <c r="AA12" i="2"/>
  <c r="AM12" i="2" s="1"/>
  <c r="Z12" i="2"/>
  <c r="AL12" i="2" s="1"/>
  <c r="Y12" i="2"/>
  <c r="AK12" i="2" s="1"/>
  <c r="X12" i="2"/>
  <c r="AJ12" i="2" s="1"/>
  <c r="W12" i="2"/>
  <c r="AI12" i="2" s="1"/>
  <c r="V12" i="2"/>
  <c r="AH12" i="2" s="1"/>
  <c r="U12" i="2"/>
  <c r="AG12" i="2" s="1"/>
  <c r="T12" i="2"/>
  <c r="AF12" i="2" s="1"/>
  <c r="S12" i="2"/>
  <c r="AE12" i="2" s="1"/>
  <c r="R12" i="2"/>
  <c r="AD12" i="2" s="1"/>
  <c r="Q12" i="2"/>
  <c r="AC12" i="2" s="1"/>
  <c r="AI21" i="12"/>
  <c r="AB21" i="12"/>
  <c r="AN21" i="12" s="1"/>
  <c r="AA21" i="12"/>
  <c r="AM21" i="12" s="1"/>
  <c r="Z21" i="12"/>
  <c r="AL21" i="12" s="1"/>
  <c r="Y21" i="12"/>
  <c r="AK21" i="12" s="1"/>
  <c r="X21" i="12"/>
  <c r="AJ21" i="12" s="1"/>
  <c r="W21" i="12"/>
  <c r="V21" i="12"/>
  <c r="AH21" i="12" s="1"/>
  <c r="U21" i="12"/>
  <c r="AG21" i="12" s="1"/>
  <c r="T21" i="12"/>
  <c r="AF21" i="12" s="1"/>
  <c r="S21" i="12"/>
  <c r="AE21" i="12" s="1"/>
  <c r="R21" i="12"/>
  <c r="AD21" i="12" s="1"/>
  <c r="Q21" i="12"/>
  <c r="AC21" i="12" s="1"/>
  <c r="AB4" i="12"/>
  <c r="AN4" i="12" s="1"/>
  <c r="AA4" i="12"/>
  <c r="AM4" i="12" s="1"/>
  <c r="Z4" i="12"/>
  <c r="AL4" i="12" s="1"/>
  <c r="Y4" i="12"/>
  <c r="AK4" i="12" s="1"/>
  <c r="X4" i="12"/>
  <c r="AJ4" i="12" s="1"/>
  <c r="W4" i="12"/>
  <c r="AI4" i="12" s="1"/>
  <c r="V4" i="12"/>
  <c r="AH4" i="12" s="1"/>
  <c r="U4" i="12"/>
  <c r="AG4" i="12" s="1"/>
  <c r="T4" i="12"/>
  <c r="AF4" i="12" s="1"/>
  <c r="S4" i="12"/>
  <c r="AE4" i="12" s="1"/>
  <c r="R4" i="12"/>
  <c r="AD4" i="12" s="1"/>
  <c r="Q4" i="12"/>
  <c r="AC4" i="12" s="1"/>
  <c r="AB4" i="21"/>
  <c r="AN4" i="21" s="1"/>
  <c r="AA4" i="21"/>
  <c r="AM4" i="21" s="1"/>
  <c r="Z4" i="21"/>
  <c r="AL4" i="21" s="1"/>
  <c r="Y4" i="21"/>
  <c r="AK4" i="21" s="1"/>
  <c r="X4" i="21"/>
  <c r="AJ4" i="21" s="1"/>
  <c r="W4" i="21"/>
  <c r="AI4" i="21" s="1"/>
  <c r="V4" i="21"/>
  <c r="AH4" i="21" s="1"/>
  <c r="U4" i="21"/>
  <c r="AG4" i="21" s="1"/>
  <c r="T4" i="21"/>
  <c r="AF4" i="21" s="1"/>
  <c r="S4" i="21"/>
  <c r="AE4" i="21" s="1"/>
  <c r="R4" i="21"/>
  <c r="AD4" i="21" s="1"/>
  <c r="Q4" i="21"/>
  <c r="AC4" i="21" s="1"/>
  <c r="AL12" i="10"/>
  <c r="AB12" i="10"/>
  <c r="AN12" i="10" s="1"/>
  <c r="AA12" i="10"/>
  <c r="AM12" i="10" s="1"/>
  <c r="Z12" i="10"/>
  <c r="Y12" i="10"/>
  <c r="AK12" i="10" s="1"/>
  <c r="X12" i="10"/>
  <c r="AJ12" i="10" s="1"/>
  <c r="W12" i="10"/>
  <c r="AI12" i="10" s="1"/>
  <c r="V12" i="10"/>
  <c r="AH12" i="10" s="1"/>
  <c r="U12" i="10"/>
  <c r="AG12" i="10" s="1"/>
  <c r="T12" i="10"/>
  <c r="AF12" i="10" s="1"/>
  <c r="S12" i="10"/>
  <c r="AE12" i="10" s="1"/>
  <c r="R12" i="10"/>
  <c r="AD12" i="10" s="1"/>
  <c r="Q12" i="10"/>
  <c r="AC12" i="10" s="1"/>
  <c r="AK4" i="10"/>
  <c r="AG4" i="10"/>
  <c r="AB4" i="10"/>
  <c r="AN4" i="10" s="1"/>
  <c r="AA4" i="10"/>
  <c r="AM4" i="10" s="1"/>
  <c r="Z4" i="10"/>
  <c r="AL4" i="10" s="1"/>
  <c r="Y4" i="10"/>
  <c r="X4" i="10"/>
  <c r="AJ4" i="10" s="1"/>
  <c r="W4" i="10"/>
  <c r="AI4" i="10" s="1"/>
  <c r="V4" i="10"/>
  <c r="AH4" i="10" s="1"/>
  <c r="U4" i="10"/>
  <c r="T4" i="10"/>
  <c r="AF4" i="10" s="1"/>
  <c r="S4" i="10"/>
  <c r="AE4" i="10" s="1"/>
  <c r="R4" i="10"/>
  <c r="AD4" i="10" s="1"/>
  <c r="Q4" i="10"/>
  <c r="AC4" i="10" s="1"/>
  <c r="AB12" i="9"/>
  <c r="AA12" i="9"/>
  <c r="Z12" i="9"/>
  <c r="Y12" i="9"/>
  <c r="X12" i="9"/>
  <c r="W12" i="9"/>
  <c r="V12" i="9"/>
  <c r="U12" i="9"/>
  <c r="T12" i="9"/>
  <c r="S12" i="9"/>
  <c r="R12" i="9"/>
  <c r="AD12" i="9" s="1"/>
  <c r="Q12" i="9"/>
  <c r="AB4" i="9"/>
  <c r="AN4" i="9" s="1"/>
  <c r="AA4" i="9"/>
  <c r="AM4" i="9" s="1"/>
  <c r="Z4" i="9"/>
  <c r="AL4" i="9" s="1"/>
  <c r="Y4" i="9"/>
  <c r="AK4" i="9" s="1"/>
  <c r="X4" i="9"/>
  <c r="AJ4" i="9" s="1"/>
  <c r="W4" i="9"/>
  <c r="AI4" i="9" s="1"/>
  <c r="V4" i="9"/>
  <c r="AH4" i="9" s="1"/>
  <c r="U4" i="9"/>
  <c r="AG4" i="9" s="1"/>
  <c r="T4" i="9"/>
  <c r="AF4" i="9" s="1"/>
  <c r="S4" i="9"/>
  <c r="AE4" i="9" s="1"/>
  <c r="R4" i="9"/>
  <c r="AD4" i="9" s="1"/>
  <c r="Q4" i="9"/>
  <c r="AC4" i="9" s="1"/>
  <c r="AB14" i="8"/>
  <c r="AN14" i="8" s="1"/>
  <c r="AA14" i="8"/>
  <c r="AM14" i="8" s="1"/>
  <c r="Z14" i="8"/>
  <c r="AL14" i="8" s="1"/>
  <c r="Y14" i="8"/>
  <c r="AK14" i="8" s="1"/>
  <c r="X14" i="8"/>
  <c r="AJ14" i="8" s="1"/>
  <c r="W14" i="8"/>
  <c r="AI14" i="8" s="1"/>
  <c r="V14" i="8"/>
  <c r="AH14" i="8" s="1"/>
  <c r="U14" i="8"/>
  <c r="AG14" i="8" s="1"/>
  <c r="T14" i="8"/>
  <c r="AF14" i="8" s="1"/>
  <c r="S14" i="8"/>
  <c r="AE14" i="8" s="1"/>
  <c r="R14" i="8"/>
  <c r="AD14" i="8" s="1"/>
  <c r="Q14" i="8"/>
  <c r="AC14" i="8" s="1"/>
  <c r="AB4" i="8"/>
  <c r="AN4" i="8" s="1"/>
  <c r="AA4" i="8"/>
  <c r="AM4" i="8" s="1"/>
  <c r="Z4" i="8"/>
  <c r="AL4" i="8" s="1"/>
  <c r="Y4" i="8"/>
  <c r="AK4" i="8" s="1"/>
  <c r="X4" i="8"/>
  <c r="AJ4" i="8" s="1"/>
  <c r="W4" i="8"/>
  <c r="AI4" i="8" s="1"/>
  <c r="V4" i="8"/>
  <c r="AH4" i="8" s="1"/>
  <c r="U4" i="8"/>
  <c r="AG4" i="8" s="1"/>
  <c r="T4" i="8"/>
  <c r="AF4" i="8" s="1"/>
  <c r="S4" i="8"/>
  <c r="AE4" i="8" s="1"/>
  <c r="R4" i="8"/>
  <c r="AD4" i="8" s="1"/>
  <c r="Q4" i="8"/>
  <c r="AC4" i="8" s="1"/>
  <c r="AB12" i="7"/>
  <c r="AN12" i="7" s="1"/>
  <c r="AA12" i="7"/>
  <c r="AM12" i="7" s="1"/>
  <c r="Z12" i="7"/>
  <c r="AL12" i="7" s="1"/>
  <c r="Y12" i="7"/>
  <c r="AK12" i="7" s="1"/>
  <c r="X12" i="7"/>
  <c r="AJ12" i="7" s="1"/>
  <c r="W12" i="7"/>
  <c r="AI12" i="7" s="1"/>
  <c r="V12" i="7"/>
  <c r="AH12" i="7" s="1"/>
  <c r="U12" i="7"/>
  <c r="AG12" i="7" s="1"/>
  <c r="T12" i="7"/>
  <c r="AF12" i="7" s="1"/>
  <c r="S12" i="7"/>
  <c r="AE12" i="7" s="1"/>
  <c r="R12" i="7"/>
  <c r="AD12" i="7" s="1"/>
  <c r="Q12" i="7"/>
  <c r="AC12" i="7" s="1"/>
  <c r="AB4" i="7"/>
  <c r="AN4" i="7" s="1"/>
  <c r="AA4" i="7"/>
  <c r="AM4" i="7" s="1"/>
  <c r="Z4" i="7"/>
  <c r="AL4" i="7" s="1"/>
  <c r="Y4" i="7"/>
  <c r="AK4" i="7" s="1"/>
  <c r="X4" i="7"/>
  <c r="AJ4" i="7" s="1"/>
  <c r="W4" i="7"/>
  <c r="AI4" i="7" s="1"/>
  <c r="V4" i="7"/>
  <c r="AH4" i="7" s="1"/>
  <c r="U4" i="7"/>
  <c r="AG4" i="7" s="1"/>
  <c r="T4" i="7"/>
  <c r="AF4" i="7" s="1"/>
  <c r="S4" i="7"/>
  <c r="AE4" i="7" s="1"/>
  <c r="R4" i="7"/>
  <c r="AD4" i="7" s="1"/>
  <c r="Q4" i="7"/>
  <c r="AC4" i="7" s="1"/>
  <c r="D19" i="31"/>
  <c r="AB10" i="1"/>
  <c r="AN10" i="1" s="1"/>
  <c r="AA10" i="1"/>
  <c r="AM10" i="1" s="1"/>
  <c r="Z10" i="1"/>
  <c r="AL10" i="1" s="1"/>
  <c r="Y10" i="1"/>
  <c r="AK10" i="1" s="1"/>
  <c r="X10" i="1"/>
  <c r="AJ10" i="1" s="1"/>
  <c r="W10" i="1"/>
  <c r="AI10" i="1" s="1"/>
  <c r="V10" i="1"/>
  <c r="AH10" i="1" s="1"/>
  <c r="U10" i="1"/>
  <c r="AG10" i="1" s="1"/>
  <c r="T10" i="1"/>
  <c r="AF10" i="1" s="1"/>
  <c r="S10" i="1"/>
  <c r="AE10" i="1" s="1"/>
  <c r="R10" i="1"/>
  <c r="AD10" i="1" s="1"/>
  <c r="Q10" i="1"/>
  <c r="AC10" i="1" s="1"/>
  <c r="A1" i="19"/>
  <c r="E38" i="9" l="1"/>
  <c r="E24" i="9" s="1"/>
  <c r="E21" i="10" s="1"/>
  <c r="E32" i="10" s="1"/>
  <c r="E25" i="9"/>
  <c r="E22" i="10" s="1"/>
  <c r="E33" i="10" s="1"/>
  <c r="AH12" i="9"/>
  <c r="V18" i="9"/>
  <c r="V17" i="10" s="1"/>
  <c r="V28" i="10" s="1"/>
  <c r="V19" i="9"/>
  <c r="V18" i="10" s="1"/>
  <c r="V29" i="10" s="1"/>
  <c r="AI12" i="9"/>
  <c r="W18" i="9"/>
  <c r="W17" i="10" s="1"/>
  <c r="W28" i="10" s="1"/>
  <c r="W19" i="9"/>
  <c r="W18" i="10" s="1"/>
  <c r="W29" i="10" s="1"/>
  <c r="AF12" i="9"/>
  <c r="T19" i="9"/>
  <c r="T18" i="10" s="1"/>
  <c r="T29" i="10" s="1"/>
  <c r="T18" i="9"/>
  <c r="T17" i="10" s="1"/>
  <c r="T28" i="10" s="1"/>
  <c r="AJ12" i="9"/>
  <c r="X18" i="9"/>
  <c r="X17" i="10" s="1"/>
  <c r="X28" i="10" s="1"/>
  <c r="X19" i="9"/>
  <c r="X18" i="10" s="1"/>
  <c r="X29" i="10" s="1"/>
  <c r="AK12" i="9"/>
  <c r="Y18" i="9"/>
  <c r="Y17" i="10" s="1"/>
  <c r="Y28" i="10" s="1"/>
  <c r="Y19" i="9"/>
  <c r="Y18" i="10" s="1"/>
  <c r="Y29" i="10" s="1"/>
  <c r="AL12" i="9"/>
  <c r="Z18" i="9"/>
  <c r="Z17" i="10" s="1"/>
  <c r="Z28" i="10" s="1"/>
  <c r="Z19" i="9"/>
  <c r="Z18" i="10" s="1"/>
  <c r="Z29" i="10" s="1"/>
  <c r="AM12" i="9"/>
  <c r="AA18" i="9"/>
  <c r="AA17" i="10" s="1"/>
  <c r="AA28" i="10" s="1"/>
  <c r="AA19" i="9"/>
  <c r="AA18" i="10" s="1"/>
  <c r="AA29" i="10" s="1"/>
  <c r="AN12" i="9"/>
  <c r="AB18" i="9"/>
  <c r="AB17" i="10" s="1"/>
  <c r="AB28" i="10" s="1"/>
  <c r="AB19" i="9"/>
  <c r="AB18" i="10" s="1"/>
  <c r="AB29" i="10" s="1"/>
  <c r="AE12" i="9"/>
  <c r="S19" i="9"/>
  <c r="S18" i="10" s="1"/>
  <c r="S29" i="10" s="1"/>
  <c r="S18" i="9"/>
  <c r="S17" i="10" s="1"/>
  <c r="S28" i="10" s="1"/>
  <c r="AC12" i="9"/>
  <c r="Q19" i="9"/>
  <c r="Q18" i="10" s="1"/>
  <c r="Q29" i="10" s="1"/>
  <c r="Q18" i="9"/>
  <c r="Q17" i="10" s="1"/>
  <c r="Q28" i="10" s="1"/>
  <c r="AG12" i="9"/>
  <c r="U19" i="9"/>
  <c r="U18" i="10" s="1"/>
  <c r="U29" i="10" s="1"/>
  <c r="U18" i="9"/>
  <c r="U17" i="10" s="1"/>
  <c r="U28" i="10" s="1"/>
  <c r="AD19" i="9"/>
  <c r="AD18" i="10" s="1"/>
  <c r="AD29" i="10" s="1"/>
  <c r="AD18" i="9"/>
  <c r="AD17" i="10" s="1"/>
  <c r="AD28" i="10" s="1"/>
  <c r="R19" i="9"/>
  <c r="R18" i="10" s="1"/>
  <c r="R29" i="10" s="1"/>
  <c r="R18" i="9"/>
  <c r="R17" i="10" s="1"/>
  <c r="R28" i="10" s="1"/>
  <c r="E73" i="8"/>
  <c r="E71" i="8"/>
  <c r="E78" i="8"/>
  <c r="G91" i="8"/>
  <c r="G105" i="8"/>
  <c r="F96" i="8"/>
  <c r="F25" i="8" s="1"/>
  <c r="G93" i="8"/>
  <c r="G107" i="8"/>
  <c r="G83" i="8"/>
  <c r="G97" i="8"/>
  <c r="G87" i="8"/>
  <c r="G101" i="8"/>
  <c r="G90" i="8"/>
  <c r="G104" i="8"/>
  <c r="G88" i="8"/>
  <c r="G102" i="8"/>
  <c r="G99" i="8"/>
  <c r="G85" i="8"/>
  <c r="G84" i="8"/>
  <c r="G98" i="8"/>
  <c r="F82" i="8"/>
  <c r="G89" i="8"/>
  <c r="G103" i="8"/>
  <c r="G94" i="8"/>
  <c r="G108" i="8"/>
  <c r="G86" i="8"/>
  <c r="G100" i="8"/>
  <c r="G52" i="7"/>
  <c r="H728" i="1"/>
  <c r="G51" i="7"/>
  <c r="F289" i="29"/>
  <c r="F329" i="29"/>
  <c r="H345" i="17"/>
  <c r="G346" i="17"/>
  <c r="G345" i="17" s="1"/>
  <c r="F348" i="29"/>
  <c r="H275" i="17"/>
  <c r="F345" i="29"/>
  <c r="F357" i="29"/>
  <c r="H331" i="17"/>
  <c r="G339" i="17"/>
  <c r="G338" i="17" s="1"/>
  <c r="H289" i="17"/>
  <c r="F324" i="29"/>
  <c r="F282" i="29"/>
  <c r="H296" i="17"/>
  <c r="G290" i="17"/>
  <c r="G289" i="17" s="1"/>
  <c r="F285" i="29"/>
  <c r="F283" i="29"/>
  <c r="F341" i="29"/>
  <c r="F359" i="29"/>
  <c r="F346" i="29"/>
  <c r="F323" i="29"/>
  <c r="F344" i="29"/>
  <c r="F339" i="29"/>
  <c r="F334" i="29"/>
  <c r="G297" i="17"/>
  <c r="G296" i="17" s="1"/>
  <c r="F316" i="29"/>
  <c r="F317" i="29"/>
  <c r="F324" i="17"/>
  <c r="H329" i="17"/>
  <c r="H324" i="17" s="1"/>
  <c r="H317" i="17"/>
  <c r="G317" i="17"/>
  <c r="F297" i="29"/>
  <c r="E355" i="29"/>
  <c r="F355" i="29"/>
  <c r="E303" i="29"/>
  <c r="F303" i="29"/>
  <c r="F268" i="17"/>
  <c r="G268" i="17"/>
  <c r="E308" i="29"/>
  <c r="F308" i="29"/>
  <c r="E351" i="29"/>
  <c r="F351" i="29"/>
  <c r="E358" i="29"/>
  <c r="F358" i="29"/>
  <c r="F295" i="29"/>
  <c r="F282" i="17"/>
  <c r="E296" i="29"/>
  <c r="F296" i="29"/>
  <c r="E332" i="29"/>
  <c r="F332" i="29"/>
  <c r="F287" i="29"/>
  <c r="E306" i="29"/>
  <c r="F306" i="29"/>
  <c r="E314" i="29"/>
  <c r="F314" i="29"/>
  <c r="E353" i="29"/>
  <c r="F353" i="29"/>
  <c r="E302" i="29"/>
  <c r="F302" i="29"/>
  <c r="E335" i="29"/>
  <c r="F335" i="29"/>
  <c r="F328" i="29"/>
  <c r="E309" i="29"/>
  <c r="F309" i="29"/>
  <c r="E290" i="29"/>
  <c r="F290" i="29"/>
  <c r="E294" i="29"/>
  <c r="F294" i="29"/>
  <c r="H338" i="17"/>
  <c r="E292" i="29"/>
  <c r="F292" i="29"/>
  <c r="E343" i="29"/>
  <c r="F343" i="29"/>
  <c r="E336" i="29"/>
  <c r="F336" i="29"/>
  <c r="F310" i="17"/>
  <c r="E320" i="29"/>
  <c r="E319" i="29" s="1"/>
  <c r="F320" i="29"/>
  <c r="E330" i="29"/>
  <c r="F330" i="29"/>
  <c r="G324" i="17"/>
  <c r="G331" i="17"/>
  <c r="G310" i="17"/>
  <c r="E281" i="29"/>
  <c r="E277" i="29" s="1"/>
  <c r="F281" i="29"/>
  <c r="E318" i="29"/>
  <c r="F318" i="29"/>
  <c r="E286" i="29"/>
  <c r="F286" i="29"/>
  <c r="F275" i="17"/>
  <c r="F279" i="29"/>
  <c r="H268" i="17"/>
  <c r="F317" i="17"/>
  <c r="F296" i="17"/>
  <c r="E307" i="29"/>
  <c r="F360" i="29"/>
  <c r="F278" i="29"/>
  <c r="F27" i="37"/>
  <c r="G352" i="29"/>
  <c r="G353" i="29"/>
  <c r="G348" i="29"/>
  <c r="G351" i="29"/>
  <c r="G349" i="29"/>
  <c r="G350" i="29"/>
  <c r="F20" i="37"/>
  <c r="G301" i="29"/>
  <c r="G304" i="29"/>
  <c r="G300" i="29"/>
  <c r="G299" i="29"/>
  <c r="G303" i="29"/>
  <c r="G302" i="29"/>
  <c r="F321" i="29"/>
  <c r="F289" i="17"/>
  <c r="E300" i="29"/>
  <c r="F28" i="37"/>
  <c r="G355" i="29"/>
  <c r="G356" i="29"/>
  <c r="G360" i="29"/>
  <c r="G357" i="29"/>
  <c r="G359" i="29"/>
  <c r="G358" i="29"/>
  <c r="G309" i="17"/>
  <c r="G303" i="17" s="1"/>
  <c r="F322" i="29"/>
  <c r="G279" i="29"/>
  <c r="G281" i="29"/>
  <c r="G282" i="29"/>
  <c r="G278" i="29"/>
  <c r="G283" i="29"/>
  <c r="G280" i="29"/>
  <c r="F311" i="29"/>
  <c r="F325" i="29"/>
  <c r="F22" i="37"/>
  <c r="G318" i="29"/>
  <c r="G314" i="29"/>
  <c r="G315" i="29"/>
  <c r="G317" i="29"/>
  <c r="G316" i="29"/>
  <c r="G313" i="29"/>
  <c r="F19" i="37"/>
  <c r="G296" i="29"/>
  <c r="G293" i="29"/>
  <c r="G297" i="29"/>
  <c r="G292" i="29"/>
  <c r="G295" i="29"/>
  <c r="G294" i="29"/>
  <c r="F345" i="17"/>
  <c r="E356" i="29"/>
  <c r="G275" i="17"/>
  <c r="F338" i="29"/>
  <c r="H288" i="17"/>
  <c r="H282" i="17" s="1"/>
  <c r="G288" i="17"/>
  <c r="G282" i="17" s="1"/>
  <c r="F327" i="29"/>
  <c r="F23" i="37"/>
  <c r="G320" i="29"/>
  <c r="G325" i="29"/>
  <c r="G321" i="29"/>
  <c r="G323" i="29"/>
  <c r="G322" i="29"/>
  <c r="G324" i="29"/>
  <c r="F299" i="29"/>
  <c r="F356" i="29"/>
  <c r="F337" i="29"/>
  <c r="F350" i="29"/>
  <c r="F307" i="29"/>
  <c r="F338" i="17"/>
  <c r="E349" i="29"/>
  <c r="F310" i="29"/>
  <c r="F331" i="29"/>
  <c r="F293" i="29"/>
  <c r="F331" i="17"/>
  <c r="E342" i="29"/>
  <c r="F25" i="37"/>
  <c r="G338" i="29"/>
  <c r="G336" i="29"/>
  <c r="G334" i="29"/>
  <c r="G335" i="29"/>
  <c r="G339" i="29"/>
  <c r="G337" i="29"/>
  <c r="F288" i="29"/>
  <c r="F280" i="29"/>
  <c r="F349" i="29"/>
  <c r="F21" i="37"/>
  <c r="G308" i="29"/>
  <c r="G311" i="29"/>
  <c r="G306" i="29"/>
  <c r="G310" i="29"/>
  <c r="G307" i="29"/>
  <c r="G309" i="29"/>
  <c r="F304" i="29"/>
  <c r="F315" i="29"/>
  <c r="F303" i="17"/>
  <c r="E313" i="29"/>
  <c r="G285" i="29"/>
  <c r="G287" i="29"/>
  <c r="G288" i="29"/>
  <c r="G286" i="29"/>
  <c r="G290" i="29"/>
  <c r="G289" i="29"/>
  <c r="F352" i="29"/>
  <c r="F301" i="29"/>
  <c r="F24" i="37"/>
  <c r="G327" i="29"/>
  <c r="G332" i="29"/>
  <c r="G331" i="29"/>
  <c r="G328" i="29"/>
  <c r="G330" i="29"/>
  <c r="G329" i="29"/>
  <c r="E267" i="17"/>
  <c r="E8" i="17" s="1"/>
  <c r="F25" i="34"/>
  <c r="E57" i="1" s="1"/>
  <c r="E73" i="17" s="1"/>
  <c r="C88" i="32"/>
  <c r="C93" i="32"/>
  <c r="C94" i="32"/>
  <c r="B7" i="16"/>
  <c r="B8" i="16" s="1"/>
  <c r="B9" i="16" s="1"/>
  <c r="B10" i="16" s="1"/>
  <c r="B11" i="16" s="1"/>
  <c r="B12" i="16" s="1"/>
  <c r="B13" i="16" s="1"/>
  <c r="B14" i="16" s="1"/>
  <c r="B15" i="16" s="1"/>
  <c r="A1" i="16"/>
  <c r="A1" i="2"/>
  <c r="A1" i="1"/>
  <c r="A1" i="5"/>
  <c r="E57" i="17" l="1"/>
  <c r="E91" i="17"/>
  <c r="E72" i="17"/>
  <c r="E29" i="17"/>
  <c r="E89" i="17"/>
  <c r="E21" i="17"/>
  <c r="E26" i="17"/>
  <c r="E51" i="17"/>
  <c r="E32" i="17"/>
  <c r="E43" i="17"/>
  <c r="E79" i="17"/>
  <c r="E58" i="17"/>
  <c r="E42" i="17"/>
  <c r="E46" i="17"/>
  <c r="E88" i="17"/>
  <c r="E75" i="17"/>
  <c r="E25" i="17"/>
  <c r="E28" i="17"/>
  <c r="E81" i="17"/>
  <c r="E95" i="17"/>
  <c r="E24" i="17"/>
  <c r="E61" i="17"/>
  <c r="E84" i="17"/>
  <c r="E31" i="17"/>
  <c r="E56" i="17"/>
  <c r="E17" i="17"/>
  <c r="E93" i="17"/>
  <c r="E52" i="17"/>
  <c r="E39" i="17"/>
  <c r="E53" i="17"/>
  <c r="E82" i="17"/>
  <c r="E54" i="17"/>
  <c r="E65" i="17"/>
  <c r="E59" i="17"/>
  <c r="E60" i="17"/>
  <c r="E18" i="17"/>
  <c r="E30" i="17"/>
  <c r="E94" i="17"/>
  <c r="E68" i="17"/>
  <c r="E70" i="17"/>
  <c r="E50" i="17"/>
  <c r="E22" i="17"/>
  <c r="E86" i="17"/>
  <c r="E15" i="17"/>
  <c r="E47" i="17"/>
  <c r="E66" i="17"/>
  <c r="E77" i="17"/>
  <c r="E71" i="17"/>
  <c r="E14" i="17"/>
  <c r="E96" i="17"/>
  <c r="E35" i="17"/>
  <c r="E49" i="17"/>
  <c r="E63" i="17"/>
  <c r="E80" i="17"/>
  <c r="E85" i="17"/>
  <c r="E19" i="17"/>
  <c r="E23" i="17"/>
  <c r="E36" i="17"/>
  <c r="E92" i="17"/>
  <c r="E38" i="17"/>
  <c r="E33" i="17"/>
  <c r="E45" i="17"/>
  <c r="E44" i="17"/>
  <c r="E74" i="17"/>
  <c r="E37" i="17"/>
  <c r="E64" i="17"/>
  <c r="E87" i="17"/>
  <c r="E40" i="17"/>
  <c r="E78" i="17"/>
  <c r="E16" i="17"/>
  <c r="E67" i="17"/>
  <c r="F57" i="1"/>
  <c r="E58" i="1"/>
  <c r="Q39" i="10"/>
  <c r="R39" i="10"/>
  <c r="S39" i="10"/>
  <c r="T39" i="10"/>
  <c r="U39" i="10"/>
  <c r="V39" i="10"/>
  <c r="W39" i="10"/>
  <c r="X39" i="10"/>
  <c r="Y39" i="10"/>
  <c r="Z39" i="10"/>
  <c r="AA39" i="10"/>
  <c r="AB39" i="10"/>
  <c r="S40" i="10"/>
  <c r="T40" i="10"/>
  <c r="U40" i="10"/>
  <c r="V40" i="10"/>
  <c r="W40" i="10"/>
  <c r="X40" i="10"/>
  <c r="Y40" i="10"/>
  <c r="R40" i="10"/>
  <c r="Z40" i="10"/>
  <c r="AA40" i="10"/>
  <c r="AB40" i="10"/>
  <c r="Q40" i="10"/>
  <c r="E44" i="10"/>
  <c r="E43" i="10"/>
  <c r="E23" i="9"/>
  <c r="E8" i="9" s="1"/>
  <c r="R17" i="9"/>
  <c r="R6" i="9" s="1"/>
  <c r="T17" i="9"/>
  <c r="T6" i="9" s="1"/>
  <c r="AD17" i="9"/>
  <c r="AD6" i="9" s="1"/>
  <c r="AA17" i="9"/>
  <c r="AA6" i="9" s="1"/>
  <c r="Q17" i="9"/>
  <c r="Q6" i="9" s="1"/>
  <c r="Y17" i="9"/>
  <c r="Y6" i="9" s="1"/>
  <c r="S17" i="9"/>
  <c r="S6" i="9" s="1"/>
  <c r="U17" i="9"/>
  <c r="U6" i="9" s="1"/>
  <c r="X17" i="9"/>
  <c r="X6" i="9" s="1"/>
  <c r="AC19" i="9"/>
  <c r="AC18" i="10" s="1"/>
  <c r="AC29" i="10" s="1"/>
  <c r="AE40" i="10" s="1"/>
  <c r="AC18" i="9"/>
  <c r="AC17" i="10" s="1"/>
  <c r="AC28" i="10" s="1"/>
  <c r="AK18" i="9"/>
  <c r="AK17" i="10" s="1"/>
  <c r="AK28" i="10" s="1"/>
  <c r="AK19" i="9"/>
  <c r="AK18" i="10" s="1"/>
  <c r="AK29" i="10" s="1"/>
  <c r="AJ18" i="9"/>
  <c r="AJ17" i="10" s="1"/>
  <c r="AJ28" i="10" s="1"/>
  <c r="AJ19" i="9"/>
  <c r="AJ18" i="10" s="1"/>
  <c r="AJ29" i="10" s="1"/>
  <c r="AB17" i="9"/>
  <c r="AB6" i="9" s="1"/>
  <c r="AN18" i="9"/>
  <c r="AN17" i="10" s="1"/>
  <c r="AN28" i="10" s="1"/>
  <c r="AN19" i="9"/>
  <c r="AN18" i="10" s="1"/>
  <c r="AN29" i="10" s="1"/>
  <c r="AF19" i="9"/>
  <c r="AF18" i="10" s="1"/>
  <c r="AF29" i="10" s="1"/>
  <c r="AF18" i="9"/>
  <c r="AF17" i="10" s="1"/>
  <c r="AF28" i="10" s="1"/>
  <c r="AE19" i="9"/>
  <c r="AE18" i="10" s="1"/>
  <c r="AE29" i="10" s="1"/>
  <c r="AE18" i="9"/>
  <c r="AE17" i="10" s="1"/>
  <c r="AE28" i="10" s="1"/>
  <c r="AM18" i="9"/>
  <c r="AM17" i="10" s="1"/>
  <c r="AM28" i="10" s="1"/>
  <c r="AM19" i="9"/>
  <c r="AM18" i="10" s="1"/>
  <c r="AM29" i="10" s="1"/>
  <c r="W17" i="9"/>
  <c r="W6" i="9" s="1"/>
  <c r="AI19" i="9"/>
  <c r="AI18" i="10" s="1"/>
  <c r="AI29" i="10" s="1"/>
  <c r="AI18" i="9"/>
  <c r="AI17" i="10" s="1"/>
  <c r="AI28" i="10" s="1"/>
  <c r="AG19" i="9"/>
  <c r="AG18" i="10" s="1"/>
  <c r="AG29" i="10" s="1"/>
  <c r="AG18" i="9"/>
  <c r="AG17" i="10" s="1"/>
  <c r="AG28" i="10" s="1"/>
  <c r="Z17" i="9"/>
  <c r="Z6" i="9" s="1"/>
  <c r="AL18" i="9"/>
  <c r="AL17" i="10" s="1"/>
  <c r="AL28" i="10" s="1"/>
  <c r="AL19" i="9"/>
  <c r="AL18" i="10" s="1"/>
  <c r="AL29" i="10" s="1"/>
  <c r="V17" i="9"/>
  <c r="V6" i="9" s="1"/>
  <c r="AH19" i="9"/>
  <c r="AH18" i="10" s="1"/>
  <c r="AH29" i="10" s="1"/>
  <c r="AH18" i="9"/>
  <c r="AH17" i="10" s="1"/>
  <c r="AH28" i="10" s="1"/>
  <c r="F57" i="18"/>
  <c r="F48" i="18"/>
  <c r="F38" i="18"/>
  <c r="F28" i="18"/>
  <c r="F52" i="18"/>
  <c r="F42" i="18"/>
  <c r="F33" i="18"/>
  <c r="F53" i="18"/>
  <c r="F44" i="18"/>
  <c r="F34" i="18"/>
  <c r="F50" i="18"/>
  <c r="F19" i="18"/>
  <c r="F36" i="18"/>
  <c r="F32" i="18"/>
  <c r="F25" i="18"/>
  <c r="F23" i="18"/>
  <c r="F46" i="18"/>
  <c r="F49" i="18"/>
  <c r="F21" i="18"/>
  <c r="F58" i="18"/>
  <c r="F45" i="18"/>
  <c r="F20" i="18"/>
  <c r="F24" i="18"/>
  <c r="F54" i="18"/>
  <c r="F56" i="18"/>
  <c r="F40" i="18"/>
  <c r="F37" i="18"/>
  <c r="F27" i="18"/>
  <c r="F41" i="18"/>
  <c r="F29" i="18"/>
  <c r="E80" i="8"/>
  <c r="E75" i="8" s="1"/>
  <c r="E69" i="8" s="1"/>
  <c r="E10" i="8" s="1"/>
  <c r="E34" i="12" s="1"/>
  <c r="AC79" i="8"/>
  <c r="H89" i="8"/>
  <c r="H103" i="8"/>
  <c r="H85" i="8"/>
  <c r="H99" i="8"/>
  <c r="H84" i="8"/>
  <c r="H98" i="8"/>
  <c r="H100" i="8"/>
  <c r="H86" i="8"/>
  <c r="H97" i="8"/>
  <c r="H83" i="8"/>
  <c r="H94" i="8"/>
  <c r="H108" i="8"/>
  <c r="H104" i="8"/>
  <c r="H90" i="8"/>
  <c r="H87" i="8"/>
  <c r="H101" i="8"/>
  <c r="H102" i="8"/>
  <c r="H88" i="8"/>
  <c r="H91" i="8"/>
  <c r="H105" i="8"/>
  <c r="H107" i="8"/>
  <c r="H93" i="8"/>
  <c r="I728" i="1"/>
  <c r="H51" i="7"/>
  <c r="H54" i="7"/>
  <c r="H52" i="7" s="1"/>
  <c r="E340" i="29"/>
  <c r="E284" i="29"/>
  <c r="E333" i="29"/>
  <c r="E347" i="29"/>
  <c r="E291" i="29"/>
  <c r="F347" i="29"/>
  <c r="F277" i="29"/>
  <c r="F298" i="29"/>
  <c r="E298" i="29"/>
  <c r="F333" i="29"/>
  <c r="E326" i="29"/>
  <c r="F267" i="17"/>
  <c r="F8" i="17" s="1"/>
  <c r="F284" i="29"/>
  <c r="F354" i="29"/>
  <c r="F319" i="29"/>
  <c r="F340" i="29"/>
  <c r="F312" i="29"/>
  <c r="G267" i="17"/>
  <c r="G8" i="17" s="1"/>
  <c r="G22" i="37"/>
  <c r="H314" i="29"/>
  <c r="H318" i="29"/>
  <c r="H316" i="29"/>
  <c r="H313" i="29"/>
  <c r="H315" i="29"/>
  <c r="H317" i="29"/>
  <c r="H283" i="29"/>
  <c r="H278" i="29"/>
  <c r="H282" i="29"/>
  <c r="H281" i="29"/>
  <c r="H280" i="29"/>
  <c r="H279" i="29"/>
  <c r="H316" i="17"/>
  <c r="H310" i="17" s="1"/>
  <c r="H309" i="17"/>
  <c r="H303" i="17" s="1"/>
  <c r="E312" i="29"/>
  <c r="F305" i="29"/>
  <c r="G19" i="37"/>
  <c r="H295" i="29"/>
  <c r="H292" i="29"/>
  <c r="H296" i="29"/>
  <c r="H294" i="29"/>
  <c r="H297" i="29"/>
  <c r="H293" i="29"/>
  <c r="G347" i="29"/>
  <c r="G284" i="29"/>
  <c r="E354" i="29"/>
  <c r="G312" i="29"/>
  <c r="G326" i="29"/>
  <c r="G24" i="37"/>
  <c r="H332" i="29"/>
  <c r="H328" i="29"/>
  <c r="H329" i="29"/>
  <c r="H327" i="29"/>
  <c r="H330" i="29"/>
  <c r="H331" i="29"/>
  <c r="G333" i="29"/>
  <c r="H290" i="29"/>
  <c r="H289" i="29"/>
  <c r="H288" i="29"/>
  <c r="H285" i="29"/>
  <c r="H286" i="29"/>
  <c r="H287" i="29"/>
  <c r="G27" i="37"/>
  <c r="H351" i="29"/>
  <c r="H353" i="29"/>
  <c r="H348" i="29"/>
  <c r="H352" i="29"/>
  <c r="H350" i="29"/>
  <c r="H349" i="29"/>
  <c r="G21" i="37"/>
  <c r="H310" i="29"/>
  <c r="H308" i="29"/>
  <c r="H309" i="29"/>
  <c r="H311" i="29"/>
  <c r="H306" i="29"/>
  <c r="H307" i="29"/>
  <c r="G25" i="37"/>
  <c r="H334" i="29"/>
  <c r="H338" i="29"/>
  <c r="H336" i="29"/>
  <c r="H339" i="29"/>
  <c r="H337" i="29"/>
  <c r="H335" i="29"/>
  <c r="G354" i="29"/>
  <c r="G319" i="29"/>
  <c r="G291" i="29"/>
  <c r="G277" i="29"/>
  <c r="F291" i="29"/>
  <c r="G305" i="29"/>
  <c r="G23" i="37"/>
  <c r="H325" i="29"/>
  <c r="H324" i="29"/>
  <c r="H323" i="29"/>
  <c r="H322" i="29"/>
  <c r="H321" i="29"/>
  <c r="H320" i="29"/>
  <c r="G28" i="37"/>
  <c r="H359" i="29"/>
  <c r="H356" i="29"/>
  <c r="H355" i="29"/>
  <c r="H360" i="29"/>
  <c r="H358" i="29"/>
  <c r="H357" i="29"/>
  <c r="G20" i="37"/>
  <c r="H299" i="29"/>
  <c r="H303" i="29"/>
  <c r="H304" i="29"/>
  <c r="H301" i="29"/>
  <c r="H300" i="29"/>
  <c r="H302" i="29"/>
  <c r="E305" i="29"/>
  <c r="F326" i="29"/>
  <c r="G298" i="29"/>
  <c r="B16" i="16"/>
  <c r="B17" i="16" s="1"/>
  <c r="B18" i="16" s="1"/>
  <c r="B19" i="16" s="1"/>
  <c r="B20" i="16" s="1"/>
  <c r="B21" i="16" s="1"/>
  <c r="B22" i="16" s="1"/>
  <c r="B23" i="16" s="1"/>
  <c r="B24" i="16" s="1"/>
  <c r="B25" i="16" s="1"/>
  <c r="E62" i="17" l="1"/>
  <c r="E90" i="17"/>
  <c r="E76" i="17"/>
  <c r="E48" i="17"/>
  <c r="E27" i="17"/>
  <c r="E83" i="17"/>
  <c r="E41" i="17"/>
  <c r="E55" i="17"/>
  <c r="E20" i="17"/>
  <c r="E34" i="17"/>
  <c r="E69" i="17"/>
  <c r="F67" i="17"/>
  <c r="I76" i="29" s="1"/>
  <c r="F29" i="17"/>
  <c r="I38" i="29" s="1"/>
  <c r="F24" i="17"/>
  <c r="I33" i="29" s="1"/>
  <c r="F77" i="17"/>
  <c r="F64" i="17"/>
  <c r="I73" i="29" s="1"/>
  <c r="F38" i="17"/>
  <c r="I47" i="29" s="1"/>
  <c r="F39" i="17"/>
  <c r="I48" i="29" s="1"/>
  <c r="F84" i="17"/>
  <c r="I93" i="29" s="1"/>
  <c r="F87" i="17"/>
  <c r="I96" i="29" s="1"/>
  <c r="F57" i="17"/>
  <c r="I66" i="29" s="1"/>
  <c r="F79" i="17"/>
  <c r="F54" i="17"/>
  <c r="I63" i="29" s="1"/>
  <c r="F52" i="17"/>
  <c r="I61" i="29" s="1"/>
  <c r="F43" i="17"/>
  <c r="F31" i="17"/>
  <c r="I40" i="29" s="1"/>
  <c r="F66" i="17"/>
  <c r="I75" i="29" s="1"/>
  <c r="F80" i="17"/>
  <c r="F59" i="17"/>
  <c r="F78" i="17"/>
  <c r="F85" i="17"/>
  <c r="I94" i="29" s="1"/>
  <c r="F25" i="17"/>
  <c r="I34" i="29" s="1"/>
  <c r="F74" i="17"/>
  <c r="I83" i="29" s="1"/>
  <c r="F32" i="17"/>
  <c r="I41" i="29" s="1"/>
  <c r="F14" i="17"/>
  <c r="I23" i="29" s="1"/>
  <c r="F61" i="17"/>
  <c r="F91" i="17"/>
  <c r="I100" i="29" s="1"/>
  <c r="F40" i="17"/>
  <c r="I49" i="29" s="1"/>
  <c r="F15" i="17"/>
  <c r="I24" i="29" s="1"/>
  <c r="F96" i="17"/>
  <c r="I105" i="29" s="1"/>
  <c r="F16" i="17"/>
  <c r="I25" i="29" s="1"/>
  <c r="F26" i="17"/>
  <c r="I35" i="29" s="1"/>
  <c r="F68" i="17"/>
  <c r="I77" i="29" s="1"/>
  <c r="F28" i="17"/>
  <c r="I37" i="29" s="1"/>
  <c r="F49" i="17"/>
  <c r="I58" i="29" s="1"/>
  <c r="F19" i="17"/>
  <c r="I28" i="29" s="1"/>
  <c r="F44" i="17"/>
  <c r="I53" i="29" s="1"/>
  <c r="F58" i="17"/>
  <c r="I67" i="29" s="1"/>
  <c r="F22" i="17"/>
  <c r="F53" i="17"/>
  <c r="I62" i="29" s="1"/>
  <c r="F50" i="17"/>
  <c r="I59" i="29" s="1"/>
  <c r="F37" i="17"/>
  <c r="I46" i="29" s="1"/>
  <c r="F56" i="17"/>
  <c r="F36" i="17"/>
  <c r="I45" i="29" s="1"/>
  <c r="F65" i="17"/>
  <c r="I74" i="29" s="1"/>
  <c r="F75" i="17"/>
  <c r="I84" i="29" s="1"/>
  <c r="F93" i="17"/>
  <c r="I102" i="29" s="1"/>
  <c r="F70" i="17"/>
  <c r="I79" i="29" s="1"/>
  <c r="F21" i="17"/>
  <c r="I30" i="29" s="1"/>
  <c r="F86" i="17"/>
  <c r="I95" i="29" s="1"/>
  <c r="F47" i="17"/>
  <c r="I56" i="29" s="1"/>
  <c r="F72" i="17"/>
  <c r="I81" i="29" s="1"/>
  <c r="F88" i="17"/>
  <c r="I97" i="29" s="1"/>
  <c r="F92" i="17"/>
  <c r="F18" i="17"/>
  <c r="I27" i="29" s="1"/>
  <c r="F46" i="17"/>
  <c r="I55" i="29" s="1"/>
  <c r="F33" i="17"/>
  <c r="I42" i="29" s="1"/>
  <c r="F73" i="17"/>
  <c r="I82" i="29" s="1"/>
  <c r="F60" i="17"/>
  <c r="I69" i="29" s="1"/>
  <c r="F63" i="17"/>
  <c r="I72" i="29" s="1"/>
  <c r="F45" i="17"/>
  <c r="I54" i="29" s="1"/>
  <c r="F35" i="17"/>
  <c r="I44" i="29" s="1"/>
  <c r="F51" i="17"/>
  <c r="I60" i="29" s="1"/>
  <c r="F89" i="17"/>
  <c r="I98" i="29" s="1"/>
  <c r="F30" i="17"/>
  <c r="I39" i="29" s="1"/>
  <c r="F71" i="17"/>
  <c r="I80" i="29" s="1"/>
  <c r="F81" i="17"/>
  <c r="F42" i="17"/>
  <c r="F17" i="17"/>
  <c r="I26" i="29" s="1"/>
  <c r="F95" i="17"/>
  <c r="I104" i="29" s="1"/>
  <c r="F94" i="17"/>
  <c r="F82" i="17"/>
  <c r="F23" i="17"/>
  <c r="I32" i="29" s="1"/>
  <c r="E13" i="17"/>
  <c r="U6" i="10"/>
  <c r="F58" i="1"/>
  <c r="F59" i="1" s="1"/>
  <c r="E152" i="17"/>
  <c r="E172" i="17"/>
  <c r="E157" i="17"/>
  <c r="E156" i="17"/>
  <c r="E139" i="17"/>
  <c r="E145" i="17"/>
  <c r="E135" i="17"/>
  <c r="E153" i="17"/>
  <c r="E129" i="17"/>
  <c r="E106" i="17"/>
  <c r="E124" i="17"/>
  <c r="E128" i="17"/>
  <c r="E132" i="17"/>
  <c r="E178" i="17"/>
  <c r="E125" i="17"/>
  <c r="E121" i="17"/>
  <c r="E118" i="17"/>
  <c r="E196" i="17"/>
  <c r="E123" i="17"/>
  <c r="E103" i="17"/>
  <c r="E107" i="17"/>
  <c r="E192" i="17"/>
  <c r="E195" i="17"/>
  <c r="E144" i="17"/>
  <c r="E113" i="17"/>
  <c r="E164" i="17"/>
  <c r="E102" i="17"/>
  <c r="E179" i="17"/>
  <c r="E115" i="17"/>
  <c r="E100" i="17"/>
  <c r="E136" i="17"/>
  <c r="E143" i="17"/>
  <c r="E181" i="17"/>
  <c r="E104" i="17"/>
  <c r="E166" i="17"/>
  <c r="E171" i="17"/>
  <c r="E149" i="17"/>
  <c r="E110" i="17"/>
  <c r="E120" i="17"/>
  <c r="E134" i="17"/>
  <c r="E109" i="17"/>
  <c r="E162" i="17"/>
  <c r="E194" i="17"/>
  <c r="E101" i="17"/>
  <c r="E163" i="17"/>
  <c r="E108" i="17"/>
  <c r="E141" i="17"/>
  <c r="E159" i="17"/>
  <c r="E167" i="17"/>
  <c r="E170" i="17"/>
  <c r="E160" i="17"/>
  <c r="E137" i="17"/>
  <c r="E146" i="17"/>
  <c r="E173" i="17"/>
  <c r="E155" i="17"/>
  <c r="E114" i="17"/>
  <c r="E138" i="17"/>
  <c r="E111" i="17"/>
  <c r="E131" i="17"/>
  <c r="E176" i="17"/>
  <c r="E130" i="17"/>
  <c r="E148" i="17"/>
  <c r="E165" i="17"/>
  <c r="E177" i="17"/>
  <c r="E158" i="17"/>
  <c r="E180" i="17"/>
  <c r="E193" i="17"/>
  <c r="E122" i="17"/>
  <c r="E99" i="17"/>
  <c r="E117" i="17"/>
  <c r="E174" i="17"/>
  <c r="E169" i="17"/>
  <c r="E151" i="17"/>
  <c r="E142" i="17"/>
  <c r="E150" i="17"/>
  <c r="E116" i="17"/>
  <c r="E127" i="17"/>
  <c r="V6" i="10"/>
  <c r="G57" i="1"/>
  <c r="AB6" i="10"/>
  <c r="E59" i="1"/>
  <c r="E8" i="10"/>
  <c r="W6" i="10"/>
  <c r="T6" i="10"/>
  <c r="AA6" i="10"/>
  <c r="AK39" i="10"/>
  <c r="AI40" i="10"/>
  <c r="Z6" i="10"/>
  <c r="AL40" i="10"/>
  <c r="AF40" i="10"/>
  <c r="Y6" i="10"/>
  <c r="X6" i="10"/>
  <c r="AJ39" i="10"/>
  <c r="S6" i="10"/>
  <c r="AG40" i="10"/>
  <c r="R6" i="10"/>
  <c r="AH40" i="10"/>
  <c r="Q6" i="10"/>
  <c r="AN40" i="10"/>
  <c r="AI39" i="10"/>
  <c r="AM40" i="10"/>
  <c r="AC39" i="10"/>
  <c r="AH39" i="10"/>
  <c r="AN39" i="10"/>
  <c r="AG39" i="10"/>
  <c r="AK40" i="10"/>
  <c r="AD40" i="10"/>
  <c r="AM39" i="10"/>
  <c r="AF39" i="10"/>
  <c r="AC40" i="10"/>
  <c r="AJ40" i="10"/>
  <c r="AL39" i="10"/>
  <c r="AD39" i="10"/>
  <c r="AE39" i="10"/>
  <c r="AE6" i="10" s="1"/>
  <c r="AH17" i="9"/>
  <c r="AH6" i="9" s="1"/>
  <c r="AE17" i="9"/>
  <c r="AE6" i="9" s="1"/>
  <c r="AF17" i="9"/>
  <c r="AF6" i="9" s="1"/>
  <c r="AI17" i="9"/>
  <c r="AI6" i="9" s="1"/>
  <c r="AM17" i="9"/>
  <c r="AM6" i="9" s="1"/>
  <c r="AL17" i="9"/>
  <c r="AL6" i="9" s="1"/>
  <c r="AN17" i="9"/>
  <c r="AN6" i="9" s="1"/>
  <c r="AG17" i="9"/>
  <c r="AG6" i="9" s="1"/>
  <c r="AJ17" i="9"/>
  <c r="AJ6" i="9" s="1"/>
  <c r="AK17" i="9"/>
  <c r="AK6" i="9" s="1"/>
  <c r="AC17" i="9"/>
  <c r="AC6" i="9" s="1"/>
  <c r="F55" i="18"/>
  <c r="F13" i="18" s="1"/>
  <c r="F35" i="18"/>
  <c r="F20" i="8"/>
  <c r="F31" i="18"/>
  <c r="F39" i="18"/>
  <c r="F18" i="18"/>
  <c r="F6" i="18" s="1"/>
  <c r="F17" i="8"/>
  <c r="F19" i="8"/>
  <c r="F26" i="18"/>
  <c r="F8" i="18" s="1"/>
  <c r="F24" i="8"/>
  <c r="F43" i="18"/>
  <c r="F10" i="18" s="1"/>
  <c r="F21" i="8"/>
  <c r="F23" i="8"/>
  <c r="F51" i="18"/>
  <c r="F12" i="18" s="1"/>
  <c r="F18" i="8"/>
  <c r="F22" i="18"/>
  <c r="F7" i="18" s="1"/>
  <c r="F47" i="18"/>
  <c r="F11" i="18" s="1"/>
  <c r="F22" i="8"/>
  <c r="I91" i="8"/>
  <c r="I105" i="8"/>
  <c r="I93" i="8"/>
  <c r="I107" i="8"/>
  <c r="I104" i="8"/>
  <c r="I90" i="8"/>
  <c r="I86" i="8"/>
  <c r="I100" i="8"/>
  <c r="I89" i="8"/>
  <c r="I103" i="8"/>
  <c r="I84" i="8"/>
  <c r="I98" i="8"/>
  <c r="I88" i="8"/>
  <c r="I102" i="8"/>
  <c r="I87" i="8"/>
  <c r="I101" i="8"/>
  <c r="I85" i="8"/>
  <c r="I99" i="8"/>
  <c r="I94" i="8"/>
  <c r="I108" i="8"/>
  <c r="I97" i="8"/>
  <c r="I83" i="8"/>
  <c r="J728" i="1"/>
  <c r="I51" i="7"/>
  <c r="I54" i="7"/>
  <c r="I52" i="7" s="1"/>
  <c r="H312" i="29"/>
  <c r="E276" i="29"/>
  <c r="E17" i="29" s="1"/>
  <c r="E9" i="29" s="1"/>
  <c r="E68" i="8" s="1"/>
  <c r="H291" i="29"/>
  <c r="H284" i="29"/>
  <c r="F276" i="29"/>
  <c r="F17" i="29" s="1"/>
  <c r="F9" i="29" s="1"/>
  <c r="F68" i="8" s="1"/>
  <c r="H267" i="17"/>
  <c r="H8" i="17" s="1"/>
  <c r="H347" i="29"/>
  <c r="I285" i="29"/>
  <c r="I290" i="29"/>
  <c r="I287" i="29"/>
  <c r="I286" i="29"/>
  <c r="I289" i="29"/>
  <c r="I288" i="29"/>
  <c r="H20" i="37"/>
  <c r="I301" i="29"/>
  <c r="I299" i="29"/>
  <c r="I303" i="29"/>
  <c r="I302" i="29"/>
  <c r="I304" i="29"/>
  <c r="I300" i="29"/>
  <c r="H19" i="37"/>
  <c r="I292" i="29"/>
  <c r="I296" i="29"/>
  <c r="I297" i="29"/>
  <c r="I294" i="29"/>
  <c r="I293" i="29"/>
  <c r="I295" i="29"/>
  <c r="I280" i="29"/>
  <c r="I283" i="29"/>
  <c r="I281" i="29"/>
  <c r="I279" i="29"/>
  <c r="I278" i="29"/>
  <c r="I282" i="29"/>
  <c r="H23" i="37"/>
  <c r="I321" i="29"/>
  <c r="I322" i="29"/>
  <c r="I320" i="29"/>
  <c r="I324" i="29"/>
  <c r="I325" i="29"/>
  <c r="I323" i="29"/>
  <c r="H21" i="37"/>
  <c r="I309" i="29"/>
  <c r="I311" i="29"/>
  <c r="I306" i="29"/>
  <c r="I307" i="29"/>
  <c r="I310" i="29"/>
  <c r="I308" i="29"/>
  <c r="H24" i="37"/>
  <c r="I327" i="29"/>
  <c r="I332" i="29"/>
  <c r="I328" i="29"/>
  <c r="I330" i="29"/>
  <c r="I331" i="29"/>
  <c r="I329" i="29"/>
  <c r="H27" i="37"/>
  <c r="I349" i="29"/>
  <c r="I353" i="29"/>
  <c r="I351" i="29"/>
  <c r="I348" i="29"/>
  <c r="I352" i="29"/>
  <c r="I350" i="29"/>
  <c r="H333" i="29"/>
  <c r="H25" i="37"/>
  <c r="I334" i="29"/>
  <c r="I337" i="29"/>
  <c r="I339" i="29"/>
  <c r="I338" i="29"/>
  <c r="I336" i="29"/>
  <c r="I335" i="29"/>
  <c r="H319" i="29"/>
  <c r="H305" i="29"/>
  <c r="H354" i="29"/>
  <c r="H298" i="29"/>
  <c r="H326" i="29"/>
  <c r="H22" i="37"/>
  <c r="I314" i="29"/>
  <c r="I318" i="29"/>
  <c r="I317" i="29"/>
  <c r="I313" i="29"/>
  <c r="I316" i="29"/>
  <c r="I315" i="29"/>
  <c r="H28" i="37"/>
  <c r="I356" i="29"/>
  <c r="I360" i="29"/>
  <c r="I357" i="29"/>
  <c r="I355" i="29"/>
  <c r="I358" i="29"/>
  <c r="I359" i="29"/>
  <c r="H277" i="29"/>
  <c r="E12" i="17" l="1"/>
  <c r="E5" i="17" s="1"/>
  <c r="E147" i="17"/>
  <c r="G95" i="17"/>
  <c r="G82" i="17"/>
  <c r="G51" i="17"/>
  <c r="G89" i="17"/>
  <c r="G71" i="17"/>
  <c r="G17" i="17"/>
  <c r="G79" i="17"/>
  <c r="G36" i="17"/>
  <c r="G14" i="17"/>
  <c r="G94" i="17"/>
  <c r="G29" i="17"/>
  <c r="G16" i="17"/>
  <c r="G88" i="17"/>
  <c r="G92" i="17"/>
  <c r="G81" i="17"/>
  <c r="G26" i="17"/>
  <c r="G78" i="17"/>
  <c r="G65" i="17"/>
  <c r="G68" i="17"/>
  <c r="G67" i="17"/>
  <c r="G59" i="17"/>
  <c r="G37" i="17"/>
  <c r="G32" i="17"/>
  <c r="G75" i="17"/>
  <c r="G56" i="17"/>
  <c r="G63" i="17"/>
  <c r="G38" i="17"/>
  <c r="G25" i="17"/>
  <c r="G77" i="17"/>
  <c r="G96" i="17"/>
  <c r="G93" i="17"/>
  <c r="G85" i="17"/>
  <c r="G50" i="17"/>
  <c r="G30" i="17"/>
  <c r="G35" i="17"/>
  <c r="G49" i="17"/>
  <c r="G18" i="17"/>
  <c r="G46" i="17"/>
  <c r="G33" i="17"/>
  <c r="G47" i="17"/>
  <c r="G60" i="17"/>
  <c r="G80" i="17"/>
  <c r="G45" i="17"/>
  <c r="G73" i="17"/>
  <c r="G22" i="17"/>
  <c r="G15" i="17"/>
  <c r="G58" i="17"/>
  <c r="G57" i="17"/>
  <c r="G24" i="17"/>
  <c r="G28" i="17"/>
  <c r="G52" i="17"/>
  <c r="G19" i="17"/>
  <c r="G43" i="17"/>
  <c r="G53" i="17"/>
  <c r="G84" i="17"/>
  <c r="G86" i="17"/>
  <c r="G31" i="17"/>
  <c r="G23" i="17"/>
  <c r="G44" i="17"/>
  <c r="G91" i="17"/>
  <c r="G64" i="17"/>
  <c r="G87" i="17"/>
  <c r="G61" i="17"/>
  <c r="G40" i="17"/>
  <c r="G21" i="17"/>
  <c r="G70" i="17"/>
  <c r="G72" i="17"/>
  <c r="G54" i="17"/>
  <c r="G66" i="17"/>
  <c r="G42" i="17"/>
  <c r="G74" i="17"/>
  <c r="G39" i="17"/>
  <c r="G51" i="29"/>
  <c r="F51" i="29"/>
  <c r="H51" i="29"/>
  <c r="F41" i="17"/>
  <c r="E51" i="29"/>
  <c r="I51" i="29"/>
  <c r="G101" i="29"/>
  <c r="E101" i="29"/>
  <c r="F101" i="29"/>
  <c r="H101" i="29"/>
  <c r="I101" i="29"/>
  <c r="E70" i="29"/>
  <c r="F70" i="29"/>
  <c r="G70" i="29"/>
  <c r="H70" i="29"/>
  <c r="I70" i="29"/>
  <c r="E88" i="29"/>
  <c r="F88" i="29"/>
  <c r="H62" i="29"/>
  <c r="E62" i="29"/>
  <c r="F62" i="29"/>
  <c r="G62" i="29"/>
  <c r="G42" i="29"/>
  <c r="E42" i="29"/>
  <c r="F42" i="29"/>
  <c r="H42" i="29"/>
  <c r="G24" i="29"/>
  <c r="F24" i="29"/>
  <c r="E24" i="29"/>
  <c r="H24" i="29"/>
  <c r="G104" i="29"/>
  <c r="F104" i="29"/>
  <c r="E104" i="29"/>
  <c r="H104" i="29"/>
  <c r="G55" i="29"/>
  <c r="F55" i="29"/>
  <c r="H55" i="29"/>
  <c r="E55" i="29"/>
  <c r="H46" i="29"/>
  <c r="G46" i="29"/>
  <c r="E46" i="29"/>
  <c r="F46" i="29"/>
  <c r="G49" i="29"/>
  <c r="H49" i="29"/>
  <c r="E49" i="29"/>
  <c r="F49" i="29"/>
  <c r="H61" i="29"/>
  <c r="F61" i="29"/>
  <c r="G61" i="29"/>
  <c r="E61" i="29"/>
  <c r="G103" i="29"/>
  <c r="H103" i="29"/>
  <c r="E103" i="29"/>
  <c r="F103" i="29"/>
  <c r="F55" i="17"/>
  <c r="G65" i="29"/>
  <c r="H65" i="29"/>
  <c r="F65" i="29"/>
  <c r="E65" i="29"/>
  <c r="G52" i="29"/>
  <c r="E52" i="29"/>
  <c r="H52" i="29"/>
  <c r="F52" i="29"/>
  <c r="E126" i="17"/>
  <c r="G26" i="29"/>
  <c r="E26" i="29"/>
  <c r="F26" i="29"/>
  <c r="H26" i="29"/>
  <c r="H27" i="29"/>
  <c r="F27" i="29"/>
  <c r="G27" i="29"/>
  <c r="E27" i="29"/>
  <c r="G59" i="29"/>
  <c r="E59" i="29"/>
  <c r="F59" i="29"/>
  <c r="H59" i="29"/>
  <c r="G100" i="29"/>
  <c r="F100" i="29"/>
  <c r="F90" i="17"/>
  <c r="H100" i="29"/>
  <c r="E100" i="29"/>
  <c r="G63" i="29"/>
  <c r="H63" i="29"/>
  <c r="E63" i="29"/>
  <c r="F63" i="29"/>
  <c r="G97" i="29"/>
  <c r="F97" i="29"/>
  <c r="E97" i="29"/>
  <c r="H97" i="29"/>
  <c r="E175" i="17"/>
  <c r="G80" i="29"/>
  <c r="E80" i="29"/>
  <c r="F80" i="29"/>
  <c r="H80" i="29"/>
  <c r="G81" i="29"/>
  <c r="H81" i="29"/>
  <c r="E81" i="29"/>
  <c r="F81" i="29"/>
  <c r="E67" i="29"/>
  <c r="H67" i="29"/>
  <c r="F67" i="29"/>
  <c r="G67" i="29"/>
  <c r="E41" i="29"/>
  <c r="F41" i="29"/>
  <c r="G41" i="29"/>
  <c r="H41" i="29"/>
  <c r="H96" i="29"/>
  <c r="E96" i="29"/>
  <c r="F96" i="29"/>
  <c r="G96" i="29"/>
  <c r="E90" i="29"/>
  <c r="F90" i="29"/>
  <c r="I65" i="29"/>
  <c r="F39" i="29"/>
  <c r="G39" i="29"/>
  <c r="H39" i="29"/>
  <c r="E39" i="29"/>
  <c r="G56" i="29"/>
  <c r="E56" i="29"/>
  <c r="H56" i="29"/>
  <c r="F56" i="29"/>
  <c r="G53" i="29"/>
  <c r="E53" i="29"/>
  <c r="H53" i="29"/>
  <c r="F53" i="29"/>
  <c r="E83" i="29"/>
  <c r="F83" i="29"/>
  <c r="G83" i="29"/>
  <c r="H83" i="29"/>
  <c r="F83" i="17"/>
  <c r="E93" i="29"/>
  <c r="F93" i="29"/>
  <c r="H93" i="29"/>
  <c r="G93" i="29"/>
  <c r="G31" i="29"/>
  <c r="H31" i="29"/>
  <c r="F31" i="29"/>
  <c r="E31" i="29"/>
  <c r="E168" i="17"/>
  <c r="G98" i="29"/>
  <c r="H98" i="29"/>
  <c r="F98" i="29"/>
  <c r="E98" i="29"/>
  <c r="G95" i="29"/>
  <c r="F95" i="29"/>
  <c r="H95" i="29"/>
  <c r="E95" i="29"/>
  <c r="G28" i="29"/>
  <c r="H28" i="29"/>
  <c r="F28" i="29"/>
  <c r="E28" i="29"/>
  <c r="G34" i="29"/>
  <c r="E34" i="29"/>
  <c r="H34" i="29"/>
  <c r="F34" i="29"/>
  <c r="G48" i="29"/>
  <c r="E48" i="29"/>
  <c r="F48" i="29"/>
  <c r="H48" i="29"/>
  <c r="E140" i="17"/>
  <c r="E23" i="29"/>
  <c r="F13" i="17"/>
  <c r="F23" i="29"/>
  <c r="G23" i="29"/>
  <c r="H23" i="29"/>
  <c r="I103" i="29"/>
  <c r="G60" i="29"/>
  <c r="E60" i="29"/>
  <c r="F60" i="29"/>
  <c r="H60" i="29"/>
  <c r="G30" i="29"/>
  <c r="H30" i="29"/>
  <c r="F20" i="17"/>
  <c r="E30" i="29"/>
  <c r="F30" i="29"/>
  <c r="F48" i="17"/>
  <c r="F58" i="29"/>
  <c r="H58" i="29"/>
  <c r="G58" i="29"/>
  <c r="E58" i="29"/>
  <c r="G94" i="29"/>
  <c r="H94" i="29"/>
  <c r="E94" i="29"/>
  <c r="F94" i="29"/>
  <c r="E47" i="29"/>
  <c r="F47" i="29"/>
  <c r="G47" i="29"/>
  <c r="H47" i="29"/>
  <c r="G66" i="29"/>
  <c r="E66" i="29"/>
  <c r="H66" i="29"/>
  <c r="F66" i="29"/>
  <c r="E161" i="17"/>
  <c r="G58" i="1"/>
  <c r="G59" i="1" s="1"/>
  <c r="F128" i="17"/>
  <c r="J137" i="29" s="1"/>
  <c r="F115" i="17"/>
  <c r="F165" i="17"/>
  <c r="F163" i="17"/>
  <c r="F136" i="17"/>
  <c r="J145" i="29" s="1"/>
  <c r="F150" i="17"/>
  <c r="J159" i="29" s="1"/>
  <c r="F138" i="17"/>
  <c r="F106" i="17"/>
  <c r="F166" i="17"/>
  <c r="F177" i="17"/>
  <c r="J186" i="29" s="1"/>
  <c r="F134" i="17"/>
  <c r="J143" i="29" s="1"/>
  <c r="F156" i="17"/>
  <c r="J165" i="29" s="1"/>
  <c r="F117" i="17"/>
  <c r="J126" i="29" s="1"/>
  <c r="F146" i="17"/>
  <c r="J155" i="29" s="1"/>
  <c r="F110" i="17"/>
  <c r="J119" i="29" s="1"/>
  <c r="F125" i="17"/>
  <c r="F173" i="17"/>
  <c r="J182" i="29" s="1"/>
  <c r="F155" i="17"/>
  <c r="J164" i="29" s="1"/>
  <c r="F104" i="17"/>
  <c r="J113" i="29" s="1"/>
  <c r="F135" i="17"/>
  <c r="J144" i="29" s="1"/>
  <c r="F103" i="17"/>
  <c r="F159" i="17"/>
  <c r="F137" i="17"/>
  <c r="J146" i="29" s="1"/>
  <c r="F160" i="17"/>
  <c r="J169" i="29" s="1"/>
  <c r="F139" i="17"/>
  <c r="J148" i="29" s="1"/>
  <c r="F130" i="17"/>
  <c r="J139" i="29" s="1"/>
  <c r="F174" i="17"/>
  <c r="J183" i="29" s="1"/>
  <c r="F108" i="17"/>
  <c r="J117" i="29" s="1"/>
  <c r="F180" i="17"/>
  <c r="J189" i="29" s="1"/>
  <c r="F124" i="17"/>
  <c r="F122" i="17"/>
  <c r="F164" i="17"/>
  <c r="F131" i="17"/>
  <c r="J140" i="29" s="1"/>
  <c r="F157" i="17"/>
  <c r="J166" i="29" s="1"/>
  <c r="F143" i="17"/>
  <c r="F99" i="17"/>
  <c r="J108" i="29" s="1"/>
  <c r="F107" i="17"/>
  <c r="J116" i="29" s="1"/>
  <c r="F169" i="17"/>
  <c r="J178" i="29" s="1"/>
  <c r="F176" i="17"/>
  <c r="J185" i="29" s="1"/>
  <c r="F172" i="17"/>
  <c r="J181" i="29" s="1"/>
  <c r="F153" i="17"/>
  <c r="J162" i="29" s="1"/>
  <c r="F141" i="17"/>
  <c r="J150" i="29" s="1"/>
  <c r="F179" i="17"/>
  <c r="J188" i="29" s="1"/>
  <c r="F162" i="17"/>
  <c r="F152" i="17"/>
  <c r="J161" i="29" s="1"/>
  <c r="F100" i="17"/>
  <c r="J109" i="29" s="1"/>
  <c r="F127" i="17"/>
  <c r="J136" i="29" s="1"/>
  <c r="F132" i="17"/>
  <c r="J141" i="29" s="1"/>
  <c r="F149" i="17"/>
  <c r="F158" i="17"/>
  <c r="F170" i="17"/>
  <c r="J179" i="29" s="1"/>
  <c r="F111" i="17"/>
  <c r="J120" i="29" s="1"/>
  <c r="F102" i="17"/>
  <c r="J111" i="29" s="1"/>
  <c r="F178" i="17"/>
  <c r="J187" i="29" s="1"/>
  <c r="F142" i="17"/>
  <c r="J151" i="29" s="1"/>
  <c r="F145" i="17"/>
  <c r="J154" i="29" s="1"/>
  <c r="F113" i="17"/>
  <c r="J122" i="29" s="1"/>
  <c r="F151" i="17"/>
  <c r="J160" i="29" s="1"/>
  <c r="F167" i="17"/>
  <c r="F181" i="17"/>
  <c r="J190" i="29" s="1"/>
  <c r="F123" i="17"/>
  <c r="J132" i="29" s="1"/>
  <c r="F120" i="17"/>
  <c r="J129" i="29" s="1"/>
  <c r="F118" i="17"/>
  <c r="J127" i="29" s="1"/>
  <c r="F114" i="17"/>
  <c r="F129" i="17"/>
  <c r="J138" i="29" s="1"/>
  <c r="F148" i="17"/>
  <c r="J157" i="29" s="1"/>
  <c r="F116" i="17"/>
  <c r="J125" i="29" s="1"/>
  <c r="F109" i="17"/>
  <c r="J118" i="29" s="1"/>
  <c r="F101" i="17"/>
  <c r="J110" i="29" s="1"/>
  <c r="F144" i="17"/>
  <c r="J153" i="29" s="1"/>
  <c r="F121" i="17"/>
  <c r="J130" i="29" s="1"/>
  <c r="F171" i="17"/>
  <c r="J180" i="29" s="1"/>
  <c r="G44" i="29"/>
  <c r="F44" i="29"/>
  <c r="F34" i="17"/>
  <c r="H44" i="29"/>
  <c r="E44" i="29"/>
  <c r="G79" i="29"/>
  <c r="E79" i="29"/>
  <c r="F69" i="17"/>
  <c r="F79" i="29"/>
  <c r="H79" i="29"/>
  <c r="F27" i="17"/>
  <c r="F37" i="29"/>
  <c r="H37" i="29"/>
  <c r="G37" i="29"/>
  <c r="E37" i="29"/>
  <c r="F87" i="29"/>
  <c r="E87" i="29"/>
  <c r="G73" i="29"/>
  <c r="E73" i="29"/>
  <c r="F73" i="29"/>
  <c r="H73" i="29"/>
  <c r="E154" i="17"/>
  <c r="G68" i="29"/>
  <c r="H68" i="29"/>
  <c r="E68" i="29"/>
  <c r="F68" i="29"/>
  <c r="I31" i="29"/>
  <c r="I29" i="29" s="1"/>
  <c r="E230" i="17"/>
  <c r="E251" i="17"/>
  <c r="E264" i="17"/>
  <c r="E188" i="17"/>
  <c r="E224" i="17"/>
  <c r="E184" i="17"/>
  <c r="E213" i="17"/>
  <c r="E261" i="17"/>
  <c r="E255" i="17"/>
  <c r="E223" i="17"/>
  <c r="E235" i="17"/>
  <c r="E215" i="17"/>
  <c r="E262" i="17"/>
  <c r="E242" i="17"/>
  <c r="E216" i="17"/>
  <c r="E186" i="17"/>
  <c r="E200" i="17"/>
  <c r="E228" i="17"/>
  <c r="E231" i="17"/>
  <c r="E229" i="17"/>
  <c r="E249" i="17"/>
  <c r="E258" i="17"/>
  <c r="E198" i="17"/>
  <c r="E202" i="17"/>
  <c r="E220" i="17"/>
  <c r="E259" i="17"/>
  <c r="E244" i="17"/>
  <c r="E208" i="17"/>
  <c r="E236" i="17"/>
  <c r="E252" i="17"/>
  <c r="E226" i="17"/>
  <c r="E221" i="17"/>
  <c r="E254" i="17"/>
  <c r="E227" i="17"/>
  <c r="E250" i="17"/>
  <c r="E257" i="17"/>
  <c r="E189" i="17"/>
  <c r="E245" i="17"/>
  <c r="E199" i="17"/>
  <c r="E233" i="17"/>
  <c r="E265" i="17"/>
  <c r="E222" i="17"/>
  <c r="E247" i="17"/>
  <c r="E206" i="17"/>
  <c r="E241" i="17"/>
  <c r="E187" i="17"/>
  <c r="E237" i="17"/>
  <c r="E219" i="17"/>
  <c r="E240" i="17"/>
  <c r="E205" i="17"/>
  <c r="E201" i="17"/>
  <c r="E243" i="17"/>
  <c r="E266" i="17"/>
  <c r="E248" i="17"/>
  <c r="E217" i="17"/>
  <c r="E209" i="17"/>
  <c r="E210" i="17"/>
  <c r="E185" i="17"/>
  <c r="E263" i="17"/>
  <c r="E234" i="17"/>
  <c r="E207" i="17"/>
  <c r="E214" i="17"/>
  <c r="E256" i="17"/>
  <c r="E212" i="17"/>
  <c r="E191" i="17"/>
  <c r="E190" i="17" s="1"/>
  <c r="E203" i="17"/>
  <c r="E238" i="17"/>
  <c r="E133" i="17"/>
  <c r="H72" i="29"/>
  <c r="E72" i="29"/>
  <c r="G72" i="29"/>
  <c r="F62" i="17"/>
  <c r="F72" i="29"/>
  <c r="G84" i="29"/>
  <c r="E84" i="29"/>
  <c r="H84" i="29"/>
  <c r="F84" i="29"/>
  <c r="F35" i="29"/>
  <c r="G35" i="29"/>
  <c r="H35" i="29"/>
  <c r="E35" i="29"/>
  <c r="E89" i="29"/>
  <c r="F89" i="29"/>
  <c r="G33" i="29"/>
  <c r="E33" i="29"/>
  <c r="F33" i="29"/>
  <c r="H33" i="29"/>
  <c r="G102" i="29"/>
  <c r="E102" i="29"/>
  <c r="H102" i="29"/>
  <c r="F102" i="29"/>
  <c r="G77" i="29"/>
  <c r="F77" i="29"/>
  <c r="H77" i="29"/>
  <c r="E77" i="29"/>
  <c r="I68" i="29"/>
  <c r="E119" i="17"/>
  <c r="E112" i="17"/>
  <c r="H32" i="29"/>
  <c r="G32" i="29"/>
  <c r="E32" i="29"/>
  <c r="F32" i="29"/>
  <c r="G69" i="29"/>
  <c r="F69" i="29"/>
  <c r="H69" i="29"/>
  <c r="E69" i="29"/>
  <c r="G74" i="29"/>
  <c r="H74" i="29"/>
  <c r="E74" i="29"/>
  <c r="F74" i="29"/>
  <c r="E25" i="29"/>
  <c r="F25" i="29"/>
  <c r="H25" i="29"/>
  <c r="G25" i="29"/>
  <c r="G75" i="29"/>
  <c r="E75" i="29"/>
  <c r="F75" i="29"/>
  <c r="H75" i="29"/>
  <c r="G38" i="29"/>
  <c r="E38" i="29"/>
  <c r="H38" i="29"/>
  <c r="F38" i="29"/>
  <c r="E98" i="17"/>
  <c r="G54" i="29"/>
  <c r="E54" i="29"/>
  <c r="F54" i="29"/>
  <c r="H54" i="29"/>
  <c r="F76" i="17"/>
  <c r="E86" i="29"/>
  <c r="F86" i="29"/>
  <c r="I52" i="29"/>
  <c r="F255" i="17"/>
  <c r="J264" i="29" s="1"/>
  <c r="F229" i="17"/>
  <c r="J238" i="29" s="1"/>
  <c r="F258" i="17"/>
  <c r="J267" i="29" s="1"/>
  <c r="F235" i="17"/>
  <c r="F187" i="17"/>
  <c r="J196" i="29" s="1"/>
  <c r="F221" i="17"/>
  <c r="J230" i="29" s="1"/>
  <c r="F220" i="17"/>
  <c r="J229" i="29" s="1"/>
  <c r="F256" i="17"/>
  <c r="J265" i="29" s="1"/>
  <c r="F250" i="17"/>
  <c r="F207" i="17"/>
  <c r="F242" i="17"/>
  <c r="J251" i="29" s="1"/>
  <c r="F213" i="17"/>
  <c r="J222" i="29" s="1"/>
  <c r="F195" i="17"/>
  <c r="J204" i="29" s="1"/>
  <c r="F210" i="17"/>
  <c r="J219" i="29" s="1"/>
  <c r="F203" i="17"/>
  <c r="J212" i="29" s="1"/>
  <c r="F238" i="17"/>
  <c r="J247" i="29" s="1"/>
  <c r="F217" i="17"/>
  <c r="J226" i="29" s="1"/>
  <c r="F191" i="17"/>
  <c r="J200" i="29" s="1"/>
  <c r="F248" i="17"/>
  <c r="F199" i="17"/>
  <c r="J208" i="29" s="1"/>
  <c r="F265" i="17"/>
  <c r="J274" i="29" s="1"/>
  <c r="F212" i="17"/>
  <c r="J221" i="29" s="1"/>
  <c r="F214" i="17"/>
  <c r="F249" i="17"/>
  <c r="F230" i="17"/>
  <c r="J239" i="29" s="1"/>
  <c r="F201" i="17"/>
  <c r="J210" i="29" s="1"/>
  <c r="F189" i="17"/>
  <c r="J198" i="29" s="1"/>
  <c r="F240" i="17"/>
  <c r="J249" i="29" s="1"/>
  <c r="F205" i="17"/>
  <c r="J214" i="29" s="1"/>
  <c r="F222" i="17"/>
  <c r="J231" i="29" s="1"/>
  <c r="F192" i="17"/>
  <c r="J201" i="29" s="1"/>
  <c r="F231" i="17"/>
  <c r="J240" i="29" s="1"/>
  <c r="F185" i="17"/>
  <c r="F223" i="17"/>
  <c r="J232" i="29" s="1"/>
  <c r="F254" i="17"/>
  <c r="J263" i="29" s="1"/>
  <c r="F261" i="17"/>
  <c r="J270" i="29" s="1"/>
  <c r="F245" i="17"/>
  <c r="J254" i="29" s="1"/>
  <c r="F216" i="17"/>
  <c r="J225" i="29" s="1"/>
  <c r="F193" i="17"/>
  <c r="J202" i="29" s="1"/>
  <c r="F206" i="17"/>
  <c r="J215" i="29" s="1"/>
  <c r="F209" i="17"/>
  <c r="J218" i="29" s="1"/>
  <c r="F237" i="17"/>
  <c r="J246" i="29" s="1"/>
  <c r="F200" i="17"/>
  <c r="J209" i="29" s="1"/>
  <c r="F202" i="17"/>
  <c r="J211" i="29" s="1"/>
  <c r="F188" i="17"/>
  <c r="F226" i="17"/>
  <c r="F215" i="17"/>
  <c r="F259" i="17"/>
  <c r="J268" i="29" s="1"/>
  <c r="F219" i="17"/>
  <c r="J228" i="29" s="1"/>
  <c r="F234" i="17"/>
  <c r="J243" i="29" s="1"/>
  <c r="F262" i="17"/>
  <c r="F227" i="17"/>
  <c r="F243" i="17"/>
  <c r="J252" i="29" s="1"/>
  <c r="F244" i="17"/>
  <c r="J253" i="29" s="1"/>
  <c r="F233" i="17"/>
  <c r="J242" i="29" s="1"/>
  <c r="F208" i="17"/>
  <c r="J217" i="29" s="1"/>
  <c r="F228" i="17"/>
  <c r="J237" i="29" s="1"/>
  <c r="F257" i="17"/>
  <c r="J266" i="29" s="1"/>
  <c r="F196" i="17"/>
  <c r="J205" i="29" s="1"/>
  <c r="F194" i="17"/>
  <c r="J203" i="29" s="1"/>
  <c r="F184" i="17"/>
  <c r="J193" i="29" s="1"/>
  <c r="F198" i="17"/>
  <c r="F241" i="17"/>
  <c r="J250" i="29" s="1"/>
  <c r="F252" i="17"/>
  <c r="F263" i="17"/>
  <c r="F224" i="17"/>
  <c r="J233" i="29" s="1"/>
  <c r="F247" i="17"/>
  <c r="F264" i="17"/>
  <c r="J273" i="29" s="1"/>
  <c r="F186" i="17"/>
  <c r="J195" i="29" s="1"/>
  <c r="F251" i="17"/>
  <c r="F266" i="17"/>
  <c r="J275" i="29" s="1"/>
  <c r="F236" i="17"/>
  <c r="J245" i="29" s="1"/>
  <c r="E105" i="17"/>
  <c r="E91" i="29"/>
  <c r="F91" i="29"/>
  <c r="F82" i="29"/>
  <c r="G82" i="29"/>
  <c r="H82" i="29"/>
  <c r="E82" i="29"/>
  <c r="G45" i="29"/>
  <c r="E45" i="29"/>
  <c r="F45" i="29"/>
  <c r="H45" i="29"/>
  <c r="G105" i="29"/>
  <c r="H105" i="29"/>
  <c r="E105" i="29"/>
  <c r="F105" i="29"/>
  <c r="G40" i="29"/>
  <c r="F40" i="29"/>
  <c r="E40" i="29"/>
  <c r="H40" i="29"/>
  <c r="G76" i="29"/>
  <c r="F76" i="29"/>
  <c r="H76" i="29"/>
  <c r="E76" i="29"/>
  <c r="AF6" i="10"/>
  <c r="AK6" i="10"/>
  <c r="H57" i="1"/>
  <c r="AL6" i="10"/>
  <c r="AM6" i="10"/>
  <c r="AD6" i="10"/>
  <c r="AG6" i="10"/>
  <c r="AI6" i="10"/>
  <c r="AJ6" i="10"/>
  <c r="AN6" i="10"/>
  <c r="AH6" i="10"/>
  <c r="AC6" i="10"/>
  <c r="F15" i="8"/>
  <c r="F30" i="18"/>
  <c r="F9" i="18" s="1"/>
  <c r="F14" i="18" s="1"/>
  <c r="J107" i="8"/>
  <c r="J93" i="8"/>
  <c r="J85" i="8"/>
  <c r="J99" i="8"/>
  <c r="J86" i="8"/>
  <c r="J100" i="8"/>
  <c r="J90" i="8"/>
  <c r="J104" i="8"/>
  <c r="J89" i="8"/>
  <c r="J103" i="8"/>
  <c r="J87" i="8"/>
  <c r="J101" i="8"/>
  <c r="J91" i="8"/>
  <c r="J105" i="8"/>
  <c r="J94" i="8"/>
  <c r="J108" i="8"/>
  <c r="J84" i="8"/>
  <c r="J98" i="8"/>
  <c r="J102" i="8"/>
  <c r="J88" i="8"/>
  <c r="J83" i="8"/>
  <c r="J97" i="8"/>
  <c r="E86" i="7"/>
  <c r="F86" i="7"/>
  <c r="K728" i="1"/>
  <c r="J51" i="7"/>
  <c r="J54" i="7"/>
  <c r="I277" i="29"/>
  <c r="I326" i="29"/>
  <c r="I319" i="29"/>
  <c r="I57" i="29"/>
  <c r="I71" i="29"/>
  <c r="I25" i="37"/>
  <c r="J339" i="29"/>
  <c r="J337" i="29"/>
  <c r="J338" i="29"/>
  <c r="J336" i="29"/>
  <c r="J334" i="29"/>
  <c r="J335" i="29"/>
  <c r="J84" i="29"/>
  <c r="J82" i="29"/>
  <c r="J79" i="29"/>
  <c r="J83" i="29"/>
  <c r="J80" i="29"/>
  <c r="J81" i="29"/>
  <c r="I78" i="29"/>
  <c r="I22" i="29"/>
  <c r="I43" i="29"/>
  <c r="I22" i="37"/>
  <c r="J318" i="29"/>
  <c r="J316" i="29"/>
  <c r="J317" i="29"/>
  <c r="J314" i="29"/>
  <c r="J315" i="29"/>
  <c r="J313" i="29"/>
  <c r="J59" i="29"/>
  <c r="J61" i="29"/>
  <c r="J63" i="29"/>
  <c r="J60" i="29"/>
  <c r="J58" i="29"/>
  <c r="J62" i="29"/>
  <c r="I284" i="29"/>
  <c r="I347" i="29"/>
  <c r="I305" i="29"/>
  <c r="J286" i="29"/>
  <c r="J289" i="29"/>
  <c r="J288" i="29"/>
  <c r="J285" i="29"/>
  <c r="J290" i="29"/>
  <c r="J31" i="29"/>
  <c r="J287" i="29"/>
  <c r="J35" i="29"/>
  <c r="J30" i="29"/>
  <c r="J34" i="29"/>
  <c r="J33" i="29"/>
  <c r="J32" i="29"/>
  <c r="I27" i="37"/>
  <c r="J349" i="29"/>
  <c r="J353" i="29"/>
  <c r="J350" i="29"/>
  <c r="J351" i="29"/>
  <c r="J94" i="29"/>
  <c r="J352" i="29"/>
  <c r="J98" i="29"/>
  <c r="J348" i="29"/>
  <c r="J93" i="29"/>
  <c r="J96" i="29"/>
  <c r="J97" i="29"/>
  <c r="J95" i="29"/>
  <c r="I36" i="29"/>
  <c r="I291" i="29"/>
  <c r="I298" i="29"/>
  <c r="I333" i="29"/>
  <c r="I24" i="37"/>
  <c r="J328" i="29"/>
  <c r="J331" i="29"/>
  <c r="J332" i="29"/>
  <c r="J327" i="29"/>
  <c r="J330" i="29"/>
  <c r="J329" i="29"/>
  <c r="J75" i="29"/>
  <c r="J77" i="29"/>
  <c r="J74" i="29"/>
  <c r="J72" i="29"/>
  <c r="J76" i="29"/>
  <c r="J73" i="29"/>
  <c r="I21" i="37"/>
  <c r="J306" i="29"/>
  <c r="J307" i="29"/>
  <c r="J311" i="29"/>
  <c r="J308" i="29"/>
  <c r="J309" i="29"/>
  <c r="J56" i="29"/>
  <c r="J54" i="29"/>
  <c r="J310" i="29"/>
  <c r="J51" i="29"/>
  <c r="J52" i="29"/>
  <c r="J55" i="29"/>
  <c r="J53" i="29"/>
  <c r="I20" i="37"/>
  <c r="J302" i="29"/>
  <c r="J304" i="29"/>
  <c r="J303" i="29"/>
  <c r="J301" i="29"/>
  <c r="J300" i="29"/>
  <c r="J299" i="29"/>
  <c r="J48" i="29"/>
  <c r="J46" i="29"/>
  <c r="J44" i="29"/>
  <c r="J49" i="29"/>
  <c r="J47" i="29"/>
  <c r="J45" i="29"/>
  <c r="I19" i="37"/>
  <c r="J296" i="29"/>
  <c r="J293" i="29"/>
  <c r="J292" i="29"/>
  <c r="J295" i="29"/>
  <c r="J294" i="29"/>
  <c r="J297" i="29"/>
  <c r="J40" i="29"/>
  <c r="J39" i="29"/>
  <c r="J38" i="29"/>
  <c r="J42" i="29"/>
  <c r="J41" i="29"/>
  <c r="J37" i="29"/>
  <c r="I354" i="29"/>
  <c r="I23" i="37"/>
  <c r="J321" i="29"/>
  <c r="J322" i="29"/>
  <c r="J320" i="29"/>
  <c r="J323" i="29"/>
  <c r="J66" i="29"/>
  <c r="J325" i="29"/>
  <c r="J69" i="29"/>
  <c r="J324" i="29"/>
  <c r="J67" i="29"/>
  <c r="J65" i="29"/>
  <c r="J68" i="29"/>
  <c r="J70" i="29"/>
  <c r="I312" i="29"/>
  <c r="I92" i="29"/>
  <c r="J282" i="29"/>
  <c r="J280" i="29"/>
  <c r="J283" i="29"/>
  <c r="J278" i="29"/>
  <c r="J281" i="29"/>
  <c r="J279" i="29"/>
  <c r="J25" i="29"/>
  <c r="J24" i="29"/>
  <c r="J28" i="29"/>
  <c r="J26" i="29"/>
  <c r="J23" i="29"/>
  <c r="J27" i="29"/>
  <c r="I28" i="37"/>
  <c r="J355" i="29"/>
  <c r="J360" i="29"/>
  <c r="J357" i="29"/>
  <c r="J356" i="29"/>
  <c r="J359" i="29"/>
  <c r="J103" i="29"/>
  <c r="J358" i="29"/>
  <c r="J101" i="29"/>
  <c r="J102" i="29"/>
  <c r="J100" i="29"/>
  <c r="J104" i="29"/>
  <c r="J105" i="29"/>
  <c r="I99" i="29" l="1"/>
  <c r="E71" i="29"/>
  <c r="G43" i="29"/>
  <c r="E43" i="29"/>
  <c r="E36" i="29"/>
  <c r="H71" i="29"/>
  <c r="I64" i="29"/>
  <c r="I50" i="29"/>
  <c r="E253" i="17"/>
  <c r="G78" i="29"/>
  <c r="E22" i="29"/>
  <c r="H92" i="29"/>
  <c r="G41" i="17"/>
  <c r="E236" i="29"/>
  <c r="F236" i="29"/>
  <c r="G236" i="29"/>
  <c r="H236" i="29"/>
  <c r="I236" i="29"/>
  <c r="G115" i="29"/>
  <c r="F105" i="17"/>
  <c r="H115" i="29"/>
  <c r="F115" i="29"/>
  <c r="E115" i="29"/>
  <c r="I115" i="29"/>
  <c r="H254" i="29"/>
  <c r="G254" i="29"/>
  <c r="E254" i="29"/>
  <c r="I254" i="29"/>
  <c r="F254" i="29"/>
  <c r="H158" i="29"/>
  <c r="E158" i="29"/>
  <c r="F158" i="29"/>
  <c r="G158" i="29"/>
  <c r="I158" i="29"/>
  <c r="G147" i="29"/>
  <c r="E147" i="29"/>
  <c r="H147" i="29"/>
  <c r="F147" i="29"/>
  <c r="I147" i="29"/>
  <c r="G83" i="17"/>
  <c r="J236" i="29"/>
  <c r="J147" i="29"/>
  <c r="J142" i="29" s="1"/>
  <c r="E261" i="29"/>
  <c r="F261" i="29"/>
  <c r="H243" i="29"/>
  <c r="I243" i="29"/>
  <c r="F243" i="29"/>
  <c r="G243" i="29"/>
  <c r="E243" i="29"/>
  <c r="H270" i="29"/>
  <c r="F260" i="17"/>
  <c r="F270" i="29"/>
  <c r="G270" i="29"/>
  <c r="I270" i="29"/>
  <c r="E270" i="29"/>
  <c r="H221" i="29"/>
  <c r="F211" i="17"/>
  <c r="F221" i="29"/>
  <c r="G221" i="29"/>
  <c r="E221" i="29"/>
  <c r="I221" i="29"/>
  <c r="H265" i="29"/>
  <c r="I265" i="29"/>
  <c r="E265" i="29"/>
  <c r="F265" i="29"/>
  <c r="G265" i="29"/>
  <c r="F71" i="29"/>
  <c r="E225" i="17"/>
  <c r="H43" i="29"/>
  <c r="G129" i="29"/>
  <c r="H129" i="29"/>
  <c r="E129" i="29"/>
  <c r="F119" i="17"/>
  <c r="F129" i="29"/>
  <c r="I129" i="29"/>
  <c r="G141" i="29"/>
  <c r="E141" i="29"/>
  <c r="H141" i="29"/>
  <c r="F141" i="29"/>
  <c r="I141" i="29"/>
  <c r="H166" i="29"/>
  <c r="G166" i="29"/>
  <c r="E166" i="29"/>
  <c r="F166" i="29"/>
  <c r="I166" i="29"/>
  <c r="G144" i="29"/>
  <c r="E144" i="29"/>
  <c r="F144" i="29"/>
  <c r="H144" i="29"/>
  <c r="I144" i="29"/>
  <c r="G159" i="29"/>
  <c r="E159" i="29"/>
  <c r="H159" i="29"/>
  <c r="F159" i="29"/>
  <c r="I159" i="29"/>
  <c r="H29" i="29"/>
  <c r="E92" i="29"/>
  <c r="G99" i="29"/>
  <c r="G62" i="17"/>
  <c r="H271" i="29"/>
  <c r="F271" i="29"/>
  <c r="G271" i="29"/>
  <c r="I271" i="29"/>
  <c r="E271" i="29"/>
  <c r="I223" i="29"/>
  <c r="E223" i="29"/>
  <c r="F223" i="29"/>
  <c r="G223" i="29"/>
  <c r="H223" i="29"/>
  <c r="E127" i="29"/>
  <c r="F127" i="29"/>
  <c r="G127" i="29"/>
  <c r="H127" i="29"/>
  <c r="I127" i="29"/>
  <c r="G112" i="29"/>
  <c r="E112" i="29"/>
  <c r="F112" i="29"/>
  <c r="H112" i="29"/>
  <c r="I112" i="29"/>
  <c r="F92" i="29"/>
  <c r="F99" i="29"/>
  <c r="J158" i="29"/>
  <c r="J156" i="29" s="1"/>
  <c r="H250" i="29"/>
  <c r="E250" i="29"/>
  <c r="F250" i="29"/>
  <c r="G250" i="29"/>
  <c r="I250" i="29"/>
  <c r="H228" i="29"/>
  <c r="F228" i="29"/>
  <c r="G228" i="29"/>
  <c r="F218" i="17"/>
  <c r="I228" i="29"/>
  <c r="E228" i="29"/>
  <c r="H263" i="29"/>
  <c r="F253" i="17"/>
  <c r="E263" i="29"/>
  <c r="F263" i="29"/>
  <c r="G263" i="29"/>
  <c r="I263" i="29"/>
  <c r="H274" i="29"/>
  <c r="E274" i="29"/>
  <c r="G274" i="29"/>
  <c r="I274" i="29"/>
  <c r="F274" i="29"/>
  <c r="H229" i="29"/>
  <c r="F229" i="29"/>
  <c r="G229" i="29"/>
  <c r="I229" i="29"/>
  <c r="E229" i="29"/>
  <c r="G132" i="29"/>
  <c r="E132" i="29"/>
  <c r="H132" i="29"/>
  <c r="F132" i="29"/>
  <c r="I132" i="29"/>
  <c r="G136" i="29"/>
  <c r="E136" i="29"/>
  <c r="H136" i="29"/>
  <c r="F136" i="29"/>
  <c r="F126" i="17"/>
  <c r="I136" i="29"/>
  <c r="G140" i="29"/>
  <c r="E140" i="29"/>
  <c r="F140" i="29"/>
  <c r="H140" i="29"/>
  <c r="I140" i="29"/>
  <c r="F113" i="29"/>
  <c r="E113" i="29"/>
  <c r="G113" i="29"/>
  <c r="H113" i="29"/>
  <c r="I113" i="29"/>
  <c r="G145" i="29"/>
  <c r="H145" i="29"/>
  <c r="E145" i="29"/>
  <c r="F145" i="29"/>
  <c r="I145" i="29"/>
  <c r="G29" i="29"/>
  <c r="G55" i="17"/>
  <c r="G108" i="29"/>
  <c r="E108" i="29"/>
  <c r="F108" i="29"/>
  <c r="H108" i="29"/>
  <c r="F98" i="17"/>
  <c r="I108" i="29"/>
  <c r="F272" i="29"/>
  <c r="H272" i="29"/>
  <c r="G272" i="29"/>
  <c r="I272" i="29"/>
  <c r="E272" i="29"/>
  <c r="E259" i="29"/>
  <c r="F259" i="29"/>
  <c r="G152" i="29"/>
  <c r="E152" i="29"/>
  <c r="F152" i="29"/>
  <c r="H152" i="29"/>
  <c r="I152" i="29"/>
  <c r="H207" i="29"/>
  <c r="E207" i="29"/>
  <c r="F207" i="29"/>
  <c r="G207" i="29"/>
  <c r="F197" i="17"/>
  <c r="I207" i="29"/>
  <c r="E268" i="29"/>
  <c r="F268" i="29"/>
  <c r="G268" i="29"/>
  <c r="H268" i="29"/>
  <c r="I268" i="29"/>
  <c r="H232" i="29"/>
  <c r="E232" i="29"/>
  <c r="G232" i="29"/>
  <c r="I232" i="29"/>
  <c r="F232" i="29"/>
  <c r="E208" i="29"/>
  <c r="I208" i="29"/>
  <c r="F208" i="29"/>
  <c r="G208" i="29"/>
  <c r="H208" i="29"/>
  <c r="I230" i="29"/>
  <c r="E230" i="29"/>
  <c r="G230" i="29"/>
  <c r="F230" i="29"/>
  <c r="H230" i="29"/>
  <c r="G71" i="29"/>
  <c r="E246" i="17"/>
  <c r="F43" i="29"/>
  <c r="G190" i="29"/>
  <c r="H190" i="29"/>
  <c r="F190" i="29"/>
  <c r="E190" i="29"/>
  <c r="I190" i="29"/>
  <c r="G109" i="29"/>
  <c r="F109" i="29"/>
  <c r="H109" i="29"/>
  <c r="E109" i="29"/>
  <c r="I109" i="29"/>
  <c r="F173" i="29"/>
  <c r="E173" i="29"/>
  <c r="E164" i="29"/>
  <c r="F164" i="29"/>
  <c r="H164" i="29"/>
  <c r="F154" i="17"/>
  <c r="G164" i="29"/>
  <c r="I164" i="29"/>
  <c r="E172" i="29"/>
  <c r="F172" i="29"/>
  <c r="G69" i="17"/>
  <c r="H233" i="29"/>
  <c r="F233" i="29"/>
  <c r="G233" i="29"/>
  <c r="I233" i="29"/>
  <c r="E233" i="29"/>
  <c r="G167" i="29"/>
  <c r="E167" i="29"/>
  <c r="F167" i="29"/>
  <c r="H167" i="29"/>
  <c r="I167" i="29"/>
  <c r="J115" i="29"/>
  <c r="J114" i="29" s="1"/>
  <c r="F174" i="29"/>
  <c r="E174" i="29"/>
  <c r="I200" i="29"/>
  <c r="H200" i="29"/>
  <c r="E200" i="29"/>
  <c r="F200" i="29"/>
  <c r="F190" i="17"/>
  <c r="G200" i="29"/>
  <c r="E97" i="17"/>
  <c r="E6" i="17" s="1"/>
  <c r="G36" i="29"/>
  <c r="H124" i="29"/>
  <c r="G124" i="29"/>
  <c r="E124" i="29"/>
  <c r="F124" i="29"/>
  <c r="I124" i="29"/>
  <c r="G48" i="17"/>
  <c r="H197" i="29"/>
  <c r="I197" i="29"/>
  <c r="E197" i="29"/>
  <c r="F197" i="29"/>
  <c r="G197" i="29"/>
  <c r="H201" i="29"/>
  <c r="I201" i="29"/>
  <c r="E201" i="29"/>
  <c r="F201" i="29"/>
  <c r="G201" i="29"/>
  <c r="E226" i="29"/>
  <c r="F226" i="29"/>
  <c r="I226" i="29"/>
  <c r="G226" i="29"/>
  <c r="H226" i="29"/>
  <c r="F267" i="29"/>
  <c r="I267" i="29"/>
  <c r="G267" i="29"/>
  <c r="H267" i="29"/>
  <c r="E267" i="29"/>
  <c r="E232" i="17"/>
  <c r="H36" i="29"/>
  <c r="G130" i="29"/>
  <c r="E130" i="29"/>
  <c r="F130" i="29"/>
  <c r="H130" i="29"/>
  <c r="I130" i="29"/>
  <c r="E122" i="29"/>
  <c r="F112" i="17"/>
  <c r="G122" i="29"/>
  <c r="H122" i="29"/>
  <c r="F122" i="29"/>
  <c r="I122" i="29"/>
  <c r="G188" i="29"/>
  <c r="E188" i="29"/>
  <c r="F188" i="29"/>
  <c r="H188" i="29"/>
  <c r="I188" i="29"/>
  <c r="G189" i="29"/>
  <c r="E189" i="29"/>
  <c r="F189" i="29"/>
  <c r="H189" i="29"/>
  <c r="I189" i="29"/>
  <c r="G119" i="29"/>
  <c r="E119" i="29"/>
  <c r="F119" i="29"/>
  <c r="H119" i="29"/>
  <c r="I119" i="29"/>
  <c r="G137" i="29"/>
  <c r="E137" i="29"/>
  <c r="F137" i="29"/>
  <c r="H137" i="29"/>
  <c r="I137" i="29"/>
  <c r="F64" i="29"/>
  <c r="E50" i="29"/>
  <c r="G34" i="17"/>
  <c r="E258" i="29"/>
  <c r="F258" i="29"/>
  <c r="G168" i="29"/>
  <c r="F168" i="29"/>
  <c r="H168" i="29"/>
  <c r="E168" i="29"/>
  <c r="I168" i="29"/>
  <c r="E29" i="29"/>
  <c r="E194" i="29"/>
  <c r="F194" i="29"/>
  <c r="I194" i="29"/>
  <c r="H194" i="29"/>
  <c r="G194" i="29"/>
  <c r="G131" i="29"/>
  <c r="E131" i="29"/>
  <c r="H131" i="29"/>
  <c r="F131" i="29"/>
  <c r="I131" i="29"/>
  <c r="H240" i="29"/>
  <c r="F240" i="29"/>
  <c r="G240" i="29"/>
  <c r="I240" i="29"/>
  <c r="E240" i="29"/>
  <c r="G133" i="29"/>
  <c r="H133" i="29"/>
  <c r="E133" i="29"/>
  <c r="F133" i="29"/>
  <c r="I133" i="29"/>
  <c r="E205" i="29"/>
  <c r="F205" i="29"/>
  <c r="G205" i="29"/>
  <c r="H205" i="29"/>
  <c r="I205" i="29"/>
  <c r="J272" i="29"/>
  <c r="J197" i="29"/>
  <c r="J207" i="29"/>
  <c r="J206" i="29" s="1"/>
  <c r="H66" i="17"/>
  <c r="H53" i="17"/>
  <c r="H79" i="17"/>
  <c r="H81" i="17"/>
  <c r="H32" i="17"/>
  <c r="H78" i="17"/>
  <c r="H65" i="17"/>
  <c r="H92" i="17"/>
  <c r="H39" i="17"/>
  <c r="H60" i="17"/>
  <c r="H25" i="17"/>
  <c r="H77" i="17"/>
  <c r="H40" i="17"/>
  <c r="H67" i="17"/>
  <c r="H88" i="17"/>
  <c r="H49" i="17"/>
  <c r="H36" i="17"/>
  <c r="H96" i="17"/>
  <c r="H14" i="17"/>
  <c r="H42" i="17"/>
  <c r="H70" i="17"/>
  <c r="H74" i="17"/>
  <c r="H61" i="17"/>
  <c r="H38" i="17"/>
  <c r="H15" i="17"/>
  <c r="H35" i="17"/>
  <c r="H45" i="17"/>
  <c r="H72" i="17"/>
  <c r="H21" i="17"/>
  <c r="H86" i="17"/>
  <c r="H73" i="17"/>
  <c r="H84" i="17"/>
  <c r="H43" i="17"/>
  <c r="H63" i="17"/>
  <c r="H46" i="17"/>
  <c r="H33" i="17"/>
  <c r="H18" i="17"/>
  <c r="H71" i="17"/>
  <c r="H58" i="17"/>
  <c r="H44" i="17"/>
  <c r="H57" i="17"/>
  <c r="H85" i="17"/>
  <c r="H91" i="17"/>
  <c r="H31" i="17"/>
  <c r="H47" i="17"/>
  <c r="H19" i="17"/>
  <c r="H26" i="17"/>
  <c r="H17" i="17"/>
  <c r="H94" i="17"/>
  <c r="H59" i="17"/>
  <c r="H22" i="17"/>
  <c r="H80" i="17"/>
  <c r="H16" i="17"/>
  <c r="H50" i="17"/>
  <c r="H29" i="17"/>
  <c r="H23" i="17"/>
  <c r="H30" i="17"/>
  <c r="H56" i="17"/>
  <c r="H95" i="17"/>
  <c r="H64" i="17"/>
  <c r="H37" i="17"/>
  <c r="H28" i="17"/>
  <c r="H54" i="17"/>
  <c r="H82" i="17"/>
  <c r="H75" i="17"/>
  <c r="H51" i="17"/>
  <c r="H87" i="17"/>
  <c r="H52" i="17"/>
  <c r="H24" i="17"/>
  <c r="H68" i="17"/>
  <c r="H89" i="17"/>
  <c r="H93" i="17"/>
  <c r="H245" i="29"/>
  <c r="E245" i="29"/>
  <c r="F245" i="29"/>
  <c r="G245" i="29"/>
  <c r="I245" i="29"/>
  <c r="H266" i="29"/>
  <c r="E266" i="29"/>
  <c r="F266" i="29"/>
  <c r="I266" i="29"/>
  <c r="G266" i="29"/>
  <c r="H211" i="29"/>
  <c r="I211" i="29"/>
  <c r="F211" i="29"/>
  <c r="G211" i="29"/>
  <c r="E211" i="29"/>
  <c r="H231" i="29"/>
  <c r="E231" i="29"/>
  <c r="F231" i="29"/>
  <c r="G231" i="29"/>
  <c r="I231" i="29"/>
  <c r="H247" i="29"/>
  <c r="E247" i="29"/>
  <c r="F247" i="29"/>
  <c r="G247" i="29"/>
  <c r="I247" i="29"/>
  <c r="E238" i="29"/>
  <c r="G238" i="29"/>
  <c r="H238" i="29"/>
  <c r="I238" i="29"/>
  <c r="F238" i="29"/>
  <c r="F36" i="29"/>
  <c r="H153" i="29"/>
  <c r="G153" i="29"/>
  <c r="E153" i="29"/>
  <c r="F153" i="29"/>
  <c r="I153" i="29"/>
  <c r="F154" i="29"/>
  <c r="G154" i="29"/>
  <c r="E154" i="29"/>
  <c r="H154" i="29"/>
  <c r="I154" i="29"/>
  <c r="F150" i="29"/>
  <c r="F140" i="17"/>
  <c r="G150" i="29"/>
  <c r="H150" i="29"/>
  <c r="E150" i="29"/>
  <c r="I150" i="29"/>
  <c r="G117" i="29"/>
  <c r="E117" i="29"/>
  <c r="F117" i="29"/>
  <c r="H117" i="29"/>
  <c r="I117" i="29"/>
  <c r="G155" i="29"/>
  <c r="H155" i="29"/>
  <c r="E155" i="29"/>
  <c r="F155" i="29"/>
  <c r="I155" i="29"/>
  <c r="H58" i="1"/>
  <c r="H178" i="17"/>
  <c r="G139" i="17"/>
  <c r="G160" i="17"/>
  <c r="G131" i="17"/>
  <c r="G164" i="17"/>
  <c r="G166" i="17"/>
  <c r="G130" i="17"/>
  <c r="G137" i="17"/>
  <c r="G99" i="17"/>
  <c r="G167" i="17"/>
  <c r="G123" i="17"/>
  <c r="G132" i="17"/>
  <c r="G101" i="17"/>
  <c r="G106" i="17"/>
  <c r="G151" i="17"/>
  <c r="G102" i="17"/>
  <c r="H179" i="17"/>
  <c r="H176" i="17"/>
  <c r="G149" i="17"/>
  <c r="G118" i="17"/>
  <c r="G128" i="17"/>
  <c r="G136" i="17"/>
  <c r="G153" i="17"/>
  <c r="G109" i="17"/>
  <c r="G116" i="17"/>
  <c r="G107" i="17"/>
  <c r="G163" i="17"/>
  <c r="G121" i="17"/>
  <c r="G122" i="17"/>
  <c r="G114" i="17"/>
  <c r="G165" i="17"/>
  <c r="G179" i="17"/>
  <c r="G135" i="17"/>
  <c r="H177" i="17"/>
  <c r="H181" i="17"/>
  <c r="G158" i="17"/>
  <c r="H180" i="17"/>
  <c r="G178" i="17"/>
  <c r="G134" i="17"/>
  <c r="G117" i="17"/>
  <c r="G125" i="17"/>
  <c r="G141" i="17"/>
  <c r="G146" i="17"/>
  <c r="G104" i="17"/>
  <c r="G150" i="17"/>
  <c r="G152" i="17"/>
  <c r="G176" i="17"/>
  <c r="G148" i="17"/>
  <c r="G162" i="17"/>
  <c r="G111" i="17"/>
  <c r="G100" i="17"/>
  <c r="G145" i="17"/>
  <c r="G103" i="17"/>
  <c r="G180" i="17"/>
  <c r="G169" i="17"/>
  <c r="G174" i="17"/>
  <c r="G113" i="17"/>
  <c r="G142" i="17"/>
  <c r="G173" i="17"/>
  <c r="G129" i="17"/>
  <c r="G177" i="17"/>
  <c r="G170" i="17"/>
  <c r="G138" i="17"/>
  <c r="G144" i="17"/>
  <c r="G157" i="17"/>
  <c r="G181" i="17"/>
  <c r="G110" i="17"/>
  <c r="G171" i="17"/>
  <c r="G156" i="17"/>
  <c r="G143" i="17"/>
  <c r="G115" i="17"/>
  <c r="G120" i="17"/>
  <c r="G159" i="17"/>
  <c r="G124" i="17"/>
  <c r="G172" i="17"/>
  <c r="G155" i="17"/>
  <c r="G108" i="17"/>
  <c r="G127" i="17"/>
  <c r="E57" i="29"/>
  <c r="H64" i="29"/>
  <c r="I216" i="29"/>
  <c r="E216" i="29"/>
  <c r="F216" i="29"/>
  <c r="G216" i="29"/>
  <c r="H216" i="29"/>
  <c r="F257" i="29"/>
  <c r="E257" i="29"/>
  <c r="G13" i="17"/>
  <c r="H244" i="29"/>
  <c r="I244" i="29"/>
  <c r="F244" i="29"/>
  <c r="G244" i="29"/>
  <c r="E244" i="29"/>
  <c r="F161" i="17"/>
  <c r="F171" i="29"/>
  <c r="E171" i="29"/>
  <c r="G134" i="29"/>
  <c r="H134" i="29"/>
  <c r="E134" i="29"/>
  <c r="F134" i="29"/>
  <c r="I134" i="29"/>
  <c r="E64" i="29"/>
  <c r="J223" i="29"/>
  <c r="G185" i="17"/>
  <c r="G233" i="17"/>
  <c r="G203" i="17"/>
  <c r="G194" i="17"/>
  <c r="G254" i="17"/>
  <c r="G262" i="17"/>
  <c r="G224" i="17"/>
  <c r="G188" i="17"/>
  <c r="G263" i="17"/>
  <c r="G230" i="17"/>
  <c r="G187" i="17"/>
  <c r="G245" i="17"/>
  <c r="G216" i="17"/>
  <c r="G256" i="17"/>
  <c r="G248" i="17"/>
  <c r="G261" i="17"/>
  <c r="G229" i="17"/>
  <c r="G184" i="17"/>
  <c r="G251" i="17"/>
  <c r="G258" i="17"/>
  <c r="G240" i="17"/>
  <c r="G209" i="17"/>
  <c r="G221" i="17"/>
  <c r="G207" i="17"/>
  <c r="G243" i="17"/>
  <c r="G199" i="17"/>
  <c r="G193" i="17"/>
  <c r="G250" i="17"/>
  <c r="G196" i="17"/>
  <c r="G202" i="17"/>
  <c r="G191" i="17"/>
  <c r="G264" i="17"/>
  <c r="G266" i="17"/>
  <c r="G213" i="17"/>
  <c r="G195" i="17"/>
  <c r="G235" i="17"/>
  <c r="G223" i="17"/>
  <c r="G208" i="17"/>
  <c r="G227" i="17"/>
  <c r="G257" i="17"/>
  <c r="G242" i="17"/>
  <c r="G247" i="17"/>
  <c r="G234" i="17"/>
  <c r="G244" i="17"/>
  <c r="G231" i="17"/>
  <c r="G259" i="17"/>
  <c r="G252" i="17"/>
  <c r="G217" i="17"/>
  <c r="G265" i="17"/>
  <c r="G228" i="17"/>
  <c r="G186" i="17"/>
  <c r="G214" i="17"/>
  <c r="G249" i="17"/>
  <c r="G220" i="17"/>
  <c r="G210" i="17"/>
  <c r="G201" i="17"/>
  <c r="G206" i="17"/>
  <c r="G236" i="17"/>
  <c r="G212" i="17"/>
  <c r="G255" i="17"/>
  <c r="G222" i="17"/>
  <c r="G205" i="17"/>
  <c r="G215" i="17"/>
  <c r="G238" i="17"/>
  <c r="G198" i="17"/>
  <c r="G226" i="17"/>
  <c r="G219" i="17"/>
  <c r="G192" i="17"/>
  <c r="G237" i="17"/>
  <c r="G189" i="17"/>
  <c r="G241" i="17"/>
  <c r="G200" i="17"/>
  <c r="H275" i="29"/>
  <c r="G275" i="29"/>
  <c r="E275" i="29"/>
  <c r="F275" i="29"/>
  <c r="I275" i="29"/>
  <c r="E237" i="29"/>
  <c r="H237" i="29"/>
  <c r="F237" i="29"/>
  <c r="G237" i="29"/>
  <c r="I237" i="29"/>
  <c r="I209" i="29"/>
  <c r="E209" i="29"/>
  <c r="F209" i="29"/>
  <c r="G209" i="29"/>
  <c r="H209" i="29"/>
  <c r="H214" i="29"/>
  <c r="F204" i="17"/>
  <c r="F214" i="29"/>
  <c r="E214" i="29"/>
  <c r="I214" i="29"/>
  <c r="G214" i="29"/>
  <c r="E212" i="29"/>
  <c r="F212" i="29"/>
  <c r="G212" i="29"/>
  <c r="H212" i="29"/>
  <c r="I212" i="29"/>
  <c r="I264" i="29"/>
  <c r="E264" i="29"/>
  <c r="F264" i="29"/>
  <c r="G264" i="29"/>
  <c r="H264" i="29"/>
  <c r="G110" i="29"/>
  <c r="F110" i="29"/>
  <c r="H110" i="29"/>
  <c r="E110" i="29"/>
  <c r="I110" i="29"/>
  <c r="H151" i="29"/>
  <c r="F151" i="29"/>
  <c r="G151" i="29"/>
  <c r="E151" i="29"/>
  <c r="I151" i="29"/>
  <c r="G162" i="29"/>
  <c r="E162" i="29"/>
  <c r="F162" i="29"/>
  <c r="H162" i="29"/>
  <c r="I162" i="29"/>
  <c r="G183" i="29"/>
  <c r="H183" i="29"/>
  <c r="E183" i="29"/>
  <c r="F183" i="29"/>
  <c r="I183" i="29"/>
  <c r="G126" i="29"/>
  <c r="E126" i="29"/>
  <c r="F126" i="29"/>
  <c r="H126" i="29"/>
  <c r="I126" i="29"/>
  <c r="G57" i="29"/>
  <c r="G64" i="29"/>
  <c r="H50" i="29"/>
  <c r="E224" i="29"/>
  <c r="G224" i="29"/>
  <c r="F224" i="29"/>
  <c r="I224" i="29"/>
  <c r="H224" i="29"/>
  <c r="G161" i="29"/>
  <c r="H161" i="29"/>
  <c r="E161" i="29"/>
  <c r="F161" i="29"/>
  <c r="I161" i="29"/>
  <c r="H235" i="29"/>
  <c r="I235" i="29"/>
  <c r="E235" i="29"/>
  <c r="G235" i="29"/>
  <c r="F225" i="17"/>
  <c r="F235" i="29"/>
  <c r="G180" i="29"/>
  <c r="H180" i="29"/>
  <c r="E180" i="29"/>
  <c r="F180" i="29"/>
  <c r="I180" i="29"/>
  <c r="G27" i="17"/>
  <c r="J112" i="29"/>
  <c r="J107" i="29" s="1"/>
  <c r="J167" i="29"/>
  <c r="E260" i="29"/>
  <c r="F260" i="29"/>
  <c r="G217" i="29"/>
  <c r="E217" i="29"/>
  <c r="H217" i="29"/>
  <c r="F217" i="29"/>
  <c r="I217" i="29"/>
  <c r="H246" i="29"/>
  <c r="E246" i="29"/>
  <c r="F246" i="29"/>
  <c r="G246" i="29"/>
  <c r="I246" i="29"/>
  <c r="H249" i="29"/>
  <c r="E249" i="29"/>
  <c r="I249" i="29"/>
  <c r="F249" i="29"/>
  <c r="G249" i="29"/>
  <c r="F239" i="17"/>
  <c r="H219" i="29"/>
  <c r="I219" i="29"/>
  <c r="F219" i="29"/>
  <c r="G219" i="29"/>
  <c r="E219" i="29"/>
  <c r="E197" i="17"/>
  <c r="H78" i="29"/>
  <c r="H118" i="29"/>
  <c r="G118" i="29"/>
  <c r="E118" i="29"/>
  <c r="F118" i="29"/>
  <c r="I118" i="29"/>
  <c r="G187" i="29"/>
  <c r="E187" i="29"/>
  <c r="F187" i="29"/>
  <c r="H187" i="29"/>
  <c r="I187" i="29"/>
  <c r="G181" i="29"/>
  <c r="H181" i="29"/>
  <c r="E181" i="29"/>
  <c r="F181" i="29"/>
  <c r="I181" i="29"/>
  <c r="G139" i="29"/>
  <c r="E139" i="29"/>
  <c r="H139" i="29"/>
  <c r="F139" i="29"/>
  <c r="I139" i="29"/>
  <c r="G165" i="29"/>
  <c r="E165" i="29"/>
  <c r="F165" i="29"/>
  <c r="H165" i="29"/>
  <c r="I165" i="29"/>
  <c r="H57" i="29"/>
  <c r="H22" i="29"/>
  <c r="F50" i="29"/>
  <c r="G90" i="17"/>
  <c r="H225" i="29"/>
  <c r="I225" i="29"/>
  <c r="E225" i="29"/>
  <c r="F225" i="29"/>
  <c r="G225" i="29"/>
  <c r="G123" i="29"/>
  <c r="H123" i="29"/>
  <c r="E123" i="29"/>
  <c r="F123" i="29"/>
  <c r="I123" i="29"/>
  <c r="G196" i="29"/>
  <c r="E196" i="29"/>
  <c r="F196" i="29"/>
  <c r="H196" i="29"/>
  <c r="I196" i="29"/>
  <c r="G182" i="29"/>
  <c r="E182" i="29"/>
  <c r="F182" i="29"/>
  <c r="H182" i="29"/>
  <c r="I182" i="29"/>
  <c r="J224" i="29"/>
  <c r="G203" i="29"/>
  <c r="E203" i="29"/>
  <c r="I203" i="29"/>
  <c r="H203" i="29"/>
  <c r="F203" i="29"/>
  <c r="G160" i="29"/>
  <c r="E160" i="29"/>
  <c r="F160" i="29"/>
  <c r="H160" i="29"/>
  <c r="I160" i="29"/>
  <c r="J152" i="29"/>
  <c r="J149" i="29" s="1"/>
  <c r="J124" i="29"/>
  <c r="J133" i="29"/>
  <c r="J244" i="29"/>
  <c r="J241" i="29" s="1"/>
  <c r="H195" i="29"/>
  <c r="I195" i="29"/>
  <c r="E195" i="29"/>
  <c r="F195" i="29"/>
  <c r="G195" i="29"/>
  <c r="H242" i="29"/>
  <c r="E242" i="29"/>
  <c r="F232" i="17"/>
  <c r="I242" i="29"/>
  <c r="F242" i="29"/>
  <c r="G242" i="29"/>
  <c r="H218" i="29"/>
  <c r="G218" i="29"/>
  <c r="I218" i="29"/>
  <c r="E218" i="29"/>
  <c r="F218" i="29"/>
  <c r="H198" i="29"/>
  <c r="E198" i="29"/>
  <c r="F198" i="29"/>
  <c r="G198" i="29"/>
  <c r="I198" i="29"/>
  <c r="H204" i="29"/>
  <c r="E204" i="29"/>
  <c r="F204" i="29"/>
  <c r="G204" i="29"/>
  <c r="I204" i="29"/>
  <c r="E211" i="17"/>
  <c r="E204" i="17"/>
  <c r="E260" i="17"/>
  <c r="F78" i="29"/>
  <c r="G125" i="29"/>
  <c r="E125" i="29"/>
  <c r="F125" i="29"/>
  <c r="H125" i="29"/>
  <c r="I125" i="29"/>
  <c r="E111" i="29"/>
  <c r="F111" i="29"/>
  <c r="G111" i="29"/>
  <c r="H111" i="29"/>
  <c r="I111" i="29"/>
  <c r="H185" i="29"/>
  <c r="G185" i="29"/>
  <c r="F185" i="29"/>
  <c r="F175" i="17"/>
  <c r="E185" i="29"/>
  <c r="I185" i="29"/>
  <c r="G148" i="29"/>
  <c r="E148" i="29"/>
  <c r="H148" i="29"/>
  <c r="F148" i="29"/>
  <c r="I148" i="29"/>
  <c r="G143" i="29"/>
  <c r="F133" i="17"/>
  <c r="H143" i="29"/>
  <c r="F143" i="29"/>
  <c r="E143" i="29"/>
  <c r="I143" i="29"/>
  <c r="F57" i="29"/>
  <c r="G22" i="29"/>
  <c r="G50" i="29"/>
  <c r="J123" i="29"/>
  <c r="J216" i="29"/>
  <c r="J213" i="29" s="1"/>
  <c r="E273" i="29"/>
  <c r="F273" i="29"/>
  <c r="G273" i="29"/>
  <c r="I273" i="29"/>
  <c r="H273" i="29"/>
  <c r="H253" i="29"/>
  <c r="I253" i="29"/>
  <c r="F253" i="29"/>
  <c r="E253" i="29"/>
  <c r="G253" i="29"/>
  <c r="H215" i="29"/>
  <c r="G215" i="29"/>
  <c r="I215" i="29"/>
  <c r="E215" i="29"/>
  <c r="F215" i="29"/>
  <c r="H210" i="29"/>
  <c r="F210" i="29"/>
  <c r="G210" i="29"/>
  <c r="I210" i="29"/>
  <c r="E210" i="29"/>
  <c r="I222" i="29"/>
  <c r="F222" i="29"/>
  <c r="G222" i="29"/>
  <c r="H222" i="29"/>
  <c r="E222" i="29"/>
  <c r="F85" i="29"/>
  <c r="E239" i="17"/>
  <c r="G157" i="29"/>
  <c r="F157" i="29"/>
  <c r="E157" i="29"/>
  <c r="F147" i="17"/>
  <c r="H157" i="29"/>
  <c r="I157" i="29"/>
  <c r="G120" i="29"/>
  <c r="E120" i="29"/>
  <c r="H120" i="29"/>
  <c r="F120" i="29"/>
  <c r="I120" i="29"/>
  <c r="G178" i="29"/>
  <c r="E178" i="29"/>
  <c r="F178" i="29"/>
  <c r="H178" i="29"/>
  <c r="F168" i="17"/>
  <c r="I178" i="29"/>
  <c r="G169" i="29"/>
  <c r="F169" i="29"/>
  <c r="H169" i="29"/>
  <c r="E169" i="29"/>
  <c r="I169" i="29"/>
  <c r="G186" i="29"/>
  <c r="E186" i="29"/>
  <c r="F186" i="29"/>
  <c r="H186" i="29"/>
  <c r="I186" i="29"/>
  <c r="F22" i="29"/>
  <c r="E99" i="29"/>
  <c r="H193" i="29"/>
  <c r="F183" i="17"/>
  <c r="E193" i="29"/>
  <c r="I193" i="29"/>
  <c r="F193" i="29"/>
  <c r="G193" i="29"/>
  <c r="E176" i="29"/>
  <c r="F176" i="29"/>
  <c r="G20" i="17"/>
  <c r="J271" i="29"/>
  <c r="J194" i="29"/>
  <c r="J134" i="29"/>
  <c r="J235" i="29"/>
  <c r="J131" i="29"/>
  <c r="J168" i="29"/>
  <c r="E256" i="29"/>
  <c r="F256" i="29"/>
  <c r="F246" i="17"/>
  <c r="H252" i="29"/>
  <c r="F252" i="29"/>
  <c r="E252" i="29"/>
  <c r="I252" i="29"/>
  <c r="G252" i="29"/>
  <c r="H202" i="29"/>
  <c r="E202" i="29"/>
  <c r="F202" i="29"/>
  <c r="I202" i="29"/>
  <c r="G202" i="29"/>
  <c r="H239" i="29"/>
  <c r="I239" i="29"/>
  <c r="F239" i="29"/>
  <c r="E239" i="29"/>
  <c r="G239" i="29"/>
  <c r="H251" i="29"/>
  <c r="E251" i="29"/>
  <c r="F251" i="29"/>
  <c r="G251" i="29"/>
  <c r="I251" i="29"/>
  <c r="E85" i="29"/>
  <c r="E218" i="17"/>
  <c r="E183" i="17"/>
  <c r="E78" i="29"/>
  <c r="G138" i="29"/>
  <c r="F138" i="29"/>
  <c r="H138" i="29"/>
  <c r="E138" i="29"/>
  <c r="I138" i="29"/>
  <c r="G179" i="29"/>
  <c r="H179" i="29"/>
  <c r="F179" i="29"/>
  <c r="E179" i="29"/>
  <c r="I179" i="29"/>
  <c r="G116" i="29"/>
  <c r="H116" i="29"/>
  <c r="E116" i="29"/>
  <c r="F116" i="29"/>
  <c r="I116" i="29"/>
  <c r="F146" i="29"/>
  <c r="H146" i="29"/>
  <c r="G146" i="29"/>
  <c r="E146" i="29"/>
  <c r="I146" i="29"/>
  <c r="E175" i="29"/>
  <c r="F175" i="29"/>
  <c r="F29" i="29"/>
  <c r="F12" i="17"/>
  <c r="F5" i="17" s="1"/>
  <c r="G92" i="29"/>
  <c r="H99" i="29"/>
  <c r="G76" i="17"/>
  <c r="F38" i="9"/>
  <c r="F24" i="9" s="1"/>
  <c r="F25" i="9"/>
  <c r="F22" i="10" s="1"/>
  <c r="F33" i="10" s="1"/>
  <c r="F71" i="8"/>
  <c r="F78" i="8"/>
  <c r="F5" i="8"/>
  <c r="F29" i="12" s="1"/>
  <c r="F73" i="8"/>
  <c r="K94" i="8"/>
  <c r="K108" i="8"/>
  <c r="K85" i="8"/>
  <c r="K99" i="8"/>
  <c r="K86" i="8"/>
  <c r="K100" i="8"/>
  <c r="K103" i="8"/>
  <c r="K89" i="8"/>
  <c r="K91" i="8"/>
  <c r="K105" i="8"/>
  <c r="K84" i="8"/>
  <c r="K98" i="8"/>
  <c r="K97" i="8"/>
  <c r="K83" i="8"/>
  <c r="K102" i="8"/>
  <c r="K88" i="8"/>
  <c r="K90" i="8"/>
  <c r="K104" i="8"/>
  <c r="K93" i="8"/>
  <c r="K107" i="8"/>
  <c r="K87" i="8"/>
  <c r="K101" i="8"/>
  <c r="L728" i="1"/>
  <c r="K51" i="7"/>
  <c r="K54" i="7"/>
  <c r="J177" i="29"/>
  <c r="J43" i="29"/>
  <c r="J291" i="29"/>
  <c r="J199" i="29"/>
  <c r="J312" i="29"/>
  <c r="J78" i="29"/>
  <c r="J333" i="29"/>
  <c r="J71" i="29"/>
  <c r="J227" i="29"/>
  <c r="J50" i="29"/>
  <c r="J284" i="29"/>
  <c r="J248" i="29"/>
  <c r="J29" i="29"/>
  <c r="J262" i="29"/>
  <c r="J99" i="29"/>
  <c r="J326" i="29"/>
  <c r="K201" i="29"/>
  <c r="K204" i="29"/>
  <c r="K200" i="29"/>
  <c r="K118" i="29"/>
  <c r="K287" i="29"/>
  <c r="K286" i="29"/>
  <c r="K288" i="29"/>
  <c r="K290" i="29"/>
  <c r="K285" i="29"/>
  <c r="K202" i="29"/>
  <c r="K205" i="29"/>
  <c r="K203" i="29"/>
  <c r="K117" i="29"/>
  <c r="K289" i="29"/>
  <c r="K120" i="29"/>
  <c r="K115" i="29"/>
  <c r="K34" i="29"/>
  <c r="K119" i="29"/>
  <c r="K30" i="29"/>
  <c r="K33" i="29"/>
  <c r="K32" i="29"/>
  <c r="K116" i="29"/>
  <c r="K35" i="29"/>
  <c r="K31" i="29"/>
  <c r="J23" i="37"/>
  <c r="K325" i="29"/>
  <c r="K324" i="29"/>
  <c r="K322" i="29"/>
  <c r="K321" i="29"/>
  <c r="K238" i="29"/>
  <c r="K153" i="29"/>
  <c r="K320" i="29"/>
  <c r="K235" i="29"/>
  <c r="K323" i="29"/>
  <c r="K239" i="29"/>
  <c r="K240" i="29"/>
  <c r="K236" i="29"/>
  <c r="K155" i="29"/>
  <c r="K152" i="29"/>
  <c r="K237" i="29"/>
  <c r="K154" i="29"/>
  <c r="K151" i="29"/>
  <c r="K70" i="29"/>
  <c r="K67" i="29"/>
  <c r="K150" i="29"/>
  <c r="K68" i="29"/>
  <c r="K66" i="29"/>
  <c r="K69" i="29"/>
  <c r="K65" i="29"/>
  <c r="J277" i="29"/>
  <c r="J64" i="29"/>
  <c r="J19" i="37"/>
  <c r="K296" i="29"/>
  <c r="K297" i="29"/>
  <c r="K212" i="29"/>
  <c r="K295" i="29"/>
  <c r="K294" i="29"/>
  <c r="K207" i="29"/>
  <c r="K127" i="29"/>
  <c r="K293" i="29"/>
  <c r="K125" i="29"/>
  <c r="K211" i="29"/>
  <c r="K208" i="29"/>
  <c r="K122" i="29"/>
  <c r="K209" i="29"/>
  <c r="K42" i="29"/>
  <c r="K123" i="29"/>
  <c r="K37" i="29"/>
  <c r="K40" i="29"/>
  <c r="K126" i="29"/>
  <c r="K210" i="29"/>
  <c r="K38" i="29"/>
  <c r="K39" i="29"/>
  <c r="K124" i="29"/>
  <c r="K41" i="29"/>
  <c r="K292" i="29"/>
  <c r="J20" i="37"/>
  <c r="K301" i="29"/>
  <c r="K216" i="29"/>
  <c r="K299" i="29"/>
  <c r="K134" i="29"/>
  <c r="K300" i="29"/>
  <c r="K217" i="29"/>
  <c r="K303" i="29"/>
  <c r="K218" i="29"/>
  <c r="K133" i="29"/>
  <c r="K130" i="29"/>
  <c r="K302" i="29"/>
  <c r="K214" i="29"/>
  <c r="K219" i="29"/>
  <c r="K215" i="29"/>
  <c r="K131" i="29"/>
  <c r="K129" i="29"/>
  <c r="K47" i="29"/>
  <c r="K304" i="29"/>
  <c r="K45" i="29"/>
  <c r="K48" i="29"/>
  <c r="K44" i="29"/>
  <c r="K132" i="29"/>
  <c r="K46" i="29"/>
  <c r="K49" i="29"/>
  <c r="J24" i="37"/>
  <c r="K327" i="29"/>
  <c r="K330" i="29"/>
  <c r="K332" i="29"/>
  <c r="K331" i="29"/>
  <c r="K328" i="29"/>
  <c r="K247" i="29"/>
  <c r="K244" i="29"/>
  <c r="K329" i="29"/>
  <c r="K245" i="29"/>
  <c r="K161" i="29"/>
  <c r="K243" i="29"/>
  <c r="K159" i="29"/>
  <c r="K157" i="29"/>
  <c r="K246" i="29"/>
  <c r="K160" i="29"/>
  <c r="K77" i="29"/>
  <c r="K72" i="29"/>
  <c r="K74" i="29"/>
  <c r="K242" i="29"/>
  <c r="K76" i="29"/>
  <c r="K73" i="29"/>
  <c r="K158" i="29"/>
  <c r="K162" i="29"/>
  <c r="K75" i="29"/>
  <c r="J92" i="29"/>
  <c r="J25" i="37"/>
  <c r="K339" i="29"/>
  <c r="K335" i="29"/>
  <c r="K336" i="29"/>
  <c r="K338" i="29"/>
  <c r="K164" i="29"/>
  <c r="K254" i="29"/>
  <c r="K167" i="29"/>
  <c r="K337" i="29"/>
  <c r="K252" i="29"/>
  <c r="K334" i="29"/>
  <c r="K165" i="29"/>
  <c r="K251" i="29"/>
  <c r="K168" i="29"/>
  <c r="K253" i="29"/>
  <c r="K250" i="29"/>
  <c r="K249" i="29"/>
  <c r="K169" i="29"/>
  <c r="K166" i="29"/>
  <c r="K82" i="29"/>
  <c r="K79" i="29"/>
  <c r="K80" i="29"/>
  <c r="K81" i="29"/>
  <c r="K83" i="29"/>
  <c r="K84" i="29"/>
  <c r="J184" i="29"/>
  <c r="J305" i="29"/>
  <c r="J347" i="29"/>
  <c r="J27" i="37"/>
  <c r="K352" i="29"/>
  <c r="K353" i="29"/>
  <c r="K351" i="29"/>
  <c r="K348" i="29"/>
  <c r="K349" i="29"/>
  <c r="K350" i="29"/>
  <c r="K264" i="29"/>
  <c r="K182" i="29"/>
  <c r="K263" i="29"/>
  <c r="K266" i="29"/>
  <c r="K265" i="29"/>
  <c r="K267" i="29"/>
  <c r="K181" i="29"/>
  <c r="K97" i="29"/>
  <c r="K178" i="29"/>
  <c r="K95" i="29"/>
  <c r="K183" i="29"/>
  <c r="K180" i="29"/>
  <c r="K94" i="29"/>
  <c r="K268" i="29"/>
  <c r="K179" i="29"/>
  <c r="K96" i="29"/>
  <c r="K93" i="29"/>
  <c r="K98" i="29"/>
  <c r="J22" i="37"/>
  <c r="K318" i="29"/>
  <c r="K315" i="29"/>
  <c r="K317" i="29"/>
  <c r="K314" i="29"/>
  <c r="K316" i="29"/>
  <c r="K313" i="29"/>
  <c r="K228" i="29"/>
  <c r="K146" i="29"/>
  <c r="K233" i="29"/>
  <c r="K229" i="29"/>
  <c r="K232" i="29"/>
  <c r="K147" i="29"/>
  <c r="K61" i="29"/>
  <c r="K231" i="29"/>
  <c r="K230" i="29"/>
  <c r="K143" i="29"/>
  <c r="K148" i="29"/>
  <c r="K144" i="29"/>
  <c r="K145" i="29"/>
  <c r="K62" i="29"/>
  <c r="K60" i="29"/>
  <c r="K59" i="29"/>
  <c r="K63" i="29"/>
  <c r="K58" i="29"/>
  <c r="J22" i="29"/>
  <c r="K280" i="29"/>
  <c r="K195" i="29"/>
  <c r="K279" i="29"/>
  <c r="K109" i="29"/>
  <c r="K281" i="29"/>
  <c r="K194" i="29"/>
  <c r="K278" i="29"/>
  <c r="K282" i="29"/>
  <c r="K198" i="29"/>
  <c r="K283" i="29"/>
  <c r="K193" i="29"/>
  <c r="K111" i="29"/>
  <c r="K197" i="29"/>
  <c r="K113" i="29"/>
  <c r="K26" i="29"/>
  <c r="K23" i="29"/>
  <c r="K110" i="29"/>
  <c r="K112" i="29"/>
  <c r="K24" i="29"/>
  <c r="K108" i="29"/>
  <c r="K196" i="29"/>
  <c r="K25" i="29"/>
  <c r="K27" i="29"/>
  <c r="K28" i="29"/>
  <c r="J135" i="29"/>
  <c r="J21" i="37"/>
  <c r="K311" i="29"/>
  <c r="K309" i="29"/>
  <c r="K308" i="29"/>
  <c r="K306" i="29"/>
  <c r="K225" i="29"/>
  <c r="K226" i="29"/>
  <c r="K307" i="29"/>
  <c r="K310" i="29"/>
  <c r="K139" i="29"/>
  <c r="K136" i="29"/>
  <c r="K221" i="29"/>
  <c r="K224" i="29"/>
  <c r="K223" i="29"/>
  <c r="K140" i="29"/>
  <c r="K138" i="29"/>
  <c r="K141" i="29"/>
  <c r="K54" i="29"/>
  <c r="K51" i="29"/>
  <c r="K137" i="29"/>
  <c r="K55" i="29"/>
  <c r="K53" i="29"/>
  <c r="K222" i="29"/>
  <c r="K52" i="29"/>
  <c r="K56" i="29"/>
  <c r="J354" i="29"/>
  <c r="J298" i="29"/>
  <c r="J319" i="29"/>
  <c r="J57" i="29"/>
  <c r="J28" i="37"/>
  <c r="K360" i="29"/>
  <c r="K359" i="29"/>
  <c r="K355" i="29"/>
  <c r="K358" i="29"/>
  <c r="K357" i="29"/>
  <c r="K356" i="29"/>
  <c r="K270" i="29"/>
  <c r="K275" i="29"/>
  <c r="K274" i="29"/>
  <c r="K272" i="29"/>
  <c r="K188" i="29"/>
  <c r="K273" i="29"/>
  <c r="K271" i="29"/>
  <c r="K189" i="29"/>
  <c r="K186" i="29"/>
  <c r="K105" i="29"/>
  <c r="K100" i="29"/>
  <c r="K104" i="29"/>
  <c r="K102" i="29"/>
  <c r="K187" i="29"/>
  <c r="K190" i="29"/>
  <c r="K103" i="29"/>
  <c r="K185" i="29"/>
  <c r="K101" i="29"/>
  <c r="J36" i="29"/>
  <c r="B16" i="2"/>
  <c r="B17" i="2" s="1"/>
  <c r="B18" i="2" s="1"/>
  <c r="B19" i="2" s="1"/>
  <c r="B20" i="2" s="1"/>
  <c r="B21" i="2" s="1"/>
  <c r="A1" i="13"/>
  <c r="A1" i="12"/>
  <c r="J192" i="29" l="1"/>
  <c r="J121" i="29"/>
  <c r="J163" i="29"/>
  <c r="J234" i="29"/>
  <c r="H192" i="29"/>
  <c r="H213" i="29"/>
  <c r="G183" i="17"/>
  <c r="H13" i="17"/>
  <c r="F156" i="29"/>
  <c r="G161" i="17"/>
  <c r="J128" i="29"/>
  <c r="E234" i="29"/>
  <c r="I227" i="29"/>
  <c r="J220" i="29"/>
  <c r="E21" i="29"/>
  <c r="E14" i="29" s="1"/>
  <c r="E6" i="29" s="1"/>
  <c r="E83" i="7" s="1"/>
  <c r="F227" i="29"/>
  <c r="I142" i="29"/>
  <c r="F184" i="29"/>
  <c r="E135" i="29"/>
  <c r="G114" i="29"/>
  <c r="F255" i="29"/>
  <c r="G126" i="17"/>
  <c r="H76" i="17"/>
  <c r="J269" i="29"/>
  <c r="G112" i="17"/>
  <c r="H149" i="29"/>
  <c r="H121" i="29"/>
  <c r="H177" i="29"/>
  <c r="E241" i="29"/>
  <c r="I234" i="29"/>
  <c r="G211" i="17"/>
  <c r="G190" i="17"/>
  <c r="G140" i="17"/>
  <c r="G105" i="17"/>
  <c r="H157" i="17"/>
  <c r="H172" i="17"/>
  <c r="H163" i="17"/>
  <c r="H153" i="17"/>
  <c r="H143" i="17"/>
  <c r="H141" i="17"/>
  <c r="H132" i="17"/>
  <c r="H171" i="17"/>
  <c r="H148" i="17"/>
  <c r="H156" i="17"/>
  <c r="H124" i="17"/>
  <c r="H139" i="17"/>
  <c r="H102" i="17"/>
  <c r="H149" i="17"/>
  <c r="H120" i="17"/>
  <c r="H151" i="17"/>
  <c r="H166" i="17"/>
  <c r="H122" i="17"/>
  <c r="H138" i="17"/>
  <c r="H115" i="17"/>
  <c r="H142" i="17"/>
  <c r="H136" i="17"/>
  <c r="H104" i="17"/>
  <c r="H130" i="17"/>
  <c r="H135" i="17"/>
  <c r="H150" i="17"/>
  <c r="H170" i="17"/>
  <c r="H110" i="17"/>
  <c r="H164" i="17"/>
  <c r="H134" i="17"/>
  <c r="H158" i="17"/>
  <c r="H114" i="17"/>
  <c r="H106" i="17"/>
  <c r="H118" i="17"/>
  <c r="H117" i="17"/>
  <c r="H129" i="17"/>
  <c r="H144" i="17"/>
  <c r="H131" i="17"/>
  <c r="H146" i="17"/>
  <c r="H128" i="17"/>
  <c r="H101" i="17"/>
  <c r="H113" i="17"/>
  <c r="H103" i="17"/>
  <c r="H165" i="17"/>
  <c r="H160" i="17"/>
  <c r="H137" i="17"/>
  <c r="H145" i="17"/>
  <c r="H111" i="17"/>
  <c r="H127" i="17"/>
  <c r="H152" i="17"/>
  <c r="H100" i="17"/>
  <c r="H109" i="17"/>
  <c r="H167" i="17"/>
  <c r="H173" i="17"/>
  <c r="H159" i="17"/>
  <c r="H108" i="17"/>
  <c r="H174" i="17"/>
  <c r="H121" i="17"/>
  <c r="H162" i="17"/>
  <c r="H169" i="17"/>
  <c r="H99" i="17"/>
  <c r="H155" i="17"/>
  <c r="H107" i="17"/>
  <c r="H123" i="17"/>
  <c r="H116" i="17"/>
  <c r="H125" i="17"/>
  <c r="G149" i="29"/>
  <c r="H83" i="17"/>
  <c r="G121" i="29"/>
  <c r="H199" i="29"/>
  <c r="F163" i="29"/>
  <c r="G206" i="29"/>
  <c r="H262" i="29"/>
  <c r="H269" i="29"/>
  <c r="E199" i="29"/>
  <c r="H163" i="29"/>
  <c r="F21" i="29"/>
  <c r="F14" i="29" s="1"/>
  <c r="F6" i="29" s="1"/>
  <c r="F83" i="7" s="1"/>
  <c r="F177" i="29"/>
  <c r="H241" i="29"/>
  <c r="H234" i="29"/>
  <c r="G260" i="17"/>
  <c r="G232" i="17"/>
  <c r="G168" i="17"/>
  <c r="I199" i="29"/>
  <c r="E163" i="29"/>
  <c r="F206" i="29"/>
  <c r="E227" i="29"/>
  <c r="I114" i="29"/>
  <c r="I184" i="29"/>
  <c r="F149" i="29"/>
  <c r="H55" i="17"/>
  <c r="E121" i="29"/>
  <c r="E206" i="29"/>
  <c r="H248" i="29"/>
  <c r="E184" i="29"/>
  <c r="G246" i="17"/>
  <c r="G133" i="17"/>
  <c r="H90" i="17"/>
  <c r="H20" i="17"/>
  <c r="H206" i="29"/>
  <c r="I128" i="29"/>
  <c r="I220" i="29"/>
  <c r="F114" i="29"/>
  <c r="E177" i="29"/>
  <c r="H48" i="17"/>
  <c r="I135" i="29"/>
  <c r="E114" i="29"/>
  <c r="G142" i="29"/>
  <c r="H59" i="1"/>
  <c r="F135" i="29"/>
  <c r="G227" i="29"/>
  <c r="F128" i="29"/>
  <c r="E220" i="29"/>
  <c r="H114" i="29"/>
  <c r="H135" i="29"/>
  <c r="G218" i="17"/>
  <c r="G156" i="29"/>
  <c r="G225" i="17"/>
  <c r="G135" i="29"/>
  <c r="G197" i="17"/>
  <c r="G154" i="17"/>
  <c r="G147" i="17"/>
  <c r="F97" i="17"/>
  <c r="F6" i="17" s="1"/>
  <c r="G128" i="29"/>
  <c r="H220" i="29"/>
  <c r="I107" i="29"/>
  <c r="H128" i="29"/>
  <c r="F192" i="29"/>
  <c r="I156" i="29"/>
  <c r="G248" i="29"/>
  <c r="G177" i="29"/>
  <c r="I213" i="29"/>
  <c r="G175" i="17"/>
  <c r="H107" i="29"/>
  <c r="I262" i="29"/>
  <c r="E269" i="29"/>
  <c r="G220" i="29"/>
  <c r="H34" i="17"/>
  <c r="F220" i="29"/>
  <c r="H175" i="17"/>
  <c r="G199" i="29"/>
  <c r="I163" i="29"/>
  <c r="F107" i="29"/>
  <c r="G262" i="29"/>
  <c r="I269" i="29"/>
  <c r="E128" i="29"/>
  <c r="F142" i="29"/>
  <c r="H142" i="29"/>
  <c r="G213" i="29"/>
  <c r="E213" i="29"/>
  <c r="G239" i="17"/>
  <c r="F213" i="29"/>
  <c r="I149" i="29"/>
  <c r="H69" i="17"/>
  <c r="I121" i="29"/>
  <c r="G163" i="29"/>
  <c r="E107" i="29"/>
  <c r="F262" i="29"/>
  <c r="G269" i="29"/>
  <c r="G98" i="17"/>
  <c r="E142" i="29"/>
  <c r="G184" i="29"/>
  <c r="H227" i="29"/>
  <c r="E255" i="29"/>
  <c r="H184" i="29"/>
  <c r="G12" i="17"/>
  <c r="G5" i="17" s="1"/>
  <c r="G192" i="29"/>
  <c r="E182" i="17"/>
  <c r="E7" i="17" s="1"/>
  <c r="E9" i="17" s="1"/>
  <c r="I192" i="29"/>
  <c r="H156" i="29"/>
  <c r="G241" i="29"/>
  <c r="F248" i="29"/>
  <c r="F234" i="29"/>
  <c r="E192" i="29"/>
  <c r="F241" i="29"/>
  <c r="I248" i="29"/>
  <c r="G204" i="17"/>
  <c r="E170" i="29"/>
  <c r="F182" i="17"/>
  <c r="F7" i="17" s="1"/>
  <c r="I177" i="29"/>
  <c r="E156" i="29"/>
  <c r="I241" i="29"/>
  <c r="E248" i="29"/>
  <c r="G234" i="29"/>
  <c r="G253" i="17"/>
  <c r="F170" i="29"/>
  <c r="G119" i="17"/>
  <c r="E149" i="29"/>
  <c r="H27" i="17"/>
  <c r="H62" i="17"/>
  <c r="H41" i="17"/>
  <c r="F121" i="29"/>
  <c r="F199" i="29"/>
  <c r="I206" i="29"/>
  <c r="G107" i="29"/>
  <c r="E262" i="29"/>
  <c r="F269" i="29"/>
  <c r="B22" i="2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F44" i="10"/>
  <c r="F23" i="9"/>
  <c r="F8" i="9" s="1"/>
  <c r="F21" i="10"/>
  <c r="F32" i="10" s="1"/>
  <c r="F80" i="8"/>
  <c r="F75" i="8" s="1"/>
  <c r="F69" i="8" s="1"/>
  <c r="F10" i="8" s="1"/>
  <c r="F34" i="12" s="1"/>
  <c r="AD79" i="8"/>
  <c r="L90" i="8"/>
  <c r="L104" i="8"/>
  <c r="L88" i="8"/>
  <c r="L102" i="8"/>
  <c r="L105" i="8"/>
  <c r="L91" i="8"/>
  <c r="L87" i="8"/>
  <c r="L101" i="8"/>
  <c r="L83" i="8"/>
  <c r="L97" i="8"/>
  <c r="L107" i="8"/>
  <c r="L93" i="8"/>
  <c r="L89" i="8"/>
  <c r="L103" i="8"/>
  <c r="L98" i="8"/>
  <c r="L84" i="8"/>
  <c r="L85" i="8"/>
  <c r="L99" i="8"/>
  <c r="L100" i="8"/>
  <c r="L86" i="8"/>
  <c r="L94" i="8"/>
  <c r="L108" i="8"/>
  <c r="M728" i="1"/>
  <c r="L51" i="7"/>
  <c r="L54" i="7"/>
  <c r="K262" i="29"/>
  <c r="K241" i="29"/>
  <c r="K220" i="29"/>
  <c r="K43" i="29"/>
  <c r="K199" i="29"/>
  <c r="K227" i="29"/>
  <c r="K333" i="29"/>
  <c r="K326" i="29"/>
  <c r="K36" i="29"/>
  <c r="K149" i="29"/>
  <c r="K92" i="29"/>
  <c r="K114" i="29"/>
  <c r="K21" i="37"/>
  <c r="L306" i="29"/>
  <c r="L311" i="29"/>
  <c r="L310" i="29"/>
  <c r="L308" i="29"/>
  <c r="L136" i="29"/>
  <c r="L138" i="29"/>
  <c r="L224" i="29"/>
  <c r="L307" i="29"/>
  <c r="L53" i="29"/>
  <c r="L221" i="29"/>
  <c r="L225" i="29"/>
  <c r="L140" i="29"/>
  <c r="L223" i="29"/>
  <c r="L309" i="29"/>
  <c r="L222" i="29"/>
  <c r="L139" i="29"/>
  <c r="L141" i="29"/>
  <c r="L54" i="29"/>
  <c r="L51" i="29"/>
  <c r="L56" i="29"/>
  <c r="L226" i="29"/>
  <c r="L55" i="29"/>
  <c r="L52" i="29"/>
  <c r="L137" i="29"/>
  <c r="K298" i="29"/>
  <c r="K347" i="29"/>
  <c r="K128" i="29"/>
  <c r="K23" i="37"/>
  <c r="L322" i="29"/>
  <c r="L321" i="29"/>
  <c r="L324" i="29"/>
  <c r="L320" i="29"/>
  <c r="L238" i="29"/>
  <c r="L152" i="29"/>
  <c r="L323" i="29"/>
  <c r="L325" i="29"/>
  <c r="L236" i="29"/>
  <c r="L240" i="29"/>
  <c r="L237" i="29"/>
  <c r="L239" i="29"/>
  <c r="L235" i="29"/>
  <c r="L151" i="29"/>
  <c r="L155" i="29"/>
  <c r="L154" i="29"/>
  <c r="L70" i="29"/>
  <c r="L67" i="29"/>
  <c r="L153" i="29"/>
  <c r="L150" i="29"/>
  <c r="L69" i="29"/>
  <c r="L65" i="29"/>
  <c r="L66" i="29"/>
  <c r="L68" i="29"/>
  <c r="K269" i="29"/>
  <c r="L288" i="29"/>
  <c r="L289" i="29"/>
  <c r="L203" i="29"/>
  <c r="L117" i="29"/>
  <c r="L285" i="29"/>
  <c r="L287" i="29"/>
  <c r="L286" i="29"/>
  <c r="L290" i="29"/>
  <c r="L202" i="29"/>
  <c r="L201" i="29"/>
  <c r="L205" i="29"/>
  <c r="L200" i="29"/>
  <c r="L204" i="29"/>
  <c r="L120" i="29"/>
  <c r="L115" i="29"/>
  <c r="L118" i="29"/>
  <c r="L116" i="29"/>
  <c r="L34" i="29"/>
  <c r="L35" i="29"/>
  <c r="L31" i="29"/>
  <c r="L30" i="29"/>
  <c r="L33" i="29"/>
  <c r="L32" i="29"/>
  <c r="L119" i="29"/>
  <c r="K354" i="29"/>
  <c r="K107" i="29"/>
  <c r="K312" i="29"/>
  <c r="K78" i="29"/>
  <c r="K121" i="29"/>
  <c r="K135" i="29"/>
  <c r="K99" i="29"/>
  <c r="K19" i="37"/>
  <c r="L292" i="29"/>
  <c r="L294" i="29"/>
  <c r="L296" i="29"/>
  <c r="L297" i="29"/>
  <c r="L209" i="29"/>
  <c r="L212" i="29"/>
  <c r="L210" i="29"/>
  <c r="L295" i="29"/>
  <c r="L293" i="29"/>
  <c r="L122" i="29"/>
  <c r="L211" i="29"/>
  <c r="L125" i="29"/>
  <c r="L123" i="29"/>
  <c r="L42" i="29"/>
  <c r="L127" i="29"/>
  <c r="L126" i="29"/>
  <c r="L208" i="29"/>
  <c r="L40" i="29"/>
  <c r="L39" i="29"/>
  <c r="L207" i="29"/>
  <c r="L38" i="29"/>
  <c r="L124" i="29"/>
  <c r="L37" i="29"/>
  <c r="L41" i="29"/>
  <c r="K163" i="29"/>
  <c r="K71" i="29"/>
  <c r="K20" i="37"/>
  <c r="L302" i="29"/>
  <c r="L299" i="29"/>
  <c r="L304" i="29"/>
  <c r="L214" i="29"/>
  <c r="L303" i="29"/>
  <c r="L301" i="29"/>
  <c r="L218" i="29"/>
  <c r="L132" i="29"/>
  <c r="L215" i="29"/>
  <c r="L49" i="29"/>
  <c r="L219" i="29"/>
  <c r="L129" i="29"/>
  <c r="L216" i="29"/>
  <c r="L131" i="29"/>
  <c r="L48" i="29"/>
  <c r="L44" i="29"/>
  <c r="L300" i="29"/>
  <c r="L217" i="29"/>
  <c r="L130" i="29"/>
  <c r="L134" i="29"/>
  <c r="L133" i="29"/>
  <c r="L46" i="29"/>
  <c r="L47" i="29"/>
  <c r="L45" i="29"/>
  <c r="K177" i="29"/>
  <c r="K291" i="29"/>
  <c r="K57" i="29"/>
  <c r="K50" i="29"/>
  <c r="K305" i="29"/>
  <c r="K277" i="29"/>
  <c r="K27" i="37"/>
  <c r="L350" i="29"/>
  <c r="L348" i="29"/>
  <c r="L353" i="29"/>
  <c r="L351" i="29"/>
  <c r="L182" i="29"/>
  <c r="L349" i="29"/>
  <c r="L352" i="29"/>
  <c r="L268" i="29"/>
  <c r="L181" i="29"/>
  <c r="L263" i="29"/>
  <c r="L265" i="29"/>
  <c r="L95" i="29"/>
  <c r="L183" i="29"/>
  <c r="L179" i="29"/>
  <c r="L264" i="29"/>
  <c r="L267" i="29"/>
  <c r="L266" i="29"/>
  <c r="L178" i="29"/>
  <c r="L180" i="29"/>
  <c r="L98" i="29"/>
  <c r="L96" i="29"/>
  <c r="L94" i="29"/>
  <c r="L97" i="29"/>
  <c r="L93" i="29"/>
  <c r="K213" i="29"/>
  <c r="K64" i="29"/>
  <c r="K28" i="37"/>
  <c r="L357" i="29"/>
  <c r="L360" i="29"/>
  <c r="L358" i="29"/>
  <c r="L356" i="29"/>
  <c r="L271" i="29"/>
  <c r="L275" i="29"/>
  <c r="L188" i="29"/>
  <c r="L272" i="29"/>
  <c r="L359" i="29"/>
  <c r="L187" i="29"/>
  <c r="L103" i="29"/>
  <c r="L355" i="29"/>
  <c r="L190" i="29"/>
  <c r="L189" i="29"/>
  <c r="L270" i="29"/>
  <c r="L274" i="29"/>
  <c r="L185" i="29"/>
  <c r="L104" i="29"/>
  <c r="L100" i="29"/>
  <c r="L102" i="29"/>
  <c r="L273" i="29"/>
  <c r="L186" i="29"/>
  <c r="L101" i="29"/>
  <c r="L105" i="29"/>
  <c r="K22" i="29"/>
  <c r="K192" i="29"/>
  <c r="K142" i="29"/>
  <c r="K248" i="29"/>
  <c r="K24" i="37"/>
  <c r="L329" i="29"/>
  <c r="L330" i="29"/>
  <c r="L332" i="29"/>
  <c r="L161" i="29"/>
  <c r="L328" i="29"/>
  <c r="L327" i="29"/>
  <c r="L243" i="29"/>
  <c r="L244" i="29"/>
  <c r="L157" i="29"/>
  <c r="L242" i="29"/>
  <c r="L160" i="29"/>
  <c r="L247" i="29"/>
  <c r="L331" i="29"/>
  <c r="L159" i="29"/>
  <c r="L74" i="29"/>
  <c r="L245" i="29"/>
  <c r="L75" i="29"/>
  <c r="L72" i="29"/>
  <c r="L246" i="29"/>
  <c r="L77" i="29"/>
  <c r="L158" i="29"/>
  <c r="L76" i="29"/>
  <c r="L162" i="29"/>
  <c r="L73" i="29"/>
  <c r="K284" i="29"/>
  <c r="K156" i="29"/>
  <c r="K234" i="29"/>
  <c r="K29" i="29"/>
  <c r="K184" i="29"/>
  <c r="L281" i="29"/>
  <c r="L282" i="29"/>
  <c r="L280" i="29"/>
  <c r="L197" i="29"/>
  <c r="L193" i="29"/>
  <c r="L279" i="29"/>
  <c r="L283" i="29"/>
  <c r="L278" i="29"/>
  <c r="L195" i="29"/>
  <c r="L194" i="29"/>
  <c r="L196" i="29"/>
  <c r="L109" i="29"/>
  <c r="L112" i="29"/>
  <c r="L111" i="29"/>
  <c r="L113" i="29"/>
  <c r="L108" i="29"/>
  <c r="L27" i="29"/>
  <c r="L23" i="29"/>
  <c r="L198" i="29"/>
  <c r="L110" i="29"/>
  <c r="L24" i="29"/>
  <c r="L28" i="29"/>
  <c r="L26" i="29"/>
  <c r="L25" i="29"/>
  <c r="K22" i="37"/>
  <c r="L315" i="29"/>
  <c r="L316" i="29"/>
  <c r="L232" i="29"/>
  <c r="L314" i="29"/>
  <c r="L313" i="29"/>
  <c r="L318" i="29"/>
  <c r="L145" i="29"/>
  <c r="L317" i="29"/>
  <c r="L228" i="29"/>
  <c r="L144" i="29"/>
  <c r="L233" i="29"/>
  <c r="L230" i="29"/>
  <c r="L229" i="29"/>
  <c r="L148" i="29"/>
  <c r="L146" i="29"/>
  <c r="L61" i="29"/>
  <c r="L147" i="29"/>
  <c r="L59" i="29"/>
  <c r="L63" i="29"/>
  <c r="L58" i="29"/>
  <c r="L143" i="29"/>
  <c r="L62" i="29"/>
  <c r="L231" i="29"/>
  <c r="L60" i="29"/>
  <c r="K25" i="37"/>
  <c r="L335" i="29"/>
  <c r="L334" i="29"/>
  <c r="L337" i="29"/>
  <c r="L338" i="29"/>
  <c r="L250" i="29"/>
  <c r="L167" i="29"/>
  <c r="L336" i="29"/>
  <c r="L253" i="29"/>
  <c r="L249" i="29"/>
  <c r="L166" i="29"/>
  <c r="L80" i="29"/>
  <c r="L252" i="29"/>
  <c r="L254" i="29"/>
  <c r="L169" i="29"/>
  <c r="L339" i="29"/>
  <c r="L83" i="29"/>
  <c r="L251" i="29"/>
  <c r="L168" i="29"/>
  <c r="L165" i="29"/>
  <c r="L82" i="29"/>
  <c r="L79" i="29"/>
  <c r="L164" i="29"/>
  <c r="L81" i="29"/>
  <c r="L84" i="29"/>
  <c r="K206" i="29"/>
  <c r="K319" i="29"/>
  <c r="H112" i="17" l="1"/>
  <c r="E191" i="29"/>
  <c r="E16" i="29" s="1"/>
  <c r="E8" i="29" s="1"/>
  <c r="E85" i="7" s="1"/>
  <c r="G182" i="17"/>
  <c r="G7" i="17" s="1"/>
  <c r="H12" i="17"/>
  <c r="H5" i="17" s="1"/>
  <c r="G97" i="17"/>
  <c r="G6" i="17" s="1"/>
  <c r="H201" i="17"/>
  <c r="H189" i="17"/>
  <c r="H244" i="17"/>
  <c r="H202" i="17"/>
  <c r="H230" i="17"/>
  <c r="H236" i="17"/>
  <c r="H257" i="17"/>
  <c r="H192" i="17"/>
  <c r="H265" i="17"/>
  <c r="H210" i="17"/>
  <c r="H251" i="17"/>
  <c r="H255" i="17"/>
  <c r="H254" i="17"/>
  <c r="H233" i="17"/>
  <c r="H263" i="17"/>
  <c r="H256" i="17"/>
  <c r="H184" i="17"/>
  <c r="H259" i="17"/>
  <c r="H217" i="17"/>
  <c r="H185" i="17"/>
  <c r="H249" i="17"/>
  <c r="H228" i="17"/>
  <c r="H248" i="17"/>
  <c r="H215" i="17"/>
  <c r="H266" i="17"/>
  <c r="H223" i="17"/>
  <c r="H191" i="17"/>
  <c r="H262" i="17"/>
  <c r="H241" i="17"/>
  <c r="H220" i="17"/>
  <c r="H205" i="17"/>
  <c r="H198" i="17"/>
  <c r="H199" i="17"/>
  <c r="H237" i="17"/>
  <c r="H200" i="17"/>
  <c r="H193" i="17"/>
  <c r="H221" i="17"/>
  <c r="H214" i="17"/>
  <c r="H226" i="17"/>
  <c r="H252" i="17"/>
  <c r="H206" i="17"/>
  <c r="H245" i="17"/>
  <c r="H224" i="17"/>
  <c r="H212" i="17"/>
  <c r="H240" i="17"/>
  <c r="H216" i="17"/>
  <c r="H203" i="17"/>
  <c r="H194" i="17"/>
  <c r="H238" i="17"/>
  <c r="H229" i="17"/>
  <c r="H247" i="17"/>
  <c r="H231" i="17"/>
  <c r="H222" i="17"/>
  <c r="H188" i="17"/>
  <c r="H264" i="17"/>
  <c r="H250" i="17"/>
  <c r="H213" i="17"/>
  <c r="H207" i="17"/>
  <c r="H243" i="17"/>
  <c r="H219" i="17"/>
  <c r="H186" i="17"/>
  <c r="H242" i="17"/>
  <c r="H195" i="17"/>
  <c r="H235" i="17"/>
  <c r="H209" i="17"/>
  <c r="H196" i="17"/>
  <c r="H261" i="17"/>
  <c r="H227" i="17"/>
  <c r="H187" i="17"/>
  <c r="H208" i="17"/>
  <c r="H234" i="17"/>
  <c r="H258" i="17"/>
  <c r="E106" i="29"/>
  <c r="E15" i="29" s="1"/>
  <c r="F106" i="29"/>
  <c r="F15" i="29" s="1"/>
  <c r="H147" i="17"/>
  <c r="H126" i="17"/>
  <c r="F191" i="29"/>
  <c r="F16" i="29" s="1"/>
  <c r="F8" i="29" s="1"/>
  <c r="F85" i="7" s="1"/>
  <c r="H154" i="17"/>
  <c r="H140" i="17"/>
  <c r="H98" i="17"/>
  <c r="H105" i="17"/>
  <c r="F9" i="17"/>
  <c r="H168" i="17"/>
  <c r="H161" i="17"/>
  <c r="H133" i="17"/>
  <c r="H119" i="17"/>
  <c r="F43" i="10"/>
  <c r="F8" i="10" s="1"/>
  <c r="M90" i="8"/>
  <c r="M104" i="8"/>
  <c r="M93" i="8"/>
  <c r="M107" i="8"/>
  <c r="M86" i="8"/>
  <c r="M100" i="8"/>
  <c r="M89" i="8"/>
  <c r="M103" i="8"/>
  <c r="M87" i="8"/>
  <c r="M101" i="8"/>
  <c r="M88" i="8"/>
  <c r="M102" i="8"/>
  <c r="M91" i="8"/>
  <c r="M105" i="8"/>
  <c r="M94" i="8"/>
  <c r="M108" i="8"/>
  <c r="M84" i="8"/>
  <c r="M98" i="8"/>
  <c r="M85" i="8"/>
  <c r="M99" i="8"/>
  <c r="M83" i="8"/>
  <c r="M97" i="8"/>
  <c r="N728" i="1"/>
  <c r="M51" i="7"/>
  <c r="M54" i="7"/>
  <c r="L184" i="29"/>
  <c r="L149" i="29"/>
  <c r="L277" i="29"/>
  <c r="L262" i="29"/>
  <c r="L206" i="29"/>
  <c r="L22" i="37"/>
  <c r="M313" i="29"/>
  <c r="M315" i="29"/>
  <c r="M229" i="29"/>
  <c r="M231" i="29"/>
  <c r="M228" i="29"/>
  <c r="M316" i="29"/>
  <c r="M318" i="29"/>
  <c r="M233" i="29"/>
  <c r="M58" i="29"/>
  <c r="M230" i="29"/>
  <c r="M146" i="29"/>
  <c r="M232" i="29"/>
  <c r="M145" i="29"/>
  <c r="M317" i="29"/>
  <c r="M147" i="29"/>
  <c r="M59" i="29"/>
  <c r="M62" i="29"/>
  <c r="M144" i="29"/>
  <c r="M143" i="29"/>
  <c r="M61" i="29"/>
  <c r="M63" i="29"/>
  <c r="M148" i="29"/>
  <c r="M314" i="29"/>
  <c r="M60" i="29"/>
  <c r="L29" i="29"/>
  <c r="L25" i="37"/>
  <c r="M334" i="29"/>
  <c r="M338" i="29"/>
  <c r="M335" i="29"/>
  <c r="M337" i="29"/>
  <c r="M339" i="29"/>
  <c r="M336" i="29"/>
  <c r="M251" i="29"/>
  <c r="M254" i="29"/>
  <c r="M249" i="29"/>
  <c r="M253" i="29"/>
  <c r="M252" i="29"/>
  <c r="M164" i="29"/>
  <c r="M250" i="29"/>
  <c r="M168" i="29"/>
  <c r="M166" i="29"/>
  <c r="M83" i="29"/>
  <c r="M167" i="29"/>
  <c r="M80" i="29"/>
  <c r="M165" i="29"/>
  <c r="M84" i="29"/>
  <c r="M82" i="29"/>
  <c r="M79" i="29"/>
  <c r="M81" i="29"/>
  <c r="M169" i="29"/>
  <c r="M279" i="29"/>
  <c r="M195" i="29"/>
  <c r="M278" i="29"/>
  <c r="M198" i="29"/>
  <c r="M109" i="29"/>
  <c r="M196" i="29"/>
  <c r="M281" i="29"/>
  <c r="M194" i="29"/>
  <c r="M280" i="29"/>
  <c r="M193" i="29"/>
  <c r="M283" i="29"/>
  <c r="M112" i="29"/>
  <c r="M110" i="29"/>
  <c r="M282" i="29"/>
  <c r="M113" i="29"/>
  <c r="M197" i="29"/>
  <c r="M108" i="29"/>
  <c r="M24" i="29"/>
  <c r="M28" i="29"/>
  <c r="M27" i="29"/>
  <c r="M111" i="29"/>
  <c r="M26" i="29"/>
  <c r="M23" i="29"/>
  <c r="M25" i="29"/>
  <c r="L71" i="29"/>
  <c r="L99" i="29"/>
  <c r="L177" i="29"/>
  <c r="L64" i="29"/>
  <c r="L326" i="29"/>
  <c r="L135" i="29"/>
  <c r="L24" i="37"/>
  <c r="M329" i="29"/>
  <c r="M328" i="29"/>
  <c r="M332" i="29"/>
  <c r="M331" i="29"/>
  <c r="M244" i="29"/>
  <c r="M158" i="29"/>
  <c r="M162" i="29"/>
  <c r="M330" i="29"/>
  <c r="M245" i="29"/>
  <c r="M76" i="29"/>
  <c r="M159" i="29"/>
  <c r="M161" i="29"/>
  <c r="M327" i="29"/>
  <c r="M247" i="29"/>
  <c r="M246" i="29"/>
  <c r="M160" i="29"/>
  <c r="M243" i="29"/>
  <c r="M75" i="29"/>
  <c r="M72" i="29"/>
  <c r="M242" i="29"/>
  <c r="M77" i="29"/>
  <c r="M157" i="29"/>
  <c r="M73" i="29"/>
  <c r="M74" i="29"/>
  <c r="L269" i="29"/>
  <c r="L27" i="37"/>
  <c r="M348" i="29"/>
  <c r="M350" i="29"/>
  <c r="M349" i="29"/>
  <c r="M352" i="29"/>
  <c r="M351" i="29"/>
  <c r="M265" i="29"/>
  <c r="M353" i="29"/>
  <c r="M268" i="29"/>
  <c r="M179" i="29"/>
  <c r="M95" i="29"/>
  <c r="M266" i="29"/>
  <c r="M267" i="29"/>
  <c r="M264" i="29"/>
  <c r="M181" i="29"/>
  <c r="M180" i="29"/>
  <c r="M183" i="29"/>
  <c r="M178" i="29"/>
  <c r="M263" i="29"/>
  <c r="M182" i="29"/>
  <c r="M98" i="29"/>
  <c r="M96" i="29"/>
  <c r="M94" i="29"/>
  <c r="M97" i="29"/>
  <c r="M93" i="29"/>
  <c r="L319" i="29"/>
  <c r="L305" i="29"/>
  <c r="L43" i="29"/>
  <c r="L227" i="29"/>
  <c r="L354" i="29"/>
  <c r="L19" i="37"/>
  <c r="M292" i="29"/>
  <c r="M293" i="29"/>
  <c r="M294" i="29"/>
  <c r="M209" i="29"/>
  <c r="M295" i="29"/>
  <c r="M296" i="29"/>
  <c r="M210" i="29"/>
  <c r="M123" i="29"/>
  <c r="M212" i="29"/>
  <c r="M211" i="29"/>
  <c r="M297" i="29"/>
  <c r="M208" i="29"/>
  <c r="M125" i="29"/>
  <c r="M207" i="29"/>
  <c r="M40" i="29"/>
  <c r="M122" i="29"/>
  <c r="M42" i="29"/>
  <c r="M126" i="29"/>
  <c r="M124" i="29"/>
  <c r="M39" i="29"/>
  <c r="M127" i="29"/>
  <c r="M38" i="29"/>
  <c r="M41" i="29"/>
  <c r="M37" i="29"/>
  <c r="L220" i="29"/>
  <c r="L284" i="29"/>
  <c r="L298" i="29"/>
  <c r="L192" i="29"/>
  <c r="L92" i="29"/>
  <c r="L20" i="37"/>
  <c r="M303" i="29"/>
  <c r="M302" i="29"/>
  <c r="M219" i="29"/>
  <c r="M301" i="29"/>
  <c r="M299" i="29"/>
  <c r="M130" i="29"/>
  <c r="M304" i="29"/>
  <c r="M300" i="29"/>
  <c r="M216" i="29"/>
  <c r="M215" i="29"/>
  <c r="M129" i="29"/>
  <c r="M214" i="29"/>
  <c r="M134" i="29"/>
  <c r="M132" i="29"/>
  <c r="M218" i="29"/>
  <c r="M131" i="29"/>
  <c r="M48" i="29"/>
  <c r="M44" i="29"/>
  <c r="M133" i="29"/>
  <c r="M217" i="29"/>
  <c r="M46" i="29"/>
  <c r="M49" i="29"/>
  <c r="M47" i="29"/>
  <c r="M45" i="29"/>
  <c r="L114" i="29"/>
  <c r="L23" i="37"/>
  <c r="M322" i="29"/>
  <c r="M324" i="29"/>
  <c r="M323" i="29"/>
  <c r="M321" i="29"/>
  <c r="M320" i="29"/>
  <c r="M239" i="29"/>
  <c r="M325" i="29"/>
  <c r="M237" i="29"/>
  <c r="M154" i="29"/>
  <c r="M67" i="29"/>
  <c r="M238" i="29"/>
  <c r="M155" i="29"/>
  <c r="M153" i="29"/>
  <c r="M235" i="29"/>
  <c r="M240" i="29"/>
  <c r="M66" i="29"/>
  <c r="M150" i="29"/>
  <c r="M151" i="29"/>
  <c r="M70" i="29"/>
  <c r="M69" i="29"/>
  <c r="M236" i="29"/>
  <c r="M152" i="29"/>
  <c r="M65" i="29"/>
  <c r="M68" i="29"/>
  <c r="L21" i="37"/>
  <c r="M307" i="29"/>
  <c r="M310" i="29"/>
  <c r="M311" i="29"/>
  <c r="M309" i="29"/>
  <c r="M221" i="29"/>
  <c r="M141" i="29"/>
  <c r="M308" i="29"/>
  <c r="M222" i="29"/>
  <c r="M225" i="29"/>
  <c r="M223" i="29"/>
  <c r="M306" i="29"/>
  <c r="M226" i="29"/>
  <c r="M224" i="29"/>
  <c r="M138" i="29"/>
  <c r="M140" i="29"/>
  <c r="M53" i="29"/>
  <c r="M136" i="29"/>
  <c r="M52" i="29"/>
  <c r="M139" i="29"/>
  <c r="M55" i="29"/>
  <c r="M51" i="29"/>
  <c r="M137" i="29"/>
  <c r="M56" i="29"/>
  <c r="M54" i="29"/>
  <c r="L26" i="37"/>
  <c r="L22" i="29"/>
  <c r="L213" i="29"/>
  <c r="M287" i="29"/>
  <c r="M286" i="29"/>
  <c r="M285" i="29"/>
  <c r="M202" i="29"/>
  <c r="M289" i="29"/>
  <c r="M201" i="29"/>
  <c r="M290" i="29"/>
  <c r="M288" i="29"/>
  <c r="M203" i="29"/>
  <c r="M204" i="29"/>
  <c r="M205" i="29"/>
  <c r="M200" i="29"/>
  <c r="M117" i="29"/>
  <c r="M120" i="29"/>
  <c r="M115" i="29"/>
  <c r="M32" i="29"/>
  <c r="M33" i="29"/>
  <c r="M116" i="29"/>
  <c r="M118" i="29"/>
  <c r="M34" i="29"/>
  <c r="M119" i="29"/>
  <c r="M35" i="29"/>
  <c r="M31" i="29"/>
  <c r="M30" i="29"/>
  <c r="L234" i="29"/>
  <c r="L28" i="37"/>
  <c r="M356" i="29"/>
  <c r="M357" i="29"/>
  <c r="M358" i="29"/>
  <c r="M360" i="29"/>
  <c r="M355" i="29"/>
  <c r="M359" i="29"/>
  <c r="M188" i="29"/>
  <c r="M274" i="29"/>
  <c r="M104" i="29"/>
  <c r="M190" i="29"/>
  <c r="M273" i="29"/>
  <c r="M272" i="29"/>
  <c r="M270" i="29"/>
  <c r="M189" i="29"/>
  <c r="M271" i="29"/>
  <c r="M187" i="29"/>
  <c r="M100" i="29"/>
  <c r="M103" i="29"/>
  <c r="M275" i="29"/>
  <c r="M102" i="29"/>
  <c r="M186" i="29"/>
  <c r="M105" i="29"/>
  <c r="M101" i="29"/>
  <c r="M185" i="29"/>
  <c r="L156" i="29"/>
  <c r="L347" i="29"/>
  <c r="L291" i="29"/>
  <c r="L142" i="29"/>
  <c r="L57" i="29"/>
  <c r="L241" i="29"/>
  <c r="L121" i="29"/>
  <c r="L199" i="29"/>
  <c r="L50" i="29"/>
  <c r="L248" i="29"/>
  <c r="L128" i="29"/>
  <c r="L163" i="29"/>
  <c r="L312" i="29"/>
  <c r="L107" i="29"/>
  <c r="L78" i="29"/>
  <c r="L333" i="29"/>
  <c r="L36" i="29"/>
  <c r="G9" i="17" l="1"/>
  <c r="H260" i="17"/>
  <c r="H225" i="17"/>
  <c r="H246" i="17"/>
  <c r="F7" i="29"/>
  <c r="F18" i="29"/>
  <c r="E7" i="29"/>
  <c r="E18" i="29"/>
  <c r="H218" i="17"/>
  <c r="H197" i="17"/>
  <c r="H239" i="17"/>
  <c r="H204" i="17"/>
  <c r="H183" i="17"/>
  <c r="H211" i="17"/>
  <c r="H97" i="17"/>
  <c r="H6" i="17" s="1"/>
  <c r="H232" i="17"/>
  <c r="H190" i="17"/>
  <c r="H253" i="17"/>
  <c r="N94" i="8"/>
  <c r="N108" i="8"/>
  <c r="N89" i="8"/>
  <c r="N103" i="8"/>
  <c r="N93" i="8"/>
  <c r="N107" i="8"/>
  <c r="N92" i="8"/>
  <c r="N83" i="8"/>
  <c r="N97" i="8"/>
  <c r="N84" i="8"/>
  <c r="N98" i="8"/>
  <c r="N86" i="8"/>
  <c r="N100" i="8"/>
  <c r="N88" i="8"/>
  <c r="N102" i="8"/>
  <c r="N85" i="8"/>
  <c r="N99" i="8"/>
  <c r="N91" i="8"/>
  <c r="N105" i="8"/>
  <c r="N87" i="8"/>
  <c r="N101" i="8"/>
  <c r="N90" i="8"/>
  <c r="N104" i="8"/>
  <c r="O728" i="1"/>
  <c r="N51" i="7"/>
  <c r="N54" i="7"/>
  <c r="M92" i="29"/>
  <c r="M36" i="29"/>
  <c r="M78" i="29"/>
  <c r="M64" i="29"/>
  <c r="M107" i="29"/>
  <c r="M333" i="29"/>
  <c r="M19" i="37"/>
  <c r="N297" i="29"/>
  <c r="N294" i="29"/>
  <c r="N211" i="29"/>
  <c r="N208" i="29"/>
  <c r="N293" i="29"/>
  <c r="N296" i="29"/>
  <c r="N292" i="29"/>
  <c r="N122" i="29"/>
  <c r="N295" i="29"/>
  <c r="N207" i="29"/>
  <c r="N209" i="29"/>
  <c r="N210" i="29"/>
  <c r="N212" i="29"/>
  <c r="N125" i="29"/>
  <c r="N126" i="29"/>
  <c r="N127" i="29"/>
  <c r="N124" i="29"/>
  <c r="N39" i="29"/>
  <c r="N123" i="29"/>
  <c r="N42" i="29"/>
  <c r="N37" i="29"/>
  <c r="N40" i="29"/>
  <c r="N41" i="29"/>
  <c r="N38" i="29"/>
  <c r="M25" i="37"/>
  <c r="N338" i="29"/>
  <c r="N339" i="29"/>
  <c r="N337" i="29"/>
  <c r="N336" i="29"/>
  <c r="N335" i="29"/>
  <c r="N334" i="29"/>
  <c r="N251" i="29"/>
  <c r="N252" i="29"/>
  <c r="N165" i="29"/>
  <c r="N250" i="29"/>
  <c r="N166" i="29"/>
  <c r="N168" i="29"/>
  <c r="N254" i="29"/>
  <c r="N249" i="29"/>
  <c r="N169" i="29"/>
  <c r="N79" i="29"/>
  <c r="N83" i="29"/>
  <c r="N167" i="29"/>
  <c r="N80" i="29"/>
  <c r="N253" i="29"/>
  <c r="N82" i="29"/>
  <c r="N164" i="29"/>
  <c r="N84" i="29"/>
  <c r="N81" i="29"/>
  <c r="M177" i="29"/>
  <c r="M347" i="29"/>
  <c r="M326" i="29"/>
  <c r="M21" i="37"/>
  <c r="N306" i="29"/>
  <c r="N309" i="29"/>
  <c r="N307" i="29"/>
  <c r="N226" i="29"/>
  <c r="N308" i="29"/>
  <c r="N223" i="29"/>
  <c r="N225" i="29"/>
  <c r="N222" i="29"/>
  <c r="N311" i="29"/>
  <c r="N224" i="29"/>
  <c r="N310" i="29"/>
  <c r="N138" i="29"/>
  <c r="N141" i="29"/>
  <c r="N221" i="29"/>
  <c r="N136" i="29"/>
  <c r="N54" i="29"/>
  <c r="N51" i="29"/>
  <c r="N137" i="29"/>
  <c r="N140" i="29"/>
  <c r="N55" i="29"/>
  <c r="N139" i="29"/>
  <c r="N53" i="29"/>
  <c r="N52" i="29"/>
  <c r="N56" i="29"/>
  <c r="M163" i="29"/>
  <c r="M26" i="37"/>
  <c r="N342" i="29"/>
  <c r="N344" i="29"/>
  <c r="N345" i="29"/>
  <c r="N343" i="29"/>
  <c r="N346" i="29"/>
  <c r="N259" i="29"/>
  <c r="N260" i="29"/>
  <c r="N341" i="29"/>
  <c r="N256" i="29"/>
  <c r="N173" i="29"/>
  <c r="N257" i="29"/>
  <c r="N171" i="29"/>
  <c r="N86" i="29"/>
  <c r="N258" i="29"/>
  <c r="N176" i="29"/>
  <c r="N175" i="29"/>
  <c r="N172" i="29"/>
  <c r="N89" i="29"/>
  <c r="N174" i="29"/>
  <c r="N90" i="29"/>
  <c r="N91" i="29"/>
  <c r="N261" i="29"/>
  <c r="N87" i="29"/>
  <c r="N88" i="29"/>
  <c r="N290" i="29"/>
  <c r="N202" i="29"/>
  <c r="N288" i="29"/>
  <c r="N201" i="29"/>
  <c r="N289" i="29"/>
  <c r="N119" i="29"/>
  <c r="N285" i="29"/>
  <c r="N286" i="29"/>
  <c r="N203" i="29"/>
  <c r="N287" i="29"/>
  <c r="N204" i="29"/>
  <c r="N205" i="29"/>
  <c r="N200" i="29"/>
  <c r="N117" i="29"/>
  <c r="N120" i="29"/>
  <c r="N115" i="29"/>
  <c r="N118" i="29"/>
  <c r="N116" i="29"/>
  <c r="N34" i="29"/>
  <c r="N33" i="29"/>
  <c r="N31" i="29"/>
  <c r="N30" i="29"/>
  <c r="N35" i="29"/>
  <c r="N32" i="29"/>
  <c r="M298" i="29"/>
  <c r="M24" i="37"/>
  <c r="N332" i="29"/>
  <c r="N328" i="29"/>
  <c r="N244" i="29"/>
  <c r="N157" i="29"/>
  <c r="N162" i="29"/>
  <c r="N331" i="29"/>
  <c r="N327" i="29"/>
  <c r="N159" i="29"/>
  <c r="N246" i="29"/>
  <c r="N242" i="29"/>
  <c r="N330" i="29"/>
  <c r="N160" i="29"/>
  <c r="N247" i="29"/>
  <c r="N329" i="29"/>
  <c r="N158" i="29"/>
  <c r="N243" i="29"/>
  <c r="N75" i="29"/>
  <c r="N72" i="29"/>
  <c r="N245" i="29"/>
  <c r="N161" i="29"/>
  <c r="N76" i="29"/>
  <c r="N73" i="29"/>
  <c r="N77" i="29"/>
  <c r="N74" i="29"/>
  <c r="M43" i="29"/>
  <c r="M248" i="29"/>
  <c r="M277" i="29"/>
  <c r="M50" i="29"/>
  <c r="M192" i="29"/>
  <c r="M142" i="29"/>
  <c r="M227" i="29"/>
  <c r="M305" i="29"/>
  <c r="M28" i="37"/>
  <c r="N358" i="29"/>
  <c r="N355" i="29"/>
  <c r="N272" i="29"/>
  <c r="N357" i="29"/>
  <c r="N360" i="29"/>
  <c r="N271" i="29"/>
  <c r="N185" i="29"/>
  <c r="N359" i="29"/>
  <c r="N270" i="29"/>
  <c r="N100" i="29"/>
  <c r="N275" i="29"/>
  <c r="N274" i="29"/>
  <c r="N105" i="29"/>
  <c r="N188" i="29"/>
  <c r="N186" i="29"/>
  <c r="N189" i="29"/>
  <c r="N103" i="29"/>
  <c r="N273" i="29"/>
  <c r="N187" i="29"/>
  <c r="N101" i="29"/>
  <c r="N190" i="29"/>
  <c r="N356" i="29"/>
  <c r="N102" i="29"/>
  <c r="N104" i="29"/>
  <c r="M22" i="29"/>
  <c r="M284" i="29"/>
  <c r="M206" i="29"/>
  <c r="M184" i="29"/>
  <c r="M20" i="37"/>
  <c r="N303" i="29"/>
  <c r="N299" i="29"/>
  <c r="N304" i="29"/>
  <c r="N301" i="29"/>
  <c r="N215" i="29"/>
  <c r="N214" i="29"/>
  <c r="N218" i="29"/>
  <c r="N219" i="29"/>
  <c r="N132" i="29"/>
  <c r="N129" i="29"/>
  <c r="N134" i="29"/>
  <c r="N133" i="29"/>
  <c r="N130" i="29"/>
  <c r="N302" i="29"/>
  <c r="N216" i="29"/>
  <c r="N48" i="29"/>
  <c r="N46" i="29"/>
  <c r="N131" i="29"/>
  <c r="N217" i="29"/>
  <c r="N44" i="29"/>
  <c r="N47" i="29"/>
  <c r="N49" i="29"/>
  <c r="N300" i="29"/>
  <c r="N45" i="29"/>
  <c r="M71" i="29"/>
  <c r="M354" i="29"/>
  <c r="M213" i="29"/>
  <c r="M27" i="37"/>
  <c r="N353" i="29"/>
  <c r="N350" i="29"/>
  <c r="N351" i="29"/>
  <c r="N349" i="29"/>
  <c r="N348" i="29"/>
  <c r="N352" i="29"/>
  <c r="N266" i="29"/>
  <c r="N178" i="29"/>
  <c r="N179" i="29"/>
  <c r="N265" i="29"/>
  <c r="N182" i="29"/>
  <c r="N268" i="29"/>
  <c r="N263" i="29"/>
  <c r="N97" i="29"/>
  <c r="N183" i="29"/>
  <c r="N264" i="29"/>
  <c r="N181" i="29"/>
  <c r="N95" i="29"/>
  <c r="N98" i="29"/>
  <c r="N96" i="29"/>
  <c r="N94" i="29"/>
  <c r="N180" i="29"/>
  <c r="N93" i="29"/>
  <c r="N267" i="29"/>
  <c r="N196" i="29"/>
  <c r="N283" i="29"/>
  <c r="N198" i="29"/>
  <c r="N110" i="29"/>
  <c r="N278" i="29"/>
  <c r="N279" i="29"/>
  <c r="N280" i="29"/>
  <c r="N282" i="29"/>
  <c r="N113" i="29"/>
  <c r="N111" i="29"/>
  <c r="N197" i="29"/>
  <c r="N281" i="29"/>
  <c r="N194" i="29"/>
  <c r="N109" i="29"/>
  <c r="N112" i="29"/>
  <c r="N108" i="29"/>
  <c r="N195" i="29"/>
  <c r="N193" i="29"/>
  <c r="N28" i="29"/>
  <c r="N26" i="29"/>
  <c r="N23" i="29"/>
  <c r="N25" i="29"/>
  <c r="N27" i="29"/>
  <c r="N24" i="29"/>
  <c r="M319" i="29"/>
  <c r="M99" i="29"/>
  <c r="M114" i="29"/>
  <c r="M199" i="29"/>
  <c r="M156" i="29"/>
  <c r="M29" i="29"/>
  <c r="M149" i="29"/>
  <c r="M241" i="29"/>
  <c r="M220" i="29"/>
  <c r="M135" i="29"/>
  <c r="M234" i="29"/>
  <c r="M23" i="37"/>
  <c r="N235" i="29"/>
  <c r="N322" i="29"/>
  <c r="N240" i="29"/>
  <c r="N237" i="29"/>
  <c r="N150" i="29"/>
  <c r="N321" i="29"/>
  <c r="N325" i="29"/>
  <c r="N238" i="29"/>
  <c r="N324" i="29"/>
  <c r="N323" i="29"/>
  <c r="N151" i="29"/>
  <c r="N239" i="29"/>
  <c r="N152" i="29"/>
  <c r="N320" i="29"/>
  <c r="N236" i="29"/>
  <c r="N155" i="29"/>
  <c r="N70" i="29"/>
  <c r="N154" i="29"/>
  <c r="N67" i="29"/>
  <c r="N68" i="29"/>
  <c r="N69" i="29"/>
  <c r="N66" i="29"/>
  <c r="N153" i="29"/>
  <c r="N65" i="29"/>
  <c r="M121" i="29"/>
  <c r="M312" i="29"/>
  <c r="M57" i="29"/>
  <c r="M269" i="29"/>
  <c r="M128" i="29"/>
  <c r="M291" i="29"/>
  <c r="M262" i="29"/>
  <c r="M22" i="37"/>
  <c r="N316" i="29"/>
  <c r="N317" i="29"/>
  <c r="N228" i="29"/>
  <c r="N233" i="29"/>
  <c r="N314" i="29"/>
  <c r="N231" i="29"/>
  <c r="N143" i="29"/>
  <c r="N313" i="29"/>
  <c r="N232" i="29"/>
  <c r="N229" i="29"/>
  <c r="N318" i="29"/>
  <c r="N230" i="29"/>
  <c r="N146" i="29"/>
  <c r="N144" i="29"/>
  <c r="N61" i="29"/>
  <c r="N58" i="29"/>
  <c r="N315" i="29"/>
  <c r="N147" i="29"/>
  <c r="N62" i="29"/>
  <c r="N60" i="29"/>
  <c r="N148" i="29"/>
  <c r="N63" i="29"/>
  <c r="N145" i="29"/>
  <c r="N59" i="29"/>
  <c r="E84" i="7" l="1"/>
  <c r="E5" i="29"/>
  <c r="F14" i="2"/>
  <c r="F62" i="7"/>
  <c r="F64" i="7" s="1"/>
  <c r="F84" i="7"/>
  <c r="F5" i="29"/>
  <c r="E14" i="2"/>
  <c r="E62" i="7"/>
  <c r="E64" i="7" s="1"/>
  <c r="H182" i="17"/>
  <c r="H7" i="17" s="1"/>
  <c r="H9" i="17" s="1"/>
  <c r="O83" i="8"/>
  <c r="O97" i="8"/>
  <c r="O98" i="8"/>
  <c r="O84" i="8"/>
  <c r="N82" i="8"/>
  <c r="O90" i="8"/>
  <c r="O104" i="8"/>
  <c r="O89" i="8"/>
  <c r="O103" i="8"/>
  <c r="O87" i="8"/>
  <c r="O101" i="8"/>
  <c r="O88" i="8"/>
  <c r="O102" i="8"/>
  <c r="O99" i="8"/>
  <c r="O85" i="8"/>
  <c r="O93" i="8"/>
  <c r="O107" i="8"/>
  <c r="O86" i="8"/>
  <c r="O100" i="8"/>
  <c r="O108" i="8"/>
  <c r="O94" i="8"/>
  <c r="O106" i="8"/>
  <c r="O92" i="8"/>
  <c r="O105" i="8"/>
  <c r="O91" i="8"/>
  <c r="P728" i="1"/>
  <c r="O54" i="7"/>
  <c r="O51" i="7"/>
  <c r="N85" i="29"/>
  <c r="N305" i="29"/>
  <c r="N184" i="29"/>
  <c r="N78" i="29"/>
  <c r="N227" i="29"/>
  <c r="N149" i="29"/>
  <c r="N192" i="29"/>
  <c r="N71" i="29"/>
  <c r="N156" i="29"/>
  <c r="N114" i="29"/>
  <c r="N206" i="29"/>
  <c r="O282" i="29"/>
  <c r="O281" i="29"/>
  <c r="O283" i="29"/>
  <c r="O195" i="29"/>
  <c r="O279" i="29"/>
  <c r="O278" i="29"/>
  <c r="O193" i="29"/>
  <c r="O108" i="29"/>
  <c r="O196" i="29"/>
  <c r="O194" i="29"/>
  <c r="O112" i="29"/>
  <c r="O198" i="29"/>
  <c r="O113" i="29"/>
  <c r="O197" i="29"/>
  <c r="O280" i="29"/>
  <c r="O110" i="29"/>
  <c r="O24" i="29"/>
  <c r="O28" i="29"/>
  <c r="O27" i="29"/>
  <c r="O26" i="29"/>
  <c r="O23" i="29"/>
  <c r="O25" i="29"/>
  <c r="O111" i="29"/>
  <c r="O109" i="29"/>
  <c r="N128" i="29"/>
  <c r="O285" i="29"/>
  <c r="O205" i="29"/>
  <c r="O204" i="29"/>
  <c r="O287" i="29"/>
  <c r="O289" i="29"/>
  <c r="O290" i="29"/>
  <c r="O200" i="29"/>
  <c r="O288" i="29"/>
  <c r="O119" i="29"/>
  <c r="O116" i="29"/>
  <c r="O201" i="29"/>
  <c r="O286" i="29"/>
  <c r="O120" i="29"/>
  <c r="O115" i="29"/>
  <c r="O203" i="29"/>
  <c r="O30" i="29"/>
  <c r="O33" i="29"/>
  <c r="O32" i="29"/>
  <c r="O118" i="29"/>
  <c r="O31" i="29"/>
  <c r="O117" i="29"/>
  <c r="O34" i="29"/>
  <c r="O35" i="29"/>
  <c r="O202" i="29"/>
  <c r="N121" i="29"/>
  <c r="N27" i="37"/>
  <c r="O27" i="37" s="1"/>
  <c r="O350" i="29"/>
  <c r="O348" i="29"/>
  <c r="O183" i="29"/>
  <c r="O268" i="29"/>
  <c r="O352" i="29"/>
  <c r="O266" i="29"/>
  <c r="O351" i="29"/>
  <c r="O267" i="29"/>
  <c r="O349" i="29"/>
  <c r="O181" i="29"/>
  <c r="O94" i="29"/>
  <c r="O263" i="29"/>
  <c r="O264" i="29"/>
  <c r="O98" i="29"/>
  <c r="O180" i="29"/>
  <c r="O96" i="29"/>
  <c r="O97" i="29"/>
  <c r="O93" i="29"/>
  <c r="O353" i="29"/>
  <c r="O178" i="29"/>
  <c r="O95" i="29"/>
  <c r="O265" i="29"/>
  <c r="O179" i="29"/>
  <c r="O182" i="29"/>
  <c r="N107" i="29"/>
  <c r="N25" i="37"/>
  <c r="O25" i="37" s="1"/>
  <c r="O336" i="29"/>
  <c r="O335" i="29"/>
  <c r="O338" i="29"/>
  <c r="O339" i="29"/>
  <c r="O337" i="29"/>
  <c r="O334" i="29"/>
  <c r="O250" i="29"/>
  <c r="O253" i="29"/>
  <c r="O251" i="29"/>
  <c r="O249" i="29"/>
  <c r="O254" i="29"/>
  <c r="O81" i="29"/>
  <c r="O169" i="29"/>
  <c r="O166" i="29"/>
  <c r="O83" i="29"/>
  <c r="O165" i="29"/>
  <c r="O167" i="29"/>
  <c r="O80" i="29"/>
  <c r="O252" i="29"/>
  <c r="O84" i="29"/>
  <c r="O164" i="29"/>
  <c r="O82" i="29"/>
  <c r="O79" i="29"/>
  <c r="O168" i="29"/>
  <c r="N241" i="29"/>
  <c r="N262" i="29"/>
  <c r="N142" i="29"/>
  <c r="N234" i="29"/>
  <c r="N92" i="29"/>
  <c r="N99" i="29"/>
  <c r="N199" i="29"/>
  <c r="N36" i="29"/>
  <c r="N177" i="29"/>
  <c r="N24" i="37"/>
  <c r="O24" i="37" s="1"/>
  <c r="O328" i="29"/>
  <c r="O330" i="29"/>
  <c r="O327" i="29"/>
  <c r="O162" i="29"/>
  <c r="O331" i="29"/>
  <c r="O245" i="29"/>
  <c r="O329" i="29"/>
  <c r="O243" i="29"/>
  <c r="O246" i="29"/>
  <c r="O332" i="29"/>
  <c r="O242" i="29"/>
  <c r="O72" i="29"/>
  <c r="O159" i="29"/>
  <c r="O161" i="29"/>
  <c r="O157" i="29"/>
  <c r="O244" i="29"/>
  <c r="O247" i="29"/>
  <c r="O160" i="29"/>
  <c r="O75" i="29"/>
  <c r="O76" i="29"/>
  <c r="O73" i="29"/>
  <c r="O158" i="29"/>
  <c r="O77" i="29"/>
  <c r="O74" i="29"/>
  <c r="N255" i="29"/>
  <c r="N163" i="29"/>
  <c r="N26" i="37"/>
  <c r="O341" i="29"/>
  <c r="O344" i="29"/>
  <c r="O343" i="29"/>
  <c r="O345" i="29"/>
  <c r="O173" i="29"/>
  <c r="O342" i="29"/>
  <c r="O174" i="29"/>
  <c r="O258" i="29"/>
  <c r="O261" i="29"/>
  <c r="O91" i="29"/>
  <c r="O260" i="29"/>
  <c r="O257" i="29"/>
  <c r="O175" i="29"/>
  <c r="O256" i="29"/>
  <c r="O346" i="29"/>
  <c r="O259" i="29"/>
  <c r="O90" i="29"/>
  <c r="O87" i="29"/>
  <c r="O176" i="29"/>
  <c r="O171" i="29"/>
  <c r="O172" i="29"/>
  <c r="O89" i="29"/>
  <c r="O88" i="29"/>
  <c r="O86" i="29"/>
  <c r="N23" i="37"/>
  <c r="O23" i="37" s="1"/>
  <c r="O323" i="29"/>
  <c r="O325" i="29"/>
  <c r="O324" i="29"/>
  <c r="O320" i="29"/>
  <c r="O239" i="29"/>
  <c r="O153" i="29"/>
  <c r="O154" i="29"/>
  <c r="O322" i="29"/>
  <c r="O240" i="29"/>
  <c r="O155" i="29"/>
  <c r="O235" i="29"/>
  <c r="O152" i="29"/>
  <c r="O151" i="29"/>
  <c r="O70" i="29"/>
  <c r="O67" i="29"/>
  <c r="O150" i="29"/>
  <c r="O65" i="29"/>
  <c r="O238" i="29"/>
  <c r="O236" i="29"/>
  <c r="O69" i="29"/>
  <c r="O68" i="29"/>
  <c r="O321" i="29"/>
  <c r="O66" i="29"/>
  <c r="O237" i="29"/>
  <c r="N312" i="29"/>
  <c r="N354" i="29"/>
  <c r="N291" i="29"/>
  <c r="N28" i="37"/>
  <c r="O28" i="37" s="1"/>
  <c r="O359" i="29"/>
  <c r="O355" i="29"/>
  <c r="O360" i="29"/>
  <c r="O357" i="29"/>
  <c r="O358" i="29"/>
  <c r="O356" i="29"/>
  <c r="O272" i="29"/>
  <c r="O189" i="29"/>
  <c r="O274" i="29"/>
  <c r="O185" i="29"/>
  <c r="O188" i="29"/>
  <c r="O100" i="29"/>
  <c r="O186" i="29"/>
  <c r="O271" i="29"/>
  <c r="O190" i="29"/>
  <c r="O102" i="29"/>
  <c r="O270" i="29"/>
  <c r="O275" i="29"/>
  <c r="O187" i="29"/>
  <c r="O103" i="29"/>
  <c r="O105" i="29"/>
  <c r="O101" i="29"/>
  <c r="O273" i="29"/>
  <c r="O104" i="29"/>
  <c r="N135" i="29"/>
  <c r="N220" i="29"/>
  <c r="N43" i="29"/>
  <c r="N326" i="29"/>
  <c r="N248" i="29"/>
  <c r="N20" i="37"/>
  <c r="O20" i="37" s="1"/>
  <c r="O303" i="29"/>
  <c r="O299" i="29"/>
  <c r="O302" i="29"/>
  <c r="O215" i="29"/>
  <c r="O301" i="29"/>
  <c r="O217" i="29"/>
  <c r="O219" i="29"/>
  <c r="O216" i="29"/>
  <c r="O300" i="29"/>
  <c r="O304" i="29"/>
  <c r="O129" i="29"/>
  <c r="O214" i="29"/>
  <c r="O134" i="29"/>
  <c r="O48" i="29"/>
  <c r="O44" i="29"/>
  <c r="O133" i="29"/>
  <c r="O130" i="29"/>
  <c r="O45" i="29"/>
  <c r="O218" i="29"/>
  <c r="O46" i="29"/>
  <c r="O131" i="29"/>
  <c r="O47" i="29"/>
  <c r="O132" i="29"/>
  <c r="O49" i="29"/>
  <c r="N22" i="29"/>
  <c r="N298" i="29"/>
  <c r="N29" i="29"/>
  <c r="N284" i="29"/>
  <c r="N50" i="29"/>
  <c r="N333" i="29"/>
  <c r="N21" i="37"/>
  <c r="O21" i="37" s="1"/>
  <c r="O310" i="29"/>
  <c r="O308" i="29"/>
  <c r="O137" i="29"/>
  <c r="O309" i="29"/>
  <c r="O311" i="29"/>
  <c r="O222" i="29"/>
  <c r="O221" i="29"/>
  <c r="O54" i="29"/>
  <c r="O223" i="29"/>
  <c r="O307" i="29"/>
  <c r="O306" i="29"/>
  <c r="O224" i="29"/>
  <c r="O141" i="29"/>
  <c r="O138" i="29"/>
  <c r="O225" i="29"/>
  <c r="O136" i="29"/>
  <c r="O51" i="29"/>
  <c r="O139" i="29"/>
  <c r="O53" i="29"/>
  <c r="O226" i="29"/>
  <c r="O56" i="29"/>
  <c r="O140" i="29"/>
  <c r="O55" i="29"/>
  <c r="O52" i="29"/>
  <c r="N170" i="29"/>
  <c r="N213" i="29"/>
  <c r="N57" i="29"/>
  <c r="N64" i="29"/>
  <c r="N277" i="29"/>
  <c r="N340" i="29"/>
  <c r="N319" i="29"/>
  <c r="N22" i="37"/>
  <c r="O22" i="37" s="1"/>
  <c r="O316" i="29"/>
  <c r="O315" i="29"/>
  <c r="O313" i="29"/>
  <c r="O314" i="29"/>
  <c r="O233" i="29"/>
  <c r="O318" i="29"/>
  <c r="O146" i="29"/>
  <c r="O317" i="29"/>
  <c r="O147" i="29"/>
  <c r="O231" i="29"/>
  <c r="O62" i="29"/>
  <c r="O232" i="29"/>
  <c r="O229" i="29"/>
  <c r="O144" i="29"/>
  <c r="O228" i="29"/>
  <c r="O59" i="29"/>
  <c r="O58" i="29"/>
  <c r="O230" i="29"/>
  <c r="O63" i="29"/>
  <c r="O61" i="29"/>
  <c r="O148" i="29"/>
  <c r="O60" i="29"/>
  <c r="O143" i="29"/>
  <c r="O145" i="29"/>
  <c r="N347" i="29"/>
  <c r="N269" i="29"/>
  <c r="N19" i="37"/>
  <c r="O19" i="37" s="1"/>
  <c r="O297" i="29"/>
  <c r="O295" i="29"/>
  <c r="O293" i="29"/>
  <c r="O210" i="29"/>
  <c r="O292" i="29"/>
  <c r="O209" i="29"/>
  <c r="O126" i="29"/>
  <c r="O294" i="29"/>
  <c r="O212" i="29"/>
  <c r="O127" i="29"/>
  <c r="O124" i="29"/>
  <c r="O208" i="29"/>
  <c r="O211" i="29"/>
  <c r="O296" i="29"/>
  <c r="O123" i="29"/>
  <c r="O125" i="29"/>
  <c r="O207" i="29"/>
  <c r="O38" i="29"/>
  <c r="O122" i="29"/>
  <c r="O39" i="29"/>
  <c r="O41" i="29"/>
  <c r="O42" i="29"/>
  <c r="O37" i="29"/>
  <c r="O40" i="29"/>
  <c r="F82" i="7" l="1"/>
  <c r="F88" i="7" s="1"/>
  <c r="F10" i="29"/>
  <c r="F14" i="7"/>
  <c r="F66" i="7"/>
  <c r="F68" i="7"/>
  <c r="F67" i="7"/>
  <c r="E14" i="7"/>
  <c r="E68" i="7"/>
  <c r="E67" i="7"/>
  <c r="E74" i="7" s="1"/>
  <c r="E66" i="7"/>
  <c r="E70" i="7" s="1"/>
  <c r="E10" i="29"/>
  <c r="E82" i="7"/>
  <c r="E88" i="7" s="1"/>
  <c r="N56" i="18"/>
  <c r="N46" i="18"/>
  <c r="N37" i="18"/>
  <c r="N27" i="18"/>
  <c r="N50" i="18"/>
  <c r="N41" i="18"/>
  <c r="N32" i="18"/>
  <c r="N52" i="18"/>
  <c r="N42" i="18"/>
  <c r="N33" i="18"/>
  <c r="N28" i="18"/>
  <c r="N54" i="18"/>
  <c r="N38" i="18"/>
  <c r="N24" i="18"/>
  <c r="N48" i="18"/>
  <c r="N21" i="18"/>
  <c r="N19" i="18"/>
  <c r="N58" i="18"/>
  <c r="N34" i="18"/>
  <c r="N36" i="18"/>
  <c r="N20" i="18"/>
  <c r="N45" i="18"/>
  <c r="N49" i="18"/>
  <c r="N23" i="18"/>
  <c r="N53" i="18"/>
  <c r="N29" i="18"/>
  <c r="N57" i="18"/>
  <c r="N40" i="18"/>
  <c r="N25" i="18"/>
  <c r="N44" i="18"/>
  <c r="P86" i="8"/>
  <c r="P100" i="8"/>
  <c r="P90" i="8"/>
  <c r="P104" i="8"/>
  <c r="P92" i="8"/>
  <c r="P106" i="8"/>
  <c r="P89" i="8"/>
  <c r="P103" i="8"/>
  <c r="P83" i="8"/>
  <c r="P97" i="8"/>
  <c r="P93" i="8"/>
  <c r="P107" i="8"/>
  <c r="P84" i="8"/>
  <c r="P98" i="8"/>
  <c r="P88" i="8"/>
  <c r="P102" i="8"/>
  <c r="P85" i="8"/>
  <c r="P99" i="8"/>
  <c r="P91" i="8"/>
  <c r="P105" i="8"/>
  <c r="P94" i="8"/>
  <c r="P108" i="8"/>
  <c r="O96" i="8"/>
  <c r="O25" i="8" s="1"/>
  <c r="P87" i="8"/>
  <c r="P101" i="8"/>
  <c r="O82" i="8"/>
  <c r="P51" i="7"/>
  <c r="P54" i="7"/>
  <c r="Q728" i="1"/>
  <c r="O71" i="29"/>
  <c r="O333" i="29"/>
  <c r="N276" i="29"/>
  <c r="N17" i="29" s="1"/>
  <c r="N9" i="29" s="1"/>
  <c r="N68" i="8" s="1"/>
  <c r="N106" i="29"/>
  <c r="N15" i="29" s="1"/>
  <c r="N7" i="29" s="1"/>
  <c r="O206" i="29"/>
  <c r="O234" i="29"/>
  <c r="O262" i="29"/>
  <c r="O36" i="29"/>
  <c r="O312" i="29"/>
  <c r="O22" i="29"/>
  <c r="O142" i="29"/>
  <c r="O298" i="29"/>
  <c r="O177" i="29"/>
  <c r="O347" i="29"/>
  <c r="O277" i="29"/>
  <c r="O305" i="29"/>
  <c r="P20" i="37"/>
  <c r="P304" i="29"/>
  <c r="P302" i="29"/>
  <c r="P299" i="29"/>
  <c r="P300" i="29"/>
  <c r="P301" i="29"/>
  <c r="P131" i="29"/>
  <c r="P216" i="29"/>
  <c r="P133" i="29"/>
  <c r="P218" i="29"/>
  <c r="P214" i="29"/>
  <c r="P219" i="29"/>
  <c r="P134" i="29"/>
  <c r="P217" i="29"/>
  <c r="P215" i="29"/>
  <c r="P129" i="29"/>
  <c r="P132" i="29"/>
  <c r="P130" i="29"/>
  <c r="P45" i="29"/>
  <c r="P49" i="29"/>
  <c r="P303" i="29"/>
  <c r="P48" i="29"/>
  <c r="P44" i="29"/>
  <c r="P47" i="29"/>
  <c r="P46" i="29"/>
  <c r="O269" i="29"/>
  <c r="O319" i="29"/>
  <c r="P24" i="37"/>
  <c r="P330" i="29"/>
  <c r="P328" i="29"/>
  <c r="P332" i="29"/>
  <c r="P327" i="29"/>
  <c r="P245" i="29"/>
  <c r="P329" i="29"/>
  <c r="P246" i="29"/>
  <c r="P244" i="29"/>
  <c r="P331" i="29"/>
  <c r="P247" i="29"/>
  <c r="P242" i="29"/>
  <c r="P77" i="29"/>
  <c r="P158" i="29"/>
  <c r="P243" i="29"/>
  <c r="P159" i="29"/>
  <c r="P161" i="29"/>
  <c r="P75" i="29"/>
  <c r="P72" i="29"/>
  <c r="P74" i="29"/>
  <c r="P162" i="29"/>
  <c r="P76" i="29"/>
  <c r="P73" i="29"/>
  <c r="P157" i="29"/>
  <c r="P160" i="29"/>
  <c r="O78" i="29"/>
  <c r="O92" i="29"/>
  <c r="O64" i="29"/>
  <c r="O255" i="29"/>
  <c r="P26" i="37"/>
  <c r="P341" i="29"/>
  <c r="P342" i="29"/>
  <c r="P344" i="29"/>
  <c r="P345" i="29"/>
  <c r="P259" i="29"/>
  <c r="P256" i="29"/>
  <c r="P174" i="29"/>
  <c r="P171" i="29"/>
  <c r="P343" i="29"/>
  <c r="P176" i="29"/>
  <c r="P346" i="29"/>
  <c r="P261" i="29"/>
  <c r="P258" i="29"/>
  <c r="P257" i="29"/>
  <c r="P89" i="29"/>
  <c r="P175" i="29"/>
  <c r="P260" i="29"/>
  <c r="P173" i="29"/>
  <c r="P90" i="29"/>
  <c r="P87" i="29"/>
  <c r="P172" i="29"/>
  <c r="P88" i="29"/>
  <c r="P91" i="29"/>
  <c r="P86" i="29"/>
  <c r="O354" i="29"/>
  <c r="O57" i="29"/>
  <c r="O220" i="29"/>
  <c r="P23" i="37"/>
  <c r="P323" i="29"/>
  <c r="P320" i="29"/>
  <c r="P322" i="29"/>
  <c r="P324" i="29"/>
  <c r="P239" i="29"/>
  <c r="P325" i="29"/>
  <c r="P240" i="29"/>
  <c r="P237" i="29"/>
  <c r="P235" i="29"/>
  <c r="P238" i="29"/>
  <c r="P236" i="29"/>
  <c r="P68" i="29"/>
  <c r="P321" i="29"/>
  <c r="P152" i="29"/>
  <c r="P150" i="29"/>
  <c r="P153" i="29"/>
  <c r="P155" i="29"/>
  <c r="P154" i="29"/>
  <c r="P151" i="29"/>
  <c r="P69" i="29"/>
  <c r="P66" i="29"/>
  <c r="P65" i="29"/>
  <c r="P67" i="29"/>
  <c r="P70" i="29"/>
  <c r="O284" i="29"/>
  <c r="P280" i="29"/>
  <c r="P283" i="29"/>
  <c r="P281" i="29"/>
  <c r="P278" i="29"/>
  <c r="P282" i="29"/>
  <c r="P196" i="29"/>
  <c r="P197" i="29"/>
  <c r="P195" i="29"/>
  <c r="P279" i="29"/>
  <c r="P198" i="29"/>
  <c r="P110" i="29"/>
  <c r="P193" i="29"/>
  <c r="P113" i="29"/>
  <c r="P108" i="29"/>
  <c r="P194" i="29"/>
  <c r="P109" i="29"/>
  <c r="P111" i="29"/>
  <c r="P27" i="29"/>
  <c r="P26" i="29"/>
  <c r="P25" i="29"/>
  <c r="P23" i="29"/>
  <c r="P112" i="29"/>
  <c r="P24" i="29"/>
  <c r="P28" i="29"/>
  <c r="O43" i="29"/>
  <c r="O213" i="29"/>
  <c r="O163" i="29"/>
  <c r="N21" i="29"/>
  <c r="N14" i="29" s="1"/>
  <c r="O241" i="29"/>
  <c r="O291" i="29"/>
  <c r="O99" i="29"/>
  <c r="O85" i="29"/>
  <c r="O114" i="29"/>
  <c r="P288" i="29"/>
  <c r="P201" i="29"/>
  <c r="P115" i="29"/>
  <c r="P290" i="29"/>
  <c r="P286" i="29"/>
  <c r="P287" i="29"/>
  <c r="P118" i="29"/>
  <c r="P205" i="29"/>
  <c r="P203" i="29"/>
  <c r="P285" i="29"/>
  <c r="P204" i="29"/>
  <c r="P289" i="29"/>
  <c r="P200" i="29"/>
  <c r="P120" i="29"/>
  <c r="P117" i="29"/>
  <c r="P35" i="29"/>
  <c r="P30" i="29"/>
  <c r="P119" i="29"/>
  <c r="P33" i="29"/>
  <c r="P32" i="29"/>
  <c r="P116" i="29"/>
  <c r="P34" i="29"/>
  <c r="P202" i="29"/>
  <c r="P31" i="29"/>
  <c r="O156" i="29"/>
  <c r="O248" i="29"/>
  <c r="O121" i="29"/>
  <c r="O128" i="29"/>
  <c r="P28" i="37"/>
  <c r="P357" i="29"/>
  <c r="P358" i="29"/>
  <c r="P355" i="29"/>
  <c r="P356" i="29"/>
  <c r="P271" i="29"/>
  <c r="P270" i="29"/>
  <c r="P105" i="29"/>
  <c r="P185" i="29"/>
  <c r="P275" i="29"/>
  <c r="P273" i="29"/>
  <c r="P360" i="29"/>
  <c r="P104" i="29"/>
  <c r="P274" i="29"/>
  <c r="P272" i="29"/>
  <c r="P187" i="29"/>
  <c r="P186" i="29"/>
  <c r="P189" i="29"/>
  <c r="P103" i="29"/>
  <c r="P188" i="29"/>
  <c r="P101" i="29"/>
  <c r="P359" i="29"/>
  <c r="P100" i="29"/>
  <c r="P190" i="29"/>
  <c r="P102" i="29"/>
  <c r="O227" i="29"/>
  <c r="O184" i="29"/>
  <c r="O326" i="29"/>
  <c r="P27" i="37"/>
  <c r="P349" i="29"/>
  <c r="P351" i="29"/>
  <c r="P353" i="29"/>
  <c r="P266" i="29"/>
  <c r="P265" i="29"/>
  <c r="P183" i="29"/>
  <c r="P96" i="29"/>
  <c r="P348" i="29"/>
  <c r="P352" i="29"/>
  <c r="P179" i="29"/>
  <c r="P264" i="29"/>
  <c r="P267" i="29"/>
  <c r="P182" i="29"/>
  <c r="P178" i="29"/>
  <c r="P350" i="29"/>
  <c r="P181" i="29"/>
  <c r="P95" i="29"/>
  <c r="P263" i="29"/>
  <c r="P180" i="29"/>
  <c r="P93" i="29"/>
  <c r="P98" i="29"/>
  <c r="P94" i="29"/>
  <c r="P97" i="29"/>
  <c r="P268" i="29"/>
  <c r="P21" i="37"/>
  <c r="P308" i="29"/>
  <c r="P307" i="29"/>
  <c r="P306" i="29"/>
  <c r="P222" i="29"/>
  <c r="P310" i="29"/>
  <c r="P311" i="29"/>
  <c r="P225" i="29"/>
  <c r="P139" i="29"/>
  <c r="P223" i="29"/>
  <c r="P140" i="29"/>
  <c r="P309" i="29"/>
  <c r="P226" i="29"/>
  <c r="P224" i="29"/>
  <c r="P138" i="29"/>
  <c r="P136" i="29"/>
  <c r="P141" i="29"/>
  <c r="P55" i="29"/>
  <c r="P221" i="29"/>
  <c r="P137" i="29"/>
  <c r="P53" i="29"/>
  <c r="P54" i="29"/>
  <c r="P51" i="29"/>
  <c r="P52" i="29"/>
  <c r="P56" i="29"/>
  <c r="O149" i="29"/>
  <c r="P19" i="37"/>
  <c r="P293" i="29"/>
  <c r="P124" i="29"/>
  <c r="P297" i="29"/>
  <c r="P294" i="29"/>
  <c r="P292" i="29"/>
  <c r="P207" i="29"/>
  <c r="P210" i="29"/>
  <c r="P208" i="29"/>
  <c r="P211" i="29"/>
  <c r="P295" i="29"/>
  <c r="P209" i="29"/>
  <c r="P212" i="29"/>
  <c r="P296" i="29"/>
  <c r="P123" i="29"/>
  <c r="P125" i="29"/>
  <c r="P127" i="29"/>
  <c r="P122" i="29"/>
  <c r="P126" i="29"/>
  <c r="P39" i="29"/>
  <c r="P38" i="29"/>
  <c r="P37" i="29"/>
  <c r="P42" i="29"/>
  <c r="P41" i="29"/>
  <c r="P40" i="29"/>
  <c r="O50" i="29"/>
  <c r="O199" i="29"/>
  <c r="O107" i="29"/>
  <c r="O192" i="29"/>
  <c r="O29" i="29"/>
  <c r="P22" i="37"/>
  <c r="P318" i="29"/>
  <c r="P313" i="29"/>
  <c r="P315" i="29"/>
  <c r="P316" i="29"/>
  <c r="P229" i="29"/>
  <c r="P232" i="29"/>
  <c r="P230" i="29"/>
  <c r="P317" i="29"/>
  <c r="P148" i="29"/>
  <c r="P61" i="29"/>
  <c r="P228" i="29"/>
  <c r="P233" i="29"/>
  <c r="P146" i="29"/>
  <c r="P144" i="29"/>
  <c r="P147" i="29"/>
  <c r="P314" i="29"/>
  <c r="P63" i="29"/>
  <c r="P145" i="29"/>
  <c r="P231" i="29"/>
  <c r="P58" i="29"/>
  <c r="P62" i="29"/>
  <c r="P60" i="29"/>
  <c r="P59" i="29"/>
  <c r="P143" i="29"/>
  <c r="O135" i="29"/>
  <c r="O170" i="29"/>
  <c r="O340" i="29"/>
  <c r="P25" i="37"/>
  <c r="P335" i="29"/>
  <c r="P338" i="29"/>
  <c r="P334" i="29"/>
  <c r="P336" i="29"/>
  <c r="P252" i="29"/>
  <c r="P339" i="29"/>
  <c r="P251" i="29"/>
  <c r="P165" i="29"/>
  <c r="P168" i="29"/>
  <c r="P253" i="29"/>
  <c r="P250" i="29"/>
  <c r="P254" i="29"/>
  <c r="P249" i="29"/>
  <c r="P169" i="29"/>
  <c r="P166" i="29"/>
  <c r="P167" i="29"/>
  <c r="P83" i="29"/>
  <c r="P80" i="29"/>
  <c r="P337" i="29"/>
  <c r="P81" i="29"/>
  <c r="P164" i="29"/>
  <c r="P82" i="29"/>
  <c r="P79" i="29"/>
  <c r="P84" i="29"/>
  <c r="N191" i="29"/>
  <c r="N16" i="29" s="1"/>
  <c r="N8" i="29" s="1"/>
  <c r="E78" i="7" l="1"/>
  <c r="J80" i="7" s="1"/>
  <c r="J53" i="7" s="1"/>
  <c r="J52" i="7" s="1"/>
  <c r="F61" i="8"/>
  <c r="F59" i="8" s="1"/>
  <c r="F7" i="8" s="1"/>
  <c r="F31" i="12" s="1"/>
  <c r="F13" i="2"/>
  <c r="E61" i="8"/>
  <c r="E13" i="2"/>
  <c r="F16" i="7"/>
  <c r="F13" i="7" s="1"/>
  <c r="F5" i="7" s="1"/>
  <c r="F23" i="12" s="1"/>
  <c r="F90" i="7"/>
  <c r="F91" i="7"/>
  <c r="E65" i="7"/>
  <c r="E71" i="7"/>
  <c r="E21" i="7" s="1"/>
  <c r="E20" i="7" s="1"/>
  <c r="E75" i="7"/>
  <c r="E36" i="7" s="1"/>
  <c r="E35" i="7" s="1"/>
  <c r="F65" i="7"/>
  <c r="E16" i="7"/>
  <c r="E13" i="7" s="1"/>
  <c r="E5" i="7" s="1"/>
  <c r="E23" i="12" s="1"/>
  <c r="E90" i="7"/>
  <c r="E91" i="7"/>
  <c r="E97" i="7" s="1"/>
  <c r="N18" i="8"/>
  <c r="N31" i="18"/>
  <c r="N47" i="18"/>
  <c r="N11" i="18" s="1"/>
  <c r="N21" i="8"/>
  <c r="N55" i="18"/>
  <c r="N13" i="18" s="1"/>
  <c r="N35" i="18"/>
  <c r="O56" i="18"/>
  <c r="O46" i="18"/>
  <c r="O37" i="18"/>
  <c r="O54" i="18"/>
  <c r="O38" i="18"/>
  <c r="O24" i="18"/>
  <c r="O48" i="18"/>
  <c r="O21" i="18"/>
  <c r="O40" i="18"/>
  <c r="O58" i="18"/>
  <c r="O50" i="18"/>
  <c r="O34" i="18"/>
  <c r="O42" i="18"/>
  <c r="O32" i="18"/>
  <c r="O23" i="18"/>
  <c r="O53" i="18"/>
  <c r="O29" i="18"/>
  <c r="O49" i="18"/>
  <c r="O33" i="18"/>
  <c r="O52" i="18"/>
  <c r="O36" i="18"/>
  <c r="O57" i="18"/>
  <c r="O28" i="18"/>
  <c r="O19" i="18"/>
  <c r="O44" i="18"/>
  <c r="O25" i="18"/>
  <c r="O41" i="18"/>
  <c r="O27" i="18"/>
  <c r="O45" i="18"/>
  <c r="O20" i="18"/>
  <c r="N51" i="18"/>
  <c r="N12" i="18" s="1"/>
  <c r="N43" i="18"/>
  <c r="N10" i="18" s="1"/>
  <c r="N23" i="8"/>
  <c r="N20" i="8"/>
  <c r="N19" i="8"/>
  <c r="N26" i="18"/>
  <c r="N8" i="18" s="1"/>
  <c r="N17" i="8"/>
  <c r="N18" i="18"/>
  <c r="N6" i="18" s="1"/>
  <c r="N22" i="8"/>
  <c r="N24" i="8"/>
  <c r="N39" i="18"/>
  <c r="N22" i="18"/>
  <c r="N7" i="18" s="1"/>
  <c r="P96" i="8"/>
  <c r="P25" i="8" s="1"/>
  <c r="Q91" i="8"/>
  <c r="Q105" i="8"/>
  <c r="Q87" i="8"/>
  <c r="Q101" i="8"/>
  <c r="Q84" i="8"/>
  <c r="Q98" i="8"/>
  <c r="Q88" i="8"/>
  <c r="Q102" i="8"/>
  <c r="Q85" i="8"/>
  <c r="Q99" i="8"/>
  <c r="Q92" i="8"/>
  <c r="Q106" i="8"/>
  <c r="Q86" i="8"/>
  <c r="Q100" i="8"/>
  <c r="P82" i="8"/>
  <c r="Q104" i="8"/>
  <c r="Q90" i="8"/>
  <c r="Q97" i="8"/>
  <c r="Q83" i="8"/>
  <c r="Q93" i="8"/>
  <c r="Q107" i="8"/>
  <c r="Q103" i="8"/>
  <c r="Q89" i="8"/>
  <c r="Q94" i="8"/>
  <c r="Q108" i="8"/>
  <c r="N85" i="7"/>
  <c r="N84" i="7"/>
  <c r="N86" i="7"/>
  <c r="Q54" i="7"/>
  <c r="R728" i="1"/>
  <c r="Q51" i="7"/>
  <c r="P255" i="29"/>
  <c r="O191" i="29"/>
  <c r="O16" i="29" s="1"/>
  <c r="O8" i="29" s="1"/>
  <c r="P248" i="29"/>
  <c r="P326" i="29"/>
  <c r="P347" i="29"/>
  <c r="P121" i="29"/>
  <c r="P135" i="29"/>
  <c r="Q28" i="37"/>
  <c r="Q359" i="29"/>
  <c r="Q358" i="29"/>
  <c r="Q355" i="29"/>
  <c r="Q186" i="29"/>
  <c r="Q360" i="29"/>
  <c r="Q272" i="29"/>
  <c r="Q189" i="29"/>
  <c r="Q356" i="29"/>
  <c r="Q270" i="29"/>
  <c r="Q271" i="29"/>
  <c r="Q275" i="29"/>
  <c r="Q273" i="29"/>
  <c r="Q103" i="29"/>
  <c r="Q274" i="29"/>
  <c r="Q190" i="29"/>
  <c r="Q105" i="29"/>
  <c r="Q104" i="29"/>
  <c r="Q188" i="29"/>
  <c r="Q102" i="29"/>
  <c r="Q185" i="29"/>
  <c r="Q100" i="29"/>
  <c r="Q357" i="29"/>
  <c r="Q187" i="29"/>
  <c r="Q101" i="29"/>
  <c r="P22" i="29"/>
  <c r="Q25" i="37"/>
  <c r="Q334" i="29"/>
  <c r="Q337" i="29"/>
  <c r="Q336" i="29"/>
  <c r="Q339" i="29"/>
  <c r="Q254" i="29"/>
  <c r="Q335" i="29"/>
  <c r="Q169" i="29"/>
  <c r="Q252" i="29"/>
  <c r="Q249" i="29"/>
  <c r="Q338" i="29"/>
  <c r="Q166" i="29"/>
  <c r="Q164" i="29"/>
  <c r="Q251" i="29"/>
  <c r="Q253" i="29"/>
  <c r="Q250" i="29"/>
  <c r="Q165" i="29"/>
  <c r="Q81" i="29"/>
  <c r="Q83" i="29"/>
  <c r="Q82" i="29"/>
  <c r="Q80" i="29"/>
  <c r="Q79" i="29"/>
  <c r="Q84" i="29"/>
  <c r="Q167" i="29"/>
  <c r="Q168" i="29"/>
  <c r="Q22" i="37"/>
  <c r="Q316" i="29"/>
  <c r="Q315" i="29"/>
  <c r="Q313" i="29"/>
  <c r="Q317" i="29"/>
  <c r="Q318" i="29"/>
  <c r="Q233" i="29"/>
  <c r="Q147" i="29"/>
  <c r="Q145" i="29"/>
  <c r="Q231" i="29"/>
  <c r="Q232" i="29"/>
  <c r="Q229" i="29"/>
  <c r="Q228" i="29"/>
  <c r="Q60" i="29"/>
  <c r="Q230" i="29"/>
  <c r="Q61" i="29"/>
  <c r="Q314" i="29"/>
  <c r="Q58" i="29"/>
  <c r="Q63" i="29"/>
  <c r="Q144" i="29"/>
  <c r="Q146" i="29"/>
  <c r="Q143" i="29"/>
  <c r="Q62" i="29"/>
  <c r="Q148" i="29"/>
  <c r="Q59" i="29"/>
  <c r="Q21" i="37"/>
  <c r="Q307" i="29"/>
  <c r="Q310" i="29"/>
  <c r="Q223" i="29"/>
  <c r="Q309" i="29"/>
  <c r="Q226" i="29"/>
  <c r="Q225" i="29"/>
  <c r="Q222" i="29"/>
  <c r="Q311" i="29"/>
  <c r="Q140" i="29"/>
  <c r="Q54" i="29"/>
  <c r="Q224" i="29"/>
  <c r="Q139" i="29"/>
  <c r="Q138" i="29"/>
  <c r="Q137" i="29"/>
  <c r="Q136" i="29"/>
  <c r="Q308" i="29"/>
  <c r="Q141" i="29"/>
  <c r="Q56" i="29"/>
  <c r="Q55" i="29"/>
  <c r="Q221" i="29"/>
  <c r="Q306" i="29"/>
  <c r="Q53" i="29"/>
  <c r="Q51" i="29"/>
  <c r="Q52" i="29"/>
  <c r="Q290" i="29"/>
  <c r="Q204" i="29"/>
  <c r="Q289" i="29"/>
  <c r="Q201" i="29"/>
  <c r="Q115" i="29"/>
  <c r="Q287" i="29"/>
  <c r="Q288" i="29"/>
  <c r="Q202" i="29"/>
  <c r="Q118" i="29"/>
  <c r="Q286" i="29"/>
  <c r="Q285" i="29"/>
  <c r="Q117" i="29"/>
  <c r="Q116" i="29"/>
  <c r="Q205" i="29"/>
  <c r="Q203" i="29"/>
  <c r="Q35" i="29"/>
  <c r="Q33" i="29"/>
  <c r="Q120" i="29"/>
  <c r="Q32" i="29"/>
  <c r="Q34" i="29"/>
  <c r="Q30" i="29"/>
  <c r="Q200" i="29"/>
  <c r="Q119" i="29"/>
  <c r="Q31" i="29"/>
  <c r="P319" i="29"/>
  <c r="P227" i="29"/>
  <c r="O106" i="29"/>
  <c r="O15" i="29" s="1"/>
  <c r="O7" i="29" s="1"/>
  <c r="P149" i="29"/>
  <c r="P340" i="29"/>
  <c r="P128" i="29"/>
  <c r="P71" i="29"/>
  <c r="P284" i="29"/>
  <c r="Q20" i="37"/>
  <c r="Q299" i="29"/>
  <c r="Q304" i="29"/>
  <c r="Q303" i="29"/>
  <c r="Q219" i="29"/>
  <c r="Q301" i="29"/>
  <c r="Q302" i="29"/>
  <c r="Q214" i="29"/>
  <c r="Q300" i="29"/>
  <c r="Q132" i="29"/>
  <c r="Q215" i="29"/>
  <c r="Q217" i="29"/>
  <c r="Q129" i="29"/>
  <c r="Q216" i="29"/>
  <c r="Q46" i="29"/>
  <c r="Q44" i="29"/>
  <c r="Q131" i="29"/>
  <c r="Q130" i="29"/>
  <c r="Q49" i="29"/>
  <c r="Q48" i="29"/>
  <c r="Q45" i="29"/>
  <c r="Q133" i="29"/>
  <c r="Q47" i="29"/>
  <c r="Q218" i="29"/>
  <c r="Q134" i="29"/>
  <c r="P78" i="29"/>
  <c r="P92" i="29"/>
  <c r="P99" i="29"/>
  <c r="P184" i="29"/>
  <c r="Q24" i="37"/>
  <c r="Q331" i="29"/>
  <c r="Q329" i="29"/>
  <c r="Q247" i="29"/>
  <c r="Q327" i="29"/>
  <c r="Q332" i="29"/>
  <c r="Q242" i="29"/>
  <c r="Q244" i="29"/>
  <c r="Q246" i="29"/>
  <c r="Q243" i="29"/>
  <c r="Q158" i="29"/>
  <c r="Q328" i="29"/>
  <c r="Q162" i="29"/>
  <c r="Q330" i="29"/>
  <c r="Q245" i="29"/>
  <c r="Q161" i="29"/>
  <c r="Q77" i="29"/>
  <c r="Q160" i="29"/>
  <c r="Q75" i="29"/>
  <c r="Q157" i="29"/>
  <c r="Q76" i="29"/>
  <c r="Q74" i="29"/>
  <c r="Q73" i="29"/>
  <c r="Q72" i="29"/>
  <c r="Q159" i="29"/>
  <c r="Q19" i="37"/>
  <c r="Q293" i="29"/>
  <c r="Q208" i="29"/>
  <c r="Q292" i="29"/>
  <c r="Q296" i="29"/>
  <c r="Q295" i="29"/>
  <c r="Q211" i="29"/>
  <c r="Q124" i="29"/>
  <c r="Q209" i="29"/>
  <c r="Q297" i="29"/>
  <c r="Q210" i="29"/>
  <c r="Q212" i="29"/>
  <c r="Q126" i="29"/>
  <c r="Q123" i="29"/>
  <c r="Q122" i="29"/>
  <c r="Q294" i="29"/>
  <c r="Q41" i="29"/>
  <c r="Q207" i="29"/>
  <c r="Q125" i="29"/>
  <c r="Q38" i="29"/>
  <c r="Q42" i="29"/>
  <c r="Q37" i="29"/>
  <c r="Q39" i="29"/>
  <c r="Q127" i="29"/>
  <c r="Q40" i="29"/>
  <c r="P142" i="29"/>
  <c r="P50" i="29"/>
  <c r="N6" i="29"/>
  <c r="N18" i="29"/>
  <c r="N14" i="2" s="1"/>
  <c r="P107" i="29"/>
  <c r="Q279" i="29"/>
  <c r="Q196" i="29"/>
  <c r="Q278" i="29"/>
  <c r="Q281" i="29"/>
  <c r="Q194" i="29"/>
  <c r="Q283" i="29"/>
  <c r="Q280" i="29"/>
  <c r="Q193" i="29"/>
  <c r="Q282" i="29"/>
  <c r="Q198" i="29"/>
  <c r="Q112" i="29"/>
  <c r="Q197" i="29"/>
  <c r="Q111" i="29"/>
  <c r="Q195" i="29"/>
  <c r="Q110" i="29"/>
  <c r="Q109" i="29"/>
  <c r="Q27" i="29"/>
  <c r="Q113" i="29"/>
  <c r="Q108" i="29"/>
  <c r="Q28" i="29"/>
  <c r="Q23" i="29"/>
  <c r="Q25" i="29"/>
  <c r="Q24" i="29"/>
  <c r="Q26" i="29"/>
  <c r="O276" i="29"/>
  <c r="O17" i="29" s="1"/>
  <c r="O9" i="29" s="1"/>
  <c r="O68" i="8" s="1"/>
  <c r="P163" i="29"/>
  <c r="P262" i="29"/>
  <c r="P269" i="29"/>
  <c r="P298" i="29"/>
  <c r="P277" i="29"/>
  <c r="P206" i="29"/>
  <c r="P192" i="29"/>
  <c r="P85" i="29"/>
  <c r="P241" i="29"/>
  <c r="P213" i="29"/>
  <c r="P312" i="29"/>
  <c r="P199" i="29"/>
  <c r="P234" i="29"/>
  <c r="Q23" i="37"/>
  <c r="Q324" i="29"/>
  <c r="Q323" i="29"/>
  <c r="Q322" i="29"/>
  <c r="Q236" i="29"/>
  <c r="Q238" i="29"/>
  <c r="Q154" i="29"/>
  <c r="Q325" i="29"/>
  <c r="Q235" i="29"/>
  <c r="Q152" i="29"/>
  <c r="Q320" i="29"/>
  <c r="Q151" i="29"/>
  <c r="Q239" i="29"/>
  <c r="Q70" i="29"/>
  <c r="Q321" i="29"/>
  <c r="Q240" i="29"/>
  <c r="Q237" i="29"/>
  <c r="Q150" i="29"/>
  <c r="Q69" i="29"/>
  <c r="Q153" i="29"/>
  <c r="Q66" i="29"/>
  <c r="Q67" i="29"/>
  <c r="Q65" i="29"/>
  <c r="Q68" i="29"/>
  <c r="Q155" i="29"/>
  <c r="P57" i="29"/>
  <c r="P220" i="29"/>
  <c r="P354" i="29"/>
  <c r="P64" i="29"/>
  <c r="P170" i="29"/>
  <c r="P156" i="29"/>
  <c r="P43" i="29"/>
  <c r="Q26" i="37"/>
  <c r="Q344" i="29"/>
  <c r="Q343" i="29"/>
  <c r="Q341" i="29"/>
  <c r="Q346" i="29"/>
  <c r="Q258" i="29"/>
  <c r="Q256" i="29"/>
  <c r="Q345" i="29"/>
  <c r="Q342" i="29"/>
  <c r="Q260" i="29"/>
  <c r="Q257" i="29"/>
  <c r="Q171" i="29"/>
  <c r="Q259" i="29"/>
  <c r="Q172" i="29"/>
  <c r="Q261" i="29"/>
  <c r="Q90" i="29"/>
  <c r="Q89" i="29"/>
  <c r="Q173" i="29"/>
  <c r="Q176" i="29"/>
  <c r="Q87" i="29"/>
  <c r="Q175" i="29"/>
  <c r="Q174" i="29"/>
  <c r="Q88" i="29"/>
  <c r="Q91" i="29"/>
  <c r="Q86" i="29"/>
  <c r="P36" i="29"/>
  <c r="P333" i="29"/>
  <c r="P291" i="29"/>
  <c r="P305" i="29"/>
  <c r="P177" i="29"/>
  <c r="Q27" i="37"/>
  <c r="Q353" i="29"/>
  <c r="Q352" i="29"/>
  <c r="Q349" i="29"/>
  <c r="Q350" i="29"/>
  <c r="Q348" i="29"/>
  <c r="Q268" i="29"/>
  <c r="Q351" i="29"/>
  <c r="Q180" i="29"/>
  <c r="Q98" i="29"/>
  <c r="Q264" i="29"/>
  <c r="Q266" i="29"/>
  <c r="Q263" i="29"/>
  <c r="Q95" i="29"/>
  <c r="Q265" i="29"/>
  <c r="Q182" i="29"/>
  <c r="Q179" i="29"/>
  <c r="Q93" i="29"/>
  <c r="Q183" i="29"/>
  <c r="Q181" i="29"/>
  <c r="Q267" i="29"/>
  <c r="Q94" i="29"/>
  <c r="Q97" i="29"/>
  <c r="Q178" i="29"/>
  <c r="Q96" i="29"/>
  <c r="P29" i="29"/>
  <c r="P114" i="29"/>
  <c r="O21" i="29"/>
  <c r="O14" i="29" s="1"/>
  <c r="E79" i="7" l="1"/>
  <c r="E50" i="7" s="1"/>
  <c r="E49" i="7" s="1"/>
  <c r="E48" i="7" s="1"/>
  <c r="E8" i="7" s="1"/>
  <c r="E26" i="12" s="1"/>
  <c r="E72" i="7"/>
  <c r="E24" i="7" s="1"/>
  <c r="E23" i="7" s="1"/>
  <c r="E19" i="7" s="1"/>
  <c r="E98" i="7"/>
  <c r="E43" i="7" s="1"/>
  <c r="E42" i="7" s="1"/>
  <c r="E93" i="7"/>
  <c r="E89" i="7"/>
  <c r="F89" i="7"/>
  <c r="E76" i="7"/>
  <c r="N30" i="18"/>
  <c r="N9" i="18" s="1"/>
  <c r="N14" i="18" s="1"/>
  <c r="O35" i="18"/>
  <c r="O18" i="18"/>
  <c r="O6" i="18" s="1"/>
  <c r="O31" i="18"/>
  <c r="O20" i="8"/>
  <c r="O43" i="18"/>
  <c r="O10" i="18" s="1"/>
  <c r="O21" i="8"/>
  <c r="O17" i="8"/>
  <c r="O19" i="8"/>
  <c r="O26" i="18"/>
  <c r="O8" i="18" s="1"/>
  <c r="O39" i="18"/>
  <c r="O47" i="18"/>
  <c r="O11" i="18" s="1"/>
  <c r="O22" i="8"/>
  <c r="P53" i="18"/>
  <c r="P44" i="18"/>
  <c r="P34" i="18"/>
  <c r="P24" i="18"/>
  <c r="P57" i="18"/>
  <c r="P48" i="18"/>
  <c r="P38" i="18"/>
  <c r="P28" i="18"/>
  <c r="P58" i="18"/>
  <c r="P49" i="18"/>
  <c r="P40" i="18"/>
  <c r="P46" i="18"/>
  <c r="P21" i="18"/>
  <c r="P56" i="18"/>
  <c r="P27" i="18"/>
  <c r="P42" i="18"/>
  <c r="P32" i="18"/>
  <c r="P23" i="18"/>
  <c r="P25" i="18"/>
  <c r="P45" i="18"/>
  <c r="P33" i="18"/>
  <c r="P50" i="18"/>
  <c r="P52" i="18"/>
  <c r="P36" i="18"/>
  <c r="P29" i="18"/>
  <c r="P37" i="18"/>
  <c r="P54" i="18"/>
  <c r="P20" i="18"/>
  <c r="P41" i="18"/>
  <c r="P19" i="18"/>
  <c r="O51" i="18"/>
  <c r="O12" i="18" s="1"/>
  <c r="O23" i="8"/>
  <c r="O22" i="18"/>
  <c r="O7" i="18" s="1"/>
  <c r="O18" i="8"/>
  <c r="O55" i="18"/>
  <c r="O13" i="18" s="1"/>
  <c r="O24" i="8"/>
  <c r="Q82" i="8"/>
  <c r="R89" i="8"/>
  <c r="R103" i="8"/>
  <c r="R84" i="8"/>
  <c r="R98" i="8"/>
  <c r="Q96" i="8"/>
  <c r="Q25" i="8" s="1"/>
  <c r="R108" i="8"/>
  <c r="R94" i="8"/>
  <c r="R91" i="8"/>
  <c r="R105" i="8"/>
  <c r="R93" i="8"/>
  <c r="R107" i="8"/>
  <c r="R106" i="8"/>
  <c r="R92" i="8"/>
  <c r="R83" i="8"/>
  <c r="R97" i="8"/>
  <c r="R86" i="8"/>
  <c r="R100" i="8"/>
  <c r="R90" i="8"/>
  <c r="R104" i="8"/>
  <c r="R88" i="8"/>
  <c r="R102" i="8"/>
  <c r="R99" i="8"/>
  <c r="R85" i="8"/>
  <c r="R101" i="8"/>
  <c r="R87" i="8"/>
  <c r="N62" i="7"/>
  <c r="N64" i="7" s="1"/>
  <c r="N14" i="7" s="1"/>
  <c r="O86" i="7"/>
  <c r="N83" i="7"/>
  <c r="O84" i="7"/>
  <c r="O85" i="7"/>
  <c r="S728" i="1"/>
  <c r="R54" i="7"/>
  <c r="R51" i="7"/>
  <c r="N5" i="29"/>
  <c r="Q78" i="29"/>
  <c r="Q354" i="29"/>
  <c r="Q234" i="29"/>
  <c r="Q135" i="29"/>
  <c r="Q227" i="29"/>
  <c r="Q277" i="29"/>
  <c r="Q199" i="29"/>
  <c r="Q312" i="29"/>
  <c r="R27" i="37"/>
  <c r="R352" i="29"/>
  <c r="R353" i="29"/>
  <c r="R348" i="29"/>
  <c r="R349" i="29"/>
  <c r="R268" i="29"/>
  <c r="R263" i="29"/>
  <c r="R265" i="29"/>
  <c r="R182" i="29"/>
  <c r="R350" i="29"/>
  <c r="R264" i="29"/>
  <c r="R178" i="29"/>
  <c r="R96" i="29"/>
  <c r="R180" i="29"/>
  <c r="R351" i="29"/>
  <c r="R266" i="29"/>
  <c r="R181" i="29"/>
  <c r="R267" i="29"/>
  <c r="R97" i="29"/>
  <c r="R179" i="29"/>
  <c r="R94" i="29"/>
  <c r="R183" i="29"/>
  <c r="R98" i="29"/>
  <c r="R95" i="29"/>
  <c r="R93" i="29"/>
  <c r="P21" i="29"/>
  <c r="P14" i="29" s="1"/>
  <c r="O6" i="29"/>
  <c r="O18" i="29"/>
  <c r="O14" i="2" s="1"/>
  <c r="P276" i="29"/>
  <c r="P17" i="29" s="1"/>
  <c r="P9" i="29" s="1"/>
  <c r="P68" i="8" s="1"/>
  <c r="Q29" i="29"/>
  <c r="Q163" i="29"/>
  <c r="R26" i="37"/>
  <c r="R342" i="29"/>
  <c r="R344" i="29"/>
  <c r="R345" i="29"/>
  <c r="R341" i="29"/>
  <c r="R261" i="29"/>
  <c r="R171" i="29"/>
  <c r="R256" i="29"/>
  <c r="R346" i="29"/>
  <c r="R89" i="29"/>
  <c r="R258" i="29"/>
  <c r="R88" i="29"/>
  <c r="R260" i="29"/>
  <c r="R257" i="29"/>
  <c r="R259" i="29"/>
  <c r="R343" i="29"/>
  <c r="R176" i="29"/>
  <c r="R173" i="29"/>
  <c r="R86" i="29"/>
  <c r="R175" i="29"/>
  <c r="R91" i="29"/>
  <c r="R172" i="29"/>
  <c r="R87" i="29"/>
  <c r="R174" i="29"/>
  <c r="R90" i="29"/>
  <c r="Q206" i="29"/>
  <c r="Q291" i="29"/>
  <c r="R24" i="37"/>
  <c r="R332" i="29"/>
  <c r="R327" i="29"/>
  <c r="R328" i="29"/>
  <c r="R331" i="29"/>
  <c r="R247" i="29"/>
  <c r="R245" i="29"/>
  <c r="R329" i="29"/>
  <c r="R242" i="29"/>
  <c r="R159" i="29"/>
  <c r="R330" i="29"/>
  <c r="R244" i="29"/>
  <c r="R161" i="29"/>
  <c r="R158" i="29"/>
  <c r="R162" i="29"/>
  <c r="R75" i="29"/>
  <c r="R72" i="29"/>
  <c r="R246" i="29"/>
  <c r="R243" i="29"/>
  <c r="R73" i="29"/>
  <c r="R157" i="29"/>
  <c r="R74" i="29"/>
  <c r="R76" i="29"/>
  <c r="R160" i="29"/>
  <c r="R77" i="29"/>
  <c r="Q43" i="29"/>
  <c r="Q298" i="29"/>
  <c r="R22" i="37"/>
  <c r="R314" i="29"/>
  <c r="R315" i="29"/>
  <c r="R231" i="29"/>
  <c r="R313" i="29"/>
  <c r="R233" i="29"/>
  <c r="R317" i="29"/>
  <c r="R144" i="29"/>
  <c r="R228" i="29"/>
  <c r="R61" i="29"/>
  <c r="R232" i="29"/>
  <c r="R318" i="29"/>
  <c r="R316" i="29"/>
  <c r="R148" i="29"/>
  <c r="R230" i="29"/>
  <c r="R229" i="29"/>
  <c r="R147" i="29"/>
  <c r="R145" i="29"/>
  <c r="R59" i="29"/>
  <c r="R146" i="29"/>
  <c r="R143" i="29"/>
  <c r="R60" i="29"/>
  <c r="R62" i="29"/>
  <c r="R58" i="29"/>
  <c r="R63" i="29"/>
  <c r="Q269" i="29"/>
  <c r="P106" i="29"/>
  <c r="P15" i="29" s="1"/>
  <c r="P7" i="29" s="1"/>
  <c r="Q99" i="29"/>
  <c r="Q177" i="29"/>
  <c r="Q121" i="29"/>
  <c r="R19" i="37"/>
  <c r="R296" i="29"/>
  <c r="R212" i="29"/>
  <c r="R294" i="29"/>
  <c r="R292" i="29"/>
  <c r="R126" i="29"/>
  <c r="R297" i="29"/>
  <c r="R123" i="29"/>
  <c r="R293" i="29"/>
  <c r="R210" i="29"/>
  <c r="R207" i="29"/>
  <c r="R209" i="29"/>
  <c r="R295" i="29"/>
  <c r="R211" i="29"/>
  <c r="R127" i="29"/>
  <c r="R122" i="29"/>
  <c r="R125" i="29"/>
  <c r="R124" i="29"/>
  <c r="R208" i="29"/>
  <c r="R38" i="29"/>
  <c r="R39" i="29"/>
  <c r="R41" i="29"/>
  <c r="R42" i="29"/>
  <c r="R37" i="29"/>
  <c r="R40" i="29"/>
  <c r="Q128" i="29"/>
  <c r="R21" i="37"/>
  <c r="R310" i="29"/>
  <c r="R224" i="29"/>
  <c r="R306" i="29"/>
  <c r="R225" i="29"/>
  <c r="R308" i="29"/>
  <c r="R226" i="29"/>
  <c r="R52" i="29"/>
  <c r="R222" i="29"/>
  <c r="R311" i="29"/>
  <c r="R309" i="29"/>
  <c r="R139" i="29"/>
  <c r="R141" i="29"/>
  <c r="R223" i="29"/>
  <c r="R138" i="29"/>
  <c r="R307" i="29"/>
  <c r="R136" i="29"/>
  <c r="R221" i="29"/>
  <c r="R55" i="29"/>
  <c r="R140" i="29"/>
  <c r="R53" i="29"/>
  <c r="R51" i="29"/>
  <c r="R54" i="29"/>
  <c r="R137" i="29"/>
  <c r="R56" i="29"/>
  <c r="R278" i="29"/>
  <c r="R194" i="29"/>
  <c r="R279" i="29"/>
  <c r="R108" i="29"/>
  <c r="R280" i="29"/>
  <c r="R282" i="29"/>
  <c r="R197" i="29"/>
  <c r="R283" i="29"/>
  <c r="R198" i="29"/>
  <c r="R113" i="29"/>
  <c r="R281" i="29"/>
  <c r="R193" i="29"/>
  <c r="R196" i="29"/>
  <c r="R111" i="29"/>
  <c r="R109" i="29"/>
  <c r="R110" i="29"/>
  <c r="R26" i="29"/>
  <c r="R195" i="29"/>
  <c r="R27" i="29"/>
  <c r="R28" i="29"/>
  <c r="R25" i="29"/>
  <c r="R24" i="29"/>
  <c r="R112" i="29"/>
  <c r="R23" i="29"/>
  <c r="Q262" i="29"/>
  <c r="R23" i="37"/>
  <c r="R320" i="29"/>
  <c r="R323" i="29"/>
  <c r="R322" i="29"/>
  <c r="R324" i="29"/>
  <c r="R240" i="29"/>
  <c r="R151" i="29"/>
  <c r="R239" i="29"/>
  <c r="R325" i="29"/>
  <c r="R237" i="29"/>
  <c r="R321" i="29"/>
  <c r="R70" i="29"/>
  <c r="R235" i="29"/>
  <c r="R238" i="29"/>
  <c r="R155" i="29"/>
  <c r="R67" i="29"/>
  <c r="R236" i="29"/>
  <c r="R154" i="29"/>
  <c r="R150" i="29"/>
  <c r="R66" i="29"/>
  <c r="R153" i="29"/>
  <c r="R68" i="29"/>
  <c r="R69" i="29"/>
  <c r="R65" i="29"/>
  <c r="R152" i="29"/>
  <c r="Q184" i="29"/>
  <c r="Q340" i="29"/>
  <c r="R290" i="29"/>
  <c r="R285" i="29"/>
  <c r="R204" i="29"/>
  <c r="R201" i="29"/>
  <c r="R117" i="29"/>
  <c r="R286" i="29"/>
  <c r="R200" i="29"/>
  <c r="R287" i="29"/>
  <c r="R202" i="29"/>
  <c r="R203" i="29"/>
  <c r="R119" i="29"/>
  <c r="R289" i="29"/>
  <c r="R118" i="29"/>
  <c r="R115" i="29"/>
  <c r="R116" i="29"/>
  <c r="R32" i="29"/>
  <c r="R120" i="29"/>
  <c r="R31" i="29"/>
  <c r="R35" i="29"/>
  <c r="R33" i="29"/>
  <c r="R288" i="29"/>
  <c r="R34" i="29"/>
  <c r="R30" i="29"/>
  <c r="R205" i="29"/>
  <c r="Q71" i="29"/>
  <c r="Q347" i="29"/>
  <c r="Q192" i="29"/>
  <c r="Q114" i="29"/>
  <c r="Q142" i="29"/>
  <c r="Q85" i="29"/>
  <c r="Q333" i="29"/>
  <c r="Q255" i="29"/>
  <c r="Q149" i="29"/>
  <c r="Q319" i="29"/>
  <c r="Q22" i="29"/>
  <c r="Q241" i="29"/>
  <c r="Q213" i="29"/>
  <c r="Q50" i="29"/>
  <c r="R20" i="37"/>
  <c r="R301" i="29"/>
  <c r="R303" i="29"/>
  <c r="R218" i="29"/>
  <c r="R304" i="29"/>
  <c r="R219" i="29"/>
  <c r="R133" i="29"/>
  <c r="R215" i="29"/>
  <c r="R299" i="29"/>
  <c r="R214" i="29"/>
  <c r="R217" i="29"/>
  <c r="R302" i="29"/>
  <c r="R216" i="29"/>
  <c r="R134" i="29"/>
  <c r="R130" i="29"/>
  <c r="R300" i="29"/>
  <c r="R45" i="29"/>
  <c r="R132" i="29"/>
  <c r="R131" i="29"/>
  <c r="R129" i="29"/>
  <c r="R48" i="29"/>
  <c r="R46" i="29"/>
  <c r="R44" i="29"/>
  <c r="R47" i="29"/>
  <c r="R49" i="29"/>
  <c r="Q156" i="29"/>
  <c r="R28" i="37"/>
  <c r="R359" i="29"/>
  <c r="R358" i="29"/>
  <c r="R357" i="29"/>
  <c r="R355" i="29"/>
  <c r="R270" i="29"/>
  <c r="R273" i="29"/>
  <c r="R187" i="29"/>
  <c r="R360" i="29"/>
  <c r="R188" i="29"/>
  <c r="R274" i="29"/>
  <c r="R356" i="29"/>
  <c r="R275" i="29"/>
  <c r="R272" i="29"/>
  <c r="R271" i="29"/>
  <c r="R186" i="29"/>
  <c r="R190" i="29"/>
  <c r="R185" i="29"/>
  <c r="R102" i="29"/>
  <c r="R105" i="29"/>
  <c r="R189" i="29"/>
  <c r="R100" i="29"/>
  <c r="R104" i="29"/>
  <c r="R101" i="29"/>
  <c r="R103" i="29"/>
  <c r="Q92" i="29"/>
  <c r="Q64" i="29"/>
  <c r="Q107" i="29"/>
  <c r="Q36" i="29"/>
  <c r="Q326" i="29"/>
  <c r="Q284" i="29"/>
  <c r="Q305" i="29"/>
  <c r="Q220" i="29"/>
  <c r="Q248" i="29"/>
  <c r="Q170" i="29"/>
  <c r="P191" i="29"/>
  <c r="P16" i="29" s="1"/>
  <c r="P8" i="29" s="1"/>
  <c r="Q57" i="29"/>
  <c r="R25" i="37"/>
  <c r="R334" i="29"/>
  <c r="R338" i="29"/>
  <c r="R337" i="29"/>
  <c r="R254" i="29"/>
  <c r="R251" i="29"/>
  <c r="R169" i="29"/>
  <c r="R339" i="29"/>
  <c r="R253" i="29"/>
  <c r="R249" i="29"/>
  <c r="R252" i="29"/>
  <c r="R165" i="29"/>
  <c r="R166" i="29"/>
  <c r="R335" i="29"/>
  <c r="R250" i="29"/>
  <c r="R168" i="29"/>
  <c r="R80" i="29"/>
  <c r="R336" i="29"/>
  <c r="R83" i="29"/>
  <c r="R81" i="29"/>
  <c r="R79" i="29"/>
  <c r="R82" i="29"/>
  <c r="R167" i="29"/>
  <c r="R84" i="29"/>
  <c r="R164" i="29"/>
  <c r="E64" i="8" l="1"/>
  <c r="F70" i="7"/>
  <c r="F71" i="7" s="1"/>
  <c r="F21" i="7" s="1"/>
  <c r="F20" i="7" s="1"/>
  <c r="F74" i="7"/>
  <c r="E39" i="7"/>
  <c r="E38" i="7" s="1"/>
  <c r="E34" i="7" s="1"/>
  <c r="E94" i="7"/>
  <c r="E28" i="7" s="1"/>
  <c r="E27" i="7" s="1"/>
  <c r="E99" i="7"/>
  <c r="N25" i="9"/>
  <c r="N22" i="10" s="1"/>
  <c r="N33" i="10" s="1"/>
  <c r="P17" i="8"/>
  <c r="P51" i="18"/>
  <c r="P12" i="18" s="1"/>
  <c r="P55" i="18"/>
  <c r="P13" i="18" s="1"/>
  <c r="P24" i="8"/>
  <c r="P19" i="8"/>
  <c r="P43" i="18"/>
  <c r="P10" i="18" s="1"/>
  <c r="P35" i="18"/>
  <c r="P23" i="8"/>
  <c r="O15" i="8"/>
  <c r="P22" i="8"/>
  <c r="P47" i="18"/>
  <c r="P11" i="18" s="1"/>
  <c r="N71" i="8"/>
  <c r="P18" i="8"/>
  <c r="P22" i="18"/>
  <c r="P7" i="18" s="1"/>
  <c r="Q53" i="18"/>
  <c r="Q44" i="18"/>
  <c r="Q34" i="18"/>
  <c r="Q21" i="18"/>
  <c r="Q56" i="18"/>
  <c r="Q48" i="18"/>
  <c r="Q40" i="18"/>
  <c r="Q27" i="18"/>
  <c r="Q57" i="18"/>
  <c r="Q41" i="18"/>
  <c r="Q25" i="18"/>
  <c r="Q52" i="18"/>
  <c r="Q36" i="18"/>
  <c r="Q20" i="18"/>
  <c r="Q37" i="18"/>
  <c r="Q46" i="18"/>
  <c r="Q24" i="18"/>
  <c r="Q49" i="18"/>
  <c r="Q33" i="18"/>
  <c r="Q50" i="18"/>
  <c r="Q32" i="18"/>
  <c r="Q23" i="18"/>
  <c r="Q29" i="18"/>
  <c r="Q54" i="18"/>
  <c r="Q28" i="18"/>
  <c r="Q38" i="18"/>
  <c r="Q58" i="18"/>
  <c r="Q42" i="18"/>
  <c r="Q19" i="18"/>
  <c r="Q45" i="18"/>
  <c r="P31" i="18"/>
  <c r="P20" i="8"/>
  <c r="O30" i="18"/>
  <c r="O9" i="18" s="1"/>
  <c r="O14" i="18" s="1"/>
  <c r="O25" i="9" s="1"/>
  <c r="O22" i="10" s="1"/>
  <c r="O33" i="10" s="1"/>
  <c r="P26" i="18"/>
  <c r="P8" i="18" s="1"/>
  <c r="P18" i="18"/>
  <c r="P6" i="18" s="1"/>
  <c r="P39" i="18"/>
  <c r="P21" i="8"/>
  <c r="S93" i="8"/>
  <c r="S107" i="8"/>
  <c r="R82" i="8"/>
  <c r="S105" i="8"/>
  <c r="S91" i="8"/>
  <c r="S83" i="8"/>
  <c r="S97" i="8"/>
  <c r="S89" i="8"/>
  <c r="S103" i="8"/>
  <c r="S84" i="8"/>
  <c r="S98" i="8"/>
  <c r="S86" i="8"/>
  <c r="S100" i="8"/>
  <c r="S99" i="8"/>
  <c r="S85" i="8"/>
  <c r="S106" i="8"/>
  <c r="S92" i="8"/>
  <c r="S108" i="8"/>
  <c r="S94" i="8"/>
  <c r="S104" i="8"/>
  <c r="S90" i="8"/>
  <c r="S101" i="8"/>
  <c r="S87" i="8"/>
  <c r="S102" i="8"/>
  <c r="S88" i="8"/>
  <c r="R96" i="8"/>
  <c r="R25" i="8" s="1"/>
  <c r="P86" i="7"/>
  <c r="P84" i="7"/>
  <c r="O62" i="7"/>
  <c r="O64" i="7" s="1"/>
  <c r="O14" i="7" s="1"/>
  <c r="O83" i="7"/>
  <c r="P85" i="7"/>
  <c r="N82" i="7"/>
  <c r="N88" i="7" s="1"/>
  <c r="N16" i="7" s="1"/>
  <c r="N13" i="7" s="1"/>
  <c r="T728" i="1"/>
  <c r="S51" i="7"/>
  <c r="S54" i="7"/>
  <c r="N67" i="7"/>
  <c r="N66" i="7"/>
  <c r="N68" i="7"/>
  <c r="N10" i="29"/>
  <c r="O5" i="29"/>
  <c r="Q276" i="29"/>
  <c r="Q17" i="29" s="1"/>
  <c r="Q9" i="29" s="1"/>
  <c r="Q68" i="8" s="1"/>
  <c r="R92" i="29"/>
  <c r="R284" i="29"/>
  <c r="R163" i="29"/>
  <c r="R269" i="29"/>
  <c r="R114" i="29"/>
  <c r="R227" i="29"/>
  <c r="R170" i="29"/>
  <c r="R128" i="29"/>
  <c r="R22" i="29"/>
  <c r="R156" i="29"/>
  <c r="R319" i="29"/>
  <c r="R340" i="29"/>
  <c r="S280" i="29"/>
  <c r="S282" i="29"/>
  <c r="S279" i="29"/>
  <c r="S198" i="29"/>
  <c r="S195" i="29"/>
  <c r="S113" i="29"/>
  <c r="S110" i="29"/>
  <c r="S193" i="29"/>
  <c r="S196" i="29"/>
  <c r="S283" i="29"/>
  <c r="S197" i="29"/>
  <c r="S278" i="29"/>
  <c r="S281" i="29"/>
  <c r="S111" i="29"/>
  <c r="S112" i="29"/>
  <c r="S25" i="29"/>
  <c r="S23" i="29"/>
  <c r="S27" i="29"/>
  <c r="S108" i="29"/>
  <c r="S26" i="29"/>
  <c r="S194" i="29"/>
  <c r="S109" i="29"/>
  <c r="S24" i="29"/>
  <c r="S28" i="29"/>
  <c r="R36" i="29"/>
  <c r="R291" i="29"/>
  <c r="P6" i="29"/>
  <c r="P18" i="29"/>
  <c r="P14" i="2" s="1"/>
  <c r="S23" i="37"/>
  <c r="S325" i="29"/>
  <c r="S320" i="29"/>
  <c r="S323" i="29"/>
  <c r="S237" i="29"/>
  <c r="S322" i="29"/>
  <c r="S236" i="29"/>
  <c r="S151" i="29"/>
  <c r="S239" i="29"/>
  <c r="S154" i="29"/>
  <c r="S324" i="29"/>
  <c r="S238" i="29"/>
  <c r="S321" i="29"/>
  <c r="S152" i="29"/>
  <c r="S240" i="29"/>
  <c r="S153" i="29"/>
  <c r="S155" i="29"/>
  <c r="S70" i="29"/>
  <c r="S67" i="29"/>
  <c r="S68" i="29"/>
  <c r="S235" i="29"/>
  <c r="S65" i="29"/>
  <c r="S66" i="29"/>
  <c r="S150" i="29"/>
  <c r="S69" i="29"/>
  <c r="R57" i="29"/>
  <c r="R241" i="29"/>
  <c r="R255" i="29"/>
  <c r="R177" i="29"/>
  <c r="R142" i="29"/>
  <c r="S20" i="37"/>
  <c r="S302" i="29"/>
  <c r="S218" i="29"/>
  <c r="S216" i="29"/>
  <c r="S303" i="29"/>
  <c r="S301" i="29"/>
  <c r="S304" i="29"/>
  <c r="S300" i="29"/>
  <c r="S130" i="29"/>
  <c r="S219" i="29"/>
  <c r="S214" i="29"/>
  <c r="S48" i="29"/>
  <c r="S215" i="29"/>
  <c r="S217" i="29"/>
  <c r="S299" i="29"/>
  <c r="S133" i="29"/>
  <c r="S49" i="29"/>
  <c r="S46" i="29"/>
  <c r="S132" i="29"/>
  <c r="S129" i="29"/>
  <c r="S44" i="29"/>
  <c r="S134" i="29"/>
  <c r="S131" i="29"/>
  <c r="S45" i="29"/>
  <c r="S47" i="29"/>
  <c r="Q191" i="29"/>
  <c r="Q16" i="29" s="1"/>
  <c r="Q8" i="29" s="1"/>
  <c r="R85" i="29"/>
  <c r="R262" i="29"/>
  <c r="R248" i="29"/>
  <c r="R298" i="29"/>
  <c r="R78" i="29"/>
  <c r="R220" i="29"/>
  <c r="R71" i="29"/>
  <c r="R326" i="29"/>
  <c r="R99" i="29"/>
  <c r="R64" i="29"/>
  <c r="R121" i="29"/>
  <c r="Q106" i="29"/>
  <c r="Q15" i="29" s="1"/>
  <c r="Q7" i="29" s="1"/>
  <c r="R135" i="29"/>
  <c r="S19" i="37"/>
  <c r="S295" i="29"/>
  <c r="S294" i="29"/>
  <c r="S293" i="29"/>
  <c r="S207" i="29"/>
  <c r="S296" i="29"/>
  <c r="S210" i="29"/>
  <c r="S292" i="29"/>
  <c r="S209" i="29"/>
  <c r="S127" i="29"/>
  <c r="S211" i="29"/>
  <c r="S208" i="29"/>
  <c r="S297" i="29"/>
  <c r="S122" i="29"/>
  <c r="S212" i="29"/>
  <c r="S124" i="29"/>
  <c r="S41" i="29"/>
  <c r="S126" i="29"/>
  <c r="S125" i="29"/>
  <c r="S123" i="29"/>
  <c r="S38" i="29"/>
  <c r="S42" i="29"/>
  <c r="S37" i="29"/>
  <c r="S40" i="29"/>
  <c r="S39" i="29"/>
  <c r="S26" i="37"/>
  <c r="S341" i="29"/>
  <c r="S342" i="29"/>
  <c r="S346" i="29"/>
  <c r="S343" i="29"/>
  <c r="S171" i="29"/>
  <c r="S345" i="29"/>
  <c r="S259" i="29"/>
  <c r="S344" i="29"/>
  <c r="S175" i="29"/>
  <c r="S257" i="29"/>
  <c r="S172" i="29"/>
  <c r="S256" i="29"/>
  <c r="S89" i="29"/>
  <c r="S86" i="29"/>
  <c r="S261" i="29"/>
  <c r="S173" i="29"/>
  <c r="S174" i="29"/>
  <c r="S176" i="29"/>
  <c r="S260" i="29"/>
  <c r="S91" i="29"/>
  <c r="S90" i="29"/>
  <c r="S88" i="29"/>
  <c r="S258" i="29"/>
  <c r="S87" i="29"/>
  <c r="R312" i="29"/>
  <c r="S24" i="37"/>
  <c r="S328" i="29"/>
  <c r="S327" i="29"/>
  <c r="S332" i="29"/>
  <c r="S331" i="29"/>
  <c r="S330" i="29"/>
  <c r="S160" i="29"/>
  <c r="S242" i="29"/>
  <c r="S243" i="29"/>
  <c r="S329" i="29"/>
  <c r="S162" i="29"/>
  <c r="S247" i="29"/>
  <c r="S245" i="29"/>
  <c r="S157" i="29"/>
  <c r="S158" i="29"/>
  <c r="S159" i="29"/>
  <c r="S72" i="29"/>
  <c r="S246" i="29"/>
  <c r="S75" i="29"/>
  <c r="S76" i="29"/>
  <c r="S73" i="29"/>
  <c r="S161" i="29"/>
  <c r="S244" i="29"/>
  <c r="S74" i="29"/>
  <c r="S77" i="29"/>
  <c r="S201" i="29"/>
  <c r="S288" i="29"/>
  <c r="S285" i="29"/>
  <c r="S290" i="29"/>
  <c r="S203" i="29"/>
  <c r="S289" i="29"/>
  <c r="S286" i="29"/>
  <c r="S115" i="29"/>
  <c r="S202" i="29"/>
  <c r="S287" i="29"/>
  <c r="S119" i="29"/>
  <c r="S204" i="29"/>
  <c r="S120" i="29"/>
  <c r="S200" i="29"/>
  <c r="S33" i="29"/>
  <c r="S32" i="29"/>
  <c r="S205" i="29"/>
  <c r="S30" i="29"/>
  <c r="S116" i="29"/>
  <c r="S34" i="29"/>
  <c r="S118" i="29"/>
  <c r="S117" i="29"/>
  <c r="S35" i="29"/>
  <c r="S31" i="29"/>
  <c r="R234" i="29"/>
  <c r="R29" i="29"/>
  <c r="Q21" i="29"/>
  <c r="Q14" i="29" s="1"/>
  <c r="S21" i="37"/>
  <c r="S306" i="29"/>
  <c r="S311" i="29"/>
  <c r="S310" i="29"/>
  <c r="S307" i="29"/>
  <c r="S224" i="29"/>
  <c r="S309" i="29"/>
  <c r="S222" i="29"/>
  <c r="S308" i="29"/>
  <c r="S136" i="29"/>
  <c r="S223" i="29"/>
  <c r="S221" i="29"/>
  <c r="S226" i="29"/>
  <c r="S225" i="29"/>
  <c r="S139" i="29"/>
  <c r="S137" i="29"/>
  <c r="S51" i="29"/>
  <c r="S141" i="29"/>
  <c r="S54" i="29"/>
  <c r="S138" i="29"/>
  <c r="S140" i="29"/>
  <c r="S55" i="29"/>
  <c r="S53" i="29"/>
  <c r="S52" i="29"/>
  <c r="S56" i="29"/>
  <c r="S22" i="37"/>
  <c r="S318" i="29"/>
  <c r="S314" i="29"/>
  <c r="S317" i="29"/>
  <c r="S315" i="29"/>
  <c r="S313" i="29"/>
  <c r="S144" i="29"/>
  <c r="S232" i="29"/>
  <c r="S316" i="29"/>
  <c r="S233" i="29"/>
  <c r="S231" i="29"/>
  <c r="S229" i="29"/>
  <c r="S147" i="29"/>
  <c r="S145" i="29"/>
  <c r="S63" i="29"/>
  <c r="S143" i="29"/>
  <c r="S62" i="29"/>
  <c r="S230" i="29"/>
  <c r="S228" i="29"/>
  <c r="S60" i="29"/>
  <c r="S61" i="29"/>
  <c r="S59" i="29"/>
  <c r="S148" i="29"/>
  <c r="S58" i="29"/>
  <c r="S146" i="29"/>
  <c r="R50" i="29"/>
  <c r="R43" i="29"/>
  <c r="R149" i="29"/>
  <c r="R192" i="29"/>
  <c r="R347" i="29"/>
  <c r="R354" i="29"/>
  <c r="R184" i="29"/>
  <c r="S28" i="37"/>
  <c r="S355" i="29"/>
  <c r="S359" i="29"/>
  <c r="S360" i="29"/>
  <c r="S356" i="29"/>
  <c r="S275" i="29"/>
  <c r="S274" i="29"/>
  <c r="S271" i="29"/>
  <c r="S186" i="29"/>
  <c r="S185" i="29"/>
  <c r="S273" i="29"/>
  <c r="S357" i="29"/>
  <c r="S187" i="29"/>
  <c r="S101" i="29"/>
  <c r="S358" i="29"/>
  <c r="S105" i="29"/>
  <c r="S270" i="29"/>
  <c r="S190" i="29"/>
  <c r="S102" i="29"/>
  <c r="S272" i="29"/>
  <c r="S189" i="29"/>
  <c r="S104" i="29"/>
  <c r="S103" i="29"/>
  <c r="S100" i="29"/>
  <c r="S188" i="29"/>
  <c r="R305" i="29"/>
  <c r="R199" i="29"/>
  <c r="R107" i="29"/>
  <c r="R213" i="29"/>
  <c r="R277" i="29"/>
  <c r="R333" i="29"/>
  <c r="S25" i="37"/>
  <c r="S339" i="29"/>
  <c r="S336" i="29"/>
  <c r="S338" i="29"/>
  <c r="S335" i="29"/>
  <c r="S334" i="29"/>
  <c r="S337" i="29"/>
  <c r="S253" i="29"/>
  <c r="S164" i="29"/>
  <c r="S167" i="29"/>
  <c r="S254" i="29"/>
  <c r="S79" i="29"/>
  <c r="S250" i="29"/>
  <c r="S249" i="29"/>
  <c r="S252" i="29"/>
  <c r="S251" i="29"/>
  <c r="S166" i="29"/>
  <c r="S168" i="29"/>
  <c r="S84" i="29"/>
  <c r="S165" i="29"/>
  <c r="S83" i="29"/>
  <c r="S80" i="29"/>
  <c r="S81" i="29"/>
  <c r="S82" i="29"/>
  <c r="S169" i="29"/>
  <c r="R206" i="29"/>
  <c r="S27" i="37"/>
  <c r="S348" i="29"/>
  <c r="S352" i="29"/>
  <c r="S353" i="29"/>
  <c r="S351" i="29"/>
  <c r="S267" i="29"/>
  <c r="S181" i="29"/>
  <c r="S180" i="29"/>
  <c r="S179" i="29"/>
  <c r="S98" i="29"/>
  <c r="S349" i="29"/>
  <c r="S178" i="29"/>
  <c r="S268" i="29"/>
  <c r="S266" i="29"/>
  <c r="S265" i="29"/>
  <c r="S263" i="29"/>
  <c r="S350" i="29"/>
  <c r="S264" i="29"/>
  <c r="S94" i="29"/>
  <c r="S97" i="29"/>
  <c r="S183" i="29"/>
  <c r="S96" i="29"/>
  <c r="S182" i="29"/>
  <c r="S95" i="29"/>
  <c r="S93" i="29"/>
  <c r="F72" i="7" l="1"/>
  <c r="E95" i="7"/>
  <c r="F93" i="7" s="1"/>
  <c r="F97" i="7"/>
  <c r="E46" i="7"/>
  <c r="E45" i="7" s="1"/>
  <c r="E41" i="7" s="1"/>
  <c r="E33" i="7" s="1"/>
  <c r="E7" i="7" s="1"/>
  <c r="E25" i="12" s="1"/>
  <c r="F75" i="7"/>
  <c r="F36" i="7" s="1"/>
  <c r="F35" i="7" s="1"/>
  <c r="N61" i="8"/>
  <c r="N59" i="8" s="1"/>
  <c r="N7" i="8" s="1"/>
  <c r="N31" i="12" s="1"/>
  <c r="N13" i="2"/>
  <c r="F78" i="7"/>
  <c r="O71" i="8"/>
  <c r="O38" i="9"/>
  <c r="Q17" i="8"/>
  <c r="Q23" i="8"/>
  <c r="Q35" i="18"/>
  <c r="Q26" i="18"/>
  <c r="Q8" i="18" s="1"/>
  <c r="Q47" i="18"/>
  <c r="Q11" i="18" s="1"/>
  <c r="Q22" i="8"/>
  <c r="Q20" i="8"/>
  <c r="Q31" i="18"/>
  <c r="Q24" i="8"/>
  <c r="Q55" i="18"/>
  <c r="Q13" i="18" s="1"/>
  <c r="P30" i="18"/>
  <c r="P9" i="18" s="1"/>
  <c r="P14" i="18" s="1"/>
  <c r="O78" i="8"/>
  <c r="Q43" i="18"/>
  <c r="Q10" i="18" s="1"/>
  <c r="Q21" i="8"/>
  <c r="Q18" i="18"/>
  <c r="Q6" i="18" s="1"/>
  <c r="Q51" i="18"/>
  <c r="Q12" i="18" s="1"/>
  <c r="O5" i="8"/>
  <c r="O29" i="12" s="1"/>
  <c r="O73" i="8"/>
  <c r="R50" i="18"/>
  <c r="R41" i="18"/>
  <c r="R32" i="18"/>
  <c r="R54" i="18"/>
  <c r="R45" i="18"/>
  <c r="R36" i="18"/>
  <c r="R56" i="18"/>
  <c r="R46" i="18"/>
  <c r="R37" i="18"/>
  <c r="R48" i="18"/>
  <c r="R40" i="18"/>
  <c r="R27" i="18"/>
  <c r="R57" i="18"/>
  <c r="R49" i="18"/>
  <c r="R33" i="18"/>
  <c r="R19" i="18"/>
  <c r="R52" i="18"/>
  <c r="R20" i="18"/>
  <c r="R44" i="18"/>
  <c r="R29" i="18"/>
  <c r="R28" i="18"/>
  <c r="R23" i="18"/>
  <c r="R34" i="18"/>
  <c r="R53" i="18"/>
  <c r="R38" i="18"/>
  <c r="R21" i="18"/>
  <c r="R25" i="18"/>
  <c r="R42" i="18"/>
  <c r="R58" i="18"/>
  <c r="R24" i="18"/>
  <c r="Q22" i="18"/>
  <c r="Q7" i="18" s="1"/>
  <c r="Q39" i="18"/>
  <c r="P15" i="8"/>
  <c r="Q18" i="8"/>
  <c r="Q19" i="8"/>
  <c r="T86" i="8"/>
  <c r="T100" i="8"/>
  <c r="T85" i="8"/>
  <c r="T99" i="8"/>
  <c r="T92" i="8"/>
  <c r="T106" i="8"/>
  <c r="S96" i="8"/>
  <c r="S25" i="8" s="1"/>
  <c r="S82" i="8"/>
  <c r="T89" i="8"/>
  <c r="T103" i="8"/>
  <c r="T91" i="8"/>
  <c r="T105" i="8"/>
  <c r="T90" i="8"/>
  <c r="T104" i="8"/>
  <c r="T88" i="8"/>
  <c r="T102" i="8"/>
  <c r="T83" i="8"/>
  <c r="T97" i="8"/>
  <c r="T84" i="8"/>
  <c r="T98" i="8"/>
  <c r="T93" i="8"/>
  <c r="T107" i="8"/>
  <c r="T94" i="8"/>
  <c r="T108" i="8"/>
  <c r="T87" i="8"/>
  <c r="T101" i="8"/>
  <c r="Q85" i="7"/>
  <c r="P62" i="7"/>
  <c r="P64" i="7" s="1"/>
  <c r="P14" i="7" s="1"/>
  <c r="P83" i="7"/>
  <c r="Q84" i="7"/>
  <c r="Q86" i="7"/>
  <c r="U728" i="1"/>
  <c r="T54" i="7"/>
  <c r="T51" i="7"/>
  <c r="N65" i="7"/>
  <c r="O66" i="7"/>
  <c r="O68" i="7"/>
  <c r="O67" i="7"/>
  <c r="N91" i="7"/>
  <c r="N90" i="7"/>
  <c r="N5" i="7"/>
  <c r="O10" i="29"/>
  <c r="O82" i="7"/>
  <c r="P5" i="29"/>
  <c r="S85" i="29"/>
  <c r="S78" i="29"/>
  <c r="S347" i="29"/>
  <c r="S57" i="29"/>
  <c r="S340" i="29"/>
  <c r="S71" i="29"/>
  <c r="S213" i="29"/>
  <c r="S354" i="29"/>
  <c r="S149" i="29"/>
  <c r="S177" i="29"/>
  <c r="R21" i="29"/>
  <c r="R14" i="29" s="1"/>
  <c r="R6" i="29" s="1"/>
  <c r="S326" i="29"/>
  <c r="T26" i="37"/>
  <c r="T346" i="29"/>
  <c r="T342" i="29"/>
  <c r="T344" i="29"/>
  <c r="T345" i="29"/>
  <c r="T258" i="29"/>
  <c r="T176" i="29"/>
  <c r="T256" i="29"/>
  <c r="T175" i="29"/>
  <c r="T341" i="29"/>
  <c r="T343" i="29"/>
  <c r="T260" i="29"/>
  <c r="T174" i="29"/>
  <c r="T261" i="29"/>
  <c r="T171" i="29"/>
  <c r="T172" i="29"/>
  <c r="T173" i="29"/>
  <c r="T259" i="29"/>
  <c r="T91" i="29"/>
  <c r="T89" i="29"/>
  <c r="T87" i="29"/>
  <c r="T257" i="29"/>
  <c r="T86" i="29"/>
  <c r="T90" i="29"/>
  <c r="T88" i="29"/>
  <c r="S277" i="29"/>
  <c r="T25" i="37"/>
  <c r="T336" i="29"/>
  <c r="T337" i="29"/>
  <c r="T334" i="29"/>
  <c r="T339" i="29"/>
  <c r="T338" i="29"/>
  <c r="T335" i="29"/>
  <c r="T165" i="29"/>
  <c r="T168" i="29"/>
  <c r="T249" i="29"/>
  <c r="T164" i="29"/>
  <c r="T251" i="29"/>
  <c r="T250" i="29"/>
  <c r="T254" i="29"/>
  <c r="T84" i="29"/>
  <c r="T169" i="29"/>
  <c r="T253" i="29"/>
  <c r="T252" i="29"/>
  <c r="T83" i="29"/>
  <c r="T80" i="29"/>
  <c r="T81" i="29"/>
  <c r="T79" i="29"/>
  <c r="T166" i="29"/>
  <c r="T82" i="29"/>
  <c r="T167" i="29"/>
  <c r="S29" i="29"/>
  <c r="S248" i="29"/>
  <c r="S284" i="29"/>
  <c r="T27" i="37"/>
  <c r="T353" i="29"/>
  <c r="T349" i="29"/>
  <c r="T348" i="29"/>
  <c r="T350" i="29"/>
  <c r="T264" i="29"/>
  <c r="T352" i="29"/>
  <c r="T351" i="29"/>
  <c r="T268" i="29"/>
  <c r="T265" i="29"/>
  <c r="T263" i="29"/>
  <c r="T266" i="29"/>
  <c r="T183" i="29"/>
  <c r="T93" i="29"/>
  <c r="T267" i="29"/>
  <c r="T97" i="29"/>
  <c r="T94" i="29"/>
  <c r="T182" i="29"/>
  <c r="T178" i="29"/>
  <c r="T180" i="29"/>
  <c r="T98" i="29"/>
  <c r="T179" i="29"/>
  <c r="T96" i="29"/>
  <c r="T181" i="29"/>
  <c r="T95" i="29"/>
  <c r="R276" i="29"/>
  <c r="R17" i="29" s="1"/>
  <c r="R9" i="29" s="1"/>
  <c r="R68" i="8" s="1"/>
  <c r="S312" i="29"/>
  <c r="S50" i="29"/>
  <c r="S156" i="29"/>
  <c r="S36" i="29"/>
  <c r="S43" i="29"/>
  <c r="T28" i="37"/>
  <c r="T355" i="29"/>
  <c r="T356" i="29"/>
  <c r="T359" i="29"/>
  <c r="T357" i="29"/>
  <c r="T360" i="29"/>
  <c r="T358" i="29"/>
  <c r="T190" i="29"/>
  <c r="T271" i="29"/>
  <c r="T103" i="29"/>
  <c r="T272" i="29"/>
  <c r="T187" i="29"/>
  <c r="T275" i="29"/>
  <c r="T105" i="29"/>
  <c r="T273" i="29"/>
  <c r="T270" i="29"/>
  <c r="T102" i="29"/>
  <c r="T185" i="29"/>
  <c r="T189" i="29"/>
  <c r="T186" i="29"/>
  <c r="T100" i="29"/>
  <c r="T274" i="29"/>
  <c r="T104" i="29"/>
  <c r="T101" i="29"/>
  <c r="T188" i="29"/>
  <c r="S227" i="29"/>
  <c r="S305" i="29"/>
  <c r="S291" i="29"/>
  <c r="S128" i="29"/>
  <c r="S64" i="29"/>
  <c r="S192" i="29"/>
  <c r="R106" i="29"/>
  <c r="R15" i="29" s="1"/>
  <c r="R7" i="29" s="1"/>
  <c r="T21" i="37"/>
  <c r="T310" i="29"/>
  <c r="T308" i="29"/>
  <c r="T309" i="29"/>
  <c r="T140" i="29"/>
  <c r="T306" i="29"/>
  <c r="T224" i="29"/>
  <c r="T307" i="29"/>
  <c r="T226" i="29"/>
  <c r="T225" i="29"/>
  <c r="T222" i="29"/>
  <c r="T311" i="29"/>
  <c r="T139" i="29"/>
  <c r="T137" i="29"/>
  <c r="T55" i="29"/>
  <c r="T138" i="29"/>
  <c r="T51" i="29"/>
  <c r="T223" i="29"/>
  <c r="T221" i="29"/>
  <c r="T136" i="29"/>
  <c r="T53" i="29"/>
  <c r="T141" i="29"/>
  <c r="T56" i="29"/>
  <c r="T54" i="29"/>
  <c r="T52" i="29"/>
  <c r="S199" i="29"/>
  <c r="T286" i="29"/>
  <c r="T285" i="29"/>
  <c r="T203" i="29"/>
  <c r="T290" i="29"/>
  <c r="T288" i="29"/>
  <c r="T201" i="29"/>
  <c r="T119" i="29"/>
  <c r="T289" i="29"/>
  <c r="T200" i="29"/>
  <c r="T116" i="29"/>
  <c r="T204" i="29"/>
  <c r="T117" i="29"/>
  <c r="T287" i="29"/>
  <c r="T205" i="29"/>
  <c r="T120" i="29"/>
  <c r="T32" i="29"/>
  <c r="T115" i="29"/>
  <c r="T31" i="29"/>
  <c r="T202" i="29"/>
  <c r="T34" i="29"/>
  <c r="T30" i="29"/>
  <c r="T118" i="29"/>
  <c r="T33" i="29"/>
  <c r="T35" i="29"/>
  <c r="S234" i="29"/>
  <c r="S269" i="29"/>
  <c r="T24" i="37"/>
  <c r="T330" i="29"/>
  <c r="T331" i="29"/>
  <c r="T327" i="29"/>
  <c r="T332" i="29"/>
  <c r="T328" i="29"/>
  <c r="T329" i="29"/>
  <c r="T243" i="29"/>
  <c r="T246" i="29"/>
  <c r="T242" i="29"/>
  <c r="T159" i="29"/>
  <c r="T245" i="29"/>
  <c r="T162" i="29"/>
  <c r="T75" i="29"/>
  <c r="T161" i="29"/>
  <c r="T157" i="29"/>
  <c r="T247" i="29"/>
  <c r="T158" i="29"/>
  <c r="T160" i="29"/>
  <c r="T76" i="29"/>
  <c r="T72" i="29"/>
  <c r="T73" i="29"/>
  <c r="T244" i="29"/>
  <c r="T77" i="29"/>
  <c r="T74" i="29"/>
  <c r="Q6" i="29"/>
  <c r="Q18" i="29"/>
  <c r="Q14" i="2" s="1"/>
  <c r="S262" i="29"/>
  <c r="S92" i="29"/>
  <c r="S163" i="29"/>
  <c r="S142" i="29"/>
  <c r="S206" i="29"/>
  <c r="S107" i="29"/>
  <c r="R191" i="29"/>
  <c r="R16" i="29" s="1"/>
  <c r="R8" i="29" s="1"/>
  <c r="T22" i="37"/>
  <c r="T315" i="29"/>
  <c r="T316" i="29"/>
  <c r="T313" i="29"/>
  <c r="T314" i="29"/>
  <c r="T318" i="29"/>
  <c r="T228" i="29"/>
  <c r="T148" i="29"/>
  <c r="T233" i="29"/>
  <c r="T231" i="29"/>
  <c r="T229" i="29"/>
  <c r="T317" i="29"/>
  <c r="T147" i="29"/>
  <c r="T145" i="29"/>
  <c r="T232" i="29"/>
  <c r="T59" i="29"/>
  <c r="T230" i="29"/>
  <c r="T144" i="29"/>
  <c r="T146" i="29"/>
  <c r="T143" i="29"/>
  <c r="T58" i="29"/>
  <c r="T61" i="29"/>
  <c r="T60" i="29"/>
  <c r="T63" i="29"/>
  <c r="T62" i="29"/>
  <c r="S220" i="29"/>
  <c r="S255" i="29"/>
  <c r="S99" i="29"/>
  <c r="S184" i="29"/>
  <c r="S241" i="29"/>
  <c r="S170" i="29"/>
  <c r="S298" i="29"/>
  <c r="T20" i="37"/>
  <c r="T302" i="29"/>
  <c r="T299" i="29"/>
  <c r="T129" i="29"/>
  <c r="T214" i="29"/>
  <c r="T134" i="29"/>
  <c r="T301" i="29"/>
  <c r="T215" i="29"/>
  <c r="T304" i="29"/>
  <c r="T216" i="29"/>
  <c r="T219" i="29"/>
  <c r="T303" i="29"/>
  <c r="T130" i="29"/>
  <c r="T131" i="29"/>
  <c r="T217" i="29"/>
  <c r="T300" i="29"/>
  <c r="T46" i="29"/>
  <c r="T132" i="29"/>
  <c r="T218" i="29"/>
  <c r="T133" i="29"/>
  <c r="T44" i="29"/>
  <c r="T49" i="29"/>
  <c r="T47" i="29"/>
  <c r="T48" i="29"/>
  <c r="T45" i="29"/>
  <c r="S319" i="29"/>
  <c r="S22" i="29"/>
  <c r="S333" i="29"/>
  <c r="S135" i="29"/>
  <c r="S114" i="29"/>
  <c r="T19" i="37"/>
  <c r="T295" i="29"/>
  <c r="T296" i="29"/>
  <c r="T212" i="29"/>
  <c r="T294" i="29"/>
  <c r="T207" i="29"/>
  <c r="T122" i="29"/>
  <c r="T297" i="29"/>
  <c r="T127" i="29"/>
  <c r="T124" i="29"/>
  <c r="T210" i="29"/>
  <c r="T292" i="29"/>
  <c r="T211" i="29"/>
  <c r="T125" i="29"/>
  <c r="T293" i="29"/>
  <c r="T209" i="29"/>
  <c r="T126" i="29"/>
  <c r="T208" i="29"/>
  <c r="T123" i="29"/>
  <c r="T38" i="29"/>
  <c r="T42" i="29"/>
  <c r="T37" i="29"/>
  <c r="T41" i="29"/>
  <c r="T40" i="29"/>
  <c r="T39" i="29"/>
  <c r="T23" i="37"/>
  <c r="T324" i="29"/>
  <c r="T321" i="29"/>
  <c r="T325" i="29"/>
  <c r="T320" i="29"/>
  <c r="T323" i="29"/>
  <c r="T240" i="29"/>
  <c r="T155" i="29"/>
  <c r="T237" i="29"/>
  <c r="T151" i="29"/>
  <c r="T235" i="29"/>
  <c r="T154" i="29"/>
  <c r="T66" i="29"/>
  <c r="T322" i="29"/>
  <c r="T152" i="29"/>
  <c r="T238" i="29"/>
  <c r="T239" i="29"/>
  <c r="T70" i="29"/>
  <c r="T67" i="29"/>
  <c r="T65" i="29"/>
  <c r="T153" i="29"/>
  <c r="T68" i="29"/>
  <c r="T150" i="29"/>
  <c r="T236" i="29"/>
  <c r="T69" i="29"/>
  <c r="S121" i="29"/>
  <c r="T193" i="29"/>
  <c r="T283" i="29"/>
  <c r="T112" i="29"/>
  <c r="T279" i="29"/>
  <c r="T194" i="29"/>
  <c r="T281" i="29"/>
  <c r="T197" i="29"/>
  <c r="T280" i="29"/>
  <c r="T108" i="29"/>
  <c r="T198" i="29"/>
  <c r="T282" i="29"/>
  <c r="T278" i="29"/>
  <c r="T196" i="29"/>
  <c r="T195" i="29"/>
  <c r="T113" i="29"/>
  <c r="T111" i="29"/>
  <c r="T109" i="29"/>
  <c r="T110" i="29"/>
  <c r="T23" i="29"/>
  <c r="T26" i="29"/>
  <c r="T25" i="29"/>
  <c r="T24" i="29"/>
  <c r="T28" i="29"/>
  <c r="T27" i="29"/>
  <c r="F24" i="7" l="1"/>
  <c r="F23" i="7" s="1"/>
  <c r="F19" i="7" s="1"/>
  <c r="E31" i="7"/>
  <c r="E30" i="7" s="1"/>
  <c r="E26" i="7" s="1"/>
  <c r="E6" i="7" s="1"/>
  <c r="F79" i="7"/>
  <c r="F50" i="7" s="1"/>
  <c r="F49" i="7" s="1"/>
  <c r="F48" i="7" s="1"/>
  <c r="F8" i="7" s="1"/>
  <c r="F26" i="12" s="1"/>
  <c r="K80" i="7"/>
  <c r="K53" i="7" s="1"/>
  <c r="K52" i="7" s="1"/>
  <c r="F76" i="7"/>
  <c r="F94" i="7"/>
  <c r="F28" i="7" s="1"/>
  <c r="F27" i="7" s="1"/>
  <c r="O61" i="8"/>
  <c r="O59" i="8" s="1"/>
  <c r="O7" i="8" s="1"/>
  <c r="O31" i="12" s="1"/>
  <c r="O13" i="2"/>
  <c r="F98" i="7"/>
  <c r="F43" i="7" s="1"/>
  <c r="F42" i="7" s="1"/>
  <c r="P38" i="9"/>
  <c r="P25" i="9"/>
  <c r="P22" i="10" s="1"/>
  <c r="P33" i="10" s="1"/>
  <c r="Q15" i="8"/>
  <c r="Q5" i="8" s="1"/>
  <c r="Q29" i="12" s="1"/>
  <c r="R39" i="18"/>
  <c r="P73" i="8"/>
  <c r="P5" i="8"/>
  <c r="P29" i="12" s="1"/>
  <c r="P26" i="13" s="1"/>
  <c r="R55" i="18"/>
  <c r="R13" i="18" s="1"/>
  <c r="R24" i="8"/>
  <c r="AM79" i="8"/>
  <c r="O80" i="8"/>
  <c r="O75" i="8" s="1"/>
  <c r="O69" i="8" s="1"/>
  <c r="O10" i="8" s="1"/>
  <c r="O34" i="12" s="1"/>
  <c r="R35" i="18"/>
  <c r="R43" i="18"/>
  <c r="R10" i="18" s="1"/>
  <c r="R21" i="8"/>
  <c r="S50" i="18"/>
  <c r="S41" i="18"/>
  <c r="S56" i="18"/>
  <c r="S40" i="18"/>
  <c r="S27" i="18"/>
  <c r="S57" i="18"/>
  <c r="S49" i="18"/>
  <c r="S33" i="18"/>
  <c r="S19" i="18"/>
  <c r="S44" i="18"/>
  <c r="S36" i="18"/>
  <c r="S29" i="18"/>
  <c r="S54" i="18"/>
  <c r="S38" i="18"/>
  <c r="S24" i="18"/>
  <c r="S48" i="18"/>
  <c r="S32" i="18"/>
  <c r="S23" i="18"/>
  <c r="S34" i="18"/>
  <c r="S52" i="18"/>
  <c r="S53" i="18"/>
  <c r="S37" i="18"/>
  <c r="S28" i="18"/>
  <c r="S21" i="18"/>
  <c r="S58" i="18"/>
  <c r="S20" i="18"/>
  <c r="S45" i="18"/>
  <c r="S46" i="18"/>
  <c r="S25" i="18"/>
  <c r="S42" i="18"/>
  <c r="R17" i="8"/>
  <c r="R51" i="18"/>
  <c r="R12" i="18" s="1"/>
  <c r="R23" i="8"/>
  <c r="R18" i="18"/>
  <c r="R6" i="18" s="1"/>
  <c r="Q30" i="18"/>
  <c r="Q9" i="18" s="1"/>
  <c r="Q14" i="18" s="1"/>
  <c r="P78" i="8"/>
  <c r="P71" i="8"/>
  <c r="R20" i="8"/>
  <c r="R31" i="18"/>
  <c r="R22" i="18"/>
  <c r="R7" i="18" s="1"/>
  <c r="R18" i="8"/>
  <c r="R26" i="18"/>
  <c r="R8" i="18" s="1"/>
  <c r="R19" i="8"/>
  <c r="R47" i="18"/>
  <c r="R11" i="18" s="1"/>
  <c r="R22" i="8"/>
  <c r="U106" i="8"/>
  <c r="U92" i="8"/>
  <c r="U86" i="8"/>
  <c r="U100" i="8"/>
  <c r="U93" i="8"/>
  <c r="U107" i="8"/>
  <c r="U91" i="8"/>
  <c r="U105" i="8"/>
  <c r="U83" i="8"/>
  <c r="U97" i="8"/>
  <c r="U89" i="8"/>
  <c r="U103" i="8"/>
  <c r="U87" i="8"/>
  <c r="U101" i="8"/>
  <c r="T96" i="8"/>
  <c r="T25" i="8" s="1"/>
  <c r="U84" i="8"/>
  <c r="U98" i="8"/>
  <c r="T82" i="8"/>
  <c r="U90" i="8"/>
  <c r="U104" i="8"/>
  <c r="U99" i="8"/>
  <c r="U85" i="8"/>
  <c r="U88" i="8"/>
  <c r="U102" i="8"/>
  <c r="U94" i="8"/>
  <c r="U108" i="8"/>
  <c r="R86" i="7"/>
  <c r="R85" i="7"/>
  <c r="R84" i="7"/>
  <c r="R83" i="7"/>
  <c r="Q62" i="7"/>
  <c r="Q64" i="7" s="1"/>
  <c r="Q14" i="7" s="1"/>
  <c r="Q83" i="7"/>
  <c r="N23" i="12"/>
  <c r="P66" i="7"/>
  <c r="V728" i="1"/>
  <c r="U54" i="7"/>
  <c r="U51" i="7"/>
  <c r="P67" i="7"/>
  <c r="P68" i="7"/>
  <c r="O65" i="7"/>
  <c r="N89" i="7"/>
  <c r="P10" i="29"/>
  <c r="P82" i="7"/>
  <c r="O88" i="7"/>
  <c r="O16" i="7" s="1"/>
  <c r="O13" i="7" s="1"/>
  <c r="Q5" i="29"/>
  <c r="T206" i="29"/>
  <c r="T78" i="29"/>
  <c r="T107" i="29"/>
  <c r="T347" i="29"/>
  <c r="T312" i="29"/>
  <c r="T36" i="29"/>
  <c r="T50" i="29"/>
  <c r="T262" i="29"/>
  <c r="T163" i="29"/>
  <c r="T85" i="29"/>
  <c r="T121" i="29"/>
  <c r="S106" i="29"/>
  <c r="S15" i="29" s="1"/>
  <c r="S7" i="29" s="1"/>
  <c r="T114" i="29"/>
  <c r="T99" i="29"/>
  <c r="T248" i="29"/>
  <c r="T255" i="29"/>
  <c r="T340" i="29"/>
  <c r="T149" i="29"/>
  <c r="T234" i="29"/>
  <c r="T213" i="29"/>
  <c r="T326" i="29"/>
  <c r="T284" i="29"/>
  <c r="U21" i="37"/>
  <c r="U311" i="29"/>
  <c r="U308" i="29"/>
  <c r="U306" i="29"/>
  <c r="U225" i="29"/>
  <c r="U221" i="29"/>
  <c r="U309" i="29"/>
  <c r="U223" i="29"/>
  <c r="U140" i="29"/>
  <c r="U310" i="29"/>
  <c r="U307" i="29"/>
  <c r="U222" i="29"/>
  <c r="U137" i="29"/>
  <c r="U53" i="29"/>
  <c r="U139" i="29"/>
  <c r="U224" i="29"/>
  <c r="U55" i="29"/>
  <c r="U52" i="29"/>
  <c r="U136" i="29"/>
  <c r="U226" i="29"/>
  <c r="U141" i="29"/>
  <c r="U51" i="29"/>
  <c r="U54" i="29"/>
  <c r="U56" i="29"/>
  <c r="U138" i="29"/>
  <c r="T43" i="29"/>
  <c r="T298" i="29"/>
  <c r="T227" i="29"/>
  <c r="U195" i="29"/>
  <c r="U197" i="29"/>
  <c r="U280" i="29"/>
  <c r="U283" i="29"/>
  <c r="U279" i="29"/>
  <c r="U198" i="29"/>
  <c r="U196" i="29"/>
  <c r="U281" i="29"/>
  <c r="U193" i="29"/>
  <c r="U282" i="29"/>
  <c r="U111" i="29"/>
  <c r="U109" i="29"/>
  <c r="U278" i="29"/>
  <c r="U112" i="29"/>
  <c r="U28" i="29"/>
  <c r="U113" i="29"/>
  <c r="U108" i="29"/>
  <c r="U26" i="29"/>
  <c r="U194" i="29"/>
  <c r="U25" i="29"/>
  <c r="U110" i="29"/>
  <c r="U27" i="29"/>
  <c r="U23" i="29"/>
  <c r="U24" i="29"/>
  <c r="T277" i="29"/>
  <c r="T156" i="29"/>
  <c r="U288" i="29"/>
  <c r="U118" i="29"/>
  <c r="U290" i="29"/>
  <c r="U204" i="29"/>
  <c r="U205" i="29"/>
  <c r="U287" i="29"/>
  <c r="U289" i="29"/>
  <c r="U286" i="29"/>
  <c r="U201" i="29"/>
  <c r="U285" i="29"/>
  <c r="U200" i="29"/>
  <c r="U203" i="29"/>
  <c r="U117" i="29"/>
  <c r="U120" i="29"/>
  <c r="U202" i="29"/>
  <c r="U119" i="29"/>
  <c r="U31" i="29"/>
  <c r="U116" i="29"/>
  <c r="U32" i="29"/>
  <c r="U115" i="29"/>
  <c r="U35" i="29"/>
  <c r="U30" i="29"/>
  <c r="U33" i="29"/>
  <c r="U34" i="29"/>
  <c r="T64" i="29"/>
  <c r="U24" i="37"/>
  <c r="U330" i="29"/>
  <c r="U329" i="29"/>
  <c r="U327" i="29"/>
  <c r="U332" i="29"/>
  <c r="U242" i="29"/>
  <c r="U245" i="29"/>
  <c r="U328" i="29"/>
  <c r="U247" i="29"/>
  <c r="U246" i="29"/>
  <c r="U244" i="29"/>
  <c r="U331" i="29"/>
  <c r="U157" i="29"/>
  <c r="U160" i="29"/>
  <c r="U243" i="29"/>
  <c r="U161" i="29"/>
  <c r="U158" i="29"/>
  <c r="U162" i="29"/>
  <c r="U75" i="29"/>
  <c r="U72" i="29"/>
  <c r="U76" i="29"/>
  <c r="U73" i="29"/>
  <c r="U159" i="29"/>
  <c r="U77" i="29"/>
  <c r="U74" i="29"/>
  <c r="S191" i="29"/>
  <c r="S16" i="29" s="1"/>
  <c r="S8" i="29" s="1"/>
  <c r="T128" i="29"/>
  <c r="T220" i="29"/>
  <c r="T269" i="29"/>
  <c r="T354" i="29"/>
  <c r="T177" i="29"/>
  <c r="U22" i="37"/>
  <c r="U315" i="29"/>
  <c r="U313" i="29"/>
  <c r="U314" i="29"/>
  <c r="U317" i="29"/>
  <c r="U232" i="29"/>
  <c r="U316" i="29"/>
  <c r="U231" i="29"/>
  <c r="U318" i="29"/>
  <c r="U230" i="29"/>
  <c r="U228" i="29"/>
  <c r="U145" i="29"/>
  <c r="U62" i="29"/>
  <c r="U143" i="29"/>
  <c r="U148" i="29"/>
  <c r="U147" i="29"/>
  <c r="U144" i="29"/>
  <c r="U146" i="29"/>
  <c r="U229" i="29"/>
  <c r="U63" i="29"/>
  <c r="U60" i="29"/>
  <c r="U233" i="29"/>
  <c r="U61" i="29"/>
  <c r="U58" i="29"/>
  <c r="U59" i="29"/>
  <c r="T22" i="29"/>
  <c r="U19" i="37"/>
  <c r="U209" i="29"/>
  <c r="U292" i="29"/>
  <c r="U127" i="29"/>
  <c r="U297" i="29"/>
  <c r="U296" i="29"/>
  <c r="U294" i="29"/>
  <c r="U293" i="29"/>
  <c r="U210" i="29"/>
  <c r="U208" i="29"/>
  <c r="U295" i="29"/>
  <c r="U211" i="29"/>
  <c r="U207" i="29"/>
  <c r="U122" i="29"/>
  <c r="U125" i="29"/>
  <c r="U212" i="29"/>
  <c r="U124" i="29"/>
  <c r="U126" i="29"/>
  <c r="U39" i="29"/>
  <c r="U42" i="29"/>
  <c r="U37" i="29"/>
  <c r="U123" i="29"/>
  <c r="U40" i="29"/>
  <c r="U38" i="29"/>
  <c r="U41" i="29"/>
  <c r="T57" i="29"/>
  <c r="U28" i="37"/>
  <c r="U360" i="29"/>
  <c r="U355" i="29"/>
  <c r="U359" i="29"/>
  <c r="U357" i="29"/>
  <c r="U358" i="29"/>
  <c r="U271" i="29"/>
  <c r="U270" i="29"/>
  <c r="U188" i="29"/>
  <c r="U274" i="29"/>
  <c r="U272" i="29"/>
  <c r="U273" i="29"/>
  <c r="U185" i="29"/>
  <c r="U189" i="29"/>
  <c r="U186" i="29"/>
  <c r="U105" i="29"/>
  <c r="U100" i="29"/>
  <c r="U104" i="29"/>
  <c r="U102" i="29"/>
  <c r="U356" i="29"/>
  <c r="U190" i="29"/>
  <c r="U275" i="29"/>
  <c r="U103" i="29"/>
  <c r="U187" i="29"/>
  <c r="U101" i="29"/>
  <c r="T142" i="29"/>
  <c r="T170" i="29"/>
  <c r="U26" i="37"/>
  <c r="U346" i="29"/>
  <c r="U342" i="29"/>
  <c r="U343" i="29"/>
  <c r="U344" i="29"/>
  <c r="U341" i="29"/>
  <c r="U258" i="29"/>
  <c r="U256" i="29"/>
  <c r="U174" i="29"/>
  <c r="U90" i="29"/>
  <c r="U260" i="29"/>
  <c r="U259" i="29"/>
  <c r="U261" i="29"/>
  <c r="U175" i="29"/>
  <c r="U173" i="29"/>
  <c r="U257" i="29"/>
  <c r="U171" i="29"/>
  <c r="U345" i="29"/>
  <c r="U172" i="29"/>
  <c r="U176" i="29"/>
  <c r="U89" i="29"/>
  <c r="U87" i="29"/>
  <c r="U88" i="29"/>
  <c r="U86" i="29"/>
  <c r="U91" i="29"/>
  <c r="U20" i="37"/>
  <c r="U302" i="29"/>
  <c r="U303" i="29"/>
  <c r="U214" i="29"/>
  <c r="U215" i="29"/>
  <c r="U304" i="29"/>
  <c r="U134" i="29"/>
  <c r="U299" i="29"/>
  <c r="U300" i="29"/>
  <c r="U218" i="29"/>
  <c r="U219" i="29"/>
  <c r="U131" i="29"/>
  <c r="U44" i="29"/>
  <c r="U301" i="29"/>
  <c r="U216" i="29"/>
  <c r="U133" i="29"/>
  <c r="U217" i="29"/>
  <c r="U130" i="29"/>
  <c r="U132" i="29"/>
  <c r="U49" i="29"/>
  <c r="U48" i="29"/>
  <c r="U47" i="29"/>
  <c r="U129" i="29"/>
  <c r="U45" i="29"/>
  <c r="U46" i="29"/>
  <c r="T199" i="29"/>
  <c r="T333" i="29"/>
  <c r="U23" i="37"/>
  <c r="U321" i="29"/>
  <c r="U324" i="29"/>
  <c r="U322" i="29"/>
  <c r="U320" i="29"/>
  <c r="U237" i="29"/>
  <c r="U325" i="29"/>
  <c r="U236" i="29"/>
  <c r="U239" i="29"/>
  <c r="U238" i="29"/>
  <c r="U323" i="29"/>
  <c r="U235" i="29"/>
  <c r="U152" i="29"/>
  <c r="U154" i="29"/>
  <c r="U240" i="29"/>
  <c r="U153" i="29"/>
  <c r="U151" i="29"/>
  <c r="U68" i="29"/>
  <c r="U155" i="29"/>
  <c r="U150" i="29"/>
  <c r="U65" i="29"/>
  <c r="U66" i="29"/>
  <c r="U70" i="29"/>
  <c r="U69" i="29"/>
  <c r="U67" i="29"/>
  <c r="T291" i="29"/>
  <c r="T241" i="29"/>
  <c r="T184" i="29"/>
  <c r="U27" i="37"/>
  <c r="U349" i="29"/>
  <c r="U350" i="29"/>
  <c r="U353" i="29"/>
  <c r="U352" i="29"/>
  <c r="U348" i="29"/>
  <c r="U267" i="29"/>
  <c r="U94" i="29"/>
  <c r="U351" i="29"/>
  <c r="U181" i="29"/>
  <c r="U268" i="29"/>
  <c r="U264" i="29"/>
  <c r="U266" i="29"/>
  <c r="U182" i="29"/>
  <c r="U265" i="29"/>
  <c r="U178" i="29"/>
  <c r="U180" i="29"/>
  <c r="U98" i="29"/>
  <c r="U179" i="29"/>
  <c r="U96" i="29"/>
  <c r="U183" i="29"/>
  <c r="U97" i="29"/>
  <c r="U93" i="29"/>
  <c r="U95" i="29"/>
  <c r="U263" i="29"/>
  <c r="U25" i="37"/>
  <c r="U335" i="29"/>
  <c r="U336" i="29"/>
  <c r="U337" i="29"/>
  <c r="U250" i="29"/>
  <c r="U338" i="29"/>
  <c r="U252" i="29"/>
  <c r="U249" i="29"/>
  <c r="U251" i="29"/>
  <c r="U339" i="29"/>
  <c r="U334" i="29"/>
  <c r="U253" i="29"/>
  <c r="U165" i="29"/>
  <c r="U168" i="29"/>
  <c r="U254" i="29"/>
  <c r="U166" i="29"/>
  <c r="U84" i="29"/>
  <c r="U83" i="29"/>
  <c r="U80" i="29"/>
  <c r="U169" i="29"/>
  <c r="U164" i="29"/>
  <c r="U167" i="29"/>
  <c r="U82" i="29"/>
  <c r="U79" i="29"/>
  <c r="U81" i="29"/>
  <c r="R5" i="29"/>
  <c r="T71" i="29"/>
  <c r="T192" i="29"/>
  <c r="T319" i="29"/>
  <c r="S21" i="29"/>
  <c r="S14" i="29" s="1"/>
  <c r="T29" i="29"/>
  <c r="T135" i="29"/>
  <c r="T305" i="29"/>
  <c r="T92" i="29"/>
  <c r="S276" i="29"/>
  <c r="S17" i="29" s="1"/>
  <c r="S9" i="29" s="1"/>
  <c r="S68" i="8" s="1"/>
  <c r="R18" i="29"/>
  <c r="R14" i="2" s="1"/>
  <c r="E18" i="7" l="1"/>
  <c r="E56" i="7" s="1"/>
  <c r="Y26" i="13"/>
  <c r="Z26" i="13"/>
  <c r="AA26" i="13"/>
  <c r="R26" i="13"/>
  <c r="S26" i="13"/>
  <c r="T26" i="13"/>
  <c r="U26" i="13"/>
  <c r="V26" i="13"/>
  <c r="W26" i="13"/>
  <c r="X26" i="13"/>
  <c r="Q26" i="13"/>
  <c r="F95" i="7"/>
  <c r="F99" i="7"/>
  <c r="F46" i="7" s="1"/>
  <c r="F45" i="7" s="1"/>
  <c r="F41" i="7" s="1"/>
  <c r="E24" i="12"/>
  <c r="F39" i="7"/>
  <c r="F38" i="7" s="1"/>
  <c r="F34" i="7" s="1"/>
  <c r="P61" i="8"/>
  <c r="P59" i="8" s="1"/>
  <c r="P7" i="8" s="1"/>
  <c r="P31" i="12" s="1"/>
  <c r="P13" i="2"/>
  <c r="Q73" i="8"/>
  <c r="Q38" i="9"/>
  <c r="Q25" i="9"/>
  <c r="Q22" i="10" s="1"/>
  <c r="Q33" i="10" s="1"/>
  <c r="S39" i="18"/>
  <c r="S17" i="8"/>
  <c r="R30" i="18"/>
  <c r="R9" i="18" s="1"/>
  <c r="R14" i="18" s="1"/>
  <c r="Q71" i="8"/>
  <c r="Q78" i="8"/>
  <c r="Q80" i="8" s="1"/>
  <c r="Q75" i="8" s="1"/>
  <c r="T57" i="18"/>
  <c r="T48" i="18"/>
  <c r="T38" i="18"/>
  <c r="T28" i="18"/>
  <c r="T52" i="18"/>
  <c r="T42" i="18"/>
  <c r="T33" i="18"/>
  <c r="T53" i="18"/>
  <c r="T44" i="18"/>
  <c r="T34" i="18"/>
  <c r="T49" i="18"/>
  <c r="T19" i="18"/>
  <c r="T41" i="18"/>
  <c r="T58" i="18"/>
  <c r="T23" i="18"/>
  <c r="T45" i="18"/>
  <c r="T46" i="18"/>
  <c r="T21" i="18"/>
  <c r="T50" i="18"/>
  <c r="T32" i="18"/>
  <c r="T36" i="18"/>
  <c r="T29" i="18"/>
  <c r="T37" i="18"/>
  <c r="T54" i="18"/>
  <c r="T56" i="18"/>
  <c r="T40" i="18"/>
  <c r="T27" i="18"/>
  <c r="T25" i="18"/>
  <c r="T24" i="18"/>
  <c r="T20" i="18"/>
  <c r="S35" i="18"/>
  <c r="AN79" i="8"/>
  <c r="P80" i="8"/>
  <c r="P75" i="8" s="1"/>
  <c r="P69" i="8" s="1"/>
  <c r="P10" i="8" s="1"/>
  <c r="P34" i="12" s="1"/>
  <c r="S43" i="18"/>
  <c r="S10" i="18" s="1"/>
  <c r="S21" i="8"/>
  <c r="S18" i="18"/>
  <c r="S6" i="18" s="1"/>
  <c r="S51" i="18"/>
  <c r="S12" i="18" s="1"/>
  <c r="S23" i="8"/>
  <c r="S26" i="18"/>
  <c r="S8" i="18" s="1"/>
  <c r="S19" i="8"/>
  <c r="S22" i="18"/>
  <c r="S7" i="18" s="1"/>
  <c r="S18" i="8"/>
  <c r="R15" i="8"/>
  <c r="S20" i="8"/>
  <c r="S31" i="18"/>
  <c r="S55" i="18"/>
  <c r="S13" i="18" s="1"/>
  <c r="S24" i="8"/>
  <c r="S47" i="18"/>
  <c r="S11" i="18" s="1"/>
  <c r="S22" i="8"/>
  <c r="V97" i="8"/>
  <c r="V83" i="8"/>
  <c r="V87" i="8"/>
  <c r="V101" i="8"/>
  <c r="V84" i="8"/>
  <c r="V98" i="8"/>
  <c r="U82" i="8"/>
  <c r="V104" i="8"/>
  <c r="V90" i="8"/>
  <c r="V92" i="8"/>
  <c r="V106" i="8"/>
  <c r="V94" i="8"/>
  <c r="V108" i="8"/>
  <c r="U96" i="8"/>
  <c r="U25" i="8" s="1"/>
  <c r="V100" i="8"/>
  <c r="V86" i="8"/>
  <c r="V107" i="8"/>
  <c r="V93" i="8"/>
  <c r="V102" i="8"/>
  <c r="V88" i="8"/>
  <c r="V85" i="8"/>
  <c r="V99" i="8"/>
  <c r="V89" i="8"/>
  <c r="V103" i="8"/>
  <c r="V91" i="8"/>
  <c r="V105" i="8"/>
  <c r="R82" i="7"/>
  <c r="S85" i="7"/>
  <c r="S84" i="7"/>
  <c r="S86" i="7"/>
  <c r="R62" i="7"/>
  <c r="R64" i="7" s="1"/>
  <c r="R14" i="7" s="1"/>
  <c r="W728" i="1"/>
  <c r="V51" i="7"/>
  <c r="V54" i="7"/>
  <c r="P65" i="7"/>
  <c r="Q67" i="7"/>
  <c r="Q66" i="7"/>
  <c r="Q68" i="7"/>
  <c r="O90" i="7"/>
  <c r="O91" i="7"/>
  <c r="O5" i="7"/>
  <c r="Q10" i="29"/>
  <c r="Q82" i="7"/>
  <c r="P88" i="7"/>
  <c r="P16" i="7" s="1"/>
  <c r="P13" i="7" s="1"/>
  <c r="R10" i="29"/>
  <c r="U298" i="29"/>
  <c r="U114" i="29"/>
  <c r="U340" i="29"/>
  <c r="U354" i="29"/>
  <c r="T106" i="29"/>
  <c r="T15" i="29" s="1"/>
  <c r="T7" i="29" s="1"/>
  <c r="U107" i="29"/>
  <c r="U248" i="29"/>
  <c r="U177" i="29"/>
  <c r="U213" i="29"/>
  <c r="U57" i="29"/>
  <c r="U156" i="29"/>
  <c r="U284" i="29"/>
  <c r="U22" i="29"/>
  <c r="U192" i="29"/>
  <c r="V26" i="37"/>
  <c r="V342" i="29"/>
  <c r="V343" i="29"/>
  <c r="V345" i="29"/>
  <c r="V341" i="29"/>
  <c r="V346" i="29"/>
  <c r="V344" i="29"/>
  <c r="V172" i="29"/>
  <c r="V260" i="29"/>
  <c r="V261" i="29"/>
  <c r="V171" i="29"/>
  <c r="V89" i="29"/>
  <c r="V256" i="29"/>
  <c r="V259" i="29"/>
  <c r="V258" i="29"/>
  <c r="V176" i="29"/>
  <c r="V87" i="29"/>
  <c r="V174" i="29"/>
  <c r="V90" i="29"/>
  <c r="V173" i="29"/>
  <c r="V91" i="29"/>
  <c r="V175" i="29"/>
  <c r="V257" i="29"/>
  <c r="V86" i="29"/>
  <c r="V88" i="29"/>
  <c r="U163" i="29"/>
  <c r="U319" i="29"/>
  <c r="U29" i="29"/>
  <c r="V20" i="37"/>
  <c r="V303" i="29"/>
  <c r="V300" i="29"/>
  <c r="V301" i="29"/>
  <c r="V219" i="29"/>
  <c r="V302" i="29"/>
  <c r="V217" i="29"/>
  <c r="V216" i="29"/>
  <c r="V134" i="29"/>
  <c r="V49" i="29"/>
  <c r="V304" i="29"/>
  <c r="V299" i="29"/>
  <c r="V129" i="29"/>
  <c r="V215" i="29"/>
  <c r="V133" i="29"/>
  <c r="V214" i="29"/>
  <c r="V130" i="29"/>
  <c r="V46" i="29"/>
  <c r="V132" i="29"/>
  <c r="V131" i="29"/>
  <c r="V47" i="29"/>
  <c r="V45" i="29"/>
  <c r="V48" i="29"/>
  <c r="V218" i="29"/>
  <c r="V44" i="29"/>
  <c r="U50" i="29"/>
  <c r="U43" i="29"/>
  <c r="U85" i="29"/>
  <c r="U36" i="29"/>
  <c r="U227" i="29"/>
  <c r="V25" i="37"/>
  <c r="V336" i="29"/>
  <c r="V334" i="29"/>
  <c r="V338" i="29"/>
  <c r="V339" i="29"/>
  <c r="V337" i="29"/>
  <c r="V335" i="29"/>
  <c r="V251" i="29"/>
  <c r="V249" i="29"/>
  <c r="V254" i="29"/>
  <c r="V252" i="29"/>
  <c r="V80" i="29"/>
  <c r="V253" i="29"/>
  <c r="V166" i="29"/>
  <c r="V168" i="29"/>
  <c r="V164" i="29"/>
  <c r="V250" i="29"/>
  <c r="V81" i="29"/>
  <c r="V165" i="29"/>
  <c r="V169" i="29"/>
  <c r="V84" i="29"/>
  <c r="V82" i="29"/>
  <c r="V79" i="29"/>
  <c r="V83" i="29"/>
  <c r="V167" i="29"/>
  <c r="U234" i="29"/>
  <c r="U255" i="29"/>
  <c r="U71" i="29"/>
  <c r="U241" i="29"/>
  <c r="V27" i="37"/>
  <c r="V349" i="29"/>
  <c r="V353" i="29"/>
  <c r="V351" i="29"/>
  <c r="V350" i="29"/>
  <c r="V352" i="29"/>
  <c r="V264" i="29"/>
  <c r="V182" i="29"/>
  <c r="V97" i="29"/>
  <c r="V263" i="29"/>
  <c r="V348" i="29"/>
  <c r="V268" i="29"/>
  <c r="V183" i="29"/>
  <c r="V267" i="29"/>
  <c r="V266" i="29"/>
  <c r="V265" i="29"/>
  <c r="V179" i="29"/>
  <c r="V95" i="29"/>
  <c r="V180" i="29"/>
  <c r="V98" i="29"/>
  <c r="V96" i="29"/>
  <c r="V94" i="29"/>
  <c r="V178" i="29"/>
  <c r="V181" i="29"/>
  <c r="V93" i="29"/>
  <c r="U277" i="29"/>
  <c r="T191" i="29"/>
  <c r="T16" i="29" s="1"/>
  <c r="T8" i="29" s="1"/>
  <c r="U262" i="29"/>
  <c r="U312" i="29"/>
  <c r="U305" i="29"/>
  <c r="U135" i="29"/>
  <c r="U128" i="29"/>
  <c r="U291" i="29"/>
  <c r="V22" i="37"/>
  <c r="V316" i="29"/>
  <c r="V317" i="29"/>
  <c r="V318" i="29"/>
  <c r="V315" i="29"/>
  <c r="V232" i="29"/>
  <c r="V229" i="29"/>
  <c r="V145" i="29"/>
  <c r="V313" i="29"/>
  <c r="V148" i="29"/>
  <c r="V230" i="29"/>
  <c r="V233" i="29"/>
  <c r="V231" i="29"/>
  <c r="V146" i="29"/>
  <c r="V228" i="29"/>
  <c r="V143" i="29"/>
  <c r="V60" i="29"/>
  <c r="V314" i="29"/>
  <c r="V144" i="29"/>
  <c r="V63" i="29"/>
  <c r="V147" i="29"/>
  <c r="V58" i="29"/>
  <c r="V62" i="29"/>
  <c r="V61" i="29"/>
  <c r="V59" i="29"/>
  <c r="V281" i="29"/>
  <c r="V279" i="29"/>
  <c r="V283" i="29"/>
  <c r="V109" i="29"/>
  <c r="V278" i="29"/>
  <c r="V197" i="29"/>
  <c r="V195" i="29"/>
  <c r="V282" i="29"/>
  <c r="V111" i="29"/>
  <c r="V193" i="29"/>
  <c r="V196" i="29"/>
  <c r="V198" i="29"/>
  <c r="V280" i="29"/>
  <c r="V112" i="29"/>
  <c r="V110" i="29"/>
  <c r="V194" i="29"/>
  <c r="V108" i="29"/>
  <c r="V26" i="29"/>
  <c r="V25" i="29"/>
  <c r="V28" i="29"/>
  <c r="V27" i="29"/>
  <c r="V24" i="29"/>
  <c r="V23" i="29"/>
  <c r="V113" i="29"/>
  <c r="U92" i="29"/>
  <c r="U142" i="29"/>
  <c r="U326" i="29"/>
  <c r="V202" i="29"/>
  <c r="V289" i="29"/>
  <c r="V286" i="29"/>
  <c r="V285" i="29"/>
  <c r="V288" i="29"/>
  <c r="V200" i="29"/>
  <c r="V204" i="29"/>
  <c r="V205" i="29"/>
  <c r="V287" i="29"/>
  <c r="V201" i="29"/>
  <c r="V203" i="29"/>
  <c r="V290" i="29"/>
  <c r="V117" i="29"/>
  <c r="V120" i="29"/>
  <c r="V115" i="29"/>
  <c r="V119" i="29"/>
  <c r="V34" i="29"/>
  <c r="V116" i="29"/>
  <c r="V118" i="29"/>
  <c r="V31" i="29"/>
  <c r="V30" i="29"/>
  <c r="V33" i="29"/>
  <c r="V32" i="29"/>
  <c r="V35" i="29"/>
  <c r="V21" i="37"/>
  <c r="V307" i="29"/>
  <c r="V311" i="29"/>
  <c r="V308" i="29"/>
  <c r="V306" i="29"/>
  <c r="V309" i="29"/>
  <c r="V136" i="29"/>
  <c r="V226" i="29"/>
  <c r="V221" i="29"/>
  <c r="V224" i="29"/>
  <c r="V222" i="29"/>
  <c r="V140" i="29"/>
  <c r="V225" i="29"/>
  <c r="V138" i="29"/>
  <c r="V310" i="29"/>
  <c r="V137" i="29"/>
  <c r="V223" i="29"/>
  <c r="V55" i="29"/>
  <c r="V52" i="29"/>
  <c r="V141" i="29"/>
  <c r="V51" i="29"/>
  <c r="V53" i="29"/>
  <c r="V139" i="29"/>
  <c r="V56" i="29"/>
  <c r="V54" i="29"/>
  <c r="U184" i="29"/>
  <c r="U99" i="29"/>
  <c r="V19" i="37"/>
  <c r="V296" i="29"/>
  <c r="V292" i="29"/>
  <c r="V208" i="29"/>
  <c r="V294" i="29"/>
  <c r="V295" i="29"/>
  <c r="V293" i="29"/>
  <c r="V212" i="29"/>
  <c r="V124" i="29"/>
  <c r="V209" i="29"/>
  <c r="V297" i="29"/>
  <c r="V211" i="29"/>
  <c r="V207" i="29"/>
  <c r="V122" i="29"/>
  <c r="V210" i="29"/>
  <c r="V125" i="29"/>
  <c r="V123" i="29"/>
  <c r="V126" i="29"/>
  <c r="V42" i="29"/>
  <c r="V37" i="29"/>
  <c r="V41" i="29"/>
  <c r="V40" i="29"/>
  <c r="V38" i="29"/>
  <c r="V39" i="29"/>
  <c r="V127" i="29"/>
  <c r="V23" i="37"/>
  <c r="V320" i="29"/>
  <c r="V324" i="29"/>
  <c r="V321" i="29"/>
  <c r="V238" i="29"/>
  <c r="V152" i="29"/>
  <c r="V323" i="29"/>
  <c r="V325" i="29"/>
  <c r="V235" i="29"/>
  <c r="V240" i="29"/>
  <c r="V239" i="29"/>
  <c r="V322" i="29"/>
  <c r="V154" i="29"/>
  <c r="V237" i="29"/>
  <c r="V150" i="29"/>
  <c r="V236" i="29"/>
  <c r="V153" i="29"/>
  <c r="V151" i="29"/>
  <c r="V155" i="29"/>
  <c r="V68" i="29"/>
  <c r="V65" i="29"/>
  <c r="V69" i="29"/>
  <c r="V67" i="29"/>
  <c r="V70" i="29"/>
  <c r="V66" i="29"/>
  <c r="S6" i="29"/>
  <c r="S18" i="29"/>
  <c r="S14" i="2" s="1"/>
  <c r="U78" i="29"/>
  <c r="U64" i="29"/>
  <c r="U170" i="29"/>
  <c r="U121" i="29"/>
  <c r="T21" i="29"/>
  <c r="T14" i="29" s="1"/>
  <c r="V24" i="37"/>
  <c r="V329" i="29"/>
  <c r="V330" i="29"/>
  <c r="V327" i="29"/>
  <c r="V246" i="29"/>
  <c r="V161" i="29"/>
  <c r="V332" i="29"/>
  <c r="V160" i="29"/>
  <c r="V331" i="29"/>
  <c r="V328" i="29"/>
  <c r="V243" i="29"/>
  <c r="V159" i="29"/>
  <c r="V247" i="29"/>
  <c r="V242" i="29"/>
  <c r="V158" i="29"/>
  <c r="V157" i="29"/>
  <c r="V76" i="29"/>
  <c r="V73" i="29"/>
  <c r="V77" i="29"/>
  <c r="V244" i="29"/>
  <c r="V245" i="29"/>
  <c r="V162" i="29"/>
  <c r="V74" i="29"/>
  <c r="V75" i="29"/>
  <c r="V72" i="29"/>
  <c r="T276" i="29"/>
  <c r="T17" i="29" s="1"/>
  <c r="T9" i="29" s="1"/>
  <c r="T68" i="8" s="1"/>
  <c r="U269" i="29"/>
  <c r="U333" i="29"/>
  <c r="U347" i="29"/>
  <c r="U149" i="29"/>
  <c r="V28" i="37"/>
  <c r="V359" i="29"/>
  <c r="V360" i="29"/>
  <c r="V357" i="29"/>
  <c r="V356" i="29"/>
  <c r="V358" i="29"/>
  <c r="V274" i="29"/>
  <c r="V355" i="29"/>
  <c r="V275" i="29"/>
  <c r="V272" i="29"/>
  <c r="V271" i="29"/>
  <c r="V190" i="29"/>
  <c r="V185" i="29"/>
  <c r="V189" i="29"/>
  <c r="V270" i="29"/>
  <c r="V187" i="29"/>
  <c r="V273" i="29"/>
  <c r="V186" i="29"/>
  <c r="V105" i="29"/>
  <c r="V103" i="29"/>
  <c r="V104" i="29"/>
  <c r="V102" i="29"/>
  <c r="V101" i="29"/>
  <c r="V100" i="29"/>
  <c r="V188" i="29"/>
  <c r="U206" i="29"/>
  <c r="U199" i="29"/>
  <c r="U220" i="29"/>
  <c r="E57" i="7" l="1"/>
  <c r="E55" i="7" s="1"/>
  <c r="E9" i="7" s="1"/>
  <c r="E10" i="7" s="1"/>
  <c r="F31" i="7"/>
  <c r="F30" i="7" s="1"/>
  <c r="F26" i="7" s="1"/>
  <c r="F18" i="7" s="1"/>
  <c r="F33" i="7"/>
  <c r="F7" i="7" s="1"/>
  <c r="F25" i="12" s="1"/>
  <c r="R61" i="8"/>
  <c r="R59" i="8" s="1"/>
  <c r="R7" i="8" s="1"/>
  <c r="R31" i="12" s="1"/>
  <c r="R13" i="2"/>
  <c r="Q61" i="8"/>
  <c r="Q59" i="8" s="1"/>
  <c r="Q7" i="8" s="1"/>
  <c r="Q31" i="12" s="1"/>
  <c r="Q13" i="2"/>
  <c r="R38" i="9"/>
  <c r="R25" i="9"/>
  <c r="R22" i="10" s="1"/>
  <c r="R33" i="10" s="1"/>
  <c r="S30" i="18"/>
  <c r="S9" i="18" s="1"/>
  <c r="S14" i="18" s="1"/>
  <c r="T39" i="18"/>
  <c r="T24" i="8"/>
  <c r="T18" i="18"/>
  <c r="T6" i="18" s="1"/>
  <c r="T17" i="8"/>
  <c r="R71" i="8"/>
  <c r="R78" i="8"/>
  <c r="R80" i="8" s="1"/>
  <c r="R75" i="8" s="1"/>
  <c r="T43" i="18"/>
  <c r="T10" i="18" s="1"/>
  <c r="T21" i="8"/>
  <c r="T35" i="18"/>
  <c r="T20" i="8"/>
  <c r="T31" i="18"/>
  <c r="T23" i="8"/>
  <c r="T51" i="18"/>
  <c r="T12" i="18" s="1"/>
  <c r="U57" i="18"/>
  <c r="U48" i="18"/>
  <c r="U38" i="18"/>
  <c r="U49" i="18"/>
  <c r="U19" i="18"/>
  <c r="U41" i="18"/>
  <c r="U33" i="18"/>
  <c r="U58" i="18"/>
  <c r="U23" i="18"/>
  <c r="U50" i="18"/>
  <c r="U42" i="18"/>
  <c r="U32" i="18"/>
  <c r="U25" i="18"/>
  <c r="U45" i="18"/>
  <c r="U53" i="18"/>
  <c r="U37" i="18"/>
  <c r="U34" i="18"/>
  <c r="U52" i="18"/>
  <c r="U36" i="18"/>
  <c r="U29" i="18"/>
  <c r="U54" i="18"/>
  <c r="U28" i="18"/>
  <c r="U21" i="18"/>
  <c r="U56" i="18"/>
  <c r="U40" i="18"/>
  <c r="U27" i="18"/>
  <c r="U44" i="18"/>
  <c r="U24" i="18"/>
  <c r="U46" i="18"/>
  <c r="U20" i="18"/>
  <c r="R73" i="8"/>
  <c r="R5" i="8"/>
  <c r="R29" i="12" s="1"/>
  <c r="T22" i="18"/>
  <c r="T7" i="18" s="1"/>
  <c r="T18" i="8"/>
  <c r="S15" i="8"/>
  <c r="T47" i="18"/>
  <c r="T11" i="18" s="1"/>
  <c r="T22" i="8"/>
  <c r="T55" i="18"/>
  <c r="T13" i="18" s="1"/>
  <c r="T19" i="8"/>
  <c r="T26" i="18"/>
  <c r="T8" i="18" s="1"/>
  <c r="Q69" i="8"/>
  <c r="Q10" i="8" s="1"/>
  <c r="Q34" i="12" s="1"/>
  <c r="W87" i="8"/>
  <c r="W101" i="8"/>
  <c r="W91" i="8"/>
  <c r="W105" i="8"/>
  <c r="W85" i="8"/>
  <c r="W99" i="8"/>
  <c r="W89" i="8"/>
  <c r="W103" i="8"/>
  <c r="W93" i="8"/>
  <c r="W107" i="8"/>
  <c r="W104" i="8"/>
  <c r="W90" i="8"/>
  <c r="W86" i="8"/>
  <c r="W100" i="8"/>
  <c r="W92" i="8"/>
  <c r="W106" i="8"/>
  <c r="W88" i="8"/>
  <c r="W102" i="8"/>
  <c r="W97" i="8"/>
  <c r="W83" i="8"/>
  <c r="V82" i="8"/>
  <c r="W84" i="8"/>
  <c r="W98" i="8"/>
  <c r="W94" i="8"/>
  <c r="W108" i="8"/>
  <c r="V96" i="8"/>
  <c r="V25" i="8" s="1"/>
  <c r="T84" i="7"/>
  <c r="T86" i="7"/>
  <c r="S62" i="7"/>
  <c r="S64" i="7" s="1"/>
  <c r="S14" i="7" s="1"/>
  <c r="S83" i="7"/>
  <c r="T85" i="7"/>
  <c r="O23" i="12"/>
  <c r="X728" i="1"/>
  <c r="W54" i="7"/>
  <c r="W51" i="7"/>
  <c r="Q65" i="7"/>
  <c r="R66" i="7"/>
  <c r="R68" i="7"/>
  <c r="R67" i="7"/>
  <c r="O89" i="7"/>
  <c r="P90" i="7"/>
  <c r="P91" i="7"/>
  <c r="P5" i="7"/>
  <c r="R88" i="7"/>
  <c r="R16" i="7" s="1"/>
  <c r="R13" i="7" s="1"/>
  <c r="Q88" i="7"/>
  <c r="Q16" i="7" s="1"/>
  <c r="Q13" i="7" s="1"/>
  <c r="S5" i="29"/>
  <c r="U191" i="29"/>
  <c r="U16" i="29" s="1"/>
  <c r="U8" i="29" s="1"/>
  <c r="V199" i="29"/>
  <c r="V220" i="29"/>
  <c r="V248" i="29"/>
  <c r="V170" i="29"/>
  <c r="V319" i="29"/>
  <c r="V64" i="29"/>
  <c r="V107" i="29"/>
  <c r="V184" i="29"/>
  <c r="V291" i="29"/>
  <c r="V213" i="29"/>
  <c r="U106" i="29"/>
  <c r="U15" i="29" s="1"/>
  <c r="U7" i="29" s="1"/>
  <c r="V50" i="29"/>
  <c r="U21" i="29"/>
  <c r="U14" i="29" s="1"/>
  <c r="U6" i="29" s="1"/>
  <c r="V135" i="29"/>
  <c r="V326" i="29"/>
  <c r="V177" i="29"/>
  <c r="V298" i="29"/>
  <c r="V277" i="29"/>
  <c r="V78" i="29"/>
  <c r="V43" i="29"/>
  <c r="V255" i="29"/>
  <c r="V284" i="29"/>
  <c r="V142" i="29"/>
  <c r="W22" i="37"/>
  <c r="W316" i="29"/>
  <c r="W317" i="29"/>
  <c r="W228" i="29"/>
  <c r="W315" i="29"/>
  <c r="W313" i="29"/>
  <c r="W231" i="29"/>
  <c r="W230" i="29"/>
  <c r="W145" i="29"/>
  <c r="W229" i="29"/>
  <c r="W318" i="29"/>
  <c r="W314" i="29"/>
  <c r="W58" i="29"/>
  <c r="W233" i="29"/>
  <c r="W143" i="29"/>
  <c r="W146" i="29"/>
  <c r="W60" i="29"/>
  <c r="W232" i="29"/>
  <c r="W144" i="29"/>
  <c r="W63" i="29"/>
  <c r="W61" i="29"/>
  <c r="W148" i="29"/>
  <c r="W59" i="29"/>
  <c r="W62" i="29"/>
  <c r="W147" i="29"/>
  <c r="V234" i="29"/>
  <c r="V36" i="29"/>
  <c r="V114" i="29"/>
  <c r="V85" i="29"/>
  <c r="V269" i="29"/>
  <c r="W28" i="37"/>
  <c r="W356" i="29"/>
  <c r="W357" i="29"/>
  <c r="W355" i="29"/>
  <c r="W359" i="29"/>
  <c r="W360" i="29"/>
  <c r="W187" i="29"/>
  <c r="W189" i="29"/>
  <c r="W104" i="29"/>
  <c r="W102" i="29"/>
  <c r="W273" i="29"/>
  <c r="W272" i="29"/>
  <c r="W270" i="29"/>
  <c r="W358" i="29"/>
  <c r="W274" i="29"/>
  <c r="W190" i="29"/>
  <c r="W185" i="29"/>
  <c r="W100" i="29"/>
  <c r="W103" i="29"/>
  <c r="W188" i="29"/>
  <c r="W186" i="29"/>
  <c r="W271" i="29"/>
  <c r="W105" i="29"/>
  <c r="W275" i="29"/>
  <c r="W101" i="29"/>
  <c r="W287" i="29"/>
  <c r="W200" i="29"/>
  <c r="W286" i="29"/>
  <c r="W288" i="29"/>
  <c r="W205" i="29"/>
  <c r="W289" i="29"/>
  <c r="W204" i="29"/>
  <c r="W116" i="29"/>
  <c r="W285" i="29"/>
  <c r="W290" i="29"/>
  <c r="W201" i="29"/>
  <c r="W203" i="29"/>
  <c r="W117" i="29"/>
  <c r="W120" i="29"/>
  <c r="W119" i="29"/>
  <c r="W118" i="29"/>
  <c r="W115" i="29"/>
  <c r="W31" i="29"/>
  <c r="W35" i="29"/>
  <c r="W33" i="29"/>
  <c r="W32" i="29"/>
  <c r="W202" i="29"/>
  <c r="W34" i="29"/>
  <c r="W30" i="29"/>
  <c r="W283" i="29"/>
  <c r="W280" i="29"/>
  <c r="W282" i="29"/>
  <c r="W278" i="29"/>
  <c r="W281" i="29"/>
  <c r="W196" i="29"/>
  <c r="W198" i="29"/>
  <c r="W193" i="29"/>
  <c r="W109" i="29"/>
  <c r="W197" i="29"/>
  <c r="W112" i="29"/>
  <c r="W279" i="29"/>
  <c r="W28" i="29"/>
  <c r="W111" i="29"/>
  <c r="W108" i="29"/>
  <c r="W25" i="29"/>
  <c r="W113" i="29"/>
  <c r="W24" i="29"/>
  <c r="W194" i="29"/>
  <c r="W23" i="29"/>
  <c r="W110" i="29"/>
  <c r="W27" i="29"/>
  <c r="W195" i="29"/>
  <c r="W26" i="29"/>
  <c r="V333" i="29"/>
  <c r="W24" i="37"/>
  <c r="W327" i="29"/>
  <c r="W331" i="29"/>
  <c r="W328" i="29"/>
  <c r="W332" i="29"/>
  <c r="W244" i="29"/>
  <c r="W329" i="29"/>
  <c r="W243" i="29"/>
  <c r="W242" i="29"/>
  <c r="W247" i="29"/>
  <c r="W245" i="29"/>
  <c r="W76" i="29"/>
  <c r="W330" i="29"/>
  <c r="W246" i="29"/>
  <c r="W160" i="29"/>
  <c r="W73" i="29"/>
  <c r="W162" i="29"/>
  <c r="W157" i="29"/>
  <c r="W158" i="29"/>
  <c r="W161" i="29"/>
  <c r="W77" i="29"/>
  <c r="W159" i="29"/>
  <c r="W75" i="29"/>
  <c r="W74" i="29"/>
  <c r="W72" i="29"/>
  <c r="V305" i="29"/>
  <c r="W19" i="37"/>
  <c r="W295" i="29"/>
  <c r="W297" i="29"/>
  <c r="W123" i="29"/>
  <c r="W294" i="29"/>
  <c r="W210" i="29"/>
  <c r="W293" i="29"/>
  <c r="W209" i="29"/>
  <c r="W211" i="29"/>
  <c r="W208" i="29"/>
  <c r="W207" i="29"/>
  <c r="W296" i="29"/>
  <c r="W125" i="29"/>
  <c r="W126" i="29"/>
  <c r="W292" i="29"/>
  <c r="W37" i="29"/>
  <c r="W40" i="29"/>
  <c r="W124" i="29"/>
  <c r="W127" i="29"/>
  <c r="W41" i="29"/>
  <c r="W122" i="29"/>
  <c r="W212" i="29"/>
  <c r="W39" i="29"/>
  <c r="W42" i="29"/>
  <c r="W38" i="29"/>
  <c r="V57" i="29"/>
  <c r="V227" i="29"/>
  <c r="U276" i="29"/>
  <c r="U17" i="29" s="1"/>
  <c r="U9" i="29" s="1"/>
  <c r="U68" i="8" s="1"/>
  <c r="W20" i="37"/>
  <c r="W304" i="29"/>
  <c r="W219" i="29"/>
  <c r="W302" i="29"/>
  <c r="W300" i="29"/>
  <c r="W299" i="29"/>
  <c r="W130" i="29"/>
  <c r="W301" i="29"/>
  <c r="W303" i="29"/>
  <c r="W131" i="29"/>
  <c r="W218" i="29"/>
  <c r="W215" i="29"/>
  <c r="W217" i="29"/>
  <c r="W214" i="29"/>
  <c r="W216" i="29"/>
  <c r="W132" i="29"/>
  <c r="W133" i="29"/>
  <c r="W129" i="29"/>
  <c r="W47" i="29"/>
  <c r="W49" i="29"/>
  <c r="W44" i="29"/>
  <c r="W134" i="29"/>
  <c r="W45" i="29"/>
  <c r="W46" i="29"/>
  <c r="W48" i="29"/>
  <c r="V156" i="29"/>
  <c r="V163" i="29"/>
  <c r="V312" i="29"/>
  <c r="W25" i="37"/>
  <c r="W337" i="29"/>
  <c r="W334" i="29"/>
  <c r="W336" i="29"/>
  <c r="W338" i="29"/>
  <c r="W254" i="29"/>
  <c r="W252" i="29"/>
  <c r="W249" i="29"/>
  <c r="W166" i="29"/>
  <c r="W165" i="29"/>
  <c r="W339" i="29"/>
  <c r="W253" i="29"/>
  <c r="W335" i="29"/>
  <c r="W250" i="29"/>
  <c r="W168" i="29"/>
  <c r="W164" i="29"/>
  <c r="W251" i="29"/>
  <c r="W84" i="29"/>
  <c r="W169" i="29"/>
  <c r="W81" i="29"/>
  <c r="W83" i="29"/>
  <c r="W82" i="29"/>
  <c r="W79" i="29"/>
  <c r="W167" i="29"/>
  <c r="W80" i="29"/>
  <c r="V340" i="29"/>
  <c r="T6" i="29"/>
  <c r="T18" i="29"/>
  <c r="T14" i="2" s="1"/>
  <c r="V99" i="29"/>
  <c r="V121" i="29"/>
  <c r="V22" i="29"/>
  <c r="V206" i="29"/>
  <c r="V92" i="29"/>
  <c r="V347" i="29"/>
  <c r="W27" i="37"/>
  <c r="W353" i="29"/>
  <c r="W351" i="29"/>
  <c r="W352" i="29"/>
  <c r="W348" i="29"/>
  <c r="W349" i="29"/>
  <c r="W265" i="29"/>
  <c r="W268" i="29"/>
  <c r="W181" i="29"/>
  <c r="W350" i="29"/>
  <c r="W266" i="29"/>
  <c r="W183" i="29"/>
  <c r="W264" i="29"/>
  <c r="W267" i="29"/>
  <c r="W180" i="29"/>
  <c r="W263" i="29"/>
  <c r="W179" i="29"/>
  <c r="W97" i="29"/>
  <c r="W95" i="29"/>
  <c r="W98" i="29"/>
  <c r="W96" i="29"/>
  <c r="W94" i="29"/>
  <c r="W182" i="29"/>
  <c r="W93" i="29"/>
  <c r="W178" i="29"/>
  <c r="W21" i="37"/>
  <c r="W307" i="29"/>
  <c r="W311" i="29"/>
  <c r="W221" i="29"/>
  <c r="W310" i="29"/>
  <c r="W308" i="29"/>
  <c r="W225" i="29"/>
  <c r="W226" i="29"/>
  <c r="W141" i="29"/>
  <c r="W306" i="29"/>
  <c r="W222" i="29"/>
  <c r="W309" i="29"/>
  <c r="W137" i="29"/>
  <c r="W223" i="29"/>
  <c r="W224" i="29"/>
  <c r="W52" i="29"/>
  <c r="W140" i="29"/>
  <c r="W55" i="29"/>
  <c r="W53" i="29"/>
  <c r="W139" i="29"/>
  <c r="W138" i="29"/>
  <c r="W56" i="29"/>
  <c r="W51" i="29"/>
  <c r="W136" i="29"/>
  <c r="W54" i="29"/>
  <c r="V241" i="29"/>
  <c r="V354" i="29"/>
  <c r="V71" i="29"/>
  <c r="V149" i="29"/>
  <c r="W23" i="37"/>
  <c r="W325" i="29"/>
  <c r="W323" i="29"/>
  <c r="W237" i="29"/>
  <c r="W152" i="29"/>
  <c r="W322" i="29"/>
  <c r="W321" i="29"/>
  <c r="W235" i="29"/>
  <c r="W324" i="29"/>
  <c r="W239" i="29"/>
  <c r="W236" i="29"/>
  <c r="W67" i="29"/>
  <c r="W240" i="29"/>
  <c r="W155" i="29"/>
  <c r="W238" i="29"/>
  <c r="W320" i="29"/>
  <c r="W150" i="29"/>
  <c r="W153" i="29"/>
  <c r="W151" i="29"/>
  <c r="W68" i="29"/>
  <c r="W65" i="29"/>
  <c r="W154" i="29"/>
  <c r="W69" i="29"/>
  <c r="W66" i="29"/>
  <c r="W70" i="29"/>
  <c r="V29" i="29"/>
  <c r="V192" i="29"/>
  <c r="V262" i="29"/>
  <c r="V128" i="29"/>
  <c r="W26" i="37"/>
  <c r="W343" i="29"/>
  <c r="W344" i="29"/>
  <c r="W342" i="29"/>
  <c r="W345" i="29"/>
  <c r="W341" i="29"/>
  <c r="W259" i="29"/>
  <c r="W172" i="29"/>
  <c r="W257" i="29"/>
  <c r="W86" i="29"/>
  <c r="W346" i="29"/>
  <c r="W261" i="29"/>
  <c r="W173" i="29"/>
  <c r="W258" i="29"/>
  <c r="W256" i="29"/>
  <c r="W171" i="29"/>
  <c r="W175" i="29"/>
  <c r="W90" i="29"/>
  <c r="W174" i="29"/>
  <c r="W88" i="29"/>
  <c r="W260" i="29"/>
  <c r="W87" i="29"/>
  <c r="W176" i="29"/>
  <c r="W89" i="29"/>
  <c r="W91" i="29"/>
  <c r="E63" i="8" l="1"/>
  <c r="E62" i="8" s="1"/>
  <c r="E8" i="8" s="1"/>
  <c r="E32" i="12" s="1"/>
  <c r="F6" i="7"/>
  <c r="F24" i="12" s="1"/>
  <c r="E27" i="12"/>
  <c r="E22" i="12" s="1"/>
  <c r="E23" i="13" s="1"/>
  <c r="E67" i="8"/>
  <c r="E76" i="8"/>
  <c r="E11" i="8" s="1"/>
  <c r="E35" i="12" s="1"/>
  <c r="E66" i="8"/>
  <c r="F56" i="7"/>
  <c r="F57" i="7"/>
  <c r="S38" i="9"/>
  <c r="S25" i="9"/>
  <c r="S22" i="10" s="1"/>
  <c r="S33" i="10" s="1"/>
  <c r="U43" i="18"/>
  <c r="U10" i="18" s="1"/>
  <c r="U39" i="18"/>
  <c r="U21" i="8"/>
  <c r="U26" i="18"/>
  <c r="U8" i="18" s="1"/>
  <c r="U19" i="8"/>
  <c r="U31" i="18"/>
  <c r="U20" i="8"/>
  <c r="T30" i="18"/>
  <c r="T9" i="18" s="1"/>
  <c r="T14" i="18" s="1"/>
  <c r="U55" i="18"/>
  <c r="U13" i="18" s="1"/>
  <c r="U24" i="8"/>
  <c r="U22" i="18"/>
  <c r="U7" i="18" s="1"/>
  <c r="U18" i="8"/>
  <c r="S78" i="8"/>
  <c r="S80" i="8" s="1"/>
  <c r="S75" i="8" s="1"/>
  <c r="S71" i="8"/>
  <c r="V54" i="18"/>
  <c r="V45" i="18"/>
  <c r="V36" i="18"/>
  <c r="V25" i="18"/>
  <c r="V58" i="18"/>
  <c r="V49" i="18"/>
  <c r="V40" i="18"/>
  <c r="V29" i="18"/>
  <c r="V50" i="18"/>
  <c r="V41" i="18"/>
  <c r="V57" i="18"/>
  <c r="V33" i="18"/>
  <c r="V23" i="18"/>
  <c r="V42" i="18"/>
  <c r="V32" i="18"/>
  <c r="V34" i="18"/>
  <c r="V20" i="18"/>
  <c r="V53" i="18"/>
  <c r="V37" i="18"/>
  <c r="V28" i="18"/>
  <c r="V24" i="18"/>
  <c r="V56" i="18"/>
  <c r="V27" i="18"/>
  <c r="V52" i="18"/>
  <c r="V21" i="18"/>
  <c r="V38" i="18"/>
  <c r="V19" i="18"/>
  <c r="V46" i="18"/>
  <c r="V48" i="18"/>
  <c r="V44" i="18"/>
  <c r="S5" i="8"/>
  <c r="S29" i="12" s="1"/>
  <c r="S73" i="8"/>
  <c r="R69" i="8"/>
  <c r="R10" i="8" s="1"/>
  <c r="R34" i="12" s="1"/>
  <c r="U23" i="8"/>
  <c r="U51" i="18"/>
  <c r="U12" i="18" s="1"/>
  <c r="U35" i="18"/>
  <c r="U47" i="18"/>
  <c r="U11" i="18" s="1"/>
  <c r="U22" i="8"/>
  <c r="T15" i="8"/>
  <c r="U18" i="18"/>
  <c r="U6" i="18" s="1"/>
  <c r="U17" i="8"/>
  <c r="X102" i="8"/>
  <c r="X88" i="8"/>
  <c r="X84" i="8"/>
  <c r="X98" i="8"/>
  <c r="X107" i="8"/>
  <c r="X93" i="8"/>
  <c r="X94" i="8"/>
  <c r="X108" i="8"/>
  <c r="X92" i="8"/>
  <c r="X106" i="8"/>
  <c r="W82" i="8"/>
  <c r="W96" i="8"/>
  <c r="W25" i="8" s="1"/>
  <c r="X87" i="8"/>
  <c r="X101" i="8"/>
  <c r="X90" i="8"/>
  <c r="X104" i="8"/>
  <c r="X89" i="8"/>
  <c r="X103" i="8"/>
  <c r="X83" i="8"/>
  <c r="X97" i="8"/>
  <c r="X91" i="8"/>
  <c r="X105" i="8"/>
  <c r="X100" i="8"/>
  <c r="X86" i="8"/>
  <c r="X85" i="8"/>
  <c r="X99" i="8"/>
  <c r="T62" i="7"/>
  <c r="T64" i="7" s="1"/>
  <c r="T14" i="7" s="1"/>
  <c r="U86" i="7"/>
  <c r="T83" i="7"/>
  <c r="U85" i="7"/>
  <c r="U83" i="7"/>
  <c r="S82" i="7"/>
  <c r="S88" i="7" s="1"/>
  <c r="S16" i="7" s="1"/>
  <c r="S13" i="7" s="1"/>
  <c r="U84" i="7"/>
  <c r="P23" i="12"/>
  <c r="Y728" i="1"/>
  <c r="X54" i="7"/>
  <c r="X51" i="7"/>
  <c r="S66" i="7"/>
  <c r="S68" i="7"/>
  <c r="S67" i="7"/>
  <c r="R65" i="7"/>
  <c r="P89" i="7"/>
  <c r="R90" i="7"/>
  <c r="R91" i="7"/>
  <c r="Q90" i="7"/>
  <c r="Q91" i="7"/>
  <c r="R5" i="7"/>
  <c r="S10" i="29"/>
  <c r="T5" i="29"/>
  <c r="W22" i="29"/>
  <c r="W114" i="29"/>
  <c r="W121" i="29"/>
  <c r="W255" i="29"/>
  <c r="V106" i="29"/>
  <c r="V15" i="29" s="1"/>
  <c r="V7" i="29" s="1"/>
  <c r="W319" i="29"/>
  <c r="W149" i="29"/>
  <c r="W184" i="29"/>
  <c r="W213" i="29"/>
  <c r="W241" i="29"/>
  <c r="W177" i="29"/>
  <c r="W78" i="29"/>
  <c r="X28" i="37"/>
  <c r="X356" i="29"/>
  <c r="X357" i="29"/>
  <c r="X358" i="29"/>
  <c r="X355" i="29"/>
  <c r="X272" i="29"/>
  <c r="X189" i="29"/>
  <c r="X359" i="29"/>
  <c r="X360" i="29"/>
  <c r="X275" i="29"/>
  <c r="X186" i="29"/>
  <c r="X270" i="29"/>
  <c r="X185" i="29"/>
  <c r="X190" i="29"/>
  <c r="X188" i="29"/>
  <c r="X187" i="29"/>
  <c r="X274" i="29"/>
  <c r="X103" i="29"/>
  <c r="X271" i="29"/>
  <c r="X273" i="29"/>
  <c r="X101" i="29"/>
  <c r="X100" i="29"/>
  <c r="X105" i="29"/>
  <c r="X102" i="29"/>
  <c r="X104" i="29"/>
  <c r="W340" i="29"/>
  <c r="W277" i="29"/>
  <c r="W142" i="29"/>
  <c r="X22" i="37"/>
  <c r="X316" i="29"/>
  <c r="X317" i="29"/>
  <c r="X315" i="29"/>
  <c r="X313" i="29"/>
  <c r="X233" i="29"/>
  <c r="X314" i="29"/>
  <c r="X318" i="29"/>
  <c r="X228" i="29"/>
  <c r="X231" i="29"/>
  <c r="X63" i="29"/>
  <c r="X229" i="29"/>
  <c r="X230" i="29"/>
  <c r="X145" i="29"/>
  <c r="X143" i="29"/>
  <c r="X148" i="29"/>
  <c r="X146" i="29"/>
  <c r="X58" i="29"/>
  <c r="X62" i="29"/>
  <c r="X60" i="29"/>
  <c r="X147" i="29"/>
  <c r="X61" i="29"/>
  <c r="X144" i="29"/>
  <c r="X59" i="29"/>
  <c r="X232" i="29"/>
  <c r="X23" i="37"/>
  <c r="X322" i="29"/>
  <c r="X324" i="29"/>
  <c r="X320" i="29"/>
  <c r="X325" i="29"/>
  <c r="X323" i="29"/>
  <c r="X237" i="29"/>
  <c r="X321" i="29"/>
  <c r="X239" i="29"/>
  <c r="X155" i="29"/>
  <c r="X240" i="29"/>
  <c r="X238" i="29"/>
  <c r="X152" i="29"/>
  <c r="X236" i="29"/>
  <c r="X154" i="29"/>
  <c r="X153" i="29"/>
  <c r="X151" i="29"/>
  <c r="X65" i="29"/>
  <c r="X150" i="29"/>
  <c r="X68" i="29"/>
  <c r="X69" i="29"/>
  <c r="X67" i="29"/>
  <c r="X66" i="29"/>
  <c r="X235" i="29"/>
  <c r="X70" i="29"/>
  <c r="W298" i="29"/>
  <c r="W107" i="29"/>
  <c r="W170" i="29"/>
  <c r="X285" i="29"/>
  <c r="X289" i="29"/>
  <c r="X204" i="29"/>
  <c r="X202" i="29"/>
  <c r="X119" i="29"/>
  <c r="X288" i="29"/>
  <c r="X287" i="29"/>
  <c r="X201" i="29"/>
  <c r="X286" i="29"/>
  <c r="X120" i="29"/>
  <c r="X205" i="29"/>
  <c r="X203" i="29"/>
  <c r="X290" i="29"/>
  <c r="X115" i="29"/>
  <c r="X118" i="29"/>
  <c r="X200" i="29"/>
  <c r="X116" i="29"/>
  <c r="X31" i="29"/>
  <c r="X35" i="29"/>
  <c r="X30" i="29"/>
  <c r="X34" i="29"/>
  <c r="X33" i="29"/>
  <c r="X117" i="29"/>
  <c r="X32" i="29"/>
  <c r="X21" i="37"/>
  <c r="X311" i="29"/>
  <c r="X306" i="29"/>
  <c r="X309" i="29"/>
  <c r="X226" i="29"/>
  <c r="X223" i="29"/>
  <c r="X310" i="29"/>
  <c r="X307" i="29"/>
  <c r="X222" i="29"/>
  <c r="X308" i="29"/>
  <c r="X54" i="29"/>
  <c r="X224" i="29"/>
  <c r="X221" i="29"/>
  <c r="X225" i="29"/>
  <c r="X141" i="29"/>
  <c r="X137" i="29"/>
  <c r="X56" i="29"/>
  <c r="X138" i="29"/>
  <c r="X55" i="29"/>
  <c r="X140" i="29"/>
  <c r="X139" i="29"/>
  <c r="X53" i="29"/>
  <c r="X52" i="29"/>
  <c r="X136" i="29"/>
  <c r="X51" i="29"/>
  <c r="W333" i="29"/>
  <c r="W128" i="29"/>
  <c r="X196" i="29"/>
  <c r="X194" i="29"/>
  <c r="X113" i="29"/>
  <c r="X282" i="29"/>
  <c r="X195" i="29"/>
  <c r="X111" i="29"/>
  <c r="X108" i="29"/>
  <c r="X278" i="29"/>
  <c r="X193" i="29"/>
  <c r="X283" i="29"/>
  <c r="X280" i="29"/>
  <c r="X279" i="29"/>
  <c r="X109" i="29"/>
  <c r="X197" i="29"/>
  <c r="X112" i="29"/>
  <c r="X198" i="29"/>
  <c r="X281" i="29"/>
  <c r="X25" i="29"/>
  <c r="X110" i="29"/>
  <c r="X23" i="29"/>
  <c r="X28" i="29"/>
  <c r="X24" i="29"/>
  <c r="X27" i="29"/>
  <c r="X26" i="29"/>
  <c r="W199" i="29"/>
  <c r="V191" i="29"/>
  <c r="V16" i="29" s="1"/>
  <c r="V8" i="29" s="1"/>
  <c r="W262" i="29"/>
  <c r="V21" i="29"/>
  <c r="V14" i="29" s="1"/>
  <c r="X24" i="37"/>
  <c r="X331" i="29"/>
  <c r="X332" i="29"/>
  <c r="X330" i="29"/>
  <c r="X329" i="29"/>
  <c r="X157" i="29"/>
  <c r="X247" i="29"/>
  <c r="X328" i="29"/>
  <c r="X245" i="29"/>
  <c r="X246" i="29"/>
  <c r="X244" i="29"/>
  <c r="X160" i="29"/>
  <c r="X242" i="29"/>
  <c r="X327" i="29"/>
  <c r="X77" i="29"/>
  <c r="X76" i="29"/>
  <c r="X73" i="29"/>
  <c r="X159" i="29"/>
  <c r="X75" i="29"/>
  <c r="X162" i="29"/>
  <c r="X243" i="29"/>
  <c r="X161" i="29"/>
  <c r="X72" i="29"/>
  <c r="X74" i="29"/>
  <c r="X158" i="29"/>
  <c r="W29" i="29"/>
  <c r="W269" i="29"/>
  <c r="W227" i="29"/>
  <c r="X27" i="37"/>
  <c r="X350" i="29"/>
  <c r="X349" i="29"/>
  <c r="X351" i="29"/>
  <c r="X353" i="29"/>
  <c r="X348" i="29"/>
  <c r="X178" i="29"/>
  <c r="X263" i="29"/>
  <c r="X265" i="29"/>
  <c r="X180" i="29"/>
  <c r="X95" i="29"/>
  <c r="X268" i="29"/>
  <c r="X181" i="29"/>
  <c r="X352" i="29"/>
  <c r="X266" i="29"/>
  <c r="X182" i="29"/>
  <c r="X179" i="29"/>
  <c r="X267" i="29"/>
  <c r="X183" i="29"/>
  <c r="X98" i="29"/>
  <c r="X264" i="29"/>
  <c r="X96" i="29"/>
  <c r="X94" i="29"/>
  <c r="X97" i="29"/>
  <c r="X93" i="29"/>
  <c r="W326" i="29"/>
  <c r="W92" i="29"/>
  <c r="W163" i="29"/>
  <c r="W36" i="29"/>
  <c r="W284" i="29"/>
  <c r="V276" i="29"/>
  <c r="V17" i="29" s="1"/>
  <c r="V9" i="29" s="1"/>
  <c r="V68" i="8" s="1"/>
  <c r="W43" i="29"/>
  <c r="W85" i="29"/>
  <c r="X25" i="37"/>
  <c r="X336" i="29"/>
  <c r="X337" i="29"/>
  <c r="X338" i="29"/>
  <c r="X334" i="29"/>
  <c r="X249" i="29"/>
  <c r="X169" i="29"/>
  <c r="X252" i="29"/>
  <c r="X250" i="29"/>
  <c r="X251" i="29"/>
  <c r="X168" i="29"/>
  <c r="X253" i="29"/>
  <c r="X335" i="29"/>
  <c r="X167" i="29"/>
  <c r="X254" i="29"/>
  <c r="X164" i="29"/>
  <c r="X165" i="29"/>
  <c r="X81" i="29"/>
  <c r="X339" i="29"/>
  <c r="X166" i="29"/>
  <c r="X83" i="29"/>
  <c r="X82" i="29"/>
  <c r="X79" i="29"/>
  <c r="X80" i="29"/>
  <c r="X84" i="29"/>
  <c r="X20" i="37"/>
  <c r="X303" i="29"/>
  <c r="X299" i="29"/>
  <c r="X215" i="29"/>
  <c r="X217" i="29"/>
  <c r="X216" i="29"/>
  <c r="X301" i="29"/>
  <c r="X302" i="29"/>
  <c r="X300" i="29"/>
  <c r="X45" i="29"/>
  <c r="X218" i="29"/>
  <c r="X133" i="29"/>
  <c r="X304" i="29"/>
  <c r="X214" i="29"/>
  <c r="X131" i="29"/>
  <c r="X129" i="29"/>
  <c r="X132" i="29"/>
  <c r="X47" i="29"/>
  <c r="X134" i="29"/>
  <c r="X49" i="29"/>
  <c r="X130" i="29"/>
  <c r="X219" i="29"/>
  <c r="X44" i="29"/>
  <c r="X46" i="29"/>
  <c r="X48" i="29"/>
  <c r="W291" i="29"/>
  <c r="X19" i="37"/>
  <c r="X292" i="29"/>
  <c r="X296" i="29"/>
  <c r="X211" i="29"/>
  <c r="X295" i="29"/>
  <c r="X207" i="29"/>
  <c r="X208" i="29"/>
  <c r="X209" i="29"/>
  <c r="X297" i="29"/>
  <c r="X294" i="29"/>
  <c r="X212" i="29"/>
  <c r="X210" i="29"/>
  <c r="X293" i="29"/>
  <c r="X126" i="29"/>
  <c r="X123" i="29"/>
  <c r="X124" i="29"/>
  <c r="X122" i="29"/>
  <c r="X41" i="29"/>
  <c r="X40" i="29"/>
  <c r="X125" i="29"/>
  <c r="X42" i="29"/>
  <c r="X38" i="29"/>
  <c r="X37" i="29"/>
  <c r="X39" i="29"/>
  <c r="X127" i="29"/>
  <c r="W248" i="29"/>
  <c r="W220" i="29"/>
  <c r="W57" i="29"/>
  <c r="W135" i="29"/>
  <c r="W305" i="29"/>
  <c r="W71" i="29"/>
  <c r="W192" i="29"/>
  <c r="W99" i="29"/>
  <c r="W312" i="29"/>
  <c r="W156" i="29"/>
  <c r="W50" i="29"/>
  <c r="W347" i="29"/>
  <c r="U5" i="29"/>
  <c r="X26" i="37"/>
  <c r="X345" i="29"/>
  <c r="X341" i="29"/>
  <c r="X344" i="29"/>
  <c r="X343" i="29"/>
  <c r="X260" i="29"/>
  <c r="X176" i="29"/>
  <c r="X91" i="29"/>
  <c r="X342" i="29"/>
  <c r="X259" i="29"/>
  <c r="X346" i="29"/>
  <c r="X258" i="29"/>
  <c r="X175" i="29"/>
  <c r="X257" i="29"/>
  <c r="X256" i="29"/>
  <c r="X261" i="29"/>
  <c r="X171" i="29"/>
  <c r="X90" i="29"/>
  <c r="X87" i="29"/>
  <c r="X173" i="29"/>
  <c r="X174" i="29"/>
  <c r="X88" i="29"/>
  <c r="X86" i="29"/>
  <c r="X172" i="29"/>
  <c r="X89" i="29"/>
  <c r="W234" i="29"/>
  <c r="W64" i="29"/>
  <c r="W206" i="29"/>
  <c r="W354" i="29"/>
  <c r="U18" i="29"/>
  <c r="U14" i="2" s="1"/>
  <c r="E42" i="12" l="1"/>
  <c r="E16" i="12" s="1"/>
  <c r="E5" i="12"/>
  <c r="E15" i="2" s="1"/>
  <c r="E13" i="13"/>
  <c r="E65" i="8"/>
  <c r="E9" i="8" s="1"/>
  <c r="E33" i="12" s="1"/>
  <c r="E43" i="12"/>
  <c r="E17" i="12" s="1"/>
  <c r="E24" i="28"/>
  <c r="E25" i="28"/>
  <c r="E23" i="28"/>
  <c r="E19" i="28"/>
  <c r="E22" i="28"/>
  <c r="E21" i="28"/>
  <c r="E20" i="28"/>
  <c r="E18" i="28"/>
  <c r="F63" i="8"/>
  <c r="S61" i="8"/>
  <c r="S59" i="8" s="1"/>
  <c r="S7" i="8" s="1"/>
  <c r="S31" i="12" s="1"/>
  <c r="S13" i="2"/>
  <c r="T38" i="9"/>
  <c r="T25" i="9"/>
  <c r="T22" i="10" s="1"/>
  <c r="T33" i="10" s="1"/>
  <c r="V21" i="8"/>
  <c r="U15" i="8"/>
  <c r="V47" i="18"/>
  <c r="V11" i="18" s="1"/>
  <c r="V22" i="8"/>
  <c r="V31" i="18"/>
  <c r="V20" i="8"/>
  <c r="V43" i="18"/>
  <c r="V10" i="18" s="1"/>
  <c r="S69" i="8"/>
  <c r="S10" i="8" s="1"/>
  <c r="S34" i="12" s="1"/>
  <c r="T5" i="8"/>
  <c r="T29" i="12" s="1"/>
  <c r="T73" i="8"/>
  <c r="V17" i="8"/>
  <c r="V18" i="18"/>
  <c r="V6" i="18" s="1"/>
  <c r="V18" i="8"/>
  <c r="V22" i="18"/>
  <c r="V7" i="18" s="1"/>
  <c r="W54" i="18"/>
  <c r="W45" i="18"/>
  <c r="W36" i="18"/>
  <c r="W41" i="18"/>
  <c r="W23" i="18"/>
  <c r="W58" i="18"/>
  <c r="W42" i="18"/>
  <c r="W32" i="18"/>
  <c r="W50" i="18"/>
  <c r="W34" i="18"/>
  <c r="W25" i="18"/>
  <c r="W20" i="18"/>
  <c r="W52" i="18"/>
  <c r="W28" i="18"/>
  <c r="W24" i="18"/>
  <c r="W46" i="18"/>
  <c r="W21" i="18"/>
  <c r="W48" i="18"/>
  <c r="W40" i="18"/>
  <c r="W49" i="18"/>
  <c r="W33" i="18"/>
  <c r="W19" i="18"/>
  <c r="W29" i="18"/>
  <c r="W53" i="18"/>
  <c r="W37" i="18"/>
  <c r="W38" i="18"/>
  <c r="W56" i="18"/>
  <c r="W27" i="18"/>
  <c r="W57" i="18"/>
  <c r="W44" i="18"/>
  <c r="V19" i="8"/>
  <c r="V51" i="18"/>
  <c r="V12" i="18" s="1"/>
  <c r="V23" i="8"/>
  <c r="V55" i="18"/>
  <c r="V13" i="18" s="1"/>
  <c r="V24" i="8"/>
  <c r="V26" i="18"/>
  <c r="V8" i="18" s="1"/>
  <c r="T71" i="8"/>
  <c r="T78" i="8"/>
  <c r="T80" i="8" s="1"/>
  <c r="T75" i="8" s="1"/>
  <c r="V39" i="18"/>
  <c r="V35" i="18"/>
  <c r="U30" i="18"/>
  <c r="U9" i="18" s="1"/>
  <c r="U14" i="18" s="1"/>
  <c r="Y84" i="8"/>
  <c r="Y98" i="8"/>
  <c r="Y103" i="8"/>
  <c r="Y89" i="8"/>
  <c r="Y93" i="8"/>
  <c r="Y107" i="8"/>
  <c r="Y90" i="8"/>
  <c r="Y104" i="8"/>
  <c r="Y87" i="8"/>
  <c r="Y101" i="8"/>
  <c r="Y97" i="8"/>
  <c r="Y83" i="8"/>
  <c r="X96" i="8"/>
  <c r="X25" i="8" s="1"/>
  <c r="Y91" i="8"/>
  <c r="Y105" i="8"/>
  <c r="Y86" i="8"/>
  <c r="Y100" i="8"/>
  <c r="X82" i="8"/>
  <c r="Y85" i="8"/>
  <c r="Y99" i="8"/>
  <c r="Y92" i="8"/>
  <c r="Y106" i="8"/>
  <c r="Y102" i="8"/>
  <c r="Y88" i="8"/>
  <c r="Y94" i="8"/>
  <c r="Y108" i="8"/>
  <c r="V86" i="7"/>
  <c r="V84" i="7"/>
  <c r="V85" i="7"/>
  <c r="U62" i="7"/>
  <c r="U64" i="7" s="1"/>
  <c r="U14" i="7" s="1"/>
  <c r="U82" i="7"/>
  <c r="R23" i="12"/>
  <c r="Z728" i="1"/>
  <c r="Y51" i="7"/>
  <c r="Y54" i="7"/>
  <c r="T66" i="7"/>
  <c r="T68" i="7"/>
  <c r="T67" i="7"/>
  <c r="S65" i="7"/>
  <c r="Q89" i="7"/>
  <c r="S90" i="7"/>
  <c r="S91" i="7"/>
  <c r="R89" i="7"/>
  <c r="T10" i="29"/>
  <c r="T82" i="7"/>
  <c r="Q5" i="7"/>
  <c r="U10" i="29"/>
  <c r="W21" i="29"/>
  <c r="W14" i="29" s="1"/>
  <c r="W6" i="29" s="1"/>
  <c r="X36" i="29"/>
  <c r="X262" i="29"/>
  <c r="X121" i="29"/>
  <c r="X305" i="29"/>
  <c r="X78" i="29"/>
  <c r="X291" i="29"/>
  <c r="X213" i="29"/>
  <c r="X192" i="29"/>
  <c r="W106" i="29"/>
  <c r="W15" i="29" s="1"/>
  <c r="W7" i="29" s="1"/>
  <c r="Y19" i="37"/>
  <c r="Y297" i="29"/>
  <c r="Y294" i="29"/>
  <c r="Y209" i="29"/>
  <c r="Y292" i="29"/>
  <c r="Y210" i="29"/>
  <c r="Y208" i="29"/>
  <c r="Y293" i="29"/>
  <c r="Y296" i="29"/>
  <c r="Y207" i="29"/>
  <c r="Y125" i="29"/>
  <c r="Y211" i="29"/>
  <c r="Y123" i="29"/>
  <c r="Y295" i="29"/>
  <c r="Y42" i="29"/>
  <c r="Y124" i="29"/>
  <c r="Y41" i="29"/>
  <c r="Y122" i="29"/>
  <c r="Y40" i="29"/>
  <c r="Y127" i="29"/>
  <c r="Y126" i="29"/>
  <c r="Y38" i="29"/>
  <c r="Y37" i="29"/>
  <c r="Y212" i="29"/>
  <c r="Y39" i="29"/>
  <c r="Y27" i="37"/>
  <c r="Y350" i="29"/>
  <c r="Y351" i="29"/>
  <c r="Y348" i="29"/>
  <c r="Y352" i="29"/>
  <c r="Y183" i="29"/>
  <c r="Y266" i="29"/>
  <c r="Y353" i="29"/>
  <c r="Y179" i="29"/>
  <c r="Y267" i="29"/>
  <c r="Y263" i="29"/>
  <c r="Y94" i="29"/>
  <c r="Y98" i="29"/>
  <c r="Y178" i="29"/>
  <c r="Y264" i="29"/>
  <c r="Y181" i="29"/>
  <c r="Y349" i="29"/>
  <c r="Y265" i="29"/>
  <c r="Y180" i="29"/>
  <c r="Y268" i="29"/>
  <c r="Y93" i="29"/>
  <c r="Y97" i="29"/>
  <c r="Y96" i="29"/>
  <c r="Y95" i="29"/>
  <c r="Y182" i="29"/>
  <c r="Y24" i="37"/>
  <c r="Y330" i="29"/>
  <c r="Y328" i="29"/>
  <c r="Y329" i="29"/>
  <c r="Y327" i="29"/>
  <c r="Y243" i="29"/>
  <c r="Y162" i="29"/>
  <c r="Y157" i="29"/>
  <c r="Y331" i="29"/>
  <c r="Y332" i="29"/>
  <c r="Y246" i="29"/>
  <c r="Y242" i="29"/>
  <c r="Y160" i="29"/>
  <c r="Y72" i="29"/>
  <c r="Y244" i="29"/>
  <c r="Y158" i="29"/>
  <c r="Y159" i="29"/>
  <c r="Y245" i="29"/>
  <c r="Y247" i="29"/>
  <c r="Y76" i="29"/>
  <c r="Y73" i="29"/>
  <c r="Y161" i="29"/>
  <c r="Y77" i="29"/>
  <c r="Y74" i="29"/>
  <c r="Y75" i="29"/>
  <c r="Y21" i="37"/>
  <c r="Y309" i="29"/>
  <c r="Y222" i="29"/>
  <c r="Y306" i="29"/>
  <c r="Y137" i="29"/>
  <c r="Y311" i="29"/>
  <c r="Y308" i="29"/>
  <c r="Y310" i="29"/>
  <c r="Y221" i="29"/>
  <c r="Y141" i="29"/>
  <c r="Y225" i="29"/>
  <c r="Y224" i="29"/>
  <c r="Y307" i="29"/>
  <c r="Y140" i="29"/>
  <c r="Y223" i="29"/>
  <c r="Y52" i="29"/>
  <c r="Y51" i="29"/>
  <c r="Y139" i="29"/>
  <c r="Y138" i="29"/>
  <c r="Y136" i="29"/>
  <c r="Y226" i="29"/>
  <c r="Y54" i="29"/>
  <c r="Y55" i="29"/>
  <c r="Y53" i="29"/>
  <c r="Y56" i="29"/>
  <c r="X234" i="29"/>
  <c r="Y26" i="37"/>
  <c r="Y343" i="29"/>
  <c r="Y345" i="29"/>
  <c r="Y344" i="29"/>
  <c r="Y342" i="29"/>
  <c r="Y259" i="29"/>
  <c r="Y173" i="29"/>
  <c r="Y257" i="29"/>
  <c r="Y346" i="29"/>
  <c r="Y341" i="29"/>
  <c r="Y256" i="29"/>
  <c r="Y86" i="29"/>
  <c r="Y261" i="29"/>
  <c r="Y87" i="29"/>
  <c r="Y175" i="29"/>
  <c r="Y90" i="29"/>
  <c r="Y260" i="29"/>
  <c r="Y172" i="29"/>
  <c r="Y258" i="29"/>
  <c r="Y174" i="29"/>
  <c r="Y88" i="29"/>
  <c r="Y89" i="29"/>
  <c r="Y171" i="29"/>
  <c r="Y91" i="29"/>
  <c r="Y176" i="29"/>
  <c r="X43" i="29"/>
  <c r="X92" i="29"/>
  <c r="X50" i="29"/>
  <c r="X269" i="29"/>
  <c r="X255" i="29"/>
  <c r="X135" i="29"/>
  <c r="X29" i="29"/>
  <c r="X57" i="29"/>
  <c r="Y20" i="37"/>
  <c r="Y300" i="29"/>
  <c r="Y299" i="29"/>
  <c r="Y302" i="29"/>
  <c r="Y216" i="29"/>
  <c r="Y301" i="29"/>
  <c r="Y214" i="29"/>
  <c r="Y303" i="29"/>
  <c r="Y217" i="29"/>
  <c r="Y218" i="29"/>
  <c r="Y304" i="29"/>
  <c r="Y131" i="29"/>
  <c r="Y219" i="29"/>
  <c r="Y132" i="29"/>
  <c r="Y129" i="29"/>
  <c r="Y215" i="29"/>
  <c r="Y47" i="29"/>
  <c r="Y130" i="29"/>
  <c r="Y49" i="29"/>
  <c r="Y45" i="29"/>
  <c r="Y48" i="29"/>
  <c r="Y133" i="29"/>
  <c r="Y44" i="29"/>
  <c r="Y46" i="29"/>
  <c r="Y134" i="29"/>
  <c r="X248" i="29"/>
  <c r="X326" i="29"/>
  <c r="X99" i="29"/>
  <c r="X170" i="29"/>
  <c r="X277" i="29"/>
  <c r="X199" i="29"/>
  <c r="X149" i="29"/>
  <c r="X312" i="29"/>
  <c r="X163" i="29"/>
  <c r="X333" i="29"/>
  <c r="X177" i="29"/>
  <c r="X241" i="29"/>
  <c r="X107" i="29"/>
  <c r="X64" i="29"/>
  <c r="X142" i="29"/>
  <c r="Y22" i="37"/>
  <c r="Y317" i="29"/>
  <c r="Y318" i="29"/>
  <c r="Y232" i="29"/>
  <c r="Y146" i="29"/>
  <c r="Y314" i="29"/>
  <c r="Y315" i="29"/>
  <c r="Y316" i="29"/>
  <c r="Y233" i="29"/>
  <c r="Y228" i="29"/>
  <c r="Y229" i="29"/>
  <c r="Y230" i="29"/>
  <c r="Y313" i="29"/>
  <c r="Y143" i="29"/>
  <c r="Y148" i="29"/>
  <c r="Y231" i="29"/>
  <c r="Y63" i="29"/>
  <c r="Y60" i="29"/>
  <c r="Y59" i="29"/>
  <c r="Y147" i="29"/>
  <c r="Y58" i="29"/>
  <c r="Y62" i="29"/>
  <c r="Y61" i="29"/>
  <c r="Y145" i="29"/>
  <c r="Y144" i="29"/>
  <c r="X184" i="29"/>
  <c r="Y28" i="37"/>
  <c r="Y356" i="29"/>
  <c r="Y360" i="29"/>
  <c r="Y355" i="29"/>
  <c r="Y357" i="29"/>
  <c r="Y359" i="29"/>
  <c r="Y271" i="29"/>
  <c r="Y272" i="29"/>
  <c r="Y274" i="29"/>
  <c r="Y100" i="29"/>
  <c r="Y358" i="29"/>
  <c r="Y270" i="29"/>
  <c r="Y273" i="29"/>
  <c r="Y275" i="29"/>
  <c r="Y103" i="29"/>
  <c r="Y187" i="29"/>
  <c r="Y186" i="29"/>
  <c r="Y185" i="29"/>
  <c r="Y101" i="29"/>
  <c r="Y190" i="29"/>
  <c r="Y105" i="29"/>
  <c r="Y104" i="29"/>
  <c r="Y188" i="29"/>
  <c r="Y102" i="29"/>
  <c r="Y189" i="29"/>
  <c r="Y25" i="37"/>
  <c r="Y339" i="29"/>
  <c r="Y335" i="29"/>
  <c r="Y337" i="29"/>
  <c r="Y334" i="29"/>
  <c r="Y336" i="29"/>
  <c r="Y251" i="29"/>
  <c r="Y338" i="29"/>
  <c r="Y253" i="29"/>
  <c r="Y165" i="29"/>
  <c r="Y254" i="29"/>
  <c r="Y250" i="29"/>
  <c r="Y81" i="29"/>
  <c r="Y166" i="29"/>
  <c r="Y252" i="29"/>
  <c r="Y168" i="29"/>
  <c r="Y249" i="29"/>
  <c r="Y169" i="29"/>
  <c r="Y84" i="29"/>
  <c r="Y82" i="29"/>
  <c r="Y83" i="29"/>
  <c r="Y164" i="29"/>
  <c r="Y80" i="29"/>
  <c r="Y167" i="29"/>
  <c r="Y79" i="29"/>
  <c r="X347" i="29"/>
  <c r="X156" i="29"/>
  <c r="X22" i="29"/>
  <c r="X85" i="29"/>
  <c r="X298" i="29"/>
  <c r="X284" i="29"/>
  <c r="X319" i="29"/>
  <c r="W276" i="29"/>
  <c r="W17" i="29" s="1"/>
  <c r="W9" i="29" s="1"/>
  <c r="W68" i="8" s="1"/>
  <c r="V6" i="29"/>
  <c r="V18" i="29"/>
  <c r="V14" i="2" s="1"/>
  <c r="Y282" i="29"/>
  <c r="Y198" i="29"/>
  <c r="Y196" i="29"/>
  <c r="Y193" i="29"/>
  <c r="Y283" i="29"/>
  <c r="Y280" i="29"/>
  <c r="Y281" i="29"/>
  <c r="Y194" i="29"/>
  <c r="Y279" i="29"/>
  <c r="Y278" i="29"/>
  <c r="Y197" i="29"/>
  <c r="Y112" i="29"/>
  <c r="Y110" i="29"/>
  <c r="Y109" i="29"/>
  <c r="Y26" i="29"/>
  <c r="Y195" i="29"/>
  <c r="Y111" i="29"/>
  <c r="Y113" i="29"/>
  <c r="Y25" i="29"/>
  <c r="Y24" i="29"/>
  <c r="Y27" i="29"/>
  <c r="Y108" i="29"/>
  <c r="Y23" i="29"/>
  <c r="Y28" i="29"/>
  <c r="X340" i="29"/>
  <c r="X220" i="29"/>
  <c r="X71" i="29"/>
  <c r="X354" i="29"/>
  <c r="X206" i="29"/>
  <c r="W191" i="29"/>
  <c r="W16" i="29" s="1"/>
  <c r="W8" i="29" s="1"/>
  <c r="X128" i="29"/>
  <c r="X114" i="29"/>
  <c r="Y289" i="29"/>
  <c r="Y203" i="29"/>
  <c r="Y286" i="29"/>
  <c r="Y202" i="29"/>
  <c r="Y120" i="29"/>
  <c r="Y117" i="29"/>
  <c r="Y290" i="29"/>
  <c r="Y201" i="29"/>
  <c r="Y200" i="29"/>
  <c r="Y204" i="29"/>
  <c r="Y285" i="29"/>
  <c r="Y115" i="29"/>
  <c r="Y288" i="29"/>
  <c r="Y287" i="29"/>
  <c r="Y119" i="29"/>
  <c r="Y116" i="29"/>
  <c r="Y34" i="29"/>
  <c r="Y205" i="29"/>
  <c r="Y31" i="29"/>
  <c r="Y35" i="29"/>
  <c r="Y30" i="29"/>
  <c r="Y118" i="29"/>
  <c r="Y33" i="29"/>
  <c r="Y32" i="29"/>
  <c r="Y23" i="37"/>
  <c r="Y321" i="29"/>
  <c r="Y322" i="29"/>
  <c r="Y325" i="29"/>
  <c r="Y323" i="29"/>
  <c r="Y239" i="29"/>
  <c r="Y320" i="29"/>
  <c r="Y153" i="29"/>
  <c r="Y238" i="29"/>
  <c r="Y240" i="29"/>
  <c r="Y237" i="29"/>
  <c r="Y152" i="29"/>
  <c r="Y236" i="29"/>
  <c r="Y150" i="29"/>
  <c r="Y235" i="29"/>
  <c r="Y155" i="29"/>
  <c r="Y69" i="29"/>
  <c r="Y68" i="29"/>
  <c r="Y65" i="29"/>
  <c r="Y151" i="29"/>
  <c r="Y154" i="29"/>
  <c r="Y66" i="29"/>
  <c r="Y324" i="29"/>
  <c r="Y67" i="29"/>
  <c r="Y70" i="29"/>
  <c r="X227" i="29"/>
  <c r="E25" i="2" l="1"/>
  <c r="E17" i="14"/>
  <c r="E18" i="13"/>
  <c r="E29" i="28"/>
  <c r="E5" i="28"/>
  <c r="E7" i="28"/>
  <c r="E31" i="28"/>
  <c r="E8" i="28"/>
  <c r="E32" i="28"/>
  <c r="E9" i="28"/>
  <c r="E33" i="28"/>
  <c r="E30" i="28"/>
  <c r="E6" i="28"/>
  <c r="E10" i="28"/>
  <c r="E34" i="28"/>
  <c r="E35" i="28"/>
  <c r="E11" i="28"/>
  <c r="E12" i="28"/>
  <c r="E36" i="28"/>
  <c r="U61" i="8"/>
  <c r="U59" i="8" s="1"/>
  <c r="U7" i="8" s="1"/>
  <c r="U31" i="12" s="1"/>
  <c r="U13" i="2"/>
  <c r="T61" i="8"/>
  <c r="T59" i="8" s="1"/>
  <c r="T7" i="8" s="1"/>
  <c r="T31" i="12" s="1"/>
  <c r="T13" i="2"/>
  <c r="W21" i="8"/>
  <c r="U38" i="9"/>
  <c r="U25" i="9"/>
  <c r="U22" i="10" s="1"/>
  <c r="U33" i="10" s="1"/>
  <c r="W26" i="18"/>
  <c r="W8" i="18" s="1"/>
  <c r="V30" i="18"/>
  <c r="V9" i="18" s="1"/>
  <c r="V14" i="18" s="1"/>
  <c r="U78" i="8"/>
  <c r="U80" i="8" s="1"/>
  <c r="U75" i="8" s="1"/>
  <c r="U71" i="8"/>
  <c r="W55" i="18"/>
  <c r="W13" i="18" s="1"/>
  <c r="W24" i="8"/>
  <c r="W51" i="18"/>
  <c r="W12" i="18" s="1"/>
  <c r="W23" i="8"/>
  <c r="W35" i="18"/>
  <c r="V15" i="8"/>
  <c r="T69" i="8"/>
  <c r="T10" i="8" s="1"/>
  <c r="T34" i="12" s="1"/>
  <c r="W17" i="8"/>
  <c r="W18" i="18"/>
  <c r="W6" i="18" s="1"/>
  <c r="W31" i="18"/>
  <c r="W20" i="8"/>
  <c r="X52" i="18"/>
  <c r="X42" i="18"/>
  <c r="X33" i="18"/>
  <c r="X56" i="18"/>
  <c r="X46" i="18"/>
  <c r="X37" i="18"/>
  <c r="X57" i="18"/>
  <c r="X48" i="18"/>
  <c r="X38" i="18"/>
  <c r="X58" i="18"/>
  <c r="X32" i="18"/>
  <c r="X50" i="18"/>
  <c r="X34" i="18"/>
  <c r="X25" i="18"/>
  <c r="X20" i="18"/>
  <c r="X44" i="18"/>
  <c r="X29" i="18"/>
  <c r="X21" i="18"/>
  <c r="X54" i="18"/>
  <c r="X19" i="18"/>
  <c r="X23" i="18"/>
  <c r="X36" i="18"/>
  <c r="X53" i="18"/>
  <c r="X28" i="18"/>
  <c r="X27" i="18"/>
  <c r="X40" i="18"/>
  <c r="X41" i="18"/>
  <c r="X45" i="18"/>
  <c r="X24" i="18"/>
  <c r="X49" i="18"/>
  <c r="W39" i="18"/>
  <c r="W22" i="18"/>
  <c r="W7" i="18" s="1"/>
  <c r="W18" i="8"/>
  <c r="W43" i="18"/>
  <c r="W10" i="18" s="1"/>
  <c r="W47" i="18"/>
  <c r="W11" i="18" s="1"/>
  <c r="W22" i="8"/>
  <c r="W19" i="8"/>
  <c r="U5" i="8"/>
  <c r="U29" i="12" s="1"/>
  <c r="U73" i="8"/>
  <c r="Z90" i="8"/>
  <c r="Z104" i="8"/>
  <c r="Z105" i="8"/>
  <c r="Z91" i="8"/>
  <c r="Y96" i="8"/>
  <c r="Y25" i="8" s="1"/>
  <c r="Z107" i="8"/>
  <c r="Z93" i="8"/>
  <c r="Z85" i="8"/>
  <c r="Z99" i="8"/>
  <c r="Z98" i="8"/>
  <c r="Z84" i="8"/>
  <c r="Z89" i="8"/>
  <c r="Z103" i="8"/>
  <c r="Z83" i="8"/>
  <c r="Z97" i="8"/>
  <c r="Z100" i="8"/>
  <c r="Z86" i="8"/>
  <c r="Z87" i="8"/>
  <c r="Z101" i="8"/>
  <c r="Z94" i="8"/>
  <c r="Z108" i="8"/>
  <c r="Z88" i="8"/>
  <c r="Z102" i="8"/>
  <c r="Z92" i="8"/>
  <c r="Z106" i="8"/>
  <c r="Y82" i="8"/>
  <c r="W84" i="7"/>
  <c r="W85" i="7"/>
  <c r="V83" i="7"/>
  <c r="V62" i="7"/>
  <c r="V64" i="7" s="1"/>
  <c r="V14" i="7" s="1"/>
  <c r="W86" i="7"/>
  <c r="W83" i="7"/>
  <c r="Q23" i="12"/>
  <c r="AA728" i="1"/>
  <c r="Z51" i="7"/>
  <c r="Z54" i="7"/>
  <c r="U68" i="7"/>
  <c r="U67" i="7"/>
  <c r="U66" i="7"/>
  <c r="T65" i="7"/>
  <c r="S89" i="7"/>
  <c r="S5" i="7"/>
  <c r="U88" i="7"/>
  <c r="U16" i="7" s="1"/>
  <c r="U13" i="7" s="1"/>
  <c r="T88" i="7"/>
  <c r="T16" i="7" s="1"/>
  <c r="T13" i="7" s="1"/>
  <c r="V5" i="29"/>
  <c r="Y22" i="29"/>
  <c r="Y92" i="29"/>
  <c r="Y121" i="29"/>
  <c r="Y199" i="29"/>
  <c r="Y354" i="29"/>
  <c r="Y50" i="29"/>
  <c r="Y71" i="29"/>
  <c r="Y142" i="29"/>
  <c r="Y29" i="29"/>
  <c r="Y184" i="29"/>
  <c r="Z22" i="37"/>
  <c r="Z317" i="29"/>
  <c r="Z314" i="29"/>
  <c r="Z315" i="29"/>
  <c r="Z229" i="29"/>
  <c r="Z318" i="29"/>
  <c r="Z313" i="29"/>
  <c r="Z59" i="29"/>
  <c r="Z232" i="29"/>
  <c r="Z231" i="29"/>
  <c r="Z316" i="29"/>
  <c r="Z228" i="29"/>
  <c r="Z230" i="29"/>
  <c r="Z148" i="29"/>
  <c r="Z233" i="29"/>
  <c r="Z146" i="29"/>
  <c r="Z61" i="29"/>
  <c r="Z144" i="29"/>
  <c r="Z147" i="29"/>
  <c r="Z143" i="29"/>
  <c r="Z58" i="29"/>
  <c r="Z62" i="29"/>
  <c r="Z60" i="29"/>
  <c r="Z145" i="29"/>
  <c r="Z63" i="29"/>
  <c r="Y206" i="29"/>
  <c r="Y333" i="29"/>
  <c r="Z21" i="37"/>
  <c r="Z308" i="29"/>
  <c r="Z306" i="29"/>
  <c r="Z310" i="29"/>
  <c r="Z222" i="29"/>
  <c r="Z309" i="29"/>
  <c r="Z307" i="29"/>
  <c r="Z311" i="29"/>
  <c r="Z225" i="29"/>
  <c r="Z226" i="29"/>
  <c r="Z224" i="29"/>
  <c r="Z138" i="29"/>
  <c r="Z223" i="29"/>
  <c r="Z221" i="29"/>
  <c r="Z140" i="29"/>
  <c r="Z56" i="29"/>
  <c r="Z53" i="29"/>
  <c r="Z137" i="29"/>
  <c r="Z139" i="29"/>
  <c r="Z52" i="29"/>
  <c r="Z136" i="29"/>
  <c r="Z141" i="29"/>
  <c r="Z51" i="29"/>
  <c r="Z54" i="29"/>
  <c r="Z55" i="29"/>
  <c r="Y277" i="29"/>
  <c r="Z28" i="37"/>
  <c r="Z357" i="29"/>
  <c r="Z360" i="29"/>
  <c r="Z355" i="29"/>
  <c r="Z359" i="29"/>
  <c r="Z358" i="29"/>
  <c r="Z356" i="29"/>
  <c r="Z275" i="29"/>
  <c r="Z185" i="29"/>
  <c r="Z105" i="29"/>
  <c r="Z274" i="29"/>
  <c r="Z188" i="29"/>
  <c r="Z271" i="29"/>
  <c r="Z273" i="29"/>
  <c r="Z270" i="29"/>
  <c r="Z189" i="29"/>
  <c r="Z100" i="29"/>
  <c r="Z186" i="29"/>
  <c r="Z187" i="29"/>
  <c r="Z103" i="29"/>
  <c r="Z272" i="29"/>
  <c r="Z101" i="29"/>
  <c r="Z190" i="29"/>
  <c r="Z104" i="29"/>
  <c r="Z102" i="29"/>
  <c r="Y312" i="29"/>
  <c r="Y291" i="29"/>
  <c r="Z26" i="37"/>
  <c r="Z344" i="29"/>
  <c r="Z341" i="29"/>
  <c r="Z346" i="29"/>
  <c r="Z260" i="29"/>
  <c r="Z345" i="29"/>
  <c r="Z259" i="29"/>
  <c r="Z175" i="29"/>
  <c r="Z87" i="29"/>
  <c r="Z257" i="29"/>
  <c r="Z176" i="29"/>
  <c r="Z90" i="29"/>
  <c r="Z343" i="29"/>
  <c r="Z256" i="29"/>
  <c r="Z171" i="29"/>
  <c r="Z261" i="29"/>
  <c r="Z173" i="29"/>
  <c r="Z172" i="29"/>
  <c r="Z88" i="29"/>
  <c r="Z86" i="29"/>
  <c r="Z258" i="29"/>
  <c r="Z91" i="29"/>
  <c r="Z342" i="29"/>
  <c r="Z89" i="29"/>
  <c r="Z174" i="29"/>
  <c r="Y107" i="29"/>
  <c r="Y43" i="29"/>
  <c r="Y156" i="29"/>
  <c r="Y64" i="29"/>
  <c r="Y319" i="29"/>
  <c r="X21" i="29"/>
  <c r="X14" i="29" s="1"/>
  <c r="Y213" i="29"/>
  <c r="Y85" i="29"/>
  <c r="Y347" i="29"/>
  <c r="Z19" i="37"/>
  <c r="Z292" i="29"/>
  <c r="Z293" i="29"/>
  <c r="Z297" i="29"/>
  <c r="Z124" i="29"/>
  <c r="Z295" i="29"/>
  <c r="Z210" i="29"/>
  <c r="Z294" i="29"/>
  <c r="Z125" i="29"/>
  <c r="Z211" i="29"/>
  <c r="Z212" i="29"/>
  <c r="Z122" i="29"/>
  <c r="Z207" i="29"/>
  <c r="Z296" i="29"/>
  <c r="Z123" i="29"/>
  <c r="Z209" i="29"/>
  <c r="Z126" i="29"/>
  <c r="Z42" i="29"/>
  <c r="Z208" i="29"/>
  <c r="Z37" i="29"/>
  <c r="Z127" i="29"/>
  <c r="Z40" i="29"/>
  <c r="Z39" i="29"/>
  <c r="Z38" i="29"/>
  <c r="Z41" i="29"/>
  <c r="Y227" i="29"/>
  <c r="Z25" i="37"/>
  <c r="Z334" i="29"/>
  <c r="Z339" i="29"/>
  <c r="Z337" i="29"/>
  <c r="Z167" i="29"/>
  <c r="Z336" i="29"/>
  <c r="Z253" i="29"/>
  <c r="Z250" i="29"/>
  <c r="Z254" i="29"/>
  <c r="Z335" i="29"/>
  <c r="Z338" i="29"/>
  <c r="Z252" i="29"/>
  <c r="Z166" i="29"/>
  <c r="Z164" i="29"/>
  <c r="Z168" i="29"/>
  <c r="Z165" i="29"/>
  <c r="Z82" i="29"/>
  <c r="Z251" i="29"/>
  <c r="Z81" i="29"/>
  <c r="Z249" i="29"/>
  <c r="Z84" i="29"/>
  <c r="Z79" i="29"/>
  <c r="Z169" i="29"/>
  <c r="Z83" i="29"/>
  <c r="Z80" i="29"/>
  <c r="Z288" i="29"/>
  <c r="Z286" i="29"/>
  <c r="Z115" i="29"/>
  <c r="Z287" i="29"/>
  <c r="Z204" i="29"/>
  <c r="Z289" i="29"/>
  <c r="Z290" i="29"/>
  <c r="Z285" i="29"/>
  <c r="Z120" i="29"/>
  <c r="Z202" i="29"/>
  <c r="Z118" i="29"/>
  <c r="Z116" i="29"/>
  <c r="Z117" i="29"/>
  <c r="Z203" i="29"/>
  <c r="Z201" i="29"/>
  <c r="Z35" i="29"/>
  <c r="Z30" i="29"/>
  <c r="Z33" i="29"/>
  <c r="Z205" i="29"/>
  <c r="Z32" i="29"/>
  <c r="Z119" i="29"/>
  <c r="Z200" i="29"/>
  <c r="Z34" i="29"/>
  <c r="Z31" i="29"/>
  <c r="Y192" i="29"/>
  <c r="Y57" i="29"/>
  <c r="Y340" i="29"/>
  <c r="X191" i="29"/>
  <c r="X16" i="29" s="1"/>
  <c r="X8" i="29" s="1"/>
  <c r="Y114" i="29"/>
  <c r="Y78" i="29"/>
  <c r="Y170" i="29"/>
  <c r="Z27" i="37"/>
  <c r="Z350" i="29"/>
  <c r="Z349" i="29"/>
  <c r="Z353" i="29"/>
  <c r="Z352" i="29"/>
  <c r="Z266" i="29"/>
  <c r="Z265" i="29"/>
  <c r="Z351" i="29"/>
  <c r="Z263" i="29"/>
  <c r="Z178" i="29"/>
  <c r="Z348" i="29"/>
  <c r="Z268" i="29"/>
  <c r="Z179" i="29"/>
  <c r="Z98" i="29"/>
  <c r="Z264" i="29"/>
  <c r="Z180" i="29"/>
  <c r="Z95" i="29"/>
  <c r="Z267" i="29"/>
  <c r="Z183" i="29"/>
  <c r="Z93" i="29"/>
  <c r="Z94" i="29"/>
  <c r="Z181" i="29"/>
  <c r="Z96" i="29"/>
  <c r="Z182" i="29"/>
  <c r="Z97" i="29"/>
  <c r="Y269" i="29"/>
  <c r="Y255" i="29"/>
  <c r="Y135" i="29"/>
  <c r="Y177" i="29"/>
  <c r="Y248" i="29"/>
  <c r="Y99" i="29"/>
  <c r="Y220" i="29"/>
  <c r="X276" i="29"/>
  <c r="X17" i="29" s="1"/>
  <c r="X9" i="29" s="1"/>
  <c r="X68" i="8" s="1"/>
  <c r="Y298" i="29"/>
  <c r="Y326" i="29"/>
  <c r="W5" i="29"/>
  <c r="X106" i="29"/>
  <c r="X15" i="29" s="1"/>
  <c r="X7" i="29" s="1"/>
  <c r="Y262" i="29"/>
  <c r="Z23" i="37"/>
  <c r="Z325" i="29"/>
  <c r="Z322" i="29"/>
  <c r="Z324" i="29"/>
  <c r="Z320" i="29"/>
  <c r="Z235" i="29"/>
  <c r="Z323" i="29"/>
  <c r="Z240" i="29"/>
  <c r="Z321" i="29"/>
  <c r="Z155" i="29"/>
  <c r="Z68" i="29"/>
  <c r="Z150" i="29"/>
  <c r="Z237" i="29"/>
  <c r="Z239" i="29"/>
  <c r="Z65" i="29"/>
  <c r="Z238" i="29"/>
  <c r="Z151" i="29"/>
  <c r="Z236" i="29"/>
  <c r="Z69" i="29"/>
  <c r="Z153" i="29"/>
  <c r="Z154" i="29"/>
  <c r="Z152" i="29"/>
  <c r="Z66" i="29"/>
  <c r="Z70" i="29"/>
  <c r="Z67" i="29"/>
  <c r="Y284" i="29"/>
  <c r="Y149" i="29"/>
  <c r="Y234" i="29"/>
  <c r="Z280" i="29"/>
  <c r="Z281" i="29"/>
  <c r="Z278" i="29"/>
  <c r="Z110" i="29"/>
  <c r="Z279" i="29"/>
  <c r="Z195" i="29"/>
  <c r="Z198" i="29"/>
  <c r="Z193" i="29"/>
  <c r="Z109" i="29"/>
  <c r="Z194" i="29"/>
  <c r="Z196" i="29"/>
  <c r="Z283" i="29"/>
  <c r="Z197" i="29"/>
  <c r="Z112" i="29"/>
  <c r="Z108" i="29"/>
  <c r="Z25" i="29"/>
  <c r="Z24" i="29"/>
  <c r="Z28" i="29"/>
  <c r="Z23" i="29"/>
  <c r="Z111" i="29"/>
  <c r="Z282" i="29"/>
  <c r="Z27" i="29"/>
  <c r="Z113" i="29"/>
  <c r="Z26" i="29"/>
  <c r="Y163" i="29"/>
  <c r="Y128" i="29"/>
  <c r="Z20" i="37"/>
  <c r="Z299" i="29"/>
  <c r="Z304" i="29"/>
  <c r="Z303" i="29"/>
  <c r="Z300" i="29"/>
  <c r="Z131" i="29"/>
  <c r="Z302" i="29"/>
  <c r="Z301" i="29"/>
  <c r="Z215" i="29"/>
  <c r="Z216" i="29"/>
  <c r="Z132" i="29"/>
  <c r="Z219" i="29"/>
  <c r="Z214" i="29"/>
  <c r="Z129" i="29"/>
  <c r="Z218" i="29"/>
  <c r="Z134" i="29"/>
  <c r="Z47" i="29"/>
  <c r="Z44" i="29"/>
  <c r="Z133" i="29"/>
  <c r="Z49" i="29"/>
  <c r="Z45" i="29"/>
  <c r="Z46" i="29"/>
  <c r="Z217" i="29"/>
  <c r="Z130" i="29"/>
  <c r="Z48" i="29"/>
  <c r="Y305" i="29"/>
  <c r="Y241" i="29"/>
  <c r="Z24" i="37"/>
  <c r="Z328" i="29"/>
  <c r="Z332" i="29"/>
  <c r="Z329" i="29"/>
  <c r="Z245" i="29"/>
  <c r="Z330" i="29"/>
  <c r="Z247" i="29"/>
  <c r="Z327" i="29"/>
  <c r="Z243" i="29"/>
  <c r="Z161" i="29"/>
  <c r="Z157" i="29"/>
  <c r="Z77" i="29"/>
  <c r="Z331" i="29"/>
  <c r="Z242" i="29"/>
  <c r="Z246" i="29"/>
  <c r="Z158" i="29"/>
  <c r="Z160" i="29"/>
  <c r="Z162" i="29"/>
  <c r="Z244" i="29"/>
  <c r="Z76" i="29"/>
  <c r="Z73" i="29"/>
  <c r="Z159" i="29"/>
  <c r="Z75" i="29"/>
  <c r="Z74" i="29"/>
  <c r="Z72" i="29"/>
  <c r="Y36" i="29"/>
  <c r="W18" i="29"/>
  <c r="W14" i="2" s="1"/>
  <c r="E13" i="28" l="1"/>
  <c r="E28" i="28"/>
  <c r="E31" i="2" s="1"/>
  <c r="V38" i="9"/>
  <c r="V25" i="9"/>
  <c r="V22" i="10" s="1"/>
  <c r="V33" i="10" s="1"/>
  <c r="X39" i="18"/>
  <c r="X22" i="18"/>
  <c r="X7" i="18" s="1"/>
  <c r="X51" i="18"/>
  <c r="X12" i="18" s="1"/>
  <c r="X23" i="8"/>
  <c r="W30" i="18"/>
  <c r="W9" i="18" s="1"/>
  <c r="W14" i="18" s="1"/>
  <c r="X26" i="18"/>
  <c r="X8" i="18" s="1"/>
  <c r="X19" i="8"/>
  <c r="X31" i="18"/>
  <c r="X20" i="8"/>
  <c r="W15" i="8"/>
  <c r="V78" i="8"/>
  <c r="V80" i="8" s="1"/>
  <c r="V75" i="8" s="1"/>
  <c r="V71" i="8"/>
  <c r="X35" i="18"/>
  <c r="X47" i="18"/>
  <c r="X11" i="18" s="1"/>
  <c r="X22" i="8"/>
  <c r="V73" i="8"/>
  <c r="V5" i="8"/>
  <c r="V29" i="12" s="1"/>
  <c r="X18" i="8"/>
  <c r="X24" i="8"/>
  <c r="X55" i="18"/>
  <c r="X13" i="18" s="1"/>
  <c r="U69" i="8"/>
  <c r="U10" i="8" s="1"/>
  <c r="U34" i="12" s="1"/>
  <c r="X18" i="18"/>
  <c r="X6" i="18" s="1"/>
  <c r="X17" i="8"/>
  <c r="Y52" i="18"/>
  <c r="Y42" i="18"/>
  <c r="Y33" i="18"/>
  <c r="Y50" i="18"/>
  <c r="Y34" i="18"/>
  <c r="Y25" i="18"/>
  <c r="Y20" i="18"/>
  <c r="Y44" i="18"/>
  <c r="Y29" i="18"/>
  <c r="Y36" i="18"/>
  <c r="Y54" i="18"/>
  <c r="Y46" i="18"/>
  <c r="Y38" i="18"/>
  <c r="Y27" i="18"/>
  <c r="Y49" i="18"/>
  <c r="Y32" i="18"/>
  <c r="Y53" i="18"/>
  <c r="Y37" i="18"/>
  <c r="Y28" i="18"/>
  <c r="Y21" i="18"/>
  <c r="Y56" i="18"/>
  <c r="Y40" i="18"/>
  <c r="Y19" i="18"/>
  <c r="Y57" i="18"/>
  <c r="Y41" i="18"/>
  <c r="Y58" i="18"/>
  <c r="Y23" i="18"/>
  <c r="Y45" i="18"/>
  <c r="Y24" i="18"/>
  <c r="Y48" i="18"/>
  <c r="X43" i="18"/>
  <c r="X10" i="18" s="1"/>
  <c r="X21" i="8"/>
  <c r="Z82" i="8"/>
  <c r="AA93" i="8"/>
  <c r="AA107" i="8"/>
  <c r="AA91" i="8"/>
  <c r="AA105" i="8"/>
  <c r="AA88" i="8"/>
  <c r="AA102" i="8"/>
  <c r="AA84" i="8"/>
  <c r="AA98" i="8"/>
  <c r="AA94" i="8"/>
  <c r="AA108" i="8"/>
  <c r="AA83" i="8"/>
  <c r="AA97" i="8"/>
  <c r="AA92" i="8"/>
  <c r="AA106" i="8"/>
  <c r="AA90" i="8"/>
  <c r="AA104" i="8"/>
  <c r="AA89" i="8"/>
  <c r="AA103" i="8"/>
  <c r="AA85" i="8"/>
  <c r="AA99" i="8"/>
  <c r="AA87" i="8"/>
  <c r="AA101" i="8"/>
  <c r="AA86" i="8"/>
  <c r="AA100" i="8"/>
  <c r="Z96" i="8"/>
  <c r="Z25" i="8" s="1"/>
  <c r="X86" i="7"/>
  <c r="X85" i="7"/>
  <c r="X84" i="7"/>
  <c r="W82" i="7"/>
  <c r="W62" i="7"/>
  <c r="W64" i="7" s="1"/>
  <c r="W14" i="7" s="1"/>
  <c r="S23" i="12"/>
  <c r="U65" i="7"/>
  <c r="AA54" i="7"/>
  <c r="AB728" i="1"/>
  <c r="AA51" i="7"/>
  <c r="V67" i="7"/>
  <c r="V68" i="7"/>
  <c r="V66" i="7"/>
  <c r="T90" i="7"/>
  <c r="T91" i="7"/>
  <c r="U90" i="7"/>
  <c r="U91" i="7"/>
  <c r="V10" i="29"/>
  <c r="V82" i="7"/>
  <c r="W10" i="29"/>
  <c r="Y21" i="29"/>
  <c r="Y14" i="29" s="1"/>
  <c r="Y6" i="29" s="1"/>
  <c r="Z319" i="29"/>
  <c r="Z135" i="29"/>
  <c r="Z305" i="29"/>
  <c r="Z298" i="29"/>
  <c r="Z22" i="29"/>
  <c r="Z206" i="29"/>
  <c r="Z192" i="29"/>
  <c r="Z78" i="29"/>
  <c r="Z50" i="29"/>
  <c r="AA201" i="29"/>
  <c r="AA290" i="29"/>
  <c r="AA120" i="29"/>
  <c r="AA286" i="29"/>
  <c r="AA288" i="29"/>
  <c r="AA202" i="29"/>
  <c r="AA117" i="29"/>
  <c r="AA200" i="29"/>
  <c r="AA203" i="29"/>
  <c r="AA287" i="29"/>
  <c r="AA285" i="29"/>
  <c r="AA204" i="29"/>
  <c r="AA289" i="29"/>
  <c r="AA115" i="29"/>
  <c r="AA118" i="29"/>
  <c r="AA116" i="29"/>
  <c r="AA205" i="29"/>
  <c r="AA32" i="29"/>
  <c r="AA119" i="29"/>
  <c r="AA30" i="29"/>
  <c r="AA34" i="29"/>
  <c r="AA33" i="29"/>
  <c r="AA35" i="29"/>
  <c r="AA31" i="29"/>
  <c r="AA28" i="37"/>
  <c r="AB28" i="37" s="1"/>
  <c r="AA273" i="29"/>
  <c r="AA190" i="29"/>
  <c r="AA359" i="29"/>
  <c r="AA356" i="29"/>
  <c r="AA355" i="29"/>
  <c r="AA188" i="29"/>
  <c r="AA357" i="29"/>
  <c r="AA275" i="29"/>
  <c r="AA360" i="29"/>
  <c r="AA272" i="29"/>
  <c r="AA103" i="29"/>
  <c r="AA274" i="29"/>
  <c r="AA187" i="29"/>
  <c r="AA271" i="29"/>
  <c r="AA185" i="29"/>
  <c r="AA270" i="29"/>
  <c r="AA189" i="29"/>
  <c r="AA358" i="29"/>
  <c r="AA101" i="29"/>
  <c r="AA100" i="29"/>
  <c r="AA102" i="29"/>
  <c r="AA105" i="29"/>
  <c r="AA104" i="29"/>
  <c r="AA186" i="29"/>
  <c r="AA24" i="37"/>
  <c r="AB24" i="37" s="1"/>
  <c r="AA328" i="29"/>
  <c r="AA332" i="29"/>
  <c r="AA329" i="29"/>
  <c r="AA331" i="29"/>
  <c r="AA327" i="29"/>
  <c r="AA158" i="29"/>
  <c r="AA244" i="29"/>
  <c r="AA246" i="29"/>
  <c r="AA247" i="29"/>
  <c r="AA245" i="29"/>
  <c r="AA243" i="29"/>
  <c r="AA162" i="29"/>
  <c r="AA330" i="29"/>
  <c r="AA242" i="29"/>
  <c r="AA160" i="29"/>
  <c r="AA74" i="29"/>
  <c r="AA161" i="29"/>
  <c r="AA157" i="29"/>
  <c r="AA77" i="29"/>
  <c r="AA76" i="29"/>
  <c r="AA73" i="29"/>
  <c r="AA72" i="29"/>
  <c r="AA75" i="29"/>
  <c r="AA159" i="29"/>
  <c r="Z128" i="29"/>
  <c r="Z177" i="29"/>
  <c r="Z170" i="29"/>
  <c r="AA26" i="37"/>
  <c r="AB26" i="37" s="1"/>
  <c r="AA344" i="29"/>
  <c r="AA345" i="29"/>
  <c r="AA346" i="29"/>
  <c r="AA342" i="29"/>
  <c r="AA256" i="29"/>
  <c r="AA341" i="29"/>
  <c r="AA173" i="29"/>
  <c r="AA261" i="29"/>
  <c r="AA172" i="29"/>
  <c r="AA260" i="29"/>
  <c r="AA258" i="29"/>
  <c r="AA257" i="29"/>
  <c r="AA176" i="29"/>
  <c r="AA174" i="29"/>
  <c r="AA175" i="29"/>
  <c r="AA343" i="29"/>
  <c r="AA88" i="29"/>
  <c r="AA259" i="29"/>
  <c r="AA86" i="29"/>
  <c r="AA90" i="29"/>
  <c r="AA87" i="29"/>
  <c r="AA91" i="29"/>
  <c r="AA171" i="29"/>
  <c r="AA89" i="29"/>
  <c r="Y276" i="29"/>
  <c r="Y17" i="29" s="1"/>
  <c r="Y9" i="29" s="1"/>
  <c r="Y68" i="8" s="1"/>
  <c r="Z149" i="29"/>
  <c r="Z326" i="29"/>
  <c r="Y191" i="29"/>
  <c r="Y16" i="29" s="1"/>
  <c r="Y8" i="29" s="1"/>
  <c r="Y106" i="29"/>
  <c r="Y15" i="29" s="1"/>
  <c r="Y7" i="29" s="1"/>
  <c r="Z71" i="29"/>
  <c r="Z156" i="29"/>
  <c r="Z92" i="29"/>
  <c r="Z57" i="29"/>
  <c r="Z199" i="29"/>
  <c r="Z255" i="29"/>
  <c r="Z142" i="29"/>
  <c r="Z227" i="29"/>
  <c r="AA20" i="37"/>
  <c r="AB20" i="37" s="1"/>
  <c r="AA300" i="29"/>
  <c r="AA301" i="29"/>
  <c r="AA304" i="29"/>
  <c r="AA216" i="29"/>
  <c r="AA299" i="29"/>
  <c r="AA219" i="29"/>
  <c r="AA132" i="29"/>
  <c r="AA218" i="29"/>
  <c r="AA129" i="29"/>
  <c r="AA46" i="29"/>
  <c r="AA217" i="29"/>
  <c r="AA302" i="29"/>
  <c r="AA214" i="29"/>
  <c r="AA131" i="29"/>
  <c r="AA303" i="29"/>
  <c r="AA215" i="29"/>
  <c r="AA44" i="29"/>
  <c r="AA134" i="29"/>
  <c r="AA48" i="29"/>
  <c r="AA45" i="29"/>
  <c r="AA49" i="29"/>
  <c r="AA47" i="29"/>
  <c r="AA130" i="29"/>
  <c r="AA133" i="29"/>
  <c r="Z248" i="29"/>
  <c r="Z213" i="29"/>
  <c r="Z107" i="29"/>
  <c r="Z347" i="29"/>
  <c r="AA19" i="37"/>
  <c r="AB19" i="37" s="1"/>
  <c r="AA293" i="29"/>
  <c r="AA296" i="29"/>
  <c r="AA297" i="29"/>
  <c r="AA295" i="29"/>
  <c r="AA207" i="29"/>
  <c r="AA212" i="29"/>
  <c r="AA211" i="29"/>
  <c r="AA210" i="29"/>
  <c r="AA209" i="29"/>
  <c r="AA123" i="29"/>
  <c r="AA126" i="29"/>
  <c r="AA292" i="29"/>
  <c r="AA208" i="29"/>
  <c r="AA40" i="29"/>
  <c r="AA294" i="29"/>
  <c r="AA127" i="29"/>
  <c r="AA122" i="29"/>
  <c r="AA125" i="29"/>
  <c r="AA42" i="29"/>
  <c r="AA124" i="29"/>
  <c r="AA41" i="29"/>
  <c r="AA37" i="29"/>
  <c r="AA39" i="29"/>
  <c r="AA38" i="29"/>
  <c r="Z312" i="29"/>
  <c r="Z277" i="29"/>
  <c r="Z234" i="29"/>
  <c r="Z262" i="29"/>
  <c r="AA27" i="37"/>
  <c r="AB27" i="37" s="1"/>
  <c r="AA349" i="29"/>
  <c r="AA351" i="29"/>
  <c r="AA348" i="29"/>
  <c r="AA350" i="29"/>
  <c r="AA179" i="29"/>
  <c r="AA182" i="29"/>
  <c r="AA352" i="29"/>
  <c r="AA263" i="29"/>
  <c r="AA96" i="29"/>
  <c r="AA265" i="29"/>
  <c r="AA266" i="29"/>
  <c r="AA353" i="29"/>
  <c r="AA268" i="29"/>
  <c r="AA181" i="29"/>
  <c r="AA267" i="29"/>
  <c r="AA95" i="29"/>
  <c r="AA183" i="29"/>
  <c r="AA180" i="29"/>
  <c r="AA98" i="29"/>
  <c r="AA93" i="29"/>
  <c r="AA94" i="29"/>
  <c r="AA264" i="29"/>
  <c r="AA178" i="29"/>
  <c r="AA97" i="29"/>
  <c r="Z284" i="29"/>
  <c r="Z291" i="29"/>
  <c r="Z85" i="29"/>
  <c r="Z29" i="29"/>
  <c r="Z114" i="29"/>
  <c r="AA25" i="37"/>
  <c r="AB25" i="37" s="1"/>
  <c r="AA337" i="29"/>
  <c r="AA334" i="29"/>
  <c r="AA338" i="29"/>
  <c r="AA335" i="29"/>
  <c r="AA339" i="29"/>
  <c r="AA336" i="29"/>
  <c r="AA166" i="29"/>
  <c r="AA249" i="29"/>
  <c r="AA169" i="29"/>
  <c r="AA168" i="29"/>
  <c r="AA253" i="29"/>
  <c r="AA251" i="29"/>
  <c r="AA250" i="29"/>
  <c r="AA165" i="29"/>
  <c r="AA167" i="29"/>
  <c r="AA81" i="29"/>
  <c r="AA84" i="29"/>
  <c r="AA164" i="29"/>
  <c r="AA252" i="29"/>
  <c r="AA254" i="29"/>
  <c r="AA80" i="29"/>
  <c r="AA82" i="29"/>
  <c r="AA83" i="29"/>
  <c r="AA79" i="29"/>
  <c r="Z184" i="29"/>
  <c r="AA22" i="37"/>
  <c r="AB22" i="37" s="1"/>
  <c r="AA317" i="29"/>
  <c r="AA314" i="29"/>
  <c r="AA313" i="29"/>
  <c r="AA315" i="29"/>
  <c r="AA233" i="29"/>
  <c r="AA230" i="29"/>
  <c r="AA316" i="29"/>
  <c r="AA318" i="29"/>
  <c r="AA229" i="29"/>
  <c r="AA228" i="29"/>
  <c r="AA146" i="29"/>
  <c r="AA143" i="29"/>
  <c r="AA144" i="29"/>
  <c r="AA148" i="29"/>
  <c r="AA232" i="29"/>
  <c r="AA61" i="29"/>
  <c r="AA58" i="29"/>
  <c r="AA147" i="29"/>
  <c r="AA231" i="29"/>
  <c r="AA145" i="29"/>
  <c r="AA62" i="29"/>
  <c r="AA60" i="29"/>
  <c r="AA59" i="29"/>
  <c r="AA63" i="29"/>
  <c r="Z333" i="29"/>
  <c r="Z220" i="29"/>
  <c r="Z163" i="29"/>
  <c r="Z121" i="29"/>
  <c r="Z99" i="29"/>
  <c r="AA21" i="37"/>
  <c r="AB21" i="37" s="1"/>
  <c r="AA308" i="29"/>
  <c r="AA309" i="29"/>
  <c r="AA311" i="29"/>
  <c r="AA306" i="29"/>
  <c r="AA226" i="29"/>
  <c r="AA310" i="29"/>
  <c r="AA138" i="29"/>
  <c r="AA307" i="29"/>
  <c r="AA225" i="29"/>
  <c r="AA224" i="29"/>
  <c r="AA141" i="29"/>
  <c r="AA55" i="29"/>
  <c r="AA221" i="29"/>
  <c r="AA136" i="29"/>
  <c r="AA140" i="29"/>
  <c r="AA223" i="29"/>
  <c r="AA53" i="29"/>
  <c r="AA222" i="29"/>
  <c r="AA56" i="29"/>
  <c r="AA139" i="29"/>
  <c r="AA137" i="29"/>
  <c r="AA54" i="29"/>
  <c r="AA51" i="29"/>
  <c r="AA52" i="29"/>
  <c r="Z36" i="29"/>
  <c r="Z269" i="29"/>
  <c r="Z241" i="29"/>
  <c r="Z43" i="29"/>
  <c r="AA278" i="29"/>
  <c r="AA197" i="29"/>
  <c r="AA280" i="29"/>
  <c r="AA281" i="29"/>
  <c r="AA193" i="29"/>
  <c r="AA194" i="29"/>
  <c r="AA195" i="29"/>
  <c r="AA283" i="29"/>
  <c r="AA112" i="29"/>
  <c r="AA279" i="29"/>
  <c r="AA196" i="29"/>
  <c r="AA198" i="29"/>
  <c r="AA109" i="29"/>
  <c r="AA24" i="29"/>
  <c r="AA111" i="29"/>
  <c r="AA108" i="29"/>
  <c r="AA27" i="29"/>
  <c r="AA282" i="29"/>
  <c r="AA110" i="29"/>
  <c r="AA113" i="29"/>
  <c r="AA25" i="29"/>
  <c r="AA28" i="29"/>
  <c r="AA23" i="29"/>
  <c r="AA26" i="29"/>
  <c r="Z64" i="29"/>
  <c r="AA23" i="37"/>
  <c r="AB23" i="37" s="1"/>
  <c r="AA323" i="29"/>
  <c r="AA325" i="29"/>
  <c r="AA322" i="29"/>
  <c r="AA320" i="29"/>
  <c r="AA321" i="29"/>
  <c r="AA324" i="29"/>
  <c r="AA235" i="29"/>
  <c r="AA238" i="29"/>
  <c r="AA153" i="29"/>
  <c r="AA150" i="29"/>
  <c r="AA237" i="29"/>
  <c r="AA239" i="29"/>
  <c r="AA236" i="29"/>
  <c r="AA152" i="29"/>
  <c r="AA240" i="29"/>
  <c r="AA155" i="29"/>
  <c r="AA151" i="29"/>
  <c r="AA154" i="29"/>
  <c r="AA69" i="29"/>
  <c r="AA66" i="29"/>
  <c r="AA68" i="29"/>
  <c r="AA65" i="29"/>
  <c r="AA70" i="29"/>
  <c r="AA67" i="29"/>
  <c r="X18" i="29"/>
  <c r="X14" i="2" s="1"/>
  <c r="X6" i="29"/>
  <c r="Z340" i="29"/>
  <c r="Z354" i="29"/>
  <c r="AB29" i="37" l="1"/>
  <c r="E8" i="21"/>
  <c r="E27" i="14"/>
  <c r="E15" i="28"/>
  <c r="E28" i="13" s="1"/>
  <c r="E30" i="2" s="1"/>
  <c r="W61" i="8"/>
  <c r="W59" i="8" s="1"/>
  <c r="W7" i="8" s="1"/>
  <c r="W31" i="12" s="1"/>
  <c r="W13" i="2"/>
  <c r="V61" i="8"/>
  <c r="V59" i="8" s="1"/>
  <c r="V7" i="8" s="1"/>
  <c r="V31" i="12" s="1"/>
  <c r="V13" i="2"/>
  <c r="W38" i="9"/>
  <c r="W25" i="9"/>
  <c r="W22" i="10" s="1"/>
  <c r="W33" i="10" s="1"/>
  <c r="X15" i="8"/>
  <c r="X5" i="8" s="1"/>
  <c r="X29" i="12" s="1"/>
  <c r="Y18" i="8"/>
  <c r="X30" i="18"/>
  <c r="X9" i="18" s="1"/>
  <c r="X14" i="18" s="1"/>
  <c r="W71" i="8"/>
  <c r="W78" i="8"/>
  <c r="W80" i="8" s="1"/>
  <c r="W75" i="8" s="1"/>
  <c r="Y47" i="18"/>
  <c r="Y11" i="18" s="1"/>
  <c r="Y22" i="8"/>
  <c r="Y20" i="8"/>
  <c r="Y31" i="18"/>
  <c r="Y22" i="18"/>
  <c r="Y7" i="18" s="1"/>
  <c r="Y51" i="18"/>
  <c r="Y12" i="18" s="1"/>
  <c r="Y23" i="8"/>
  <c r="Y26" i="18"/>
  <c r="Y8" i="18" s="1"/>
  <c r="Y19" i="8"/>
  <c r="V69" i="8"/>
  <c r="V10" i="8" s="1"/>
  <c r="V34" i="12" s="1"/>
  <c r="W5" i="8"/>
  <c r="W29" i="12" s="1"/>
  <c r="W73" i="8"/>
  <c r="Y35" i="18"/>
  <c r="Y18" i="18"/>
  <c r="Y6" i="18" s="1"/>
  <c r="Y17" i="8"/>
  <c r="Y39" i="18"/>
  <c r="Z58" i="18"/>
  <c r="Z49" i="18"/>
  <c r="Z40" i="18"/>
  <c r="Z29" i="18"/>
  <c r="Z53" i="18"/>
  <c r="Z44" i="18"/>
  <c r="Z34" i="18"/>
  <c r="Z54" i="18"/>
  <c r="Z45" i="18"/>
  <c r="Z36" i="18"/>
  <c r="Z42" i="18"/>
  <c r="Z52" i="18"/>
  <c r="Z38" i="18"/>
  <c r="Z27" i="18"/>
  <c r="Z56" i="18"/>
  <c r="Z57" i="18"/>
  <c r="Z41" i="18"/>
  <c r="Z23" i="18"/>
  <c r="Z50" i="18"/>
  <c r="Z37" i="18"/>
  <c r="Z28" i="18"/>
  <c r="Z21" i="18"/>
  <c r="Z19" i="18"/>
  <c r="Z25" i="18"/>
  <c r="Z20" i="18"/>
  <c r="Z46" i="18"/>
  <c r="Z48" i="18"/>
  <c r="Z32" i="18"/>
  <c r="Z24" i="18"/>
  <c r="Z33" i="18"/>
  <c r="Y43" i="18"/>
  <c r="Y10" i="18" s="1"/>
  <c r="Y21" i="8"/>
  <c r="Y24" i="8"/>
  <c r="Y55" i="18"/>
  <c r="Y13" i="18" s="1"/>
  <c r="AA96" i="8"/>
  <c r="AA25" i="8" s="1"/>
  <c r="AA82" i="8"/>
  <c r="AB94" i="8"/>
  <c r="AB108" i="8"/>
  <c r="AB84" i="8"/>
  <c r="AB98" i="8"/>
  <c r="AB83" i="8"/>
  <c r="AB97" i="8"/>
  <c r="AB92" i="8"/>
  <c r="AB106" i="8"/>
  <c r="AB90" i="8"/>
  <c r="AB104" i="8"/>
  <c r="AB87" i="8"/>
  <c r="AB101" i="8"/>
  <c r="AB89" i="8"/>
  <c r="AB103" i="8"/>
  <c r="AB88" i="8"/>
  <c r="AB102" i="8"/>
  <c r="AB93" i="8"/>
  <c r="AB107" i="8"/>
  <c r="AB85" i="8"/>
  <c r="AB99" i="8"/>
  <c r="AB91" i="8"/>
  <c r="AB105" i="8"/>
  <c r="AB86" i="8"/>
  <c r="AB100" i="8"/>
  <c r="Y84" i="7"/>
  <c r="Y85" i="7"/>
  <c r="Y86" i="7"/>
  <c r="Y83" i="7"/>
  <c r="X83" i="7"/>
  <c r="X62" i="7"/>
  <c r="X64" i="7" s="1"/>
  <c r="X14" i="7" s="1"/>
  <c r="AB54" i="7"/>
  <c r="AB51" i="7"/>
  <c r="AC728" i="1"/>
  <c r="W68" i="7"/>
  <c r="W67" i="7"/>
  <c r="W66" i="7"/>
  <c r="V65" i="7"/>
  <c r="T89" i="7"/>
  <c r="U89" i="7"/>
  <c r="T5" i="7"/>
  <c r="U5" i="7"/>
  <c r="W88" i="7"/>
  <c r="W16" i="7" s="1"/>
  <c r="W13" i="7" s="1"/>
  <c r="V88" i="7"/>
  <c r="V16" i="7" s="1"/>
  <c r="V13" i="7" s="1"/>
  <c r="X5" i="29"/>
  <c r="AA57" i="29"/>
  <c r="AA340" i="29"/>
  <c r="AA135" i="29"/>
  <c r="Z191" i="29"/>
  <c r="Z16" i="29" s="1"/>
  <c r="Z8" i="29" s="1"/>
  <c r="AA43" i="29"/>
  <c r="Z21" i="29"/>
  <c r="Z14" i="29" s="1"/>
  <c r="Z6" i="29" s="1"/>
  <c r="AA213" i="29"/>
  <c r="AB283" i="29"/>
  <c r="AB281" i="29"/>
  <c r="AB195" i="29"/>
  <c r="AB280" i="29"/>
  <c r="AB198" i="29"/>
  <c r="AB278" i="29"/>
  <c r="AB282" i="29"/>
  <c r="AB193" i="29"/>
  <c r="AB279" i="29"/>
  <c r="AB113" i="29"/>
  <c r="AB112" i="29"/>
  <c r="AB110" i="29"/>
  <c r="AB197" i="29"/>
  <c r="AB111" i="29"/>
  <c r="AB108" i="29"/>
  <c r="AB24" i="29"/>
  <c r="AB109" i="29"/>
  <c r="AB28" i="29"/>
  <c r="AB23" i="29"/>
  <c r="AB196" i="29"/>
  <c r="AB27" i="29"/>
  <c r="AB26" i="29"/>
  <c r="AB194" i="29"/>
  <c r="AB25" i="29"/>
  <c r="AA227" i="29"/>
  <c r="AC28" i="37"/>
  <c r="AB357" i="29"/>
  <c r="AB358" i="29"/>
  <c r="AB360" i="29"/>
  <c r="AB356" i="29"/>
  <c r="AB359" i="29"/>
  <c r="AB355" i="29"/>
  <c r="AB273" i="29"/>
  <c r="AB270" i="29"/>
  <c r="AB272" i="29"/>
  <c r="AB101" i="29"/>
  <c r="AB188" i="29"/>
  <c r="AB271" i="29"/>
  <c r="AB274" i="29"/>
  <c r="AB187" i="29"/>
  <c r="AB189" i="29"/>
  <c r="AB275" i="29"/>
  <c r="AB185" i="29"/>
  <c r="AB104" i="29"/>
  <c r="AB190" i="29"/>
  <c r="AB105" i="29"/>
  <c r="AB103" i="29"/>
  <c r="AB100" i="29"/>
  <c r="AB102" i="29"/>
  <c r="AB186" i="29"/>
  <c r="AA319" i="29"/>
  <c r="AA333" i="29"/>
  <c r="AC23" i="37"/>
  <c r="AB325" i="29"/>
  <c r="AB322" i="29"/>
  <c r="AB320" i="29"/>
  <c r="AB323" i="29"/>
  <c r="AB240" i="29"/>
  <c r="AB324" i="29"/>
  <c r="AB154" i="29"/>
  <c r="AB235" i="29"/>
  <c r="AB321" i="29"/>
  <c r="AB237" i="29"/>
  <c r="AB153" i="29"/>
  <c r="AB155" i="29"/>
  <c r="AB239" i="29"/>
  <c r="AB66" i="29"/>
  <c r="AB236" i="29"/>
  <c r="AB151" i="29"/>
  <c r="AB238" i="29"/>
  <c r="AB69" i="29"/>
  <c r="AB152" i="29"/>
  <c r="AB150" i="29"/>
  <c r="AB68" i="29"/>
  <c r="AB65" i="29"/>
  <c r="AB70" i="29"/>
  <c r="AB67" i="29"/>
  <c r="AC21" i="37"/>
  <c r="AB306" i="29"/>
  <c r="AB307" i="29"/>
  <c r="AB308" i="29"/>
  <c r="AB311" i="29"/>
  <c r="AB138" i="29"/>
  <c r="AB310" i="29"/>
  <c r="AB224" i="29"/>
  <c r="AB223" i="29"/>
  <c r="AB225" i="29"/>
  <c r="AB309" i="29"/>
  <c r="AB222" i="29"/>
  <c r="AB221" i="29"/>
  <c r="AB139" i="29"/>
  <c r="AB140" i="29"/>
  <c r="AB136" i="29"/>
  <c r="AB53" i="29"/>
  <c r="AB137" i="29"/>
  <c r="AB141" i="29"/>
  <c r="AB54" i="29"/>
  <c r="AB56" i="29"/>
  <c r="AB52" i="29"/>
  <c r="AB226" i="29"/>
  <c r="AB51" i="29"/>
  <c r="AB55" i="29"/>
  <c r="AA347" i="29"/>
  <c r="AA199" i="29"/>
  <c r="AA234" i="29"/>
  <c r="AA312" i="29"/>
  <c r="AC25" i="37"/>
  <c r="AB338" i="29"/>
  <c r="AB339" i="29"/>
  <c r="AB334" i="29"/>
  <c r="AB251" i="29"/>
  <c r="AB337" i="29"/>
  <c r="AB335" i="29"/>
  <c r="AB249" i="29"/>
  <c r="AB253" i="29"/>
  <c r="AB166" i="29"/>
  <c r="AB82" i="29"/>
  <c r="AB336" i="29"/>
  <c r="AB254" i="29"/>
  <c r="AB168" i="29"/>
  <c r="AB165" i="29"/>
  <c r="AB84" i="29"/>
  <c r="AB164" i="29"/>
  <c r="AB252" i="29"/>
  <c r="AB79" i="29"/>
  <c r="AB167" i="29"/>
  <c r="AB80" i="29"/>
  <c r="AB169" i="29"/>
  <c r="AB83" i="29"/>
  <c r="AB81" i="29"/>
  <c r="AB250" i="29"/>
  <c r="AA121" i="29"/>
  <c r="AC26" i="37"/>
  <c r="AB344" i="29"/>
  <c r="AB343" i="29"/>
  <c r="AB341" i="29"/>
  <c r="AB345" i="29"/>
  <c r="AB342" i="29"/>
  <c r="AB256" i="29"/>
  <c r="AB174" i="29"/>
  <c r="AB258" i="29"/>
  <c r="AB257" i="29"/>
  <c r="AB171" i="29"/>
  <c r="AB173" i="29"/>
  <c r="AB346" i="29"/>
  <c r="AB260" i="29"/>
  <c r="AB259" i="29"/>
  <c r="AB261" i="29"/>
  <c r="AB175" i="29"/>
  <c r="AB90" i="29"/>
  <c r="AB172" i="29"/>
  <c r="AB88" i="29"/>
  <c r="AB86" i="29"/>
  <c r="AB87" i="29"/>
  <c r="AB89" i="29"/>
  <c r="AB176" i="29"/>
  <c r="AB91" i="29"/>
  <c r="AC24" i="37"/>
  <c r="AB331" i="29"/>
  <c r="AB332" i="29"/>
  <c r="AB329" i="29"/>
  <c r="AB327" i="29"/>
  <c r="AB330" i="29"/>
  <c r="AB243" i="29"/>
  <c r="AB244" i="29"/>
  <c r="AB242" i="29"/>
  <c r="AB158" i="29"/>
  <c r="AB73" i="29"/>
  <c r="AB247" i="29"/>
  <c r="AB161" i="29"/>
  <c r="AB246" i="29"/>
  <c r="AB328" i="29"/>
  <c r="AB162" i="29"/>
  <c r="AB160" i="29"/>
  <c r="AB245" i="29"/>
  <c r="AB157" i="29"/>
  <c r="AB159" i="29"/>
  <c r="AB77" i="29"/>
  <c r="AB74" i="29"/>
  <c r="AB72" i="29"/>
  <c r="AB75" i="29"/>
  <c r="AB76" i="29"/>
  <c r="AA269" i="29"/>
  <c r="AC27" i="37"/>
  <c r="AB351" i="29"/>
  <c r="AB348" i="29"/>
  <c r="AB353" i="29"/>
  <c r="AB349" i="29"/>
  <c r="AB352" i="29"/>
  <c r="AB350" i="29"/>
  <c r="AB267" i="29"/>
  <c r="AB268" i="29"/>
  <c r="AB266" i="29"/>
  <c r="AB264" i="29"/>
  <c r="AB182" i="29"/>
  <c r="AB265" i="29"/>
  <c r="AB178" i="29"/>
  <c r="AB181" i="29"/>
  <c r="AB183" i="29"/>
  <c r="AB93" i="29"/>
  <c r="AB180" i="29"/>
  <c r="AB179" i="29"/>
  <c r="AB263" i="29"/>
  <c r="AB97" i="29"/>
  <c r="AB95" i="29"/>
  <c r="AB96" i="29"/>
  <c r="AB98" i="29"/>
  <c r="AB94" i="29"/>
  <c r="AA29" i="29"/>
  <c r="AA192" i="29"/>
  <c r="AA50" i="29"/>
  <c r="AA142" i="29"/>
  <c r="AA78" i="29"/>
  <c r="AC20" i="37"/>
  <c r="AB303" i="29"/>
  <c r="AB304" i="29"/>
  <c r="AB302" i="29"/>
  <c r="AB215" i="29"/>
  <c r="AB214" i="29"/>
  <c r="AB299" i="29"/>
  <c r="AB219" i="29"/>
  <c r="AB216" i="29"/>
  <c r="AB301" i="29"/>
  <c r="AB300" i="29"/>
  <c r="AB130" i="29"/>
  <c r="AB218" i="29"/>
  <c r="AB131" i="29"/>
  <c r="AB129" i="29"/>
  <c r="AB134" i="29"/>
  <c r="AB217" i="29"/>
  <c r="AB48" i="29"/>
  <c r="AB132" i="29"/>
  <c r="AB47" i="29"/>
  <c r="AB45" i="29"/>
  <c r="AB46" i="29"/>
  <c r="AB44" i="29"/>
  <c r="AB49" i="29"/>
  <c r="AB133" i="29"/>
  <c r="AA284" i="29"/>
  <c r="AA22" i="29"/>
  <c r="AA149" i="29"/>
  <c r="AC19" i="37"/>
  <c r="AB297" i="29"/>
  <c r="AB210" i="29"/>
  <c r="AB207" i="29"/>
  <c r="AB292" i="29"/>
  <c r="AB296" i="29"/>
  <c r="AB293" i="29"/>
  <c r="AB211" i="29"/>
  <c r="AB212" i="29"/>
  <c r="AB294" i="29"/>
  <c r="AB295" i="29"/>
  <c r="AB123" i="29"/>
  <c r="AB126" i="29"/>
  <c r="AB209" i="29"/>
  <c r="AB208" i="29"/>
  <c r="AB125" i="29"/>
  <c r="AB127" i="29"/>
  <c r="AB122" i="29"/>
  <c r="AB40" i="29"/>
  <c r="AB39" i="29"/>
  <c r="AB124" i="29"/>
  <c r="AB41" i="29"/>
  <c r="AB37" i="29"/>
  <c r="AB38" i="29"/>
  <c r="AB42" i="29"/>
  <c r="AA298" i="29"/>
  <c r="AA255" i="29"/>
  <c r="AA291" i="29"/>
  <c r="AA170" i="29"/>
  <c r="AA248" i="29"/>
  <c r="AA71" i="29"/>
  <c r="AA277" i="29"/>
  <c r="AA177" i="29"/>
  <c r="AA241" i="29"/>
  <c r="AA354" i="29"/>
  <c r="AA99" i="29"/>
  <c r="AA184" i="29"/>
  <c r="AA114" i="29"/>
  <c r="AB286" i="29"/>
  <c r="AB204" i="29"/>
  <c r="AB205" i="29"/>
  <c r="AB287" i="29"/>
  <c r="AB289" i="29"/>
  <c r="AB290" i="29"/>
  <c r="AB285" i="29"/>
  <c r="AB201" i="29"/>
  <c r="AB288" i="29"/>
  <c r="AB203" i="29"/>
  <c r="AB200" i="29"/>
  <c r="AB115" i="29"/>
  <c r="AB118" i="29"/>
  <c r="AB202" i="29"/>
  <c r="AB116" i="29"/>
  <c r="AB33" i="29"/>
  <c r="AB117" i="29"/>
  <c r="AB34" i="29"/>
  <c r="AB32" i="29"/>
  <c r="AB120" i="29"/>
  <c r="AB35" i="29"/>
  <c r="AB119" i="29"/>
  <c r="AB30" i="29"/>
  <c r="AB31" i="29"/>
  <c r="AC22" i="37"/>
  <c r="AB313" i="29"/>
  <c r="AB315" i="29"/>
  <c r="AB318" i="29"/>
  <c r="AB316" i="29"/>
  <c r="AB229" i="29"/>
  <c r="AB147" i="29"/>
  <c r="AB317" i="29"/>
  <c r="AB314" i="29"/>
  <c r="AB233" i="29"/>
  <c r="AB231" i="29"/>
  <c r="AB232" i="29"/>
  <c r="AB146" i="29"/>
  <c r="AB230" i="29"/>
  <c r="AB228" i="29"/>
  <c r="AB61" i="29"/>
  <c r="AB58" i="29"/>
  <c r="AB143" i="29"/>
  <c r="AB148" i="29"/>
  <c r="AB144" i="29"/>
  <c r="AB60" i="29"/>
  <c r="AB145" i="29"/>
  <c r="AB63" i="29"/>
  <c r="AB62" i="29"/>
  <c r="AB59" i="29"/>
  <c r="Z276" i="29"/>
  <c r="Z17" i="29" s="1"/>
  <c r="Z9" i="29" s="1"/>
  <c r="Z68" i="8" s="1"/>
  <c r="AA36" i="29"/>
  <c r="AA206" i="29"/>
  <c r="AA128" i="29"/>
  <c r="AA85" i="29"/>
  <c r="Y18" i="29"/>
  <c r="Y14" i="2" s="1"/>
  <c r="AA64" i="29"/>
  <c r="AA305" i="29"/>
  <c r="AA262" i="29"/>
  <c r="Z106" i="29"/>
  <c r="Z15" i="29" s="1"/>
  <c r="Z7" i="29" s="1"/>
  <c r="AA107" i="29"/>
  <c r="AA220" i="29"/>
  <c r="AA163" i="29"/>
  <c r="AA92" i="29"/>
  <c r="AA156" i="29"/>
  <c r="AA326" i="29"/>
  <c r="Y5" i="29"/>
  <c r="X38" i="9" l="1"/>
  <c r="X25" i="9"/>
  <c r="X22" i="10" s="1"/>
  <c r="X33" i="10" s="1"/>
  <c r="X73" i="8"/>
  <c r="Z22" i="8"/>
  <c r="Z39" i="18"/>
  <c r="Z47" i="18"/>
  <c r="Z11" i="18" s="1"/>
  <c r="Z20" i="8"/>
  <c r="Z31" i="18"/>
  <c r="Z22" i="18"/>
  <c r="Z7" i="18" s="1"/>
  <c r="Z24" i="8"/>
  <c r="Z55" i="18"/>
  <c r="Z13" i="18" s="1"/>
  <c r="Z51" i="18"/>
  <c r="Z12" i="18" s="1"/>
  <c r="Z23" i="8"/>
  <c r="Y15" i="8"/>
  <c r="Z35" i="18"/>
  <c r="X78" i="8"/>
  <c r="X80" i="8" s="1"/>
  <c r="X75" i="8" s="1"/>
  <c r="X71" i="8"/>
  <c r="AA58" i="18"/>
  <c r="AA49" i="18"/>
  <c r="AA40" i="18"/>
  <c r="AA52" i="18"/>
  <c r="AA44" i="18"/>
  <c r="AA29" i="18"/>
  <c r="AA36" i="18"/>
  <c r="AA53" i="18"/>
  <c r="AA37" i="18"/>
  <c r="AA28" i="18"/>
  <c r="AA24" i="18"/>
  <c r="AA56" i="18"/>
  <c r="AA48" i="18"/>
  <c r="AA19" i="18"/>
  <c r="AA33" i="18"/>
  <c r="AA32" i="18"/>
  <c r="AA34" i="18"/>
  <c r="AA21" i="18"/>
  <c r="AA54" i="18"/>
  <c r="AA38" i="18"/>
  <c r="AA27" i="18"/>
  <c r="AA57" i="18"/>
  <c r="AA41" i="18"/>
  <c r="AA25" i="18"/>
  <c r="AA20" i="18"/>
  <c r="AA45" i="18"/>
  <c r="AA42" i="18"/>
  <c r="AA46" i="18"/>
  <c r="AA50" i="18"/>
  <c r="AA23" i="18"/>
  <c r="Z17" i="8"/>
  <c r="Z18" i="18"/>
  <c r="Z6" i="18" s="1"/>
  <c r="Y30" i="18"/>
  <c r="Y9" i="18" s="1"/>
  <c r="Y14" i="18" s="1"/>
  <c r="Z26" i="18"/>
  <c r="Z8" i="18" s="1"/>
  <c r="Z19" i="8"/>
  <c r="Z21" i="8"/>
  <c r="Z43" i="18"/>
  <c r="Z10" i="18" s="1"/>
  <c r="Z18" i="8"/>
  <c r="W69" i="8"/>
  <c r="W10" i="8" s="1"/>
  <c r="W34" i="12" s="1"/>
  <c r="AC99" i="8"/>
  <c r="AC85" i="8"/>
  <c r="AC86" i="8"/>
  <c r="AC100" i="8"/>
  <c r="AC90" i="8"/>
  <c r="AC104" i="8"/>
  <c r="AC98" i="8"/>
  <c r="AC84" i="8"/>
  <c r="AC83" i="8"/>
  <c r="AC97" i="8"/>
  <c r="AB82" i="8"/>
  <c r="AC108" i="8"/>
  <c r="AC94" i="8"/>
  <c r="AC89" i="8"/>
  <c r="AC103" i="8"/>
  <c r="AC88" i="8"/>
  <c r="AC102" i="8"/>
  <c r="AC105" i="8"/>
  <c r="AC91" i="8"/>
  <c r="AB96" i="8"/>
  <c r="AB25" i="8" s="1"/>
  <c r="AC87" i="8"/>
  <c r="AC101" i="8"/>
  <c r="AC93" i="8"/>
  <c r="AC107" i="8"/>
  <c r="AC106" i="8"/>
  <c r="AC92" i="8"/>
  <c r="Z84" i="7"/>
  <c r="Z83" i="7"/>
  <c r="Y82" i="7"/>
  <c r="Z85" i="7"/>
  <c r="Y62" i="7"/>
  <c r="Y64" i="7" s="1"/>
  <c r="Y14" i="7" s="1"/>
  <c r="Z86" i="7"/>
  <c r="U23" i="12"/>
  <c r="T23" i="12"/>
  <c r="W65" i="7"/>
  <c r="AC51" i="7"/>
  <c r="AD728" i="1"/>
  <c r="AC54" i="7"/>
  <c r="X67" i="7"/>
  <c r="X66" i="7"/>
  <c r="X68" i="7"/>
  <c r="V90" i="7"/>
  <c r="V91" i="7"/>
  <c r="W91" i="7"/>
  <c r="W90" i="7"/>
  <c r="W5" i="7"/>
  <c r="X10" i="29"/>
  <c r="X82" i="7"/>
  <c r="Y10" i="29"/>
  <c r="AB227" i="29"/>
  <c r="AB199" i="29"/>
  <c r="AB163" i="29"/>
  <c r="AB298" i="29"/>
  <c r="AB284" i="29"/>
  <c r="AB29" i="29"/>
  <c r="AB213" i="29"/>
  <c r="AB92" i="29"/>
  <c r="AD25" i="37"/>
  <c r="AC335" i="29"/>
  <c r="AC334" i="29"/>
  <c r="AC337" i="29"/>
  <c r="AC339" i="29"/>
  <c r="AC254" i="29"/>
  <c r="AC336" i="29"/>
  <c r="AC167" i="29"/>
  <c r="AC253" i="29"/>
  <c r="AC338" i="29"/>
  <c r="AC164" i="29"/>
  <c r="AC251" i="29"/>
  <c r="AC249" i="29"/>
  <c r="AC165" i="29"/>
  <c r="AC84" i="29"/>
  <c r="AC252" i="29"/>
  <c r="AC169" i="29"/>
  <c r="AC168" i="29"/>
  <c r="AC82" i="29"/>
  <c r="AC166" i="29"/>
  <c r="AC83" i="29"/>
  <c r="AC80" i="29"/>
  <c r="AC81" i="29"/>
  <c r="AC250" i="29"/>
  <c r="AC79" i="29"/>
  <c r="AB135" i="29"/>
  <c r="AB305" i="29"/>
  <c r="AB340" i="29"/>
  <c r="AB291" i="29"/>
  <c r="AB156" i="29"/>
  <c r="AB326" i="29"/>
  <c r="AD21" i="37"/>
  <c r="AC309" i="29"/>
  <c r="AC307" i="29"/>
  <c r="AC308" i="29"/>
  <c r="AC310" i="29"/>
  <c r="AC224" i="29"/>
  <c r="AC226" i="29"/>
  <c r="AC306" i="29"/>
  <c r="AC223" i="29"/>
  <c r="AC221" i="29"/>
  <c r="AC311" i="29"/>
  <c r="AC141" i="29"/>
  <c r="AC140" i="29"/>
  <c r="AC139" i="29"/>
  <c r="AC137" i="29"/>
  <c r="AC51" i="29"/>
  <c r="AC225" i="29"/>
  <c r="AC222" i="29"/>
  <c r="AC55" i="29"/>
  <c r="AC53" i="29"/>
  <c r="AC54" i="29"/>
  <c r="AC52" i="29"/>
  <c r="AC138" i="29"/>
  <c r="AC136" i="29"/>
  <c r="AC56" i="29"/>
  <c r="AB192" i="29"/>
  <c r="AB262" i="29"/>
  <c r="AB347" i="29"/>
  <c r="AB220" i="29"/>
  <c r="AB99" i="29"/>
  <c r="AB269" i="29"/>
  <c r="AB277" i="29"/>
  <c r="AB206" i="29"/>
  <c r="AB22" i="29"/>
  <c r="AA106" i="29"/>
  <c r="AA15" i="29" s="1"/>
  <c r="AA7" i="29" s="1"/>
  <c r="AD19" i="37"/>
  <c r="AC293" i="29"/>
  <c r="AC212" i="29"/>
  <c r="AC211" i="29"/>
  <c r="AC294" i="29"/>
  <c r="AC207" i="29"/>
  <c r="AC126" i="29"/>
  <c r="AC295" i="29"/>
  <c r="AC297" i="29"/>
  <c r="AC123" i="29"/>
  <c r="AC209" i="29"/>
  <c r="AC292" i="29"/>
  <c r="AC127" i="29"/>
  <c r="AC125" i="29"/>
  <c r="AC124" i="29"/>
  <c r="AC38" i="29"/>
  <c r="AC42" i="29"/>
  <c r="AC39" i="29"/>
  <c r="AC208" i="29"/>
  <c r="AC122" i="29"/>
  <c r="AC40" i="29"/>
  <c r="AC296" i="29"/>
  <c r="AC41" i="29"/>
  <c r="AC37" i="29"/>
  <c r="AC210" i="29"/>
  <c r="AB128" i="29"/>
  <c r="AD20" i="37"/>
  <c r="AC301" i="29"/>
  <c r="AC303" i="29"/>
  <c r="AC299" i="29"/>
  <c r="AC219" i="29"/>
  <c r="AC300" i="29"/>
  <c r="AC302" i="29"/>
  <c r="AC217" i="29"/>
  <c r="AC215" i="29"/>
  <c r="AC304" i="29"/>
  <c r="AC216" i="29"/>
  <c r="AC218" i="29"/>
  <c r="AC214" i="29"/>
  <c r="AC131" i="29"/>
  <c r="AC130" i="29"/>
  <c r="AC129" i="29"/>
  <c r="AC134" i="29"/>
  <c r="AC49" i="29"/>
  <c r="AC133" i="29"/>
  <c r="AC132" i="29"/>
  <c r="AC47" i="29"/>
  <c r="AC46" i="29"/>
  <c r="AC45" i="29"/>
  <c r="AC48" i="29"/>
  <c r="AC44" i="29"/>
  <c r="AD24" i="37"/>
  <c r="AC328" i="29"/>
  <c r="AC329" i="29"/>
  <c r="AC327" i="29"/>
  <c r="AC245" i="29"/>
  <c r="AC330" i="29"/>
  <c r="AC332" i="29"/>
  <c r="AC247" i="29"/>
  <c r="AC157" i="29"/>
  <c r="AC246" i="29"/>
  <c r="AC162" i="29"/>
  <c r="AC244" i="29"/>
  <c r="AC243" i="29"/>
  <c r="AC161" i="29"/>
  <c r="AC159" i="29"/>
  <c r="AC331" i="29"/>
  <c r="AC160" i="29"/>
  <c r="AC158" i="29"/>
  <c r="AC74" i="29"/>
  <c r="AC73" i="29"/>
  <c r="AC72" i="29"/>
  <c r="AC75" i="29"/>
  <c r="AC242" i="29"/>
  <c r="AC77" i="29"/>
  <c r="AC76" i="29"/>
  <c r="AB354" i="29"/>
  <c r="AD22" i="37"/>
  <c r="AC313" i="29"/>
  <c r="AC315" i="29"/>
  <c r="AC317" i="29"/>
  <c r="AC314" i="29"/>
  <c r="AC316" i="29"/>
  <c r="AC228" i="29"/>
  <c r="AC145" i="29"/>
  <c r="AC232" i="29"/>
  <c r="AC230" i="29"/>
  <c r="AC318" i="29"/>
  <c r="AC233" i="29"/>
  <c r="AC231" i="29"/>
  <c r="AC229" i="29"/>
  <c r="AC63" i="29"/>
  <c r="AC148" i="29"/>
  <c r="AC147" i="29"/>
  <c r="AC146" i="29"/>
  <c r="AC144" i="29"/>
  <c r="AC143" i="29"/>
  <c r="AC62" i="29"/>
  <c r="AC60" i="29"/>
  <c r="AC61" i="29"/>
  <c r="AC59" i="29"/>
  <c r="AC58" i="29"/>
  <c r="AB64" i="29"/>
  <c r="AB234" i="29"/>
  <c r="AB170" i="29"/>
  <c r="AB50" i="29"/>
  <c r="AB149" i="29"/>
  <c r="AB121" i="29"/>
  <c r="AD26" i="37"/>
  <c r="AC344" i="29"/>
  <c r="AC346" i="29"/>
  <c r="AC345" i="29"/>
  <c r="AC341" i="29"/>
  <c r="AC343" i="29"/>
  <c r="AC342" i="29"/>
  <c r="AC256" i="29"/>
  <c r="AC260" i="29"/>
  <c r="AC176" i="29"/>
  <c r="AC257" i="29"/>
  <c r="AC173" i="29"/>
  <c r="AC259" i="29"/>
  <c r="AC174" i="29"/>
  <c r="AC87" i="29"/>
  <c r="AC261" i="29"/>
  <c r="AC171" i="29"/>
  <c r="AC86" i="29"/>
  <c r="AC258" i="29"/>
  <c r="AC91" i="29"/>
  <c r="AC89" i="29"/>
  <c r="AC88" i="29"/>
  <c r="AC90" i="29"/>
  <c r="AC172" i="29"/>
  <c r="AC175" i="29"/>
  <c r="AB248" i="29"/>
  <c r="AB177" i="29"/>
  <c r="AB184" i="29"/>
  <c r="AB107" i="29"/>
  <c r="AA276" i="29"/>
  <c r="AA17" i="29" s="1"/>
  <c r="AA9" i="29" s="1"/>
  <c r="AA68" i="8" s="1"/>
  <c r="AD27" i="37"/>
  <c r="AC350" i="29"/>
  <c r="AC353" i="29"/>
  <c r="AC349" i="29"/>
  <c r="AC348" i="29"/>
  <c r="AC352" i="29"/>
  <c r="AC266" i="29"/>
  <c r="AC180" i="29"/>
  <c r="AC268" i="29"/>
  <c r="AC96" i="29"/>
  <c r="AC183" i="29"/>
  <c r="AC267" i="29"/>
  <c r="AC263" i="29"/>
  <c r="AC182" i="29"/>
  <c r="AC179" i="29"/>
  <c r="AC351" i="29"/>
  <c r="AC181" i="29"/>
  <c r="AC178" i="29"/>
  <c r="AC265" i="29"/>
  <c r="AC264" i="29"/>
  <c r="AC98" i="29"/>
  <c r="AC94" i="29"/>
  <c r="AC95" i="29"/>
  <c r="AC93" i="29"/>
  <c r="AC97" i="29"/>
  <c r="AB142" i="29"/>
  <c r="AC288" i="29"/>
  <c r="AC285" i="29"/>
  <c r="AC286" i="29"/>
  <c r="AC205" i="29"/>
  <c r="AC289" i="29"/>
  <c r="AC200" i="29"/>
  <c r="AC290" i="29"/>
  <c r="AC204" i="29"/>
  <c r="AC201" i="29"/>
  <c r="AC202" i="29"/>
  <c r="AC120" i="29"/>
  <c r="AC119" i="29"/>
  <c r="AC30" i="29"/>
  <c r="AC117" i="29"/>
  <c r="AC118" i="29"/>
  <c r="AC203" i="29"/>
  <c r="AC116" i="29"/>
  <c r="AC34" i="29"/>
  <c r="AC115" i="29"/>
  <c r="AC287" i="29"/>
  <c r="AC32" i="29"/>
  <c r="AC31" i="29"/>
  <c r="AC35" i="29"/>
  <c r="AC33" i="29"/>
  <c r="AA191" i="29"/>
  <c r="AA16" i="29" s="1"/>
  <c r="AA8" i="29" s="1"/>
  <c r="AB319" i="29"/>
  <c r="AC193" i="29"/>
  <c r="AC280" i="29"/>
  <c r="AC198" i="29"/>
  <c r="AC112" i="29"/>
  <c r="AC281" i="29"/>
  <c r="AC279" i="29"/>
  <c r="AC108" i="29"/>
  <c r="AC282" i="29"/>
  <c r="AC109" i="29"/>
  <c r="AC197" i="29"/>
  <c r="AC283" i="29"/>
  <c r="AC196" i="29"/>
  <c r="AC278" i="29"/>
  <c r="AC195" i="29"/>
  <c r="AC194" i="29"/>
  <c r="AC111" i="29"/>
  <c r="AC110" i="29"/>
  <c r="AC23" i="29"/>
  <c r="AC24" i="29"/>
  <c r="AC113" i="29"/>
  <c r="AC28" i="29"/>
  <c r="AC27" i="29"/>
  <c r="AC26" i="29"/>
  <c r="AC25" i="29"/>
  <c r="AA21" i="29"/>
  <c r="AA14" i="29" s="1"/>
  <c r="AB57" i="29"/>
  <c r="AB85" i="29"/>
  <c r="AB255" i="29"/>
  <c r="AB78" i="29"/>
  <c r="Z18" i="29"/>
  <c r="Z14" i="2" s="1"/>
  <c r="AD23" i="37"/>
  <c r="AC322" i="29"/>
  <c r="AC320" i="29"/>
  <c r="AC324" i="29"/>
  <c r="AC321" i="29"/>
  <c r="AC152" i="29"/>
  <c r="AC239" i="29"/>
  <c r="AC238" i="29"/>
  <c r="AC237" i="29"/>
  <c r="AC325" i="29"/>
  <c r="AC235" i="29"/>
  <c r="AC68" i="29"/>
  <c r="AC240" i="29"/>
  <c r="AC154" i="29"/>
  <c r="AC151" i="29"/>
  <c r="AC150" i="29"/>
  <c r="AC236" i="29"/>
  <c r="AC153" i="29"/>
  <c r="AC65" i="29"/>
  <c r="AC323" i="29"/>
  <c r="AC70" i="29"/>
  <c r="AC69" i="29"/>
  <c r="AC66" i="29"/>
  <c r="AC67" i="29"/>
  <c r="AC155" i="29"/>
  <c r="AB312" i="29"/>
  <c r="AB114" i="29"/>
  <c r="AB36" i="29"/>
  <c r="AB43" i="29"/>
  <c r="AB71" i="29"/>
  <c r="AB241" i="29"/>
  <c r="AB333" i="29"/>
  <c r="AD28" i="37"/>
  <c r="AC355" i="29"/>
  <c r="AC360" i="29"/>
  <c r="AC356" i="29"/>
  <c r="AC359" i="29"/>
  <c r="AC357" i="29"/>
  <c r="AC273" i="29"/>
  <c r="AC358" i="29"/>
  <c r="AC272" i="29"/>
  <c r="AC185" i="29"/>
  <c r="AC274" i="29"/>
  <c r="AC275" i="29"/>
  <c r="AC271" i="29"/>
  <c r="AC190" i="29"/>
  <c r="AC270" i="29"/>
  <c r="AC188" i="29"/>
  <c r="AC105" i="29"/>
  <c r="AC103" i="29"/>
  <c r="AC187" i="29"/>
  <c r="AC186" i="29"/>
  <c r="AC104" i="29"/>
  <c r="AC102" i="29"/>
  <c r="AC101" i="29"/>
  <c r="AC189" i="29"/>
  <c r="AC100" i="29"/>
  <c r="Z5" i="29"/>
  <c r="X61" i="8" l="1"/>
  <c r="X59" i="8" s="1"/>
  <c r="X7" i="8" s="1"/>
  <c r="X31" i="12" s="1"/>
  <c r="X13" i="2"/>
  <c r="Y61" i="8"/>
  <c r="Y59" i="8" s="1"/>
  <c r="Y7" i="8" s="1"/>
  <c r="Y31" i="12" s="1"/>
  <c r="Y13" i="2"/>
  <c r="Y38" i="9"/>
  <c r="Y25" i="9"/>
  <c r="Y22" i="10" s="1"/>
  <c r="Y33" i="10" s="1"/>
  <c r="AA24" i="8"/>
  <c r="X69" i="8"/>
  <c r="X10" i="8" s="1"/>
  <c r="X34" i="12" s="1"/>
  <c r="AA22" i="18"/>
  <c r="AA7" i="18" s="1"/>
  <c r="AA43" i="18"/>
  <c r="AA10" i="18" s="1"/>
  <c r="AA35" i="18"/>
  <c r="AA31" i="18"/>
  <c r="AA17" i="8"/>
  <c r="AA18" i="18"/>
  <c r="AA6" i="18" s="1"/>
  <c r="AA22" i="8"/>
  <c r="Y5" i="8"/>
  <c r="Y29" i="12" s="1"/>
  <c r="Y73" i="8"/>
  <c r="AB56" i="18"/>
  <c r="AB46" i="18"/>
  <c r="AB37" i="18"/>
  <c r="AB27" i="18"/>
  <c r="AB50" i="18"/>
  <c r="AB41" i="18"/>
  <c r="AB32" i="18"/>
  <c r="AB52" i="18"/>
  <c r="AB42" i="18"/>
  <c r="AB33" i="18"/>
  <c r="AB44" i="18"/>
  <c r="AB29" i="18"/>
  <c r="AB36" i="18"/>
  <c r="AB53" i="18"/>
  <c r="AB28" i="18"/>
  <c r="AB24" i="18"/>
  <c r="AB45" i="18"/>
  <c r="AB21" i="18"/>
  <c r="AB48" i="18"/>
  <c r="AB19" i="18"/>
  <c r="AB40" i="18"/>
  <c r="AB25" i="18"/>
  <c r="AB20" i="18"/>
  <c r="AB54" i="18"/>
  <c r="AB38" i="18"/>
  <c r="AB57" i="18"/>
  <c r="AB58" i="18"/>
  <c r="AB23" i="18"/>
  <c r="AB34" i="18"/>
  <c r="AB49" i="18"/>
  <c r="AA55" i="18"/>
  <c r="AA13" i="18" s="1"/>
  <c r="AA26" i="18"/>
  <c r="AA8" i="18" s="1"/>
  <c r="AA19" i="8"/>
  <c r="AA21" i="8"/>
  <c r="AA51" i="18"/>
  <c r="AA12" i="18" s="1"/>
  <c r="AA23" i="8"/>
  <c r="Z30" i="18"/>
  <c r="Z9" i="18" s="1"/>
  <c r="Z14" i="18" s="1"/>
  <c r="Z15" i="8"/>
  <c r="AA39" i="18"/>
  <c r="Y78" i="8"/>
  <c r="Y80" i="8" s="1"/>
  <c r="Y75" i="8" s="1"/>
  <c r="Y71" i="8"/>
  <c r="AA18" i="8"/>
  <c r="AA20" i="8"/>
  <c r="AA47" i="18"/>
  <c r="AA11" i="18" s="1"/>
  <c r="AD85" i="8"/>
  <c r="AD99" i="8"/>
  <c r="AC96" i="8"/>
  <c r="AC25" i="8" s="1"/>
  <c r="AD84" i="8"/>
  <c r="AD98" i="8"/>
  <c r="AD92" i="8"/>
  <c r="AD106" i="8"/>
  <c r="AC82" i="8"/>
  <c r="AD89" i="8"/>
  <c r="AD103" i="8"/>
  <c r="AD90" i="8"/>
  <c r="AD104" i="8"/>
  <c r="AD83" i="8"/>
  <c r="AD97" i="8"/>
  <c r="AD86" i="8"/>
  <c r="AD100" i="8"/>
  <c r="AD88" i="8"/>
  <c r="AD102" i="8"/>
  <c r="AD87" i="8"/>
  <c r="AD101" i="8"/>
  <c r="AD93" i="8"/>
  <c r="AD107" i="8"/>
  <c r="AD91" i="8"/>
  <c r="AD105" i="8"/>
  <c r="AD94" i="8"/>
  <c r="AD108" i="8"/>
  <c r="Z82" i="7"/>
  <c r="AA84" i="7"/>
  <c r="Z62" i="7"/>
  <c r="Z64" i="7" s="1"/>
  <c r="Z14" i="7" s="1"/>
  <c r="AA86" i="7"/>
  <c r="AA85" i="7"/>
  <c r="W23" i="12"/>
  <c r="Y67" i="7"/>
  <c r="Y66" i="7"/>
  <c r="AE728" i="1"/>
  <c r="AD51" i="7"/>
  <c r="AD54" i="7"/>
  <c r="Y68" i="7"/>
  <c r="X65" i="7"/>
  <c r="V89" i="7"/>
  <c r="X88" i="7"/>
  <c r="W89" i="7"/>
  <c r="V5" i="7"/>
  <c r="Y88" i="7"/>
  <c r="Y16" i="7" s="1"/>
  <c r="Y13" i="7" s="1"/>
  <c r="Z10" i="29"/>
  <c r="AC43" i="29"/>
  <c r="AC340" i="29"/>
  <c r="AC319" i="29"/>
  <c r="AB106" i="29"/>
  <c r="AB15" i="29" s="1"/>
  <c r="AB7" i="29" s="1"/>
  <c r="AC192" i="29"/>
  <c r="AC262" i="29"/>
  <c r="AC213" i="29"/>
  <c r="AB276" i="29"/>
  <c r="AB17" i="29" s="1"/>
  <c r="AB9" i="29" s="1"/>
  <c r="AB68" i="8" s="1"/>
  <c r="AC234" i="29"/>
  <c r="AC78" i="29"/>
  <c r="AC163" i="29"/>
  <c r="AC149" i="29"/>
  <c r="AC284" i="29"/>
  <c r="AC85" i="29"/>
  <c r="AC227" i="29"/>
  <c r="AC170" i="29"/>
  <c r="AC99" i="29"/>
  <c r="AE23" i="37"/>
  <c r="AD320" i="29"/>
  <c r="AD321" i="29"/>
  <c r="AD325" i="29"/>
  <c r="AD235" i="29"/>
  <c r="AD150" i="29"/>
  <c r="AD324" i="29"/>
  <c r="AD239" i="29"/>
  <c r="AD237" i="29"/>
  <c r="AD323" i="29"/>
  <c r="AD240" i="29"/>
  <c r="AD66" i="29"/>
  <c r="AD236" i="29"/>
  <c r="AD155" i="29"/>
  <c r="AD152" i="29"/>
  <c r="AD154" i="29"/>
  <c r="AD70" i="29"/>
  <c r="AD68" i="29"/>
  <c r="AD65" i="29"/>
  <c r="AD69" i="29"/>
  <c r="AD153" i="29"/>
  <c r="AD151" i="29"/>
  <c r="AD238" i="29"/>
  <c r="AD322" i="29"/>
  <c r="AD67" i="29"/>
  <c r="AE27" i="37"/>
  <c r="AD348" i="29"/>
  <c r="AD352" i="29"/>
  <c r="AD349" i="29"/>
  <c r="AD353" i="29"/>
  <c r="AD350" i="29"/>
  <c r="AD264" i="29"/>
  <c r="AD266" i="29"/>
  <c r="AD179" i="29"/>
  <c r="AD267" i="29"/>
  <c r="AD263" i="29"/>
  <c r="AD98" i="29"/>
  <c r="AD351" i="29"/>
  <c r="AD265" i="29"/>
  <c r="AD180" i="29"/>
  <c r="AD183" i="29"/>
  <c r="AD182" i="29"/>
  <c r="AD97" i="29"/>
  <c r="AD95" i="29"/>
  <c r="AD268" i="29"/>
  <c r="AD96" i="29"/>
  <c r="AD178" i="29"/>
  <c r="AD94" i="29"/>
  <c r="AD181" i="29"/>
  <c r="AD93" i="29"/>
  <c r="AC142" i="29"/>
  <c r="AE20" i="37"/>
  <c r="AD302" i="29"/>
  <c r="AD300" i="29"/>
  <c r="AD217" i="29"/>
  <c r="AD129" i="29"/>
  <c r="AD299" i="29"/>
  <c r="AD303" i="29"/>
  <c r="AD218" i="29"/>
  <c r="AD301" i="29"/>
  <c r="AD216" i="29"/>
  <c r="AD45" i="29"/>
  <c r="AD215" i="29"/>
  <c r="AD214" i="29"/>
  <c r="AD132" i="29"/>
  <c r="AD219" i="29"/>
  <c r="AD130" i="29"/>
  <c r="AD134" i="29"/>
  <c r="AD131" i="29"/>
  <c r="AD304" i="29"/>
  <c r="AD49" i="29"/>
  <c r="AD46" i="29"/>
  <c r="AD133" i="29"/>
  <c r="AD48" i="29"/>
  <c r="AD47" i="29"/>
  <c r="AD44" i="29"/>
  <c r="AB21" i="29"/>
  <c r="AB14" i="29" s="1"/>
  <c r="AC248" i="29"/>
  <c r="AC312" i="29"/>
  <c r="AC291" i="29"/>
  <c r="AD281" i="29"/>
  <c r="AD195" i="29"/>
  <c r="AD283" i="29"/>
  <c r="AD280" i="29"/>
  <c r="AD197" i="29"/>
  <c r="AD279" i="29"/>
  <c r="AD278" i="29"/>
  <c r="AD113" i="29"/>
  <c r="AD282" i="29"/>
  <c r="AD112" i="29"/>
  <c r="AD109" i="29"/>
  <c r="AD194" i="29"/>
  <c r="AD196" i="29"/>
  <c r="AD193" i="29"/>
  <c r="AD111" i="29"/>
  <c r="AD198" i="29"/>
  <c r="AD110" i="29"/>
  <c r="AD108" i="29"/>
  <c r="AD24" i="29"/>
  <c r="AD28" i="29"/>
  <c r="AD23" i="29"/>
  <c r="AD26" i="29"/>
  <c r="AD27" i="29"/>
  <c r="AD25" i="29"/>
  <c r="AC29" i="29"/>
  <c r="AE24" i="37"/>
  <c r="AD329" i="29"/>
  <c r="AD330" i="29"/>
  <c r="AD327" i="29"/>
  <c r="AD331" i="29"/>
  <c r="AD332" i="29"/>
  <c r="AD243" i="29"/>
  <c r="AD245" i="29"/>
  <c r="AD328" i="29"/>
  <c r="AD247" i="29"/>
  <c r="AD75" i="29"/>
  <c r="AD246" i="29"/>
  <c r="AD244" i="29"/>
  <c r="AD162" i="29"/>
  <c r="AD157" i="29"/>
  <c r="AD242" i="29"/>
  <c r="AD159" i="29"/>
  <c r="AD76" i="29"/>
  <c r="AD73" i="29"/>
  <c r="AD158" i="29"/>
  <c r="AD77" i="29"/>
  <c r="AD160" i="29"/>
  <c r="AD72" i="29"/>
  <c r="AD161" i="29"/>
  <c r="AD74" i="29"/>
  <c r="AC36" i="29"/>
  <c r="AD286" i="29"/>
  <c r="AD289" i="29"/>
  <c r="AD287" i="29"/>
  <c r="AD290" i="29"/>
  <c r="AD285" i="29"/>
  <c r="AD205" i="29"/>
  <c r="AD203" i="29"/>
  <c r="AD201" i="29"/>
  <c r="AD204" i="29"/>
  <c r="AD120" i="29"/>
  <c r="AD202" i="29"/>
  <c r="AD117" i="29"/>
  <c r="AD115" i="29"/>
  <c r="AD200" i="29"/>
  <c r="AD119" i="29"/>
  <c r="AD34" i="29"/>
  <c r="AD116" i="29"/>
  <c r="AD33" i="29"/>
  <c r="AD288" i="29"/>
  <c r="AD118" i="29"/>
  <c r="AD31" i="29"/>
  <c r="AD32" i="29"/>
  <c r="AD35" i="29"/>
  <c r="AD30" i="29"/>
  <c r="AC184" i="29"/>
  <c r="AC354" i="29"/>
  <c r="AC92" i="29"/>
  <c r="AE22" i="37"/>
  <c r="AD315" i="29"/>
  <c r="AD317" i="29"/>
  <c r="AD313" i="29"/>
  <c r="AD318" i="29"/>
  <c r="AD314" i="29"/>
  <c r="AD228" i="29"/>
  <c r="AD143" i="29"/>
  <c r="AD230" i="29"/>
  <c r="AD229" i="29"/>
  <c r="AD231" i="29"/>
  <c r="AD232" i="29"/>
  <c r="AD144" i="29"/>
  <c r="AD316" i="29"/>
  <c r="AD147" i="29"/>
  <c r="AD62" i="29"/>
  <c r="AD60" i="29"/>
  <c r="AD233" i="29"/>
  <c r="AD148" i="29"/>
  <c r="AD145" i="29"/>
  <c r="AD146" i="29"/>
  <c r="AD58" i="29"/>
  <c r="AD59" i="29"/>
  <c r="AD63" i="29"/>
  <c r="AD61" i="29"/>
  <c r="AC241" i="29"/>
  <c r="AE21" i="37"/>
  <c r="AD306" i="29"/>
  <c r="AD309" i="29"/>
  <c r="AD310" i="29"/>
  <c r="AD223" i="29"/>
  <c r="AD140" i="29"/>
  <c r="AD311" i="29"/>
  <c r="AD225" i="29"/>
  <c r="AD51" i="29"/>
  <c r="AD307" i="29"/>
  <c r="AD221" i="29"/>
  <c r="AD308" i="29"/>
  <c r="AD136" i="29"/>
  <c r="AD141" i="29"/>
  <c r="AD224" i="29"/>
  <c r="AD53" i="29"/>
  <c r="AD137" i="29"/>
  <c r="AD55" i="29"/>
  <c r="AD226" i="29"/>
  <c r="AD139" i="29"/>
  <c r="AD52" i="29"/>
  <c r="AD138" i="29"/>
  <c r="AD56" i="29"/>
  <c r="AD54" i="29"/>
  <c r="AD222" i="29"/>
  <c r="AA6" i="29"/>
  <c r="AA18" i="29"/>
  <c r="AA14" i="2" s="1"/>
  <c r="AC199" i="29"/>
  <c r="AC255" i="29"/>
  <c r="AE26" i="37"/>
  <c r="AD342" i="29"/>
  <c r="AD345" i="29"/>
  <c r="AD346" i="29"/>
  <c r="AD341" i="29"/>
  <c r="AD258" i="29"/>
  <c r="AD343" i="29"/>
  <c r="AD176" i="29"/>
  <c r="AD260" i="29"/>
  <c r="AD257" i="29"/>
  <c r="AD344" i="29"/>
  <c r="AD91" i="29"/>
  <c r="AD259" i="29"/>
  <c r="AD87" i="29"/>
  <c r="AD172" i="29"/>
  <c r="AD175" i="29"/>
  <c r="AD256" i="29"/>
  <c r="AD261" i="29"/>
  <c r="AD174" i="29"/>
  <c r="AD173" i="29"/>
  <c r="AD90" i="29"/>
  <c r="AD88" i="29"/>
  <c r="AD171" i="29"/>
  <c r="AD86" i="29"/>
  <c r="AD89" i="29"/>
  <c r="AC121" i="29"/>
  <c r="AC333" i="29"/>
  <c r="AC326" i="29"/>
  <c r="AC305" i="29"/>
  <c r="AC206" i="29"/>
  <c r="AB191" i="29"/>
  <c r="AB16" i="29" s="1"/>
  <c r="AB8" i="29" s="1"/>
  <c r="AE25" i="37"/>
  <c r="AD339" i="29"/>
  <c r="AD337" i="29"/>
  <c r="AD334" i="29"/>
  <c r="AD252" i="29"/>
  <c r="AD335" i="29"/>
  <c r="AD165" i="29"/>
  <c r="AD338" i="29"/>
  <c r="AD336" i="29"/>
  <c r="AD249" i="29"/>
  <c r="AD250" i="29"/>
  <c r="AD253" i="29"/>
  <c r="AD254" i="29"/>
  <c r="AD84" i="29"/>
  <c r="AD168" i="29"/>
  <c r="AD166" i="29"/>
  <c r="AD164" i="29"/>
  <c r="AD251" i="29"/>
  <c r="AD82" i="29"/>
  <c r="AD167" i="29"/>
  <c r="AD79" i="29"/>
  <c r="AD80" i="29"/>
  <c r="AD83" i="29"/>
  <c r="AD169" i="29"/>
  <c r="AD81" i="29"/>
  <c r="AC277" i="29"/>
  <c r="AC57" i="29"/>
  <c r="AC156" i="29"/>
  <c r="AC298" i="29"/>
  <c r="AE19" i="37"/>
  <c r="AD297" i="29"/>
  <c r="AD294" i="29"/>
  <c r="AD296" i="29"/>
  <c r="AD212" i="29"/>
  <c r="AD293" i="29"/>
  <c r="AD211" i="29"/>
  <c r="AD127" i="29"/>
  <c r="AD207" i="29"/>
  <c r="AD292" i="29"/>
  <c r="AD208" i="29"/>
  <c r="AD210" i="29"/>
  <c r="AD295" i="29"/>
  <c r="AD126" i="29"/>
  <c r="AD125" i="29"/>
  <c r="AD209" i="29"/>
  <c r="AD123" i="29"/>
  <c r="AD122" i="29"/>
  <c r="AD39" i="29"/>
  <c r="AD38" i="29"/>
  <c r="AD37" i="29"/>
  <c r="AD41" i="29"/>
  <c r="AD40" i="29"/>
  <c r="AD124" i="29"/>
  <c r="AD42" i="29"/>
  <c r="AC22" i="29"/>
  <c r="AC50" i="29"/>
  <c r="AC269" i="29"/>
  <c r="AE28" i="37"/>
  <c r="AD355" i="29"/>
  <c r="AD356" i="29"/>
  <c r="AD359" i="29"/>
  <c r="AD271" i="29"/>
  <c r="AD360" i="29"/>
  <c r="AD185" i="29"/>
  <c r="AD275" i="29"/>
  <c r="AD273" i="29"/>
  <c r="AD103" i="29"/>
  <c r="AD187" i="29"/>
  <c r="AD357" i="29"/>
  <c r="AD274" i="29"/>
  <c r="AD100" i="29"/>
  <c r="AD358" i="29"/>
  <c r="AD190" i="29"/>
  <c r="AD272" i="29"/>
  <c r="AD186" i="29"/>
  <c r="AD270" i="29"/>
  <c r="AD188" i="29"/>
  <c r="AD102" i="29"/>
  <c r="AD105" i="29"/>
  <c r="AD189" i="29"/>
  <c r="AD101" i="29"/>
  <c r="AD104" i="29"/>
  <c r="AC64" i="29"/>
  <c r="AC107" i="29"/>
  <c r="AC135" i="29"/>
  <c r="AC220" i="29"/>
  <c r="AC128" i="29"/>
  <c r="AC114" i="29"/>
  <c r="AC177" i="29"/>
  <c r="AC347" i="29"/>
  <c r="AC71" i="29"/>
  <c r="Z61" i="8" l="1"/>
  <c r="Z59" i="8" s="1"/>
  <c r="Z7" i="8" s="1"/>
  <c r="Z31" i="12" s="1"/>
  <c r="Z13" i="2"/>
  <c r="Y44" i="10"/>
  <c r="Z38" i="9"/>
  <c r="Z25" i="9"/>
  <c r="Z22" i="10" s="1"/>
  <c r="Z33" i="10" s="1"/>
  <c r="AB35" i="18"/>
  <c r="AB22" i="8"/>
  <c r="AB21" i="8"/>
  <c r="AA30" i="18"/>
  <c r="AA9" i="18" s="1"/>
  <c r="AA14" i="18" s="1"/>
  <c r="AB18" i="8"/>
  <c r="AB51" i="18"/>
  <c r="AB12" i="18" s="1"/>
  <c r="AB55" i="18"/>
  <c r="AB13" i="18" s="1"/>
  <c r="AB39" i="18"/>
  <c r="AB17" i="8"/>
  <c r="AB18" i="18"/>
  <c r="AB6" i="18" s="1"/>
  <c r="AB19" i="8"/>
  <c r="AB26" i="18"/>
  <c r="AB8" i="18" s="1"/>
  <c r="AB43" i="18"/>
  <c r="AB10" i="18" s="1"/>
  <c r="AB47" i="18"/>
  <c r="AB11" i="18" s="1"/>
  <c r="AB22" i="18"/>
  <c r="AB7" i="18" s="1"/>
  <c r="AB20" i="8"/>
  <c r="AB24" i="8"/>
  <c r="Y69" i="8"/>
  <c r="Y10" i="8" s="1"/>
  <c r="Y34" i="12" s="1"/>
  <c r="AC56" i="18"/>
  <c r="AC46" i="18"/>
  <c r="AC37" i="18"/>
  <c r="AC52" i="18"/>
  <c r="AC36" i="18"/>
  <c r="AC53" i="18"/>
  <c r="AC28" i="18"/>
  <c r="AC24" i="18"/>
  <c r="AC45" i="18"/>
  <c r="AC21" i="18"/>
  <c r="AC40" i="18"/>
  <c r="AC57" i="18"/>
  <c r="AC23" i="18"/>
  <c r="AC58" i="18"/>
  <c r="AC50" i="18"/>
  <c r="AC34" i="18"/>
  <c r="AC29" i="18"/>
  <c r="AC54" i="18"/>
  <c r="AC38" i="18"/>
  <c r="AC27" i="18"/>
  <c r="AC19" i="18"/>
  <c r="AC41" i="18"/>
  <c r="AC25" i="18"/>
  <c r="AC20" i="18"/>
  <c r="AC42" i="18"/>
  <c r="AC44" i="18"/>
  <c r="AC48" i="18"/>
  <c r="AC49" i="18"/>
  <c r="AC33" i="18"/>
  <c r="AC32" i="18"/>
  <c r="Z73" i="8"/>
  <c r="Z5" i="8"/>
  <c r="Z29" i="12" s="1"/>
  <c r="AB31" i="18"/>
  <c r="Z71" i="8"/>
  <c r="Z78" i="8"/>
  <c r="Z80" i="8" s="1"/>
  <c r="Z75" i="8" s="1"/>
  <c r="AA15" i="8"/>
  <c r="AB23" i="8"/>
  <c r="AE104" i="8"/>
  <c r="AE90" i="8"/>
  <c r="AD96" i="8"/>
  <c r="AD25" i="8" s="1"/>
  <c r="AE91" i="8"/>
  <c r="AE105" i="8"/>
  <c r="AD82" i="8"/>
  <c r="AE88" i="8"/>
  <c r="AE102" i="8"/>
  <c r="AE84" i="8"/>
  <c r="AE98" i="8"/>
  <c r="AE87" i="8"/>
  <c r="AE101" i="8"/>
  <c r="AE92" i="8"/>
  <c r="AE106" i="8"/>
  <c r="AE103" i="8"/>
  <c r="AE89" i="8"/>
  <c r="AE93" i="8"/>
  <c r="AE107" i="8"/>
  <c r="AE97" i="8"/>
  <c r="AE83" i="8"/>
  <c r="AE94" i="8"/>
  <c r="AE108" i="8"/>
  <c r="AE85" i="8"/>
  <c r="AE99" i="8"/>
  <c r="AE86" i="8"/>
  <c r="AE100" i="8"/>
  <c r="AB85" i="7"/>
  <c r="AB86" i="7"/>
  <c r="AA62" i="7"/>
  <c r="AA64" i="7" s="1"/>
  <c r="AA14" i="7" s="1"/>
  <c r="AA83" i="7"/>
  <c r="AB84" i="7"/>
  <c r="V23" i="12"/>
  <c r="Z66" i="7"/>
  <c r="Z67" i="7"/>
  <c r="AF728" i="1"/>
  <c r="AE54" i="7"/>
  <c r="AE51" i="7"/>
  <c r="Z68" i="7"/>
  <c r="Y65" i="7"/>
  <c r="X16" i="7"/>
  <c r="X13" i="7" s="1"/>
  <c r="X5" i="7" s="1"/>
  <c r="Y91" i="7"/>
  <c r="Y90" i="7"/>
  <c r="X91" i="7"/>
  <c r="X90" i="7"/>
  <c r="Z88" i="7"/>
  <c r="Z16" i="7" s="1"/>
  <c r="Z13" i="7" s="1"/>
  <c r="AA5" i="29"/>
  <c r="AD291" i="29"/>
  <c r="AD312" i="29"/>
  <c r="AD184" i="29"/>
  <c r="AD354" i="29"/>
  <c r="AD163" i="29"/>
  <c r="AD192" i="29"/>
  <c r="AD340" i="29"/>
  <c r="AC21" i="29"/>
  <c r="AC14" i="29" s="1"/>
  <c r="AC6" i="29" s="1"/>
  <c r="AC191" i="29"/>
  <c r="AC16" i="29" s="1"/>
  <c r="AC8" i="29" s="1"/>
  <c r="AD199" i="29"/>
  <c r="AF27" i="37"/>
  <c r="AE352" i="29"/>
  <c r="AE353" i="29"/>
  <c r="AE351" i="29"/>
  <c r="AE349" i="29"/>
  <c r="AE348" i="29"/>
  <c r="AE266" i="29"/>
  <c r="AE263" i="29"/>
  <c r="AE183" i="29"/>
  <c r="AE350" i="29"/>
  <c r="AE264" i="29"/>
  <c r="AE181" i="29"/>
  <c r="AE180" i="29"/>
  <c r="AE268" i="29"/>
  <c r="AE267" i="29"/>
  <c r="AE93" i="29"/>
  <c r="AE178" i="29"/>
  <c r="AE265" i="29"/>
  <c r="AE95" i="29"/>
  <c r="AE98" i="29"/>
  <c r="AE182" i="29"/>
  <c r="AE97" i="29"/>
  <c r="AE96" i="29"/>
  <c r="AE179" i="29"/>
  <c r="AE94" i="29"/>
  <c r="AD99" i="29"/>
  <c r="AF25" i="37"/>
  <c r="AE336" i="29"/>
  <c r="AE338" i="29"/>
  <c r="AE337" i="29"/>
  <c r="AE334" i="29"/>
  <c r="AE339" i="29"/>
  <c r="AE335" i="29"/>
  <c r="AE253" i="29"/>
  <c r="AE167" i="29"/>
  <c r="AE252" i="29"/>
  <c r="AE250" i="29"/>
  <c r="AE251" i="29"/>
  <c r="AE168" i="29"/>
  <c r="AE79" i="29"/>
  <c r="AE83" i="29"/>
  <c r="AE166" i="29"/>
  <c r="AE165" i="29"/>
  <c r="AE169" i="29"/>
  <c r="AE254" i="29"/>
  <c r="AE84" i="29"/>
  <c r="AE164" i="29"/>
  <c r="AE80" i="29"/>
  <c r="AE82" i="29"/>
  <c r="AE81" i="29"/>
  <c r="AE249" i="29"/>
  <c r="AD241" i="29"/>
  <c r="AD234" i="29"/>
  <c r="AE196" i="29"/>
  <c r="AE281" i="29"/>
  <c r="AE278" i="29"/>
  <c r="AE109" i="29"/>
  <c r="AE282" i="29"/>
  <c r="AE194" i="29"/>
  <c r="AE195" i="29"/>
  <c r="AE193" i="29"/>
  <c r="AE279" i="29"/>
  <c r="AE283" i="29"/>
  <c r="AE280" i="29"/>
  <c r="AE113" i="29"/>
  <c r="AE198" i="29"/>
  <c r="AE110" i="29"/>
  <c r="AE108" i="29"/>
  <c r="AE27" i="29"/>
  <c r="AE112" i="29"/>
  <c r="AE28" i="29"/>
  <c r="AE197" i="29"/>
  <c r="AE23" i="29"/>
  <c r="AE24" i="29"/>
  <c r="AE26" i="29"/>
  <c r="AE111" i="29"/>
  <c r="AE25" i="29"/>
  <c r="AC106" i="29"/>
  <c r="AC15" i="29" s="1"/>
  <c r="AC7" i="29" s="1"/>
  <c r="AD255" i="29"/>
  <c r="AD156" i="29"/>
  <c r="AF24" i="37"/>
  <c r="AE329" i="29"/>
  <c r="AE327" i="29"/>
  <c r="AE332" i="29"/>
  <c r="AE328" i="29"/>
  <c r="AE161" i="29"/>
  <c r="AE245" i="29"/>
  <c r="AE331" i="29"/>
  <c r="AE330" i="29"/>
  <c r="AE247" i="29"/>
  <c r="AE246" i="29"/>
  <c r="AE244" i="29"/>
  <c r="AE242" i="29"/>
  <c r="AE157" i="29"/>
  <c r="AE160" i="29"/>
  <c r="AE243" i="29"/>
  <c r="AE159" i="29"/>
  <c r="AE73" i="29"/>
  <c r="AE74" i="29"/>
  <c r="AE76" i="29"/>
  <c r="AE158" i="29"/>
  <c r="AE75" i="29"/>
  <c r="AE162" i="29"/>
  <c r="AE77" i="29"/>
  <c r="AE72" i="29"/>
  <c r="AF20" i="37"/>
  <c r="AE301" i="29"/>
  <c r="AE300" i="29"/>
  <c r="AE304" i="29"/>
  <c r="AE302" i="29"/>
  <c r="AE214" i="29"/>
  <c r="AE134" i="29"/>
  <c r="AE129" i="29"/>
  <c r="AE299" i="29"/>
  <c r="AE303" i="29"/>
  <c r="AE217" i="29"/>
  <c r="AE219" i="29"/>
  <c r="AE216" i="29"/>
  <c r="AE132" i="29"/>
  <c r="AE130" i="29"/>
  <c r="AE45" i="29"/>
  <c r="AE48" i="29"/>
  <c r="AE131" i="29"/>
  <c r="AE133" i="29"/>
  <c r="AE46" i="29"/>
  <c r="AE44" i="29"/>
  <c r="AE218" i="29"/>
  <c r="AE215" i="29"/>
  <c r="AE47" i="29"/>
  <c r="AE49" i="29"/>
  <c r="AD206" i="29"/>
  <c r="AC276" i="29"/>
  <c r="AC17" i="29" s="1"/>
  <c r="AC9" i="29" s="1"/>
  <c r="AC68" i="8" s="1"/>
  <c r="AD248" i="29"/>
  <c r="AF26" i="37"/>
  <c r="AE344" i="29"/>
  <c r="AE342" i="29"/>
  <c r="AE343" i="29"/>
  <c r="AE345" i="29"/>
  <c r="AE341" i="29"/>
  <c r="AE174" i="29"/>
  <c r="AE346" i="29"/>
  <c r="AE260" i="29"/>
  <c r="AE175" i="29"/>
  <c r="AE172" i="29"/>
  <c r="AE90" i="29"/>
  <c r="AE256" i="29"/>
  <c r="AE261" i="29"/>
  <c r="AE258" i="29"/>
  <c r="AE176" i="29"/>
  <c r="AE257" i="29"/>
  <c r="AE173" i="29"/>
  <c r="AE259" i="29"/>
  <c r="AE89" i="29"/>
  <c r="AE88" i="29"/>
  <c r="AE86" i="29"/>
  <c r="AE171" i="29"/>
  <c r="AE91" i="29"/>
  <c r="AE87" i="29"/>
  <c r="AF22" i="37"/>
  <c r="AE314" i="29"/>
  <c r="AE316" i="29"/>
  <c r="AE315" i="29"/>
  <c r="AE313" i="29"/>
  <c r="AE232" i="29"/>
  <c r="AE318" i="29"/>
  <c r="AE317" i="29"/>
  <c r="AE229" i="29"/>
  <c r="AE147" i="29"/>
  <c r="AE228" i="29"/>
  <c r="AE62" i="29"/>
  <c r="AE143" i="29"/>
  <c r="AE233" i="29"/>
  <c r="AE145" i="29"/>
  <c r="AE148" i="29"/>
  <c r="AE146" i="29"/>
  <c r="AE230" i="29"/>
  <c r="AE231" i="29"/>
  <c r="AE144" i="29"/>
  <c r="AE58" i="29"/>
  <c r="AE60" i="29"/>
  <c r="AE59" i="29"/>
  <c r="AE63" i="29"/>
  <c r="AE61" i="29"/>
  <c r="AE200" i="29"/>
  <c r="AE289" i="29"/>
  <c r="AE286" i="29"/>
  <c r="AE201" i="29"/>
  <c r="AE202" i="29"/>
  <c r="AE118" i="29"/>
  <c r="AE285" i="29"/>
  <c r="AE290" i="29"/>
  <c r="AE288" i="29"/>
  <c r="AE203" i="29"/>
  <c r="AE117" i="29"/>
  <c r="AE287" i="29"/>
  <c r="AE204" i="29"/>
  <c r="AE115" i="29"/>
  <c r="AE120" i="29"/>
  <c r="AE35" i="29"/>
  <c r="AE119" i="29"/>
  <c r="AE30" i="29"/>
  <c r="AE205" i="29"/>
  <c r="AE116" i="29"/>
  <c r="AE33" i="29"/>
  <c r="AE32" i="29"/>
  <c r="AE31" i="29"/>
  <c r="AE34" i="29"/>
  <c r="AD213" i="29"/>
  <c r="AD92" i="29"/>
  <c r="AD262" i="29"/>
  <c r="AF21" i="37"/>
  <c r="AE311" i="29"/>
  <c r="AE309" i="29"/>
  <c r="AE306" i="29"/>
  <c r="AE225" i="29"/>
  <c r="AE308" i="29"/>
  <c r="AE307" i="29"/>
  <c r="AE221" i="29"/>
  <c r="AE226" i="29"/>
  <c r="AE141" i="29"/>
  <c r="AE222" i="29"/>
  <c r="AE224" i="29"/>
  <c r="AE223" i="29"/>
  <c r="AE139" i="29"/>
  <c r="AE52" i="29"/>
  <c r="AE56" i="29"/>
  <c r="AE136" i="29"/>
  <c r="AE140" i="29"/>
  <c r="AE55" i="29"/>
  <c r="AE53" i="29"/>
  <c r="AE51" i="29"/>
  <c r="AE138" i="29"/>
  <c r="AE310" i="29"/>
  <c r="AE137" i="29"/>
  <c r="AE54" i="29"/>
  <c r="AD43" i="29"/>
  <c r="AD149" i="29"/>
  <c r="AD22" i="29"/>
  <c r="AD277" i="29"/>
  <c r="AD177" i="29"/>
  <c r="AD64" i="29"/>
  <c r="AF19" i="37"/>
  <c r="AE296" i="29"/>
  <c r="AE122" i="29"/>
  <c r="AE212" i="29"/>
  <c r="AE293" i="29"/>
  <c r="AE125" i="29"/>
  <c r="AE208" i="29"/>
  <c r="AE127" i="29"/>
  <c r="AE210" i="29"/>
  <c r="AE294" i="29"/>
  <c r="AE209" i="29"/>
  <c r="AE207" i="29"/>
  <c r="AE124" i="29"/>
  <c r="AE295" i="29"/>
  <c r="AE211" i="29"/>
  <c r="AE297" i="29"/>
  <c r="AE292" i="29"/>
  <c r="AE126" i="29"/>
  <c r="AE39" i="29"/>
  <c r="AE123" i="29"/>
  <c r="AE42" i="29"/>
  <c r="AE41" i="29"/>
  <c r="AE37" i="29"/>
  <c r="AE40" i="29"/>
  <c r="AE38" i="29"/>
  <c r="AD284" i="29"/>
  <c r="AD36" i="29"/>
  <c r="AD135" i="29"/>
  <c r="AD29" i="29"/>
  <c r="AD71" i="29"/>
  <c r="AD326" i="29"/>
  <c r="AB6" i="29"/>
  <c r="AB18" i="29"/>
  <c r="AB14" i="2" s="1"/>
  <c r="AD78" i="29"/>
  <c r="AD85" i="29"/>
  <c r="AF28" i="37"/>
  <c r="AE360" i="29"/>
  <c r="AE356" i="29"/>
  <c r="AE359" i="29"/>
  <c r="AE355" i="29"/>
  <c r="AE357" i="29"/>
  <c r="AE358" i="29"/>
  <c r="AE188" i="29"/>
  <c r="AE189" i="29"/>
  <c r="AE273" i="29"/>
  <c r="AE275" i="29"/>
  <c r="AE190" i="29"/>
  <c r="AE274" i="29"/>
  <c r="AE272" i="29"/>
  <c r="AE104" i="29"/>
  <c r="AE270" i="29"/>
  <c r="AE103" i="29"/>
  <c r="AE100" i="29"/>
  <c r="AE271" i="29"/>
  <c r="AE186" i="29"/>
  <c r="AE185" i="29"/>
  <c r="AE105" i="29"/>
  <c r="AE102" i="29"/>
  <c r="AE101" i="29"/>
  <c r="AE187" i="29"/>
  <c r="AD269" i="29"/>
  <c r="AD170" i="29"/>
  <c r="AD220" i="29"/>
  <c r="AD107" i="29"/>
  <c r="AD319" i="29"/>
  <c r="AD305" i="29"/>
  <c r="AD121" i="29"/>
  <c r="AD57" i="29"/>
  <c r="AD142" i="29"/>
  <c r="AD298" i="29"/>
  <c r="AD347" i="29"/>
  <c r="AF23" i="37"/>
  <c r="AE324" i="29"/>
  <c r="AE325" i="29"/>
  <c r="AE322" i="29"/>
  <c r="AE321" i="29"/>
  <c r="AE239" i="29"/>
  <c r="AE154" i="29"/>
  <c r="AE320" i="29"/>
  <c r="AE235" i="29"/>
  <c r="AE240" i="29"/>
  <c r="AE238" i="29"/>
  <c r="AE236" i="29"/>
  <c r="AE152" i="29"/>
  <c r="AE155" i="29"/>
  <c r="AE153" i="29"/>
  <c r="AE323" i="29"/>
  <c r="AE151" i="29"/>
  <c r="AE65" i="29"/>
  <c r="AE66" i="29"/>
  <c r="AE68" i="29"/>
  <c r="AE70" i="29"/>
  <c r="AE237" i="29"/>
  <c r="AE150" i="29"/>
  <c r="AE67" i="29"/>
  <c r="AE69" i="29"/>
  <c r="AD114" i="29"/>
  <c r="AD333" i="29"/>
  <c r="AD50" i="29"/>
  <c r="AD227" i="29"/>
  <c r="AD128" i="29"/>
  <c r="Z44" i="10" l="1"/>
  <c r="AA38" i="9"/>
  <c r="AA25" i="9"/>
  <c r="AA22" i="10" s="1"/>
  <c r="AA33" i="10" s="1"/>
  <c r="AB30" i="18"/>
  <c r="AB9" i="18" s="1"/>
  <c r="AB14" i="18" s="1"/>
  <c r="AC39" i="18"/>
  <c r="Z69" i="8"/>
  <c r="Z10" i="8" s="1"/>
  <c r="Z34" i="12" s="1"/>
  <c r="AC31" i="18"/>
  <c r="AC20" i="8"/>
  <c r="AC55" i="18"/>
  <c r="AC13" i="18" s="1"/>
  <c r="AC24" i="8"/>
  <c r="AC47" i="18"/>
  <c r="AC11" i="18" s="1"/>
  <c r="AC22" i="8"/>
  <c r="AC22" i="18"/>
  <c r="AC7" i="18" s="1"/>
  <c r="AC18" i="8"/>
  <c r="AC21" i="8"/>
  <c r="AC43" i="18"/>
  <c r="AC10" i="18" s="1"/>
  <c r="AA71" i="8"/>
  <c r="AA78" i="8"/>
  <c r="AA80" i="8" s="1"/>
  <c r="AA75" i="8" s="1"/>
  <c r="AC18" i="18"/>
  <c r="AC6" i="18" s="1"/>
  <c r="AC17" i="8"/>
  <c r="AC26" i="18"/>
  <c r="AC8" i="18" s="1"/>
  <c r="AC19" i="8"/>
  <c r="AC35" i="18"/>
  <c r="AB15" i="8"/>
  <c r="AA5" i="8"/>
  <c r="AA29" i="12" s="1"/>
  <c r="AA73" i="8"/>
  <c r="AD53" i="18"/>
  <c r="AD44" i="18"/>
  <c r="AD34" i="18"/>
  <c r="AD24" i="18"/>
  <c r="AD57" i="18"/>
  <c r="AD48" i="18"/>
  <c r="AD38" i="18"/>
  <c r="AD28" i="18"/>
  <c r="AD58" i="18"/>
  <c r="AD49" i="18"/>
  <c r="AD40" i="18"/>
  <c r="AD45" i="18"/>
  <c r="AD21" i="18"/>
  <c r="AD37" i="18"/>
  <c r="AD54" i="18"/>
  <c r="AD23" i="18"/>
  <c r="AD41" i="18"/>
  <c r="AD42" i="18"/>
  <c r="AD52" i="18"/>
  <c r="AD36" i="18"/>
  <c r="AD27" i="18"/>
  <c r="AD19" i="18"/>
  <c r="AD56" i="18"/>
  <c r="AD25" i="18"/>
  <c r="AD20" i="18"/>
  <c r="AD46" i="18"/>
  <c r="AD33" i="18"/>
  <c r="AD32" i="18"/>
  <c r="AD29" i="18"/>
  <c r="AD50" i="18"/>
  <c r="AC51" i="18"/>
  <c r="AC12" i="18" s="1"/>
  <c r="AC23" i="8"/>
  <c r="AF84" i="8"/>
  <c r="AF98" i="8"/>
  <c r="AF101" i="8"/>
  <c r="AF87" i="8"/>
  <c r="AF93" i="8"/>
  <c r="AF107" i="8"/>
  <c r="AE82" i="8"/>
  <c r="AF108" i="8"/>
  <c r="AF94" i="8"/>
  <c r="AF90" i="8"/>
  <c r="AF104" i="8"/>
  <c r="AF83" i="8"/>
  <c r="AF97" i="8"/>
  <c r="AE96" i="8"/>
  <c r="AE25" i="8" s="1"/>
  <c r="AF91" i="8"/>
  <c r="AF105" i="8"/>
  <c r="AF106" i="8"/>
  <c r="AF92" i="8"/>
  <c r="AF86" i="8"/>
  <c r="AF100" i="8"/>
  <c r="AF99" i="8"/>
  <c r="AF85" i="8"/>
  <c r="AF88" i="8"/>
  <c r="AF102" i="8"/>
  <c r="AF89" i="8"/>
  <c r="AF103" i="8"/>
  <c r="AC84" i="7"/>
  <c r="AB83" i="7"/>
  <c r="AB62" i="7"/>
  <c r="AB64" i="7" s="1"/>
  <c r="AB14" i="7" s="1"/>
  <c r="AC86" i="7"/>
  <c r="AC85" i="7"/>
  <c r="AC83" i="7"/>
  <c r="Z65" i="7"/>
  <c r="X23" i="12"/>
  <c r="AG728" i="1"/>
  <c r="AF54" i="7"/>
  <c r="AF51" i="7"/>
  <c r="AA66" i="7"/>
  <c r="AA67" i="7"/>
  <c r="AA68" i="7"/>
  <c r="Y89" i="7"/>
  <c r="Z91" i="7"/>
  <c r="Z90" i="7"/>
  <c r="X89" i="7"/>
  <c r="Z5" i="7"/>
  <c r="AA10" i="29"/>
  <c r="AA82" i="7"/>
  <c r="Y5" i="7"/>
  <c r="AB5" i="29"/>
  <c r="AE107" i="29"/>
  <c r="AE333" i="29"/>
  <c r="AE354" i="29"/>
  <c r="AE291" i="29"/>
  <c r="AD191" i="29"/>
  <c r="AD16" i="29" s="1"/>
  <c r="AD8" i="29" s="1"/>
  <c r="AG28" i="37"/>
  <c r="AF358" i="29"/>
  <c r="AF355" i="29"/>
  <c r="AF357" i="29"/>
  <c r="AF360" i="29"/>
  <c r="AF356" i="29"/>
  <c r="AF273" i="29"/>
  <c r="AF359" i="29"/>
  <c r="AF270" i="29"/>
  <c r="AF274" i="29"/>
  <c r="AF275" i="29"/>
  <c r="AF271" i="29"/>
  <c r="AF189" i="29"/>
  <c r="AF272" i="29"/>
  <c r="AF188" i="29"/>
  <c r="AF190" i="29"/>
  <c r="AF100" i="29"/>
  <c r="AF186" i="29"/>
  <c r="AF185" i="29"/>
  <c r="AF105" i="29"/>
  <c r="AF104" i="29"/>
  <c r="AF187" i="29"/>
  <c r="AF103" i="29"/>
  <c r="AF102" i="29"/>
  <c r="AF101" i="29"/>
  <c r="AE64" i="29"/>
  <c r="AE57" i="29"/>
  <c r="AC5" i="29"/>
  <c r="AE255" i="29"/>
  <c r="AE156" i="29"/>
  <c r="AG24" i="37"/>
  <c r="AF330" i="29"/>
  <c r="AF329" i="29"/>
  <c r="AF332" i="29"/>
  <c r="AF328" i="29"/>
  <c r="AF159" i="29"/>
  <c r="AF244" i="29"/>
  <c r="AF327" i="29"/>
  <c r="AF245" i="29"/>
  <c r="AF243" i="29"/>
  <c r="AF246" i="29"/>
  <c r="AF242" i="29"/>
  <c r="AF158" i="29"/>
  <c r="AF75" i="29"/>
  <c r="AF161" i="29"/>
  <c r="AF331" i="29"/>
  <c r="AF77" i="29"/>
  <c r="AF157" i="29"/>
  <c r="AF76" i="29"/>
  <c r="AF72" i="29"/>
  <c r="AF74" i="29"/>
  <c r="AF73" i="29"/>
  <c r="AF247" i="29"/>
  <c r="AF160" i="29"/>
  <c r="AF162" i="29"/>
  <c r="AF281" i="29"/>
  <c r="AF283" i="29"/>
  <c r="AF110" i="29"/>
  <c r="AF197" i="29"/>
  <c r="AF279" i="29"/>
  <c r="AF198" i="29"/>
  <c r="AF278" i="29"/>
  <c r="AF282" i="29"/>
  <c r="AF196" i="29"/>
  <c r="AF195" i="29"/>
  <c r="AF109" i="29"/>
  <c r="AF112" i="29"/>
  <c r="AF280" i="29"/>
  <c r="AF193" i="29"/>
  <c r="AF113" i="29"/>
  <c r="AF108" i="29"/>
  <c r="AF27" i="29"/>
  <c r="AF26" i="29"/>
  <c r="AF25" i="29"/>
  <c r="AF28" i="29"/>
  <c r="AF23" i="29"/>
  <c r="AF24" i="29"/>
  <c r="AF111" i="29"/>
  <c r="AF194" i="29"/>
  <c r="AE78" i="29"/>
  <c r="AC18" i="29"/>
  <c r="AC14" i="2" s="1"/>
  <c r="AE220" i="29"/>
  <c r="AE284" i="29"/>
  <c r="AE312" i="29"/>
  <c r="AE241" i="29"/>
  <c r="AG20" i="37"/>
  <c r="AF301" i="29"/>
  <c r="AF303" i="29"/>
  <c r="AF219" i="29"/>
  <c r="AF304" i="29"/>
  <c r="AF302" i="29"/>
  <c r="AF299" i="29"/>
  <c r="AF216" i="29"/>
  <c r="AF133" i="29"/>
  <c r="AF215" i="29"/>
  <c r="AF217" i="29"/>
  <c r="AF132" i="29"/>
  <c r="AF49" i="29"/>
  <c r="AF218" i="29"/>
  <c r="AF300" i="29"/>
  <c r="AF129" i="29"/>
  <c r="AF130" i="29"/>
  <c r="AF214" i="29"/>
  <c r="AF134" i="29"/>
  <c r="AF131" i="29"/>
  <c r="AF46" i="29"/>
  <c r="AF45" i="29"/>
  <c r="AF47" i="29"/>
  <c r="AF48" i="29"/>
  <c r="AF44" i="29"/>
  <c r="AE121" i="29"/>
  <c r="AE71" i="29"/>
  <c r="AE262" i="29"/>
  <c r="AE29" i="29"/>
  <c r="AG19" i="37"/>
  <c r="AF208" i="29"/>
  <c r="AF296" i="29"/>
  <c r="AF297" i="29"/>
  <c r="AF295" i="29"/>
  <c r="AF207" i="29"/>
  <c r="AF292" i="29"/>
  <c r="AF293" i="29"/>
  <c r="AF211" i="29"/>
  <c r="AF212" i="29"/>
  <c r="AF210" i="29"/>
  <c r="AF122" i="29"/>
  <c r="AF294" i="29"/>
  <c r="AF125" i="29"/>
  <c r="AF127" i="29"/>
  <c r="AF41" i="29"/>
  <c r="AF126" i="29"/>
  <c r="AF124" i="29"/>
  <c r="AF39" i="29"/>
  <c r="AF123" i="29"/>
  <c r="AF38" i="29"/>
  <c r="AF37" i="29"/>
  <c r="AF40" i="29"/>
  <c r="AF209" i="29"/>
  <c r="AF42" i="29"/>
  <c r="AG22" i="37"/>
  <c r="AF316" i="29"/>
  <c r="AF315" i="29"/>
  <c r="AF314" i="29"/>
  <c r="AF318" i="29"/>
  <c r="AF230" i="29"/>
  <c r="AF233" i="29"/>
  <c r="AF145" i="29"/>
  <c r="AF231" i="29"/>
  <c r="AF317" i="29"/>
  <c r="AF146" i="29"/>
  <c r="AF313" i="29"/>
  <c r="AF232" i="29"/>
  <c r="AF228" i="29"/>
  <c r="AF229" i="29"/>
  <c r="AF147" i="29"/>
  <c r="AF148" i="29"/>
  <c r="AF61" i="29"/>
  <c r="AF58" i="29"/>
  <c r="AF143" i="29"/>
  <c r="AF62" i="29"/>
  <c r="AF60" i="29"/>
  <c r="AF59" i="29"/>
  <c r="AF144" i="29"/>
  <c r="AF63" i="29"/>
  <c r="AE213" i="29"/>
  <c r="AE192" i="29"/>
  <c r="AE184" i="29"/>
  <c r="AE135" i="29"/>
  <c r="AE305" i="29"/>
  <c r="AE163" i="29"/>
  <c r="AE199" i="29"/>
  <c r="AE142" i="29"/>
  <c r="AE22" i="29"/>
  <c r="AG26" i="37"/>
  <c r="AF342" i="29"/>
  <c r="AF343" i="29"/>
  <c r="AF344" i="29"/>
  <c r="AF345" i="29"/>
  <c r="AF257" i="29"/>
  <c r="AF172" i="29"/>
  <c r="AF261" i="29"/>
  <c r="AF258" i="29"/>
  <c r="AF346" i="29"/>
  <c r="AF256" i="29"/>
  <c r="AF174" i="29"/>
  <c r="AF259" i="29"/>
  <c r="AF341" i="29"/>
  <c r="AF175" i="29"/>
  <c r="AF87" i="29"/>
  <c r="AF260" i="29"/>
  <c r="AF173" i="29"/>
  <c r="AF88" i="29"/>
  <c r="AF90" i="29"/>
  <c r="AF86" i="29"/>
  <c r="AF176" i="29"/>
  <c r="AF91" i="29"/>
  <c r="AF89" i="29"/>
  <c r="AF171" i="29"/>
  <c r="AE234" i="29"/>
  <c r="AE206" i="29"/>
  <c r="AD276" i="29"/>
  <c r="AD17" i="29" s="1"/>
  <c r="AD9" i="29" s="1"/>
  <c r="AD68" i="8" s="1"/>
  <c r="AG21" i="37"/>
  <c r="AF310" i="29"/>
  <c r="AF308" i="29"/>
  <c r="AF306" i="29"/>
  <c r="AF307" i="29"/>
  <c r="AF136" i="29"/>
  <c r="AF311" i="29"/>
  <c r="AF309" i="29"/>
  <c r="AF139" i="29"/>
  <c r="AF223" i="29"/>
  <c r="AF138" i="29"/>
  <c r="AF52" i="29"/>
  <c r="AF225" i="29"/>
  <c r="AF226" i="29"/>
  <c r="AF141" i="29"/>
  <c r="AF224" i="29"/>
  <c r="AF222" i="29"/>
  <c r="AF137" i="29"/>
  <c r="AF221" i="29"/>
  <c r="AF56" i="29"/>
  <c r="AF51" i="29"/>
  <c r="AF54" i="29"/>
  <c r="AF55" i="29"/>
  <c r="AF53" i="29"/>
  <c r="AF140" i="29"/>
  <c r="AE114" i="29"/>
  <c r="AF289" i="29"/>
  <c r="AF287" i="29"/>
  <c r="AF288" i="29"/>
  <c r="AF200" i="29"/>
  <c r="AF118" i="29"/>
  <c r="AF204" i="29"/>
  <c r="AF290" i="29"/>
  <c r="AF285" i="29"/>
  <c r="AF205" i="29"/>
  <c r="AF201" i="29"/>
  <c r="AF286" i="29"/>
  <c r="AF203" i="29"/>
  <c r="AF202" i="29"/>
  <c r="AF117" i="29"/>
  <c r="AF120" i="29"/>
  <c r="AF115" i="29"/>
  <c r="AF35" i="29"/>
  <c r="AF116" i="29"/>
  <c r="AF33" i="29"/>
  <c r="AF119" i="29"/>
  <c r="AF32" i="29"/>
  <c r="AF34" i="29"/>
  <c r="AF31" i="29"/>
  <c r="AF30" i="29"/>
  <c r="AE170" i="29"/>
  <c r="AE298" i="29"/>
  <c r="AE177" i="29"/>
  <c r="AE50" i="29"/>
  <c r="AE319" i="29"/>
  <c r="AE99" i="29"/>
  <c r="AD21" i="29"/>
  <c r="AD14" i="29" s="1"/>
  <c r="AE227" i="29"/>
  <c r="AE85" i="29"/>
  <c r="AE128" i="29"/>
  <c r="AE92" i="29"/>
  <c r="AE347" i="29"/>
  <c r="AG25" i="37"/>
  <c r="AF336" i="29"/>
  <c r="AF337" i="29"/>
  <c r="AF338" i="29"/>
  <c r="AF339" i="29"/>
  <c r="AF335" i="29"/>
  <c r="AF334" i="29"/>
  <c r="AF253" i="29"/>
  <c r="AF249" i="29"/>
  <c r="AF250" i="29"/>
  <c r="AF254" i="29"/>
  <c r="AF165" i="29"/>
  <c r="AF80" i="29"/>
  <c r="AF169" i="29"/>
  <c r="AF164" i="29"/>
  <c r="AF166" i="29"/>
  <c r="AF252" i="29"/>
  <c r="AF167" i="29"/>
  <c r="AF83" i="29"/>
  <c r="AF251" i="29"/>
  <c r="AF81" i="29"/>
  <c r="AF84" i="29"/>
  <c r="AF79" i="29"/>
  <c r="AF82" i="29"/>
  <c r="AF168" i="29"/>
  <c r="AE149" i="29"/>
  <c r="AD106" i="29"/>
  <c r="AD15" i="29" s="1"/>
  <c r="AD7" i="29" s="1"/>
  <c r="AE43" i="29"/>
  <c r="AE277" i="29"/>
  <c r="AG27" i="37"/>
  <c r="AF350" i="29"/>
  <c r="AF348" i="29"/>
  <c r="AF182" i="29"/>
  <c r="AF349" i="29"/>
  <c r="AF352" i="29"/>
  <c r="AF353" i="29"/>
  <c r="AF265" i="29"/>
  <c r="AF183" i="29"/>
  <c r="AF266" i="29"/>
  <c r="AF268" i="29"/>
  <c r="AF180" i="29"/>
  <c r="AF263" i="29"/>
  <c r="AF351" i="29"/>
  <c r="AF93" i="29"/>
  <c r="AF267" i="29"/>
  <c r="AF178" i="29"/>
  <c r="AF95" i="29"/>
  <c r="AF98" i="29"/>
  <c r="AF94" i="29"/>
  <c r="AF264" i="29"/>
  <c r="AF181" i="29"/>
  <c r="AF179" i="29"/>
  <c r="AF97" i="29"/>
  <c r="AF96" i="29"/>
  <c r="AG23" i="37"/>
  <c r="AF324" i="29"/>
  <c r="AF322" i="29"/>
  <c r="AF323" i="29"/>
  <c r="AF325" i="29"/>
  <c r="AF238" i="29"/>
  <c r="AF152" i="29"/>
  <c r="AF320" i="29"/>
  <c r="AF236" i="29"/>
  <c r="AF321" i="29"/>
  <c r="AF237" i="29"/>
  <c r="AF240" i="29"/>
  <c r="AF153" i="29"/>
  <c r="AF154" i="29"/>
  <c r="AF67" i="29"/>
  <c r="AF239" i="29"/>
  <c r="AF69" i="29"/>
  <c r="AF155" i="29"/>
  <c r="AF151" i="29"/>
  <c r="AF70" i="29"/>
  <c r="AF235" i="29"/>
  <c r="AF65" i="29"/>
  <c r="AF68" i="29"/>
  <c r="AF66" i="29"/>
  <c r="AF150" i="29"/>
  <c r="AE248" i="29"/>
  <c r="AE269" i="29"/>
  <c r="AE36" i="29"/>
  <c r="AE340" i="29"/>
  <c r="AE326" i="29"/>
  <c r="AA61" i="8" l="1"/>
  <c r="AA59" i="8" s="1"/>
  <c r="AA7" i="8" s="1"/>
  <c r="AA31" i="12" s="1"/>
  <c r="AA13" i="2"/>
  <c r="AA44" i="10"/>
  <c r="AB38" i="9"/>
  <c r="AB25" i="9"/>
  <c r="AB22" i="10" s="1"/>
  <c r="AB33" i="10" s="1"/>
  <c r="AB44" i="10" s="1"/>
  <c r="AD18" i="8"/>
  <c r="AD39" i="18"/>
  <c r="AD21" i="8"/>
  <c r="AD51" i="18"/>
  <c r="AD12" i="18" s="1"/>
  <c r="AD17" i="8"/>
  <c r="AD23" i="8"/>
  <c r="AD22" i="18"/>
  <c r="AD7" i="18" s="1"/>
  <c r="AA69" i="8"/>
  <c r="AA10" i="8" s="1"/>
  <c r="AA34" i="12" s="1"/>
  <c r="AD31" i="18"/>
  <c r="AD20" i="8"/>
  <c r="AB73" i="8"/>
  <c r="AB5" i="8"/>
  <c r="AB29" i="12" s="1"/>
  <c r="AB26" i="13" s="1"/>
  <c r="AD43" i="18"/>
  <c r="AD10" i="18" s="1"/>
  <c r="AD55" i="18"/>
  <c r="AD13" i="18" s="1"/>
  <c r="AD24" i="8"/>
  <c r="AB71" i="8"/>
  <c r="AB78" i="8"/>
  <c r="AB80" i="8" s="1"/>
  <c r="AB75" i="8" s="1"/>
  <c r="AD18" i="18"/>
  <c r="AD6" i="18" s="1"/>
  <c r="AD26" i="18"/>
  <c r="AD8" i="18" s="1"/>
  <c r="AD19" i="8"/>
  <c r="AE53" i="18"/>
  <c r="AE44" i="18"/>
  <c r="AE34" i="18"/>
  <c r="AE45" i="18"/>
  <c r="AE28" i="18"/>
  <c r="AE24" i="18"/>
  <c r="AE21" i="18"/>
  <c r="AE37" i="18"/>
  <c r="AE54" i="18"/>
  <c r="AE46" i="18"/>
  <c r="AE38" i="18"/>
  <c r="AE27" i="18"/>
  <c r="AE57" i="18"/>
  <c r="AE41" i="18"/>
  <c r="AE49" i="18"/>
  <c r="AE33" i="18"/>
  <c r="AE32" i="18"/>
  <c r="AE25" i="18"/>
  <c r="AE20" i="18"/>
  <c r="AE29" i="18"/>
  <c r="AE19" i="18"/>
  <c r="AE56" i="18"/>
  <c r="AE40" i="18"/>
  <c r="AE58" i="18"/>
  <c r="AE42" i="18"/>
  <c r="AE23" i="18"/>
  <c r="AE50" i="18"/>
  <c r="AE48" i="18"/>
  <c r="AE36" i="18"/>
  <c r="AE52" i="18"/>
  <c r="AD35" i="18"/>
  <c r="AD22" i="8"/>
  <c r="AD47" i="18"/>
  <c r="AD11" i="18" s="1"/>
  <c r="AC15" i="8"/>
  <c r="AC30" i="18"/>
  <c r="AC9" i="18" s="1"/>
  <c r="AC14" i="18" s="1"/>
  <c r="AG93" i="8"/>
  <c r="AG107" i="8"/>
  <c r="AG102" i="8"/>
  <c r="AG88" i="8"/>
  <c r="AG108" i="8"/>
  <c r="AG94" i="8"/>
  <c r="AF96" i="8"/>
  <c r="AF25" i="8" s="1"/>
  <c r="AG83" i="8"/>
  <c r="AG97" i="8"/>
  <c r="AF82" i="8"/>
  <c r="AG89" i="8"/>
  <c r="AG103" i="8"/>
  <c r="AG91" i="8"/>
  <c r="AG105" i="8"/>
  <c r="AG101" i="8"/>
  <c r="AG87" i="8"/>
  <c r="AG106" i="8"/>
  <c r="AG92" i="8"/>
  <c r="AG99" i="8"/>
  <c r="AG85" i="8"/>
  <c r="AG84" i="8"/>
  <c r="AG98" i="8"/>
  <c r="AG86" i="8"/>
  <c r="AG100" i="8"/>
  <c r="AG104" i="8"/>
  <c r="AG90" i="8"/>
  <c r="AC62" i="7"/>
  <c r="AC64" i="7" s="1"/>
  <c r="AC14" i="7" s="1"/>
  <c r="AD84" i="7"/>
  <c r="AC82" i="7"/>
  <c r="AD85" i="7"/>
  <c r="AD86" i="7"/>
  <c r="Y23" i="12"/>
  <c r="Z23" i="12"/>
  <c r="AH728" i="1"/>
  <c r="AG51" i="7"/>
  <c r="AG54" i="7"/>
  <c r="AB67" i="7"/>
  <c r="AB66" i="7"/>
  <c r="AA65" i="7"/>
  <c r="AB68" i="7"/>
  <c r="Z89" i="7"/>
  <c r="AB10" i="29"/>
  <c r="AB82" i="7"/>
  <c r="AA88" i="7"/>
  <c r="AA16" i="7" s="1"/>
  <c r="AA13" i="7" s="1"/>
  <c r="AC10" i="29"/>
  <c r="AF298" i="29"/>
  <c r="AF149" i="29"/>
  <c r="AF22" i="29"/>
  <c r="AE106" i="29"/>
  <c r="AE15" i="29" s="1"/>
  <c r="AE7" i="29" s="1"/>
  <c r="AF284" i="29"/>
  <c r="AF50" i="29"/>
  <c r="AF85" i="29"/>
  <c r="AE191" i="29"/>
  <c r="AE16" i="29" s="1"/>
  <c r="AE8" i="29" s="1"/>
  <c r="AF43" i="29"/>
  <c r="AF135" i="29"/>
  <c r="AH23" i="37"/>
  <c r="AG325" i="29"/>
  <c r="AG321" i="29"/>
  <c r="AG323" i="29"/>
  <c r="AG320" i="29"/>
  <c r="AG324" i="29"/>
  <c r="AG240" i="29"/>
  <c r="AG237" i="29"/>
  <c r="AG238" i="29"/>
  <c r="AG322" i="29"/>
  <c r="AG67" i="29"/>
  <c r="AG155" i="29"/>
  <c r="AG236" i="29"/>
  <c r="AG235" i="29"/>
  <c r="AG151" i="29"/>
  <c r="AG154" i="29"/>
  <c r="AG69" i="29"/>
  <c r="AG66" i="29"/>
  <c r="AG153" i="29"/>
  <c r="AG68" i="29"/>
  <c r="AG152" i="29"/>
  <c r="AG65" i="29"/>
  <c r="AG239" i="29"/>
  <c r="AG70" i="29"/>
  <c r="AG150" i="29"/>
  <c r="AF36" i="29"/>
  <c r="AF291" i="29"/>
  <c r="AF255" i="29"/>
  <c r="AF241" i="29"/>
  <c r="AF326" i="29"/>
  <c r="AF78" i="29"/>
  <c r="AF248" i="29"/>
  <c r="AD18" i="29"/>
  <c r="AD14" i="2" s="1"/>
  <c r="AD6" i="29"/>
  <c r="AF71" i="29"/>
  <c r="AF269" i="29"/>
  <c r="AF333" i="29"/>
  <c r="AF340" i="29"/>
  <c r="AE21" i="29"/>
  <c r="AE14" i="29" s="1"/>
  <c r="AF142" i="29"/>
  <c r="AF213" i="29"/>
  <c r="AF156" i="29"/>
  <c r="AH21" i="37"/>
  <c r="AG307" i="29"/>
  <c r="AG309" i="29"/>
  <c r="AG306" i="29"/>
  <c r="AG310" i="29"/>
  <c r="AG308" i="29"/>
  <c r="AG221" i="29"/>
  <c r="AG311" i="29"/>
  <c r="AG141" i="29"/>
  <c r="AG222" i="29"/>
  <c r="AG225" i="29"/>
  <c r="AG226" i="29"/>
  <c r="AG224" i="29"/>
  <c r="AG223" i="29"/>
  <c r="AG138" i="29"/>
  <c r="AG139" i="29"/>
  <c r="AG54" i="29"/>
  <c r="AG136" i="29"/>
  <c r="AG51" i="29"/>
  <c r="AG137" i="29"/>
  <c r="AG140" i="29"/>
  <c r="AG55" i="29"/>
  <c r="AG56" i="29"/>
  <c r="AG52" i="29"/>
  <c r="AG53" i="29"/>
  <c r="AF64" i="29"/>
  <c r="AF319" i="29"/>
  <c r="AG287" i="29"/>
  <c r="AG288" i="29"/>
  <c r="AG290" i="29"/>
  <c r="AG201" i="29"/>
  <c r="AG285" i="29"/>
  <c r="AG200" i="29"/>
  <c r="AG286" i="29"/>
  <c r="AG203" i="29"/>
  <c r="AG289" i="29"/>
  <c r="AG204" i="29"/>
  <c r="AG117" i="29"/>
  <c r="AG120" i="29"/>
  <c r="AG115" i="29"/>
  <c r="AG205" i="29"/>
  <c r="AG202" i="29"/>
  <c r="AG33" i="29"/>
  <c r="AG116" i="29"/>
  <c r="AG32" i="29"/>
  <c r="AG118" i="29"/>
  <c r="AG30" i="29"/>
  <c r="AG35" i="29"/>
  <c r="AG31" i="29"/>
  <c r="AG34" i="29"/>
  <c r="AG119" i="29"/>
  <c r="AF57" i="29"/>
  <c r="AF277" i="29"/>
  <c r="AF354" i="29"/>
  <c r="AF234" i="29"/>
  <c r="AF312" i="29"/>
  <c r="AH19" i="37"/>
  <c r="AG292" i="29"/>
  <c r="AG294" i="29"/>
  <c r="AG208" i="29"/>
  <c r="AG126" i="29"/>
  <c r="AG293" i="29"/>
  <c r="AG297" i="29"/>
  <c r="AG212" i="29"/>
  <c r="AG210" i="29"/>
  <c r="AG295" i="29"/>
  <c r="AG122" i="29"/>
  <c r="AG296" i="29"/>
  <c r="AG209" i="29"/>
  <c r="AG127" i="29"/>
  <c r="AG123" i="29"/>
  <c r="AG125" i="29"/>
  <c r="AG41" i="29"/>
  <c r="AG211" i="29"/>
  <c r="AG38" i="29"/>
  <c r="AG207" i="29"/>
  <c r="AG37" i="29"/>
  <c r="AG124" i="29"/>
  <c r="AG40" i="29"/>
  <c r="AG39" i="29"/>
  <c r="AG42" i="29"/>
  <c r="AF128" i="29"/>
  <c r="AF184" i="29"/>
  <c r="AF206" i="29"/>
  <c r="AF114" i="29"/>
  <c r="AF347" i="29"/>
  <c r="AF170" i="29"/>
  <c r="AH20" i="37"/>
  <c r="AG302" i="29"/>
  <c r="AG300" i="29"/>
  <c r="AG214" i="29"/>
  <c r="AG130" i="29"/>
  <c r="AG304" i="29"/>
  <c r="AG299" i="29"/>
  <c r="AG301" i="29"/>
  <c r="AG217" i="29"/>
  <c r="AG129" i="29"/>
  <c r="AG303" i="29"/>
  <c r="AG216" i="29"/>
  <c r="AG219" i="29"/>
  <c r="AG133" i="29"/>
  <c r="AG48" i="29"/>
  <c r="AG134" i="29"/>
  <c r="AG131" i="29"/>
  <c r="AG218" i="29"/>
  <c r="AG46" i="29"/>
  <c r="AG49" i="29"/>
  <c r="AG132" i="29"/>
  <c r="AG44" i="29"/>
  <c r="AG215" i="29"/>
  <c r="AG47" i="29"/>
  <c r="AG45" i="29"/>
  <c r="AH24" i="37"/>
  <c r="AG330" i="29"/>
  <c r="AG327" i="29"/>
  <c r="AG332" i="29"/>
  <c r="AG331" i="29"/>
  <c r="AG328" i="29"/>
  <c r="AG329" i="29"/>
  <c r="AG244" i="29"/>
  <c r="AG245" i="29"/>
  <c r="AG157" i="29"/>
  <c r="AG247" i="29"/>
  <c r="AG160" i="29"/>
  <c r="AG76" i="29"/>
  <c r="AG158" i="29"/>
  <c r="AG162" i="29"/>
  <c r="AG159" i="29"/>
  <c r="AG242" i="29"/>
  <c r="AG77" i="29"/>
  <c r="AG243" i="29"/>
  <c r="AG74" i="29"/>
  <c r="AG246" i="29"/>
  <c r="AG72" i="29"/>
  <c r="AG75" i="29"/>
  <c r="AG161" i="29"/>
  <c r="AG73" i="29"/>
  <c r="AF305" i="29"/>
  <c r="AF177" i="29"/>
  <c r="AF220" i="29"/>
  <c r="AF107" i="29"/>
  <c r="AF99" i="29"/>
  <c r="AF92" i="29"/>
  <c r="AH27" i="37"/>
  <c r="AG349" i="29"/>
  <c r="AG348" i="29"/>
  <c r="AG353" i="29"/>
  <c r="AG265" i="29"/>
  <c r="AG352" i="29"/>
  <c r="AG350" i="29"/>
  <c r="AG263" i="29"/>
  <c r="AG267" i="29"/>
  <c r="AG351" i="29"/>
  <c r="AG264" i="29"/>
  <c r="AG178" i="29"/>
  <c r="AG96" i="29"/>
  <c r="AG181" i="29"/>
  <c r="AG182" i="29"/>
  <c r="AG95" i="29"/>
  <c r="AG183" i="29"/>
  <c r="AG180" i="29"/>
  <c r="AG93" i="29"/>
  <c r="AG268" i="29"/>
  <c r="AG179" i="29"/>
  <c r="AG266" i="29"/>
  <c r="AG97" i="29"/>
  <c r="AG94" i="29"/>
  <c r="AG98" i="29"/>
  <c r="AF29" i="29"/>
  <c r="AH22" i="37"/>
  <c r="AG316" i="29"/>
  <c r="AG314" i="29"/>
  <c r="AG313" i="29"/>
  <c r="AG228" i="29"/>
  <c r="AG317" i="29"/>
  <c r="AG315" i="29"/>
  <c r="AG230" i="29"/>
  <c r="AG232" i="29"/>
  <c r="AG233" i="29"/>
  <c r="AG231" i="29"/>
  <c r="AG143" i="29"/>
  <c r="AG58" i="29"/>
  <c r="AG229" i="29"/>
  <c r="AG146" i="29"/>
  <c r="AG318" i="29"/>
  <c r="AG147" i="29"/>
  <c r="AG59" i="29"/>
  <c r="AG148" i="29"/>
  <c r="AG145" i="29"/>
  <c r="AG61" i="29"/>
  <c r="AG144" i="29"/>
  <c r="AG62" i="29"/>
  <c r="AG60" i="29"/>
  <c r="AG63" i="29"/>
  <c r="AF121" i="29"/>
  <c r="AF262" i="29"/>
  <c r="AH26" i="37"/>
  <c r="AG343" i="29"/>
  <c r="AG342" i="29"/>
  <c r="AG346" i="29"/>
  <c r="AG344" i="29"/>
  <c r="AG345" i="29"/>
  <c r="AG259" i="29"/>
  <c r="AG341" i="29"/>
  <c r="AG261" i="29"/>
  <c r="AG258" i="29"/>
  <c r="AG86" i="29"/>
  <c r="AG173" i="29"/>
  <c r="AG88" i="29"/>
  <c r="AG257" i="29"/>
  <c r="AG174" i="29"/>
  <c r="AG260" i="29"/>
  <c r="AG171" i="29"/>
  <c r="AG172" i="29"/>
  <c r="AG256" i="29"/>
  <c r="AG175" i="29"/>
  <c r="AG87" i="29"/>
  <c r="AG90" i="29"/>
  <c r="AG89" i="29"/>
  <c r="AG176" i="29"/>
  <c r="AG91" i="29"/>
  <c r="AE276" i="29"/>
  <c r="AE17" i="29" s="1"/>
  <c r="AE9" i="29" s="1"/>
  <c r="AE68" i="8" s="1"/>
  <c r="AF163" i="29"/>
  <c r="AH25" i="37"/>
  <c r="AG336" i="29"/>
  <c r="AG338" i="29"/>
  <c r="AG335" i="29"/>
  <c r="AG168" i="29"/>
  <c r="AG166" i="29"/>
  <c r="AG254" i="29"/>
  <c r="AG253" i="29"/>
  <c r="AG339" i="29"/>
  <c r="AG337" i="29"/>
  <c r="AG252" i="29"/>
  <c r="AG334" i="29"/>
  <c r="AG251" i="29"/>
  <c r="AG164" i="29"/>
  <c r="AG167" i="29"/>
  <c r="AG79" i="29"/>
  <c r="AG250" i="29"/>
  <c r="AG169" i="29"/>
  <c r="AG249" i="29"/>
  <c r="AG83" i="29"/>
  <c r="AG165" i="29"/>
  <c r="AG82" i="29"/>
  <c r="AG81" i="29"/>
  <c r="AG80" i="29"/>
  <c r="AG84" i="29"/>
  <c r="AF199" i="29"/>
  <c r="AF227" i="29"/>
  <c r="AF192" i="29"/>
  <c r="AG278" i="29"/>
  <c r="AG196" i="29"/>
  <c r="AG279" i="29"/>
  <c r="AG197" i="29"/>
  <c r="AG281" i="29"/>
  <c r="AG282" i="29"/>
  <c r="AG193" i="29"/>
  <c r="AG194" i="29"/>
  <c r="AG195" i="29"/>
  <c r="AG198" i="29"/>
  <c r="AG109" i="29"/>
  <c r="AG283" i="29"/>
  <c r="AG112" i="29"/>
  <c r="AG110" i="29"/>
  <c r="AG108" i="29"/>
  <c r="AG25" i="29"/>
  <c r="AG280" i="29"/>
  <c r="AG26" i="29"/>
  <c r="AG111" i="29"/>
  <c r="AG27" i="29"/>
  <c r="AG113" i="29"/>
  <c r="AG23" i="29"/>
  <c r="AG24" i="29"/>
  <c r="AG28" i="29"/>
  <c r="AH28" i="37"/>
  <c r="AG356" i="29"/>
  <c r="AG358" i="29"/>
  <c r="AG359" i="29"/>
  <c r="AG272" i="29"/>
  <c r="AG357" i="29"/>
  <c r="AG190" i="29"/>
  <c r="AG104" i="29"/>
  <c r="AG273" i="29"/>
  <c r="AG355" i="29"/>
  <c r="AG270" i="29"/>
  <c r="AG275" i="29"/>
  <c r="AG188" i="29"/>
  <c r="AG100" i="29"/>
  <c r="AG186" i="29"/>
  <c r="AG274" i="29"/>
  <c r="AG103" i="29"/>
  <c r="AG360" i="29"/>
  <c r="AG101" i="29"/>
  <c r="AG105" i="29"/>
  <c r="AG102" i="29"/>
  <c r="AG185" i="29"/>
  <c r="AG187" i="29"/>
  <c r="AG189" i="29"/>
  <c r="AG271" i="29"/>
  <c r="AL26" i="13" l="1"/>
  <c r="AC26" i="13"/>
  <c r="AK26" i="13"/>
  <c r="AJ26" i="13"/>
  <c r="AF26" i="13"/>
  <c r="AI26" i="13"/>
  <c r="AH26" i="13"/>
  <c r="AG26" i="13"/>
  <c r="AE26" i="13"/>
  <c r="AD26" i="13"/>
  <c r="AM26" i="13"/>
  <c r="AB61" i="8"/>
  <c r="AB59" i="8" s="1"/>
  <c r="AB7" i="8" s="1"/>
  <c r="AB31" i="12" s="1"/>
  <c r="AB13" i="2"/>
  <c r="AC61" i="8"/>
  <c r="AC59" i="8" s="1"/>
  <c r="AC7" i="8" s="1"/>
  <c r="AC31" i="12" s="1"/>
  <c r="AC13" i="2"/>
  <c r="AC38" i="9"/>
  <c r="AC25" i="9"/>
  <c r="AC22" i="10" s="1"/>
  <c r="AC33" i="10" s="1"/>
  <c r="AE17" i="8"/>
  <c r="AD15" i="8"/>
  <c r="AD73" i="8" s="1"/>
  <c r="AE21" i="8"/>
  <c r="AC71" i="8"/>
  <c r="AC78" i="8"/>
  <c r="AC80" i="8" s="1"/>
  <c r="AC75" i="8" s="1"/>
  <c r="AC5" i="8"/>
  <c r="AC29" i="12" s="1"/>
  <c r="AC73" i="8"/>
  <c r="AE55" i="18"/>
  <c r="AE13" i="18" s="1"/>
  <c r="AE24" i="8"/>
  <c r="AF50" i="18"/>
  <c r="AF41" i="18"/>
  <c r="AF32" i="18"/>
  <c r="AF54" i="18"/>
  <c r="AF45" i="18"/>
  <c r="AF36" i="18"/>
  <c r="AF56" i="18"/>
  <c r="AF46" i="18"/>
  <c r="AF37" i="18"/>
  <c r="AF53" i="18"/>
  <c r="AF38" i="18"/>
  <c r="AF27" i="18"/>
  <c r="AF19" i="18"/>
  <c r="AF49" i="18"/>
  <c r="AF33" i="18"/>
  <c r="AF25" i="18"/>
  <c r="AF20" i="18"/>
  <c r="AF52" i="18"/>
  <c r="AF28" i="18"/>
  <c r="AF21" i="18"/>
  <c r="AF40" i="18"/>
  <c r="AF57" i="18"/>
  <c r="AF58" i="18"/>
  <c r="AF42" i="18"/>
  <c r="AF44" i="18"/>
  <c r="AF48" i="18"/>
  <c r="AF24" i="18"/>
  <c r="AF29" i="18"/>
  <c r="AF34" i="18"/>
  <c r="AF23" i="18"/>
  <c r="AE18" i="18"/>
  <c r="AE6" i="18" s="1"/>
  <c r="AE26" i="18"/>
  <c r="AE8" i="18" s="1"/>
  <c r="AE22" i="18"/>
  <c r="AE7" i="18" s="1"/>
  <c r="AE23" i="8"/>
  <c r="AD30" i="18"/>
  <c r="AD9" i="18" s="1"/>
  <c r="AD14" i="18" s="1"/>
  <c r="AE35" i="18"/>
  <c r="AE51" i="18"/>
  <c r="AE12" i="18" s="1"/>
  <c r="AE22" i="8"/>
  <c r="AE47" i="18"/>
  <c r="AE11" i="18" s="1"/>
  <c r="AE18" i="8"/>
  <c r="AE19" i="8"/>
  <c r="AE20" i="8"/>
  <c r="AE31" i="18"/>
  <c r="AE39" i="18"/>
  <c r="AE43" i="18"/>
  <c r="AE10" i="18" s="1"/>
  <c r="AB69" i="8"/>
  <c r="AB10" i="8" s="1"/>
  <c r="AB34" i="12" s="1"/>
  <c r="AH88" i="8"/>
  <c r="AH102" i="8"/>
  <c r="AH92" i="8"/>
  <c r="AH106" i="8"/>
  <c r="AH90" i="8"/>
  <c r="AH104" i="8"/>
  <c r="AH85" i="8"/>
  <c r="AH99" i="8"/>
  <c r="AH91" i="8"/>
  <c r="AH105" i="8"/>
  <c r="AH87" i="8"/>
  <c r="AH101" i="8"/>
  <c r="AH89" i="8"/>
  <c r="AH103" i="8"/>
  <c r="AG96" i="8"/>
  <c r="AG25" i="8" s="1"/>
  <c r="AH83" i="8"/>
  <c r="AH97" i="8"/>
  <c r="AH84" i="8"/>
  <c r="AH98" i="8"/>
  <c r="AG82" i="8"/>
  <c r="AH94" i="8"/>
  <c r="AH108" i="8"/>
  <c r="AH93" i="8"/>
  <c r="AH107" i="8"/>
  <c r="AH86" i="8"/>
  <c r="AH100" i="8"/>
  <c r="AE84" i="7"/>
  <c r="AD62" i="7"/>
  <c r="AD64" i="7" s="1"/>
  <c r="AD14" i="7" s="1"/>
  <c r="AE85" i="7"/>
  <c r="AD83" i="7"/>
  <c r="AE86" i="7"/>
  <c r="AH51" i="7"/>
  <c r="AH54" i="7"/>
  <c r="AI728" i="1"/>
  <c r="AB65" i="7"/>
  <c r="AC66" i="7"/>
  <c r="AC68" i="7"/>
  <c r="AC67" i="7"/>
  <c r="AA91" i="7"/>
  <c r="AA90" i="7"/>
  <c r="AC88" i="7"/>
  <c r="AC16" i="7" s="1"/>
  <c r="AC13" i="7" s="1"/>
  <c r="AB88" i="7"/>
  <c r="AB16" i="7" s="1"/>
  <c r="AB13" i="7" s="1"/>
  <c r="AD5" i="29"/>
  <c r="AF21" i="29"/>
  <c r="AF14" i="29" s="1"/>
  <c r="AF6" i="29" s="1"/>
  <c r="AG354" i="29"/>
  <c r="AG220" i="29"/>
  <c r="AG234" i="29"/>
  <c r="AG99" i="29"/>
  <c r="AG22" i="29"/>
  <c r="AG312" i="29"/>
  <c r="AG71" i="29"/>
  <c r="AG347" i="29"/>
  <c r="AI28" i="37"/>
  <c r="AH355" i="29"/>
  <c r="AH358" i="29"/>
  <c r="AH189" i="29"/>
  <c r="AH357" i="29"/>
  <c r="AH356" i="29"/>
  <c r="AH273" i="29"/>
  <c r="AH270" i="29"/>
  <c r="AH186" i="29"/>
  <c r="AH360" i="29"/>
  <c r="AH271" i="29"/>
  <c r="AH187" i="29"/>
  <c r="AH359" i="29"/>
  <c r="AH185" i="29"/>
  <c r="AH101" i="29"/>
  <c r="AH188" i="29"/>
  <c r="AH275" i="29"/>
  <c r="AH274" i="29"/>
  <c r="AH190" i="29"/>
  <c r="AH100" i="29"/>
  <c r="AH103" i="29"/>
  <c r="AH102" i="29"/>
  <c r="AH105" i="29"/>
  <c r="AH104" i="29"/>
  <c r="AH272" i="29"/>
  <c r="AG121" i="29"/>
  <c r="AG177" i="29"/>
  <c r="AG156" i="29"/>
  <c r="AG298" i="29"/>
  <c r="AF276" i="29"/>
  <c r="AF17" i="29" s="1"/>
  <c r="AF9" i="29" s="1"/>
  <c r="AF68" i="8" s="1"/>
  <c r="AG333" i="29"/>
  <c r="AG85" i="29"/>
  <c r="AG43" i="29"/>
  <c r="AG114" i="29"/>
  <c r="AG227" i="29"/>
  <c r="AE6" i="29"/>
  <c r="AE18" i="29"/>
  <c r="AE14" i="2" s="1"/>
  <c r="AG149" i="29"/>
  <c r="AG269" i="29"/>
  <c r="AG192" i="29"/>
  <c r="AG326" i="29"/>
  <c r="AG213" i="29"/>
  <c r="AG36" i="29"/>
  <c r="AG241" i="29"/>
  <c r="AH202" i="29"/>
  <c r="AH287" i="29"/>
  <c r="AH119" i="29"/>
  <c r="AH285" i="29"/>
  <c r="AH115" i="29"/>
  <c r="AH289" i="29"/>
  <c r="AH201" i="29"/>
  <c r="AH286" i="29"/>
  <c r="AH200" i="29"/>
  <c r="AH117" i="29"/>
  <c r="AH120" i="29"/>
  <c r="AH118" i="29"/>
  <c r="AH288" i="29"/>
  <c r="AH32" i="29"/>
  <c r="AH203" i="29"/>
  <c r="AH290" i="29"/>
  <c r="AH205" i="29"/>
  <c r="AH33" i="29"/>
  <c r="AH204" i="29"/>
  <c r="AH31" i="29"/>
  <c r="AH35" i="29"/>
  <c r="AH116" i="29"/>
  <c r="AH30" i="29"/>
  <c r="AH34" i="29"/>
  <c r="AG184" i="29"/>
  <c r="AI27" i="37"/>
  <c r="AH349" i="29"/>
  <c r="AH353" i="29"/>
  <c r="AH350" i="29"/>
  <c r="AH352" i="29"/>
  <c r="AH267" i="29"/>
  <c r="AH178" i="29"/>
  <c r="AH180" i="29"/>
  <c r="AH264" i="29"/>
  <c r="AH181" i="29"/>
  <c r="AH96" i="29"/>
  <c r="AH348" i="29"/>
  <c r="AH266" i="29"/>
  <c r="AH263" i="29"/>
  <c r="AH265" i="29"/>
  <c r="AH183" i="29"/>
  <c r="AH351" i="29"/>
  <c r="AH179" i="29"/>
  <c r="AH182" i="29"/>
  <c r="AH268" i="29"/>
  <c r="AH98" i="29"/>
  <c r="AH93" i="29"/>
  <c r="AH95" i="29"/>
  <c r="AH94" i="29"/>
  <c r="AH97" i="29"/>
  <c r="AI20" i="37"/>
  <c r="AH300" i="29"/>
  <c r="AH215" i="29"/>
  <c r="AH218" i="29"/>
  <c r="AH303" i="29"/>
  <c r="AH302" i="29"/>
  <c r="AH304" i="29"/>
  <c r="AH216" i="29"/>
  <c r="AH219" i="29"/>
  <c r="AH214" i="29"/>
  <c r="AH46" i="29"/>
  <c r="AH217" i="29"/>
  <c r="AH132" i="29"/>
  <c r="AH130" i="29"/>
  <c r="AH299" i="29"/>
  <c r="AH47" i="29"/>
  <c r="AH44" i="29"/>
  <c r="AH301" i="29"/>
  <c r="AH134" i="29"/>
  <c r="AH131" i="29"/>
  <c r="AH48" i="29"/>
  <c r="AH133" i="29"/>
  <c r="AH129" i="29"/>
  <c r="AH49" i="29"/>
  <c r="AH45" i="29"/>
  <c r="AG206" i="29"/>
  <c r="AG29" i="29"/>
  <c r="AG262" i="29"/>
  <c r="AG170" i="29"/>
  <c r="AG340" i="29"/>
  <c r="AG284" i="29"/>
  <c r="AG50" i="29"/>
  <c r="AG92" i="29"/>
  <c r="AG64" i="29"/>
  <c r="AG248" i="29"/>
  <c r="AI22" i="37"/>
  <c r="AH316" i="29"/>
  <c r="AH233" i="29"/>
  <c r="AH315" i="29"/>
  <c r="AH144" i="29"/>
  <c r="AH228" i="29"/>
  <c r="AH313" i="29"/>
  <c r="AH318" i="29"/>
  <c r="AH63" i="29"/>
  <c r="AH317" i="29"/>
  <c r="AH314" i="29"/>
  <c r="AH230" i="29"/>
  <c r="AH232" i="29"/>
  <c r="AH231" i="29"/>
  <c r="AH147" i="29"/>
  <c r="AH145" i="29"/>
  <c r="AH58" i="29"/>
  <c r="AH229" i="29"/>
  <c r="AH62" i="29"/>
  <c r="AH60" i="29"/>
  <c r="AH143" i="29"/>
  <c r="AH148" i="29"/>
  <c r="AH61" i="29"/>
  <c r="AH146" i="29"/>
  <c r="AH59" i="29"/>
  <c r="AG291" i="29"/>
  <c r="AG199" i="29"/>
  <c r="AG135" i="29"/>
  <c r="AG305" i="29"/>
  <c r="AG107" i="29"/>
  <c r="AG277" i="29"/>
  <c r="AG78" i="29"/>
  <c r="AI26" i="37"/>
  <c r="AH346" i="29"/>
  <c r="AH342" i="29"/>
  <c r="AH171" i="29"/>
  <c r="AH345" i="29"/>
  <c r="AH91" i="29"/>
  <c r="AH344" i="29"/>
  <c r="AH341" i="29"/>
  <c r="AH259" i="29"/>
  <c r="AH261" i="29"/>
  <c r="AH172" i="29"/>
  <c r="AH256" i="29"/>
  <c r="AH174" i="29"/>
  <c r="AH260" i="29"/>
  <c r="AH176" i="29"/>
  <c r="AH257" i="29"/>
  <c r="AH343" i="29"/>
  <c r="AH175" i="29"/>
  <c r="AH90" i="29"/>
  <c r="AH88" i="29"/>
  <c r="AH86" i="29"/>
  <c r="AH258" i="29"/>
  <c r="AH87" i="29"/>
  <c r="AH173" i="29"/>
  <c r="AH89" i="29"/>
  <c r="AF106" i="29"/>
  <c r="AF15" i="29" s="1"/>
  <c r="AF7" i="29" s="1"/>
  <c r="AI24" i="37"/>
  <c r="AH330" i="29"/>
  <c r="AH331" i="29"/>
  <c r="AH332" i="29"/>
  <c r="AH327" i="29"/>
  <c r="AH162" i="29"/>
  <c r="AH242" i="29"/>
  <c r="AH245" i="29"/>
  <c r="AH161" i="29"/>
  <c r="AH158" i="29"/>
  <c r="AH329" i="29"/>
  <c r="AH246" i="29"/>
  <c r="AH243" i="29"/>
  <c r="AH159" i="29"/>
  <c r="AH160" i="29"/>
  <c r="AH72" i="29"/>
  <c r="AH244" i="29"/>
  <c r="AH77" i="29"/>
  <c r="AH74" i="29"/>
  <c r="AH328" i="29"/>
  <c r="AH73" i="29"/>
  <c r="AH76" i="29"/>
  <c r="AH75" i="29"/>
  <c r="AH157" i="29"/>
  <c r="AH247" i="29"/>
  <c r="AI19" i="37"/>
  <c r="AH297" i="29"/>
  <c r="AH295" i="29"/>
  <c r="AH296" i="29"/>
  <c r="AH212" i="29"/>
  <c r="AH294" i="29"/>
  <c r="AH209" i="29"/>
  <c r="AH207" i="29"/>
  <c r="AH293" i="29"/>
  <c r="AH211" i="29"/>
  <c r="AH292" i="29"/>
  <c r="AH208" i="29"/>
  <c r="AH122" i="29"/>
  <c r="AH127" i="29"/>
  <c r="AH125" i="29"/>
  <c r="AH126" i="29"/>
  <c r="AH124" i="29"/>
  <c r="AH123" i="29"/>
  <c r="AH38" i="29"/>
  <c r="AH210" i="29"/>
  <c r="AH42" i="29"/>
  <c r="AH40" i="29"/>
  <c r="AH39" i="29"/>
  <c r="AH41" i="29"/>
  <c r="AH37" i="29"/>
  <c r="AG319" i="29"/>
  <c r="AH282" i="29"/>
  <c r="AH281" i="29"/>
  <c r="AH278" i="29"/>
  <c r="AH193" i="29"/>
  <c r="AH194" i="29"/>
  <c r="AH110" i="29"/>
  <c r="AH279" i="29"/>
  <c r="AH283" i="29"/>
  <c r="AH280" i="29"/>
  <c r="AH198" i="29"/>
  <c r="AH196" i="29"/>
  <c r="AH195" i="29"/>
  <c r="AH109" i="29"/>
  <c r="AH112" i="29"/>
  <c r="AH197" i="29"/>
  <c r="AH108" i="29"/>
  <c r="AH113" i="29"/>
  <c r="AH27" i="29"/>
  <c r="AH111" i="29"/>
  <c r="AH25" i="29"/>
  <c r="AH26" i="29"/>
  <c r="AH28" i="29"/>
  <c r="AH24" i="29"/>
  <c r="AH23" i="29"/>
  <c r="AI25" i="37"/>
  <c r="AH337" i="29"/>
  <c r="AH338" i="29"/>
  <c r="AH336" i="29"/>
  <c r="AH339" i="29"/>
  <c r="AH249" i="29"/>
  <c r="AH164" i="29"/>
  <c r="AH334" i="29"/>
  <c r="AH253" i="29"/>
  <c r="AH168" i="29"/>
  <c r="AH252" i="29"/>
  <c r="AH167" i="29"/>
  <c r="AH254" i="29"/>
  <c r="AH251" i="29"/>
  <c r="AH335" i="29"/>
  <c r="AH83" i="29"/>
  <c r="AH80" i="29"/>
  <c r="AH166" i="29"/>
  <c r="AH81" i="29"/>
  <c r="AH250" i="29"/>
  <c r="AH165" i="29"/>
  <c r="AH82" i="29"/>
  <c r="AH79" i="29"/>
  <c r="AH169" i="29"/>
  <c r="AH84" i="29"/>
  <c r="AG255" i="29"/>
  <c r="AG57" i="29"/>
  <c r="AF191" i="29"/>
  <c r="AF16" i="29" s="1"/>
  <c r="AF8" i="29" s="1"/>
  <c r="AG163" i="29"/>
  <c r="AG142" i="29"/>
  <c r="AG128" i="29"/>
  <c r="AI21" i="37"/>
  <c r="AH306" i="29"/>
  <c r="AH226" i="29"/>
  <c r="AH309" i="29"/>
  <c r="AH224" i="29"/>
  <c r="AH310" i="29"/>
  <c r="AH308" i="29"/>
  <c r="AH307" i="29"/>
  <c r="AH223" i="29"/>
  <c r="AH311" i="29"/>
  <c r="AH53" i="29"/>
  <c r="AH222" i="29"/>
  <c r="AH225" i="29"/>
  <c r="AH139" i="29"/>
  <c r="AH137" i="29"/>
  <c r="AH56" i="29"/>
  <c r="AH52" i="29"/>
  <c r="AH221" i="29"/>
  <c r="AH141" i="29"/>
  <c r="AH140" i="29"/>
  <c r="AH51" i="29"/>
  <c r="AH136" i="29"/>
  <c r="AH55" i="29"/>
  <c r="AH54" i="29"/>
  <c r="AH138" i="29"/>
  <c r="AI23" i="37"/>
  <c r="AH320" i="29"/>
  <c r="AH321" i="29"/>
  <c r="AH322" i="29"/>
  <c r="AH325" i="29"/>
  <c r="AH323" i="29"/>
  <c r="AH236" i="29"/>
  <c r="AH324" i="29"/>
  <c r="AH151" i="29"/>
  <c r="AH239" i="29"/>
  <c r="AH153" i="29"/>
  <c r="AH152" i="29"/>
  <c r="AH240" i="29"/>
  <c r="AH155" i="29"/>
  <c r="AH235" i="29"/>
  <c r="AH154" i="29"/>
  <c r="AH69" i="29"/>
  <c r="AH66" i="29"/>
  <c r="AH65" i="29"/>
  <c r="AH238" i="29"/>
  <c r="AH150" i="29"/>
  <c r="AH67" i="29"/>
  <c r="AH70" i="29"/>
  <c r="AH68" i="29"/>
  <c r="AH237" i="29"/>
  <c r="AD5" i="8" l="1"/>
  <c r="AD29" i="12" s="1"/>
  <c r="AC44" i="10"/>
  <c r="AD38" i="9"/>
  <c r="AD25" i="9"/>
  <c r="AD22" i="10" s="1"/>
  <c r="AD33" i="10" s="1"/>
  <c r="AE15" i="8"/>
  <c r="AE5" i="8" s="1"/>
  <c r="AE29" i="12" s="1"/>
  <c r="AD78" i="8"/>
  <c r="AD80" i="8" s="1"/>
  <c r="AD75" i="8" s="1"/>
  <c r="AD71" i="8"/>
  <c r="AF31" i="18"/>
  <c r="AF20" i="8"/>
  <c r="AE30" i="18"/>
  <c r="AE9" i="18" s="1"/>
  <c r="AE14" i="18" s="1"/>
  <c r="AF22" i="18"/>
  <c r="AF7" i="18" s="1"/>
  <c r="AF18" i="8"/>
  <c r="AG50" i="18"/>
  <c r="AG41" i="18"/>
  <c r="AG37" i="18"/>
  <c r="AG54" i="18"/>
  <c r="AG38" i="18"/>
  <c r="AG27" i="18"/>
  <c r="AG46" i="18"/>
  <c r="AG19" i="18"/>
  <c r="AG48" i="18"/>
  <c r="AG32" i="18"/>
  <c r="AG58" i="18"/>
  <c r="AG42" i="18"/>
  <c r="AG44" i="18"/>
  <c r="AG36" i="18"/>
  <c r="AG53" i="18"/>
  <c r="AG56" i="18"/>
  <c r="AG40" i="18"/>
  <c r="AG57" i="18"/>
  <c r="AG25" i="18"/>
  <c r="AG20" i="18"/>
  <c r="AG24" i="18"/>
  <c r="AG45" i="18"/>
  <c r="AG49" i="18"/>
  <c r="AG33" i="18"/>
  <c r="AG34" i="18"/>
  <c r="AG29" i="18"/>
  <c r="AG52" i="18"/>
  <c r="AG21" i="18"/>
  <c r="AG28" i="18"/>
  <c r="AG23" i="18"/>
  <c r="AF17" i="8"/>
  <c r="AF18" i="18"/>
  <c r="AF6" i="18" s="1"/>
  <c r="AF47" i="18"/>
  <c r="AF11" i="18" s="1"/>
  <c r="AF22" i="8"/>
  <c r="AF26" i="18"/>
  <c r="AF8" i="18" s="1"/>
  <c r="AF19" i="8"/>
  <c r="AF43" i="18"/>
  <c r="AF10" i="18" s="1"/>
  <c r="AF21" i="8"/>
  <c r="AF39" i="18"/>
  <c r="AF55" i="18"/>
  <c r="AF13" i="18" s="1"/>
  <c r="AF24" i="8"/>
  <c r="AF35" i="18"/>
  <c r="AF51" i="18"/>
  <c r="AF12" i="18" s="1"/>
  <c r="AF23" i="8"/>
  <c r="AC69" i="8"/>
  <c r="AC10" i="8" s="1"/>
  <c r="AC34" i="12" s="1"/>
  <c r="AI88" i="8"/>
  <c r="AI102" i="8"/>
  <c r="AI99" i="8"/>
  <c r="AI85" i="8"/>
  <c r="AI84" i="8"/>
  <c r="AI98" i="8"/>
  <c r="AI94" i="8"/>
  <c r="AI108" i="8"/>
  <c r="AI86" i="8"/>
  <c r="AI100" i="8"/>
  <c r="AI83" i="8"/>
  <c r="AI97" i="8"/>
  <c r="AI93" i="8"/>
  <c r="AI107" i="8"/>
  <c r="AI89" i="8"/>
  <c r="AI103" i="8"/>
  <c r="AI106" i="8"/>
  <c r="AI92" i="8"/>
  <c r="AH96" i="8"/>
  <c r="AH25" i="8" s="1"/>
  <c r="AH82" i="8"/>
  <c r="AI87" i="8"/>
  <c r="AI101" i="8"/>
  <c r="AI91" i="8"/>
  <c r="AI105" i="8"/>
  <c r="AI90" i="8"/>
  <c r="AI104" i="8"/>
  <c r="AF86" i="7"/>
  <c r="AF84" i="7"/>
  <c r="AF85" i="7"/>
  <c r="AF83" i="7"/>
  <c r="AE62" i="7"/>
  <c r="AE64" i="7" s="1"/>
  <c r="AE14" i="7" s="1"/>
  <c r="AE83" i="7"/>
  <c r="AD68" i="7"/>
  <c r="AJ728" i="1"/>
  <c r="AI54" i="7"/>
  <c r="AI51" i="7"/>
  <c r="AD67" i="7"/>
  <c r="AC65" i="7"/>
  <c r="AD66" i="7"/>
  <c r="AA89" i="7"/>
  <c r="AB91" i="7"/>
  <c r="AB90" i="7"/>
  <c r="AC90" i="7"/>
  <c r="AC91" i="7"/>
  <c r="AC5" i="7"/>
  <c r="AD10" i="29"/>
  <c r="AD82" i="7"/>
  <c r="AA5" i="7"/>
  <c r="AE5" i="29"/>
  <c r="AH43" i="29"/>
  <c r="AH262" i="29"/>
  <c r="AH184" i="29"/>
  <c r="AF18" i="29"/>
  <c r="AF14" i="2" s="1"/>
  <c r="AF5" i="29"/>
  <c r="AH291" i="29"/>
  <c r="AH347" i="29"/>
  <c r="AH220" i="29"/>
  <c r="AG21" i="29"/>
  <c r="AG14" i="29" s="1"/>
  <c r="AG6" i="29" s="1"/>
  <c r="AH199" i="29"/>
  <c r="AH277" i="29"/>
  <c r="AH269" i="29"/>
  <c r="AH22" i="29"/>
  <c r="AH340" i="29"/>
  <c r="AH298" i="29"/>
  <c r="AJ20" i="37"/>
  <c r="AI302" i="29"/>
  <c r="AI303" i="29"/>
  <c r="AI304" i="29"/>
  <c r="AI299" i="29"/>
  <c r="AI218" i="29"/>
  <c r="AI215" i="29"/>
  <c r="AI130" i="29"/>
  <c r="AI219" i="29"/>
  <c r="AI214" i="29"/>
  <c r="AI301" i="29"/>
  <c r="AI217" i="29"/>
  <c r="AI300" i="29"/>
  <c r="AI133" i="29"/>
  <c r="AI131" i="29"/>
  <c r="AI46" i="29"/>
  <c r="AI216" i="29"/>
  <c r="AI134" i="29"/>
  <c r="AI132" i="29"/>
  <c r="AI44" i="29"/>
  <c r="AI129" i="29"/>
  <c r="AI48" i="29"/>
  <c r="AI47" i="29"/>
  <c r="AI49" i="29"/>
  <c r="AI45" i="29"/>
  <c r="AH29" i="29"/>
  <c r="AG191" i="29"/>
  <c r="AG16" i="29" s="1"/>
  <c r="AG8" i="29" s="1"/>
  <c r="AH170" i="29"/>
  <c r="AH50" i="29"/>
  <c r="AH142" i="29"/>
  <c r="AH284" i="29"/>
  <c r="AH71" i="29"/>
  <c r="AJ25" i="37"/>
  <c r="AI334" i="29"/>
  <c r="AI336" i="29"/>
  <c r="AI337" i="29"/>
  <c r="AI335" i="29"/>
  <c r="AI254" i="29"/>
  <c r="AI250" i="29"/>
  <c r="AI168" i="29"/>
  <c r="AI251" i="29"/>
  <c r="AI166" i="29"/>
  <c r="AI252" i="29"/>
  <c r="AI81" i="29"/>
  <c r="AI338" i="29"/>
  <c r="AI249" i="29"/>
  <c r="AI339" i="29"/>
  <c r="AI253" i="29"/>
  <c r="AI80" i="29"/>
  <c r="AI169" i="29"/>
  <c r="AI164" i="29"/>
  <c r="AI84" i="29"/>
  <c r="AI167" i="29"/>
  <c r="AI83" i="29"/>
  <c r="AI82" i="29"/>
  <c r="AI79" i="29"/>
  <c r="AI165" i="29"/>
  <c r="AH78" i="29"/>
  <c r="AH333" i="29"/>
  <c r="AH192" i="29"/>
  <c r="AH255" i="29"/>
  <c r="AG106" i="29"/>
  <c r="AG15" i="29" s="1"/>
  <c r="AG7" i="29" s="1"/>
  <c r="AH57" i="29"/>
  <c r="AH213" i="29"/>
  <c r="AH177" i="29"/>
  <c r="AH64" i="29"/>
  <c r="AH305" i="29"/>
  <c r="AH163" i="29"/>
  <c r="AH128" i="29"/>
  <c r="AH99" i="29"/>
  <c r="AJ26" i="37"/>
  <c r="AI342" i="29"/>
  <c r="AI346" i="29"/>
  <c r="AI345" i="29"/>
  <c r="AI343" i="29"/>
  <c r="AI341" i="29"/>
  <c r="AI344" i="29"/>
  <c r="AI173" i="29"/>
  <c r="AI261" i="29"/>
  <c r="AI258" i="29"/>
  <c r="AI175" i="29"/>
  <c r="AI256" i="29"/>
  <c r="AI260" i="29"/>
  <c r="AI176" i="29"/>
  <c r="AI172" i="29"/>
  <c r="AI257" i="29"/>
  <c r="AI259" i="29"/>
  <c r="AI91" i="29"/>
  <c r="AI88" i="29"/>
  <c r="AI87" i="29"/>
  <c r="AI90" i="29"/>
  <c r="AI171" i="29"/>
  <c r="AI86" i="29"/>
  <c r="AI89" i="29"/>
  <c r="AI174" i="29"/>
  <c r="AH92" i="29"/>
  <c r="AJ21" i="37"/>
  <c r="AI311" i="29"/>
  <c r="AI310" i="29"/>
  <c r="AI224" i="29"/>
  <c r="AI221" i="29"/>
  <c r="AI137" i="29"/>
  <c r="AI225" i="29"/>
  <c r="AI136" i="29"/>
  <c r="AI309" i="29"/>
  <c r="AI307" i="29"/>
  <c r="AI223" i="29"/>
  <c r="AI308" i="29"/>
  <c r="AI226" i="29"/>
  <c r="AI222" i="29"/>
  <c r="AI306" i="29"/>
  <c r="AI141" i="29"/>
  <c r="AI139" i="29"/>
  <c r="AI53" i="29"/>
  <c r="AI56" i="29"/>
  <c r="AI138" i="29"/>
  <c r="AI140" i="29"/>
  <c r="AI54" i="29"/>
  <c r="AI51" i="29"/>
  <c r="AI55" i="29"/>
  <c r="AI52" i="29"/>
  <c r="AH248" i="29"/>
  <c r="AJ19" i="37"/>
  <c r="AI294" i="29"/>
  <c r="AI209" i="29"/>
  <c r="AI297" i="29"/>
  <c r="AI295" i="29"/>
  <c r="AI293" i="29"/>
  <c r="AI212" i="29"/>
  <c r="AI123" i="29"/>
  <c r="AI210" i="29"/>
  <c r="AI296" i="29"/>
  <c r="AI125" i="29"/>
  <c r="AI208" i="29"/>
  <c r="AI207" i="29"/>
  <c r="AI211" i="29"/>
  <c r="AI127" i="29"/>
  <c r="AI292" i="29"/>
  <c r="AI122" i="29"/>
  <c r="AI39" i="29"/>
  <c r="AI124" i="29"/>
  <c r="AI38" i="29"/>
  <c r="AI37" i="29"/>
  <c r="AI40" i="29"/>
  <c r="AI126" i="29"/>
  <c r="AI42" i="29"/>
  <c r="AI41" i="29"/>
  <c r="AH241" i="29"/>
  <c r="AJ22" i="37"/>
  <c r="AI317" i="29"/>
  <c r="AI318" i="29"/>
  <c r="AI314" i="29"/>
  <c r="AI315" i="29"/>
  <c r="AI146" i="29"/>
  <c r="AI232" i="29"/>
  <c r="AI148" i="29"/>
  <c r="AI316" i="29"/>
  <c r="AI231" i="29"/>
  <c r="AI233" i="29"/>
  <c r="AI228" i="29"/>
  <c r="AI145" i="29"/>
  <c r="AI63" i="29"/>
  <c r="AI143" i="29"/>
  <c r="AI313" i="29"/>
  <c r="AI61" i="29"/>
  <c r="AI230" i="29"/>
  <c r="AI62" i="29"/>
  <c r="AI147" i="29"/>
  <c r="AI58" i="29"/>
  <c r="AI229" i="29"/>
  <c r="AI60" i="29"/>
  <c r="AI144" i="29"/>
  <c r="AI59" i="29"/>
  <c r="AH354" i="29"/>
  <c r="AH326" i="29"/>
  <c r="AH149" i="29"/>
  <c r="AJ24" i="37"/>
  <c r="AI330" i="29"/>
  <c r="AI328" i="29"/>
  <c r="AI329" i="29"/>
  <c r="AI332" i="29"/>
  <c r="AI331" i="29"/>
  <c r="AI327" i="29"/>
  <c r="AI246" i="29"/>
  <c r="AI243" i="29"/>
  <c r="AI242" i="29"/>
  <c r="AI72" i="29"/>
  <c r="AI247" i="29"/>
  <c r="AI244" i="29"/>
  <c r="AI158" i="29"/>
  <c r="AI245" i="29"/>
  <c r="AI162" i="29"/>
  <c r="AI160" i="29"/>
  <c r="AI159" i="29"/>
  <c r="AI161" i="29"/>
  <c r="AI77" i="29"/>
  <c r="AI74" i="29"/>
  <c r="AI73" i="29"/>
  <c r="AI75" i="29"/>
  <c r="AI157" i="29"/>
  <c r="AI76" i="29"/>
  <c r="AH319" i="29"/>
  <c r="AI282" i="29"/>
  <c r="AI197" i="29"/>
  <c r="AI280" i="29"/>
  <c r="AI195" i="29"/>
  <c r="AI283" i="29"/>
  <c r="AI281" i="29"/>
  <c r="AI113" i="29"/>
  <c r="AI278" i="29"/>
  <c r="AI198" i="29"/>
  <c r="AI196" i="29"/>
  <c r="AI112" i="29"/>
  <c r="AI194" i="29"/>
  <c r="AI110" i="29"/>
  <c r="AI279" i="29"/>
  <c r="AI108" i="29"/>
  <c r="AI193" i="29"/>
  <c r="AI27" i="29"/>
  <c r="AI26" i="29"/>
  <c r="AI23" i="29"/>
  <c r="AI109" i="29"/>
  <c r="AI25" i="29"/>
  <c r="AI111" i="29"/>
  <c r="AI28" i="29"/>
  <c r="AI24" i="29"/>
  <c r="AH121" i="29"/>
  <c r="AH156" i="29"/>
  <c r="AI290" i="29"/>
  <c r="AI202" i="29"/>
  <c r="AI203" i="29"/>
  <c r="AI288" i="29"/>
  <c r="AI286" i="29"/>
  <c r="AI289" i="29"/>
  <c r="AI200" i="29"/>
  <c r="AI287" i="29"/>
  <c r="AI201" i="29"/>
  <c r="AI120" i="29"/>
  <c r="AI115" i="29"/>
  <c r="AI205" i="29"/>
  <c r="AI31" i="29"/>
  <c r="AI119" i="29"/>
  <c r="AI118" i="29"/>
  <c r="AI285" i="29"/>
  <c r="AI116" i="29"/>
  <c r="AI204" i="29"/>
  <c r="AI32" i="29"/>
  <c r="AI30" i="29"/>
  <c r="AI117" i="29"/>
  <c r="AI34" i="29"/>
  <c r="AI35" i="29"/>
  <c r="AI33" i="29"/>
  <c r="AH234" i="29"/>
  <c r="AH114" i="29"/>
  <c r="AJ23" i="37"/>
  <c r="AI325" i="29"/>
  <c r="AI323" i="29"/>
  <c r="AI321" i="29"/>
  <c r="AI322" i="29"/>
  <c r="AI239" i="29"/>
  <c r="AI240" i="29"/>
  <c r="AI153" i="29"/>
  <c r="AI155" i="29"/>
  <c r="AI150" i="29"/>
  <c r="AI324" i="29"/>
  <c r="AI238" i="29"/>
  <c r="AI235" i="29"/>
  <c r="AI237" i="29"/>
  <c r="AI151" i="29"/>
  <c r="AI69" i="29"/>
  <c r="AI66" i="29"/>
  <c r="AI152" i="29"/>
  <c r="AI70" i="29"/>
  <c r="AI320" i="29"/>
  <c r="AI65" i="29"/>
  <c r="AI67" i="29"/>
  <c r="AI236" i="29"/>
  <c r="AI154" i="29"/>
  <c r="AI68" i="29"/>
  <c r="AH107" i="29"/>
  <c r="AH206" i="29"/>
  <c r="AH85" i="29"/>
  <c r="AH227" i="29"/>
  <c r="AG276" i="29"/>
  <c r="AG17" i="29" s="1"/>
  <c r="AG9" i="29" s="1"/>
  <c r="AG68" i="8" s="1"/>
  <c r="AH135" i="29"/>
  <c r="AH36" i="29"/>
  <c r="AH312" i="29"/>
  <c r="AJ27" i="37"/>
  <c r="AI351" i="29"/>
  <c r="AI353" i="29"/>
  <c r="AI352" i="29"/>
  <c r="AI350" i="29"/>
  <c r="AI348" i="29"/>
  <c r="AI349" i="29"/>
  <c r="AI183" i="29"/>
  <c r="AI178" i="29"/>
  <c r="AI179" i="29"/>
  <c r="AI263" i="29"/>
  <c r="AI268" i="29"/>
  <c r="AI97" i="29"/>
  <c r="AI94" i="29"/>
  <c r="AI267" i="29"/>
  <c r="AI265" i="29"/>
  <c r="AI264" i="29"/>
  <c r="AI180" i="29"/>
  <c r="AI182" i="29"/>
  <c r="AI93" i="29"/>
  <c r="AI98" i="29"/>
  <c r="AI95" i="29"/>
  <c r="AI181" i="29"/>
  <c r="AI266" i="29"/>
  <c r="AI96" i="29"/>
  <c r="AJ28" i="37"/>
  <c r="AI355" i="29"/>
  <c r="AI359" i="29"/>
  <c r="AI356" i="29"/>
  <c r="AI358" i="29"/>
  <c r="AI357" i="29"/>
  <c r="AI270" i="29"/>
  <c r="AI190" i="29"/>
  <c r="AI100" i="29"/>
  <c r="AI271" i="29"/>
  <c r="AI360" i="29"/>
  <c r="AI187" i="29"/>
  <c r="AI105" i="29"/>
  <c r="AI272" i="29"/>
  <c r="AI274" i="29"/>
  <c r="AI188" i="29"/>
  <c r="AI185" i="29"/>
  <c r="AI186" i="29"/>
  <c r="AI103" i="29"/>
  <c r="AI275" i="29"/>
  <c r="AI273" i="29"/>
  <c r="AI189" i="29"/>
  <c r="AI102" i="29"/>
  <c r="AI104" i="29"/>
  <c r="AI101" i="29"/>
  <c r="AD61" i="8" l="1"/>
  <c r="AD59" i="8" s="1"/>
  <c r="AD7" i="8" s="1"/>
  <c r="AD31" i="12" s="1"/>
  <c r="AD13" i="2"/>
  <c r="AD44" i="10"/>
  <c r="AE44" i="10"/>
  <c r="AE38" i="9"/>
  <c r="AE25" i="9"/>
  <c r="AE22" i="10" s="1"/>
  <c r="AE33" i="10" s="1"/>
  <c r="AE73" i="8"/>
  <c r="AG35" i="18"/>
  <c r="AF30" i="18"/>
  <c r="AF9" i="18" s="1"/>
  <c r="AF14" i="18" s="1"/>
  <c r="AF25" i="9" s="1"/>
  <c r="AF22" i="10" s="1"/>
  <c r="AF33" i="10" s="1"/>
  <c r="AG18" i="18"/>
  <c r="AG6" i="18" s="1"/>
  <c r="AD69" i="8"/>
  <c r="AD10" i="8" s="1"/>
  <c r="AD34" i="12" s="1"/>
  <c r="AE71" i="8"/>
  <c r="AE78" i="8"/>
  <c r="AG22" i="18"/>
  <c r="AG7" i="18" s="1"/>
  <c r="AG18" i="8"/>
  <c r="AG55" i="18"/>
  <c r="AG13" i="18" s="1"/>
  <c r="AG24" i="8"/>
  <c r="AG51" i="18"/>
  <c r="AG12" i="18" s="1"/>
  <c r="AG23" i="8"/>
  <c r="AG43" i="18"/>
  <c r="AG10" i="18" s="1"/>
  <c r="AG21" i="8"/>
  <c r="AH57" i="18"/>
  <c r="AH48" i="18"/>
  <c r="AH38" i="18"/>
  <c r="AH28" i="18"/>
  <c r="AH52" i="18"/>
  <c r="AH42" i="18"/>
  <c r="AH33" i="18"/>
  <c r="AH53" i="18"/>
  <c r="AH44" i="18"/>
  <c r="AH34" i="18"/>
  <c r="AH54" i="18"/>
  <c r="AH27" i="18"/>
  <c r="AH46" i="18"/>
  <c r="AH19" i="18"/>
  <c r="AH56" i="18"/>
  <c r="AH40" i="18"/>
  <c r="AH23" i="18"/>
  <c r="AH58" i="18"/>
  <c r="AH50" i="18"/>
  <c r="AH29" i="18"/>
  <c r="AH24" i="18"/>
  <c r="AH21" i="18"/>
  <c r="AH37" i="18"/>
  <c r="AH25" i="18"/>
  <c r="AH20" i="18"/>
  <c r="AH41" i="18"/>
  <c r="AH45" i="18"/>
  <c r="AH32" i="18"/>
  <c r="AH36" i="18"/>
  <c r="AH49" i="18"/>
  <c r="AG31" i="18"/>
  <c r="AG20" i="8"/>
  <c r="AG17" i="8"/>
  <c r="AG26" i="18"/>
  <c r="AG8" i="18" s="1"/>
  <c r="AG19" i="8"/>
  <c r="AG47" i="18"/>
  <c r="AG11" i="18" s="1"/>
  <c r="AG22" i="8"/>
  <c r="AF15" i="8"/>
  <c r="AG39" i="18"/>
  <c r="AI96" i="8"/>
  <c r="AI25" i="8" s="1"/>
  <c r="AJ84" i="8"/>
  <c r="AJ98" i="8"/>
  <c r="AI82" i="8"/>
  <c r="AJ100" i="8"/>
  <c r="AJ86" i="8"/>
  <c r="AJ89" i="8"/>
  <c r="AJ103" i="8"/>
  <c r="AJ87" i="8"/>
  <c r="AJ101" i="8"/>
  <c r="AJ92" i="8"/>
  <c r="AJ106" i="8"/>
  <c r="AJ91" i="8"/>
  <c r="AJ105" i="8"/>
  <c r="AJ85" i="8"/>
  <c r="AJ99" i="8"/>
  <c r="AJ104" i="8"/>
  <c r="AJ90" i="8"/>
  <c r="AJ107" i="8"/>
  <c r="AJ93" i="8"/>
  <c r="AJ102" i="8"/>
  <c r="AJ88" i="8"/>
  <c r="AJ94" i="8"/>
  <c r="AJ108" i="8"/>
  <c r="AJ97" i="8"/>
  <c r="AJ83" i="8"/>
  <c r="AG83" i="7"/>
  <c r="AG86" i="7"/>
  <c r="AG84" i="7"/>
  <c r="AF82" i="7"/>
  <c r="AF62" i="7"/>
  <c r="AF64" i="7" s="1"/>
  <c r="AF14" i="7" s="1"/>
  <c r="AG85" i="7"/>
  <c r="AA23" i="12"/>
  <c r="AC23" i="12"/>
  <c r="AJ51" i="7"/>
  <c r="AJ54" i="7"/>
  <c r="AK728" i="1"/>
  <c r="AD65" i="7"/>
  <c r="AE66" i="7"/>
  <c r="AE68" i="7"/>
  <c r="AE67" i="7"/>
  <c r="AC89" i="7"/>
  <c r="AB89" i="7"/>
  <c r="AE10" i="29"/>
  <c r="AE82" i="7"/>
  <c r="AD88" i="7"/>
  <c r="AD16" i="7" s="1"/>
  <c r="AD13" i="7" s="1"/>
  <c r="AB5" i="7"/>
  <c r="AF10" i="29"/>
  <c r="AH276" i="29"/>
  <c r="AH17" i="29" s="1"/>
  <c r="AH9" i="29" s="1"/>
  <c r="AH68" i="8" s="1"/>
  <c r="AI128" i="29"/>
  <c r="AH21" i="29"/>
  <c r="AH14" i="29" s="1"/>
  <c r="AH6" i="29" s="1"/>
  <c r="AI163" i="29"/>
  <c r="AI50" i="29"/>
  <c r="AI333" i="29"/>
  <c r="AI135" i="29"/>
  <c r="AI71" i="29"/>
  <c r="AI262" i="29"/>
  <c r="AI57" i="29"/>
  <c r="AK28" i="37"/>
  <c r="AJ357" i="29"/>
  <c r="AJ355" i="29"/>
  <c r="AJ359" i="29"/>
  <c r="AJ356" i="29"/>
  <c r="AJ358" i="29"/>
  <c r="AJ273" i="29"/>
  <c r="AJ274" i="29"/>
  <c r="AJ185" i="29"/>
  <c r="AJ360" i="29"/>
  <c r="AJ105" i="29"/>
  <c r="AJ272" i="29"/>
  <c r="AJ188" i="29"/>
  <c r="AJ271" i="29"/>
  <c r="AJ275" i="29"/>
  <c r="AJ104" i="29"/>
  <c r="AJ101" i="29"/>
  <c r="AJ186" i="29"/>
  <c r="AJ270" i="29"/>
  <c r="AJ190" i="29"/>
  <c r="AJ187" i="29"/>
  <c r="AJ103" i="29"/>
  <c r="AJ102" i="29"/>
  <c r="AJ100" i="29"/>
  <c r="AJ189" i="29"/>
  <c r="AI319" i="29"/>
  <c r="AI107" i="29"/>
  <c r="AI142" i="29"/>
  <c r="AK22" i="37"/>
  <c r="AJ317" i="29"/>
  <c r="AJ315" i="29"/>
  <c r="AJ314" i="29"/>
  <c r="AJ318" i="29"/>
  <c r="AJ229" i="29"/>
  <c r="AJ231" i="29"/>
  <c r="AJ313" i="29"/>
  <c r="AJ230" i="29"/>
  <c r="AJ233" i="29"/>
  <c r="AJ59" i="29"/>
  <c r="AJ228" i="29"/>
  <c r="AJ316" i="29"/>
  <c r="AJ145" i="29"/>
  <c r="AJ148" i="29"/>
  <c r="AJ58" i="29"/>
  <c r="AJ232" i="29"/>
  <c r="AJ147" i="29"/>
  <c r="AJ60" i="29"/>
  <c r="AJ143" i="29"/>
  <c r="AJ62" i="29"/>
  <c r="AJ146" i="29"/>
  <c r="AJ61" i="29"/>
  <c r="AJ144" i="29"/>
  <c r="AJ63" i="29"/>
  <c r="AI206" i="29"/>
  <c r="AI85" i="29"/>
  <c r="AI269" i="29"/>
  <c r="AI277" i="29"/>
  <c r="AJ197" i="29"/>
  <c r="AJ279" i="29"/>
  <c r="AJ282" i="29"/>
  <c r="AJ198" i="29"/>
  <c r="AJ278" i="29"/>
  <c r="AJ111" i="29"/>
  <c r="AJ195" i="29"/>
  <c r="AJ196" i="29"/>
  <c r="AJ283" i="29"/>
  <c r="AJ110" i="29"/>
  <c r="AJ281" i="29"/>
  <c r="AJ113" i="29"/>
  <c r="AJ112" i="29"/>
  <c r="AJ108" i="29"/>
  <c r="AJ28" i="29"/>
  <c r="AJ193" i="29"/>
  <c r="AJ109" i="29"/>
  <c r="AJ26" i="29"/>
  <c r="AJ23" i="29"/>
  <c r="AJ194" i="29"/>
  <c r="AJ25" i="29"/>
  <c r="AJ24" i="29"/>
  <c r="AJ27" i="29"/>
  <c r="AJ280" i="29"/>
  <c r="AI170" i="29"/>
  <c r="AK23" i="37"/>
  <c r="AJ325" i="29"/>
  <c r="AJ320" i="29"/>
  <c r="AJ324" i="29"/>
  <c r="AJ237" i="29"/>
  <c r="AJ240" i="29"/>
  <c r="AJ323" i="29"/>
  <c r="AJ321" i="29"/>
  <c r="AJ236" i="29"/>
  <c r="AJ155" i="29"/>
  <c r="AJ68" i="29"/>
  <c r="AJ150" i="29"/>
  <c r="AJ322" i="29"/>
  <c r="AJ153" i="29"/>
  <c r="AJ235" i="29"/>
  <c r="AJ239" i="29"/>
  <c r="AJ238" i="29"/>
  <c r="AJ151" i="29"/>
  <c r="AJ66" i="29"/>
  <c r="AJ152" i="29"/>
  <c r="AJ67" i="29"/>
  <c r="AJ65" i="29"/>
  <c r="AJ70" i="29"/>
  <c r="AJ154" i="29"/>
  <c r="AJ69" i="29"/>
  <c r="AI234" i="29"/>
  <c r="AH106" i="29"/>
  <c r="AH15" i="29" s="1"/>
  <c r="AH7" i="29" s="1"/>
  <c r="AI156" i="29"/>
  <c r="AI241" i="29"/>
  <c r="AK25" i="37"/>
  <c r="AJ337" i="29"/>
  <c r="AJ338" i="29"/>
  <c r="AJ336" i="29"/>
  <c r="AJ334" i="29"/>
  <c r="AJ339" i="29"/>
  <c r="AJ335" i="29"/>
  <c r="AJ169" i="29"/>
  <c r="AJ254" i="29"/>
  <c r="AJ167" i="29"/>
  <c r="AJ168" i="29"/>
  <c r="AJ251" i="29"/>
  <c r="AJ253" i="29"/>
  <c r="AJ249" i="29"/>
  <c r="AJ250" i="29"/>
  <c r="AJ166" i="29"/>
  <c r="AJ252" i="29"/>
  <c r="AJ164" i="29"/>
  <c r="AJ84" i="29"/>
  <c r="AJ83" i="29"/>
  <c r="AJ81" i="29"/>
  <c r="AJ165" i="29"/>
  <c r="AJ79" i="29"/>
  <c r="AJ80" i="29"/>
  <c r="AJ82" i="29"/>
  <c r="AI298" i="29"/>
  <c r="AI227" i="29"/>
  <c r="AI99" i="29"/>
  <c r="AI92" i="29"/>
  <c r="AI347" i="29"/>
  <c r="AI36" i="29"/>
  <c r="AI220" i="29"/>
  <c r="AI213" i="29"/>
  <c r="AJ288" i="29"/>
  <c r="AJ287" i="29"/>
  <c r="AJ115" i="29"/>
  <c r="AJ290" i="29"/>
  <c r="AJ204" i="29"/>
  <c r="AJ289" i="29"/>
  <c r="AJ119" i="29"/>
  <c r="AJ201" i="29"/>
  <c r="AJ205" i="29"/>
  <c r="AJ202" i="29"/>
  <c r="AJ118" i="29"/>
  <c r="AJ285" i="29"/>
  <c r="AJ286" i="29"/>
  <c r="AJ200" i="29"/>
  <c r="AJ120" i="29"/>
  <c r="AJ117" i="29"/>
  <c r="AJ203" i="29"/>
  <c r="AJ32" i="29"/>
  <c r="AJ34" i="29"/>
  <c r="AJ35" i="29"/>
  <c r="AJ116" i="29"/>
  <c r="AJ31" i="29"/>
  <c r="AJ30" i="29"/>
  <c r="AJ33" i="29"/>
  <c r="AH191" i="29"/>
  <c r="AH16" i="29" s="1"/>
  <c r="AH8" i="29" s="1"/>
  <c r="AI248" i="29"/>
  <c r="AI199" i="29"/>
  <c r="AI255" i="29"/>
  <c r="AI340" i="29"/>
  <c r="AK24" i="37"/>
  <c r="AJ327" i="29"/>
  <c r="AJ329" i="29"/>
  <c r="AJ332" i="29"/>
  <c r="AJ245" i="29"/>
  <c r="AJ330" i="29"/>
  <c r="AJ242" i="29"/>
  <c r="AJ158" i="29"/>
  <c r="AJ331" i="29"/>
  <c r="AJ160" i="29"/>
  <c r="AJ328" i="29"/>
  <c r="AJ247" i="29"/>
  <c r="AJ243" i="29"/>
  <c r="AJ244" i="29"/>
  <c r="AJ77" i="29"/>
  <c r="AJ246" i="29"/>
  <c r="AJ162" i="29"/>
  <c r="AJ161" i="29"/>
  <c r="AJ76" i="29"/>
  <c r="AJ74" i="29"/>
  <c r="AJ159" i="29"/>
  <c r="AJ75" i="29"/>
  <c r="AJ73" i="29"/>
  <c r="AJ72" i="29"/>
  <c r="AJ157" i="29"/>
  <c r="AI192" i="29"/>
  <c r="AI177" i="29"/>
  <c r="AI284" i="29"/>
  <c r="AK26" i="37"/>
  <c r="AJ344" i="29"/>
  <c r="AJ343" i="29"/>
  <c r="AJ342" i="29"/>
  <c r="AJ345" i="29"/>
  <c r="AJ260" i="29"/>
  <c r="AJ258" i="29"/>
  <c r="AJ346" i="29"/>
  <c r="AJ176" i="29"/>
  <c r="AJ87" i="29"/>
  <c r="AJ341" i="29"/>
  <c r="AJ257" i="29"/>
  <c r="AJ256" i="29"/>
  <c r="AJ261" i="29"/>
  <c r="AJ174" i="29"/>
  <c r="AJ175" i="29"/>
  <c r="AJ172" i="29"/>
  <c r="AJ90" i="29"/>
  <c r="AJ259" i="29"/>
  <c r="AJ171" i="29"/>
  <c r="AJ173" i="29"/>
  <c r="AJ89" i="29"/>
  <c r="AJ91" i="29"/>
  <c r="AJ86" i="29"/>
  <c r="AJ88" i="29"/>
  <c r="AK20" i="37"/>
  <c r="AJ302" i="29"/>
  <c r="AJ299" i="29"/>
  <c r="AJ131" i="29"/>
  <c r="AJ301" i="29"/>
  <c r="AJ304" i="29"/>
  <c r="AJ219" i="29"/>
  <c r="AJ214" i="29"/>
  <c r="AJ134" i="29"/>
  <c r="AJ300" i="29"/>
  <c r="AJ303" i="29"/>
  <c r="AJ215" i="29"/>
  <c r="AJ218" i="29"/>
  <c r="AJ217" i="29"/>
  <c r="AJ133" i="29"/>
  <c r="AJ216" i="29"/>
  <c r="AJ49" i="29"/>
  <c r="AJ44" i="29"/>
  <c r="AJ132" i="29"/>
  <c r="AJ48" i="29"/>
  <c r="AJ129" i="29"/>
  <c r="AJ47" i="29"/>
  <c r="AJ46" i="29"/>
  <c r="AJ130" i="29"/>
  <c r="AJ45" i="29"/>
  <c r="AI78" i="29"/>
  <c r="AI184" i="29"/>
  <c r="AI149" i="29"/>
  <c r="AI29" i="29"/>
  <c r="AI22" i="29"/>
  <c r="AI326" i="29"/>
  <c r="AI312" i="29"/>
  <c r="AI121" i="29"/>
  <c r="AI305" i="29"/>
  <c r="AK21" i="37"/>
  <c r="AJ308" i="29"/>
  <c r="AJ310" i="29"/>
  <c r="AJ307" i="29"/>
  <c r="AJ222" i="29"/>
  <c r="AJ311" i="29"/>
  <c r="AJ306" i="29"/>
  <c r="AJ223" i="29"/>
  <c r="AJ140" i="29"/>
  <c r="AJ225" i="29"/>
  <c r="AJ54" i="29"/>
  <c r="AJ309" i="29"/>
  <c r="AJ224" i="29"/>
  <c r="AJ226" i="29"/>
  <c r="AJ221" i="29"/>
  <c r="AJ137" i="29"/>
  <c r="AJ55" i="29"/>
  <c r="AJ139" i="29"/>
  <c r="AJ53" i="29"/>
  <c r="AJ136" i="29"/>
  <c r="AJ141" i="29"/>
  <c r="AJ56" i="29"/>
  <c r="AJ52" i="29"/>
  <c r="AJ51" i="29"/>
  <c r="AJ138" i="29"/>
  <c r="AI114" i="29"/>
  <c r="AI354" i="29"/>
  <c r="AK27" i="37"/>
  <c r="AJ353" i="29"/>
  <c r="AJ351" i="29"/>
  <c r="AJ350" i="29"/>
  <c r="AJ352" i="29"/>
  <c r="AJ349" i="29"/>
  <c r="AJ266" i="29"/>
  <c r="AJ267" i="29"/>
  <c r="AJ264" i="29"/>
  <c r="AJ93" i="29"/>
  <c r="AJ348" i="29"/>
  <c r="AJ183" i="29"/>
  <c r="AJ268" i="29"/>
  <c r="AJ265" i="29"/>
  <c r="AJ181" i="29"/>
  <c r="AJ263" i="29"/>
  <c r="AJ180" i="29"/>
  <c r="AJ182" i="29"/>
  <c r="AJ178" i="29"/>
  <c r="AJ95" i="29"/>
  <c r="AJ97" i="29"/>
  <c r="AJ96" i="29"/>
  <c r="AJ94" i="29"/>
  <c r="AJ179" i="29"/>
  <c r="AJ98" i="29"/>
  <c r="AI64" i="29"/>
  <c r="AI291" i="29"/>
  <c r="AG18" i="29"/>
  <c r="AG14" i="2" s="1"/>
  <c r="AI43" i="29"/>
  <c r="AK19" i="37"/>
  <c r="AJ293" i="29"/>
  <c r="AJ292" i="29"/>
  <c r="AJ297" i="29"/>
  <c r="AJ295" i="29"/>
  <c r="AJ294" i="29"/>
  <c r="AJ210" i="29"/>
  <c r="AJ126" i="29"/>
  <c r="AJ123" i="29"/>
  <c r="AJ211" i="29"/>
  <c r="AJ296" i="29"/>
  <c r="AJ212" i="29"/>
  <c r="AJ208" i="29"/>
  <c r="AJ127" i="29"/>
  <c r="AJ209" i="29"/>
  <c r="AJ125" i="29"/>
  <c r="AJ122" i="29"/>
  <c r="AJ207" i="29"/>
  <c r="AJ38" i="29"/>
  <c r="AJ37" i="29"/>
  <c r="AJ42" i="29"/>
  <c r="AJ41" i="29"/>
  <c r="AJ40" i="29"/>
  <c r="AJ124" i="29"/>
  <c r="AJ39" i="29"/>
  <c r="AG5" i="29"/>
  <c r="AE61" i="8" l="1"/>
  <c r="AE59" i="8" s="1"/>
  <c r="AE7" i="8" s="1"/>
  <c r="AE31" i="12" s="1"/>
  <c r="AE13" i="2"/>
  <c r="AF61" i="8"/>
  <c r="AF59" i="8" s="1"/>
  <c r="AF7" i="8" s="1"/>
  <c r="AF31" i="12" s="1"/>
  <c r="AF13" i="2"/>
  <c r="AF44" i="10"/>
  <c r="AF71" i="8"/>
  <c r="AF38" i="9"/>
  <c r="AH35" i="18"/>
  <c r="AH24" i="8"/>
  <c r="AG30" i="18"/>
  <c r="AG9" i="18" s="1"/>
  <c r="AG14" i="18" s="1"/>
  <c r="AG25" i="9" s="1"/>
  <c r="AG22" i="10" s="1"/>
  <c r="AG33" i="10" s="1"/>
  <c r="AH39" i="18"/>
  <c r="AH18" i="8"/>
  <c r="AH22" i="18"/>
  <c r="AH7" i="18" s="1"/>
  <c r="AH47" i="18"/>
  <c r="AH11" i="18" s="1"/>
  <c r="AH22" i="8"/>
  <c r="AH20" i="8"/>
  <c r="AH31" i="18"/>
  <c r="AH18" i="18"/>
  <c r="AH6" i="18" s="1"/>
  <c r="AH17" i="8"/>
  <c r="AF73" i="8"/>
  <c r="AF5" i="8"/>
  <c r="AF29" i="12" s="1"/>
  <c r="AH19" i="8"/>
  <c r="AH26" i="18"/>
  <c r="AH8" i="18" s="1"/>
  <c r="AH43" i="18"/>
  <c r="AH10" i="18" s="1"/>
  <c r="AH21" i="8"/>
  <c r="AG15" i="8"/>
  <c r="AH23" i="8"/>
  <c r="AH51" i="18"/>
  <c r="AH12" i="18" s="1"/>
  <c r="AI57" i="18"/>
  <c r="AI48" i="18"/>
  <c r="AI38" i="18"/>
  <c r="AI46" i="18"/>
  <c r="AI19" i="18"/>
  <c r="AI56" i="18"/>
  <c r="AI40" i="18"/>
  <c r="AI23" i="18"/>
  <c r="AI50" i="18"/>
  <c r="AI42" i="18"/>
  <c r="AI29" i="18"/>
  <c r="AI34" i="18"/>
  <c r="AI45" i="18"/>
  <c r="AI28" i="18"/>
  <c r="AI54" i="18"/>
  <c r="AI27" i="18"/>
  <c r="AI25" i="18"/>
  <c r="AI20" i="18"/>
  <c r="AI41" i="18"/>
  <c r="AI58" i="18"/>
  <c r="AI44" i="18"/>
  <c r="AI24" i="18"/>
  <c r="AI49" i="18"/>
  <c r="AI52" i="18"/>
  <c r="AI36" i="18"/>
  <c r="AI53" i="18"/>
  <c r="AI21" i="18"/>
  <c r="AI33" i="18"/>
  <c r="AI37" i="18"/>
  <c r="AI32" i="18"/>
  <c r="AH55" i="18"/>
  <c r="AH13" i="18" s="1"/>
  <c r="AF78" i="8"/>
  <c r="AJ96" i="8"/>
  <c r="AJ25" i="8" s="1"/>
  <c r="AK85" i="8"/>
  <c r="AK99" i="8"/>
  <c r="AK87" i="8"/>
  <c r="AK101" i="8"/>
  <c r="AK92" i="8"/>
  <c r="AK106" i="8"/>
  <c r="AK104" i="8"/>
  <c r="AK90" i="8"/>
  <c r="AK84" i="8"/>
  <c r="AK98" i="8"/>
  <c r="AK86" i="8"/>
  <c r="AK100" i="8"/>
  <c r="AK97" i="8"/>
  <c r="AK83" i="8"/>
  <c r="AK88" i="8"/>
  <c r="AK102" i="8"/>
  <c r="AK94" i="8"/>
  <c r="AK108" i="8"/>
  <c r="AK93" i="8"/>
  <c r="AK107" i="8"/>
  <c r="AK91" i="8"/>
  <c r="AK105" i="8"/>
  <c r="AK89" i="8"/>
  <c r="AK103" i="8"/>
  <c r="AJ82" i="8"/>
  <c r="AH86" i="7"/>
  <c r="AH84" i="7"/>
  <c r="AH85" i="7"/>
  <c r="AG62" i="7"/>
  <c r="AG64" i="7" s="1"/>
  <c r="AG14" i="7" s="1"/>
  <c r="AG82" i="7"/>
  <c r="AH83" i="7"/>
  <c r="AB23" i="12"/>
  <c r="AL728" i="1"/>
  <c r="AK51" i="7"/>
  <c r="AK54" i="7"/>
  <c r="AF67" i="7"/>
  <c r="AE65" i="7"/>
  <c r="AF66" i="7"/>
  <c r="AF68" i="7"/>
  <c r="AD90" i="7"/>
  <c r="AD91" i="7"/>
  <c r="AD5" i="7"/>
  <c r="AE88" i="7"/>
  <c r="AE16" i="7" s="1"/>
  <c r="AE13" i="7" s="1"/>
  <c r="AF88" i="7"/>
  <c r="AF16" i="7" s="1"/>
  <c r="AF13" i="7" s="1"/>
  <c r="AG10" i="29"/>
  <c r="AJ298" i="29"/>
  <c r="AJ269" i="29"/>
  <c r="AJ326" i="29"/>
  <c r="AJ114" i="29"/>
  <c r="AJ78" i="29"/>
  <c r="AJ192" i="29"/>
  <c r="AJ184" i="29"/>
  <c r="AJ234" i="29"/>
  <c r="AJ312" i="29"/>
  <c r="AJ50" i="29"/>
  <c r="AJ206" i="29"/>
  <c r="AL19" i="37"/>
  <c r="AK295" i="29"/>
  <c r="AK292" i="29"/>
  <c r="AK297" i="29"/>
  <c r="AK294" i="29"/>
  <c r="AK209" i="29"/>
  <c r="AK127" i="29"/>
  <c r="AK293" i="29"/>
  <c r="AK208" i="29"/>
  <c r="AK212" i="29"/>
  <c r="AK207" i="29"/>
  <c r="AK211" i="29"/>
  <c r="AK210" i="29"/>
  <c r="AK296" i="29"/>
  <c r="AK125" i="29"/>
  <c r="AK123" i="29"/>
  <c r="AK122" i="29"/>
  <c r="AK124" i="29"/>
  <c r="AK37" i="29"/>
  <c r="AK42" i="29"/>
  <c r="AK40" i="29"/>
  <c r="AK126" i="29"/>
  <c r="AK39" i="29"/>
  <c r="AK41" i="29"/>
  <c r="AK38" i="29"/>
  <c r="AJ220" i="29"/>
  <c r="AL21" i="37"/>
  <c r="AK308" i="29"/>
  <c r="AK306" i="29"/>
  <c r="AK221" i="29"/>
  <c r="AK307" i="29"/>
  <c r="AK310" i="29"/>
  <c r="AK309" i="29"/>
  <c r="AK311" i="29"/>
  <c r="AK224" i="29"/>
  <c r="AK222" i="29"/>
  <c r="AK139" i="29"/>
  <c r="AK226" i="29"/>
  <c r="AK136" i="29"/>
  <c r="AK137" i="29"/>
  <c r="AK140" i="29"/>
  <c r="AK225" i="29"/>
  <c r="AK141" i="29"/>
  <c r="AK138" i="29"/>
  <c r="AK54" i="29"/>
  <c r="AK56" i="29"/>
  <c r="AK55" i="29"/>
  <c r="AK223" i="29"/>
  <c r="AK51" i="29"/>
  <c r="AK53" i="29"/>
  <c r="AK52" i="29"/>
  <c r="AJ128" i="29"/>
  <c r="AJ340" i="29"/>
  <c r="AJ149" i="29"/>
  <c r="AL27" i="37"/>
  <c r="AK350" i="29"/>
  <c r="AK351" i="29"/>
  <c r="AK349" i="29"/>
  <c r="AK353" i="29"/>
  <c r="AK264" i="29"/>
  <c r="AK179" i="29"/>
  <c r="AK267" i="29"/>
  <c r="AK352" i="29"/>
  <c r="AK182" i="29"/>
  <c r="AK266" i="29"/>
  <c r="AK94" i="29"/>
  <c r="AK265" i="29"/>
  <c r="AK268" i="29"/>
  <c r="AK98" i="29"/>
  <c r="AK183" i="29"/>
  <c r="AK180" i="29"/>
  <c r="AK96" i="29"/>
  <c r="AK263" i="29"/>
  <c r="AK178" i="29"/>
  <c r="AK95" i="29"/>
  <c r="AK93" i="29"/>
  <c r="AK97" i="29"/>
  <c r="AK181" i="29"/>
  <c r="AK348" i="29"/>
  <c r="AJ99" i="29"/>
  <c r="AJ284" i="29"/>
  <c r="AJ333" i="29"/>
  <c r="AJ64" i="29"/>
  <c r="AJ22" i="29"/>
  <c r="AJ277" i="29"/>
  <c r="AJ227" i="29"/>
  <c r="AK289" i="29"/>
  <c r="AK203" i="29"/>
  <c r="AK290" i="29"/>
  <c r="AK120" i="29"/>
  <c r="AK287" i="29"/>
  <c r="AK285" i="29"/>
  <c r="AK204" i="29"/>
  <c r="AK286" i="29"/>
  <c r="AK200" i="29"/>
  <c r="AK115" i="29"/>
  <c r="AK202" i="29"/>
  <c r="AK201" i="29"/>
  <c r="AK205" i="29"/>
  <c r="AK118" i="29"/>
  <c r="AK116" i="29"/>
  <c r="AK117" i="29"/>
  <c r="AK34" i="29"/>
  <c r="AK119" i="29"/>
  <c r="AK32" i="29"/>
  <c r="AK31" i="29"/>
  <c r="AK35" i="29"/>
  <c r="AK30" i="29"/>
  <c r="AK288" i="29"/>
  <c r="AK33" i="29"/>
  <c r="AJ92" i="29"/>
  <c r="AL20" i="37"/>
  <c r="AK303" i="29"/>
  <c r="AK301" i="29"/>
  <c r="AK216" i="29"/>
  <c r="AK215" i="29"/>
  <c r="AK299" i="29"/>
  <c r="AK300" i="29"/>
  <c r="AK302" i="29"/>
  <c r="AK219" i="29"/>
  <c r="AK217" i="29"/>
  <c r="AK133" i="29"/>
  <c r="AK214" i="29"/>
  <c r="AK218" i="29"/>
  <c r="AK46" i="29"/>
  <c r="AK49" i="29"/>
  <c r="AK44" i="29"/>
  <c r="AK134" i="29"/>
  <c r="AK129" i="29"/>
  <c r="AK304" i="29"/>
  <c r="AK132" i="29"/>
  <c r="AK130" i="29"/>
  <c r="AK45" i="29"/>
  <c r="AK47" i="29"/>
  <c r="AK131" i="29"/>
  <c r="AK48" i="29"/>
  <c r="AI191" i="29"/>
  <c r="AI16" i="29" s="1"/>
  <c r="AI8" i="29" s="1"/>
  <c r="AJ213" i="29"/>
  <c r="AJ255" i="29"/>
  <c r="AJ142" i="29"/>
  <c r="AJ156" i="29"/>
  <c r="AJ163" i="29"/>
  <c r="AJ85" i="29"/>
  <c r="AJ36" i="29"/>
  <c r="AJ262" i="29"/>
  <c r="AJ135" i="29"/>
  <c r="AI21" i="29"/>
  <c r="AI14" i="29" s="1"/>
  <c r="AJ199" i="29"/>
  <c r="AJ319" i="29"/>
  <c r="AJ107" i="29"/>
  <c r="AK278" i="29"/>
  <c r="AK279" i="29"/>
  <c r="AK282" i="29"/>
  <c r="AK111" i="29"/>
  <c r="AK280" i="29"/>
  <c r="AK283" i="29"/>
  <c r="AK197" i="29"/>
  <c r="AK281" i="29"/>
  <c r="AK196" i="29"/>
  <c r="AK198" i="29"/>
  <c r="AK195" i="29"/>
  <c r="AK194" i="29"/>
  <c r="AK110" i="29"/>
  <c r="AK108" i="29"/>
  <c r="AK28" i="29"/>
  <c r="AK193" i="29"/>
  <c r="AK26" i="29"/>
  <c r="AK23" i="29"/>
  <c r="AK27" i="29"/>
  <c r="AK113" i="29"/>
  <c r="AK25" i="29"/>
  <c r="AK109" i="29"/>
  <c r="AK112" i="29"/>
  <c r="AK24" i="29"/>
  <c r="AJ57" i="29"/>
  <c r="AJ354" i="29"/>
  <c r="AL26" i="37"/>
  <c r="AK343" i="29"/>
  <c r="AK344" i="29"/>
  <c r="AK345" i="29"/>
  <c r="AK341" i="29"/>
  <c r="AK346" i="29"/>
  <c r="AK342" i="29"/>
  <c r="AK173" i="29"/>
  <c r="AK256" i="29"/>
  <c r="AK261" i="29"/>
  <c r="AK259" i="29"/>
  <c r="AK258" i="29"/>
  <c r="AK89" i="29"/>
  <c r="AK260" i="29"/>
  <c r="AK176" i="29"/>
  <c r="AK171" i="29"/>
  <c r="AK90" i="29"/>
  <c r="AK172" i="29"/>
  <c r="AK174" i="29"/>
  <c r="AK257" i="29"/>
  <c r="AK87" i="29"/>
  <c r="AK175" i="29"/>
  <c r="AK88" i="29"/>
  <c r="AK91" i="29"/>
  <c r="AK86" i="29"/>
  <c r="AJ305" i="29"/>
  <c r="AJ347" i="29"/>
  <c r="AJ29" i="29"/>
  <c r="AL25" i="37"/>
  <c r="AK338" i="29"/>
  <c r="AK337" i="29"/>
  <c r="AK334" i="29"/>
  <c r="AK335" i="29"/>
  <c r="AK339" i="29"/>
  <c r="AK336" i="29"/>
  <c r="AK250" i="29"/>
  <c r="AK251" i="29"/>
  <c r="AK254" i="29"/>
  <c r="AK169" i="29"/>
  <c r="AK252" i="29"/>
  <c r="AK253" i="29"/>
  <c r="AK168" i="29"/>
  <c r="AK80" i="29"/>
  <c r="AK164" i="29"/>
  <c r="AK166" i="29"/>
  <c r="AK83" i="29"/>
  <c r="AK81" i="29"/>
  <c r="AK79" i="29"/>
  <c r="AK84" i="29"/>
  <c r="AK249" i="29"/>
  <c r="AK167" i="29"/>
  <c r="AK82" i="29"/>
  <c r="AK165" i="29"/>
  <c r="AI276" i="29"/>
  <c r="AI17" i="29" s="1"/>
  <c r="AI9" i="29" s="1"/>
  <c r="AI68" i="8" s="1"/>
  <c r="AL22" i="37"/>
  <c r="AK313" i="29"/>
  <c r="AK316" i="29"/>
  <c r="AK314" i="29"/>
  <c r="AK317" i="29"/>
  <c r="AK318" i="29"/>
  <c r="AK229" i="29"/>
  <c r="AK147" i="29"/>
  <c r="AK232" i="29"/>
  <c r="AK231" i="29"/>
  <c r="AK144" i="29"/>
  <c r="AK230" i="29"/>
  <c r="AK145" i="29"/>
  <c r="AK228" i="29"/>
  <c r="AK233" i="29"/>
  <c r="AK315" i="29"/>
  <c r="AK143" i="29"/>
  <c r="AK60" i="29"/>
  <c r="AK62" i="29"/>
  <c r="AK148" i="29"/>
  <c r="AK146" i="29"/>
  <c r="AK59" i="29"/>
  <c r="AK58" i="29"/>
  <c r="AK61" i="29"/>
  <c r="AK63" i="29"/>
  <c r="AL28" i="37"/>
  <c r="AK359" i="29"/>
  <c r="AK360" i="29"/>
  <c r="AK357" i="29"/>
  <c r="AK355" i="29"/>
  <c r="AK358" i="29"/>
  <c r="AK190" i="29"/>
  <c r="AK356" i="29"/>
  <c r="AK274" i="29"/>
  <c r="AK271" i="29"/>
  <c r="AK270" i="29"/>
  <c r="AK186" i="29"/>
  <c r="AK188" i="29"/>
  <c r="AK272" i="29"/>
  <c r="AK185" i="29"/>
  <c r="AK275" i="29"/>
  <c r="AK189" i="29"/>
  <c r="AK101" i="29"/>
  <c r="AK104" i="29"/>
  <c r="AK273" i="29"/>
  <c r="AK100" i="29"/>
  <c r="AK102" i="29"/>
  <c r="AK187" i="29"/>
  <c r="AK105" i="29"/>
  <c r="AK103" i="29"/>
  <c r="AL24" i="37"/>
  <c r="AK331" i="29"/>
  <c r="AK327" i="29"/>
  <c r="AK328" i="29"/>
  <c r="AK330" i="29"/>
  <c r="AK332" i="29"/>
  <c r="AK246" i="29"/>
  <c r="AK242" i="29"/>
  <c r="AK161" i="29"/>
  <c r="AK245" i="29"/>
  <c r="AK247" i="29"/>
  <c r="AK158" i="29"/>
  <c r="AK244" i="29"/>
  <c r="AK159" i="29"/>
  <c r="AK243" i="29"/>
  <c r="AK162" i="29"/>
  <c r="AK72" i="29"/>
  <c r="AK75" i="29"/>
  <c r="AK77" i="29"/>
  <c r="AK329" i="29"/>
  <c r="AK76" i="29"/>
  <c r="AK74" i="29"/>
  <c r="AK160" i="29"/>
  <c r="AK157" i="29"/>
  <c r="AK73" i="29"/>
  <c r="AJ177" i="29"/>
  <c r="AJ241" i="29"/>
  <c r="AJ248" i="29"/>
  <c r="AL23" i="37"/>
  <c r="AK321" i="29"/>
  <c r="AK320" i="29"/>
  <c r="AK323" i="29"/>
  <c r="AK325" i="29"/>
  <c r="AK235" i="29"/>
  <c r="AK324" i="29"/>
  <c r="AK322" i="29"/>
  <c r="AK237" i="29"/>
  <c r="AK238" i="29"/>
  <c r="AK239" i="29"/>
  <c r="AK240" i="29"/>
  <c r="AK151" i="29"/>
  <c r="AK68" i="29"/>
  <c r="AK153" i="29"/>
  <c r="AK152" i="29"/>
  <c r="AK70" i="29"/>
  <c r="AK67" i="29"/>
  <c r="AK154" i="29"/>
  <c r="AK155" i="29"/>
  <c r="AK66" i="29"/>
  <c r="AK236" i="29"/>
  <c r="AK65" i="29"/>
  <c r="AK150" i="29"/>
  <c r="AK69" i="29"/>
  <c r="AH5" i="29"/>
  <c r="AJ43" i="29"/>
  <c r="AJ71" i="29"/>
  <c r="AJ121" i="29"/>
  <c r="AJ291" i="29"/>
  <c r="AJ170" i="29"/>
  <c r="AI106" i="29"/>
  <c r="AI15" i="29" s="1"/>
  <c r="AI7" i="29" s="1"/>
  <c r="AH18" i="29"/>
  <c r="AH14" i="2" s="1"/>
  <c r="AG61" i="8" l="1"/>
  <c r="AG59" i="8" s="1"/>
  <c r="AG7" i="8" s="1"/>
  <c r="AG31" i="12" s="1"/>
  <c r="AG13" i="2"/>
  <c r="AG44" i="10"/>
  <c r="AG78" i="8"/>
  <c r="AG38" i="9"/>
  <c r="AG71" i="8"/>
  <c r="AH30" i="18"/>
  <c r="AH9" i="18" s="1"/>
  <c r="AH14" i="18" s="1"/>
  <c r="AI35" i="18"/>
  <c r="AI18" i="18"/>
  <c r="AI6" i="18" s="1"/>
  <c r="AI17" i="8"/>
  <c r="AJ54" i="18"/>
  <c r="AJ45" i="18"/>
  <c r="AJ36" i="18"/>
  <c r="AJ25" i="18"/>
  <c r="AJ58" i="18"/>
  <c r="AJ49" i="18"/>
  <c r="AJ40" i="18"/>
  <c r="AJ29" i="18"/>
  <c r="AJ50" i="18"/>
  <c r="AJ41" i="18"/>
  <c r="AJ38" i="18"/>
  <c r="AJ56" i="18"/>
  <c r="AJ23" i="18"/>
  <c r="AJ48" i="18"/>
  <c r="AJ20" i="18"/>
  <c r="AJ34" i="18"/>
  <c r="AJ52" i="18"/>
  <c r="AJ53" i="18"/>
  <c r="AJ37" i="18"/>
  <c r="AJ19" i="18"/>
  <c r="AJ57" i="18"/>
  <c r="AJ42" i="18"/>
  <c r="AJ44" i="18"/>
  <c r="AJ24" i="18"/>
  <c r="AJ46" i="18"/>
  <c r="AJ21" i="18"/>
  <c r="AJ33" i="18"/>
  <c r="AJ28" i="18"/>
  <c r="AJ27" i="18"/>
  <c r="AJ32" i="18"/>
  <c r="AI31" i="18"/>
  <c r="AI20" i="8"/>
  <c r="AI26" i="18"/>
  <c r="AI8" i="18" s="1"/>
  <c r="AI19" i="8"/>
  <c r="AI47" i="18"/>
  <c r="AI11" i="18" s="1"/>
  <c r="AI22" i="8"/>
  <c r="AH15" i="8"/>
  <c r="AI43" i="18"/>
  <c r="AI10" i="18" s="1"/>
  <c r="AI23" i="8"/>
  <c r="AI51" i="18"/>
  <c r="AI12" i="18" s="1"/>
  <c r="AG5" i="8"/>
  <c r="AG29" i="12" s="1"/>
  <c r="AG73" i="8"/>
  <c r="AI18" i="8"/>
  <c r="AI22" i="18"/>
  <c r="AI7" i="18" s="1"/>
  <c r="AI21" i="8"/>
  <c r="AI39" i="18"/>
  <c r="AI55" i="18"/>
  <c r="AI13" i="18" s="1"/>
  <c r="AI24" i="8"/>
  <c r="AL94" i="8"/>
  <c r="AL108" i="8"/>
  <c r="AL100" i="8"/>
  <c r="AL86" i="8"/>
  <c r="AL85" i="8"/>
  <c r="AL99" i="8"/>
  <c r="AL89" i="8"/>
  <c r="AL103" i="8"/>
  <c r="AL102" i="8"/>
  <c r="AL88" i="8"/>
  <c r="AL83" i="8"/>
  <c r="AL97" i="8"/>
  <c r="AL84" i="8"/>
  <c r="AL98" i="8"/>
  <c r="AL87" i="8"/>
  <c r="AL101" i="8"/>
  <c r="AL91" i="8"/>
  <c r="AL105" i="8"/>
  <c r="AK82" i="8"/>
  <c r="AL90" i="8"/>
  <c r="AL104" i="8"/>
  <c r="AL107" i="8"/>
  <c r="AL93" i="8"/>
  <c r="AL92" i="8"/>
  <c r="AL106" i="8"/>
  <c r="AK96" i="8"/>
  <c r="AK25" i="8" s="1"/>
  <c r="AI85" i="7"/>
  <c r="AH62" i="7"/>
  <c r="AH64" i="7" s="1"/>
  <c r="AH14" i="7" s="1"/>
  <c r="AI86" i="7"/>
  <c r="AI84" i="7"/>
  <c r="AH82" i="7"/>
  <c r="AD23" i="12"/>
  <c r="AL54" i="7"/>
  <c r="AM728" i="1"/>
  <c r="AL51" i="7"/>
  <c r="AG67" i="7"/>
  <c r="AF65" i="7"/>
  <c r="AG66" i="7"/>
  <c r="AG68" i="7"/>
  <c r="AD89" i="7"/>
  <c r="AF90" i="7"/>
  <c r="AF91" i="7"/>
  <c r="AE91" i="7"/>
  <c r="AE90" i="7"/>
  <c r="AG88" i="7"/>
  <c r="AG16" i="7" s="1"/>
  <c r="AG13" i="7" s="1"/>
  <c r="AH10" i="29"/>
  <c r="AK305" i="29"/>
  <c r="AK277" i="29"/>
  <c r="AK114" i="29"/>
  <c r="AK206" i="29"/>
  <c r="AK149" i="29"/>
  <c r="AK156" i="29"/>
  <c r="AK99" i="29"/>
  <c r="AK170" i="29"/>
  <c r="AK107" i="29"/>
  <c r="AK199" i="29"/>
  <c r="AK64" i="29"/>
  <c r="AK142" i="29"/>
  <c r="AJ191" i="29"/>
  <c r="AJ16" i="29" s="1"/>
  <c r="AJ8" i="29" s="1"/>
  <c r="AK347" i="29"/>
  <c r="AM27" i="37"/>
  <c r="AL352" i="29"/>
  <c r="AL350" i="29"/>
  <c r="AL351" i="29"/>
  <c r="AL349" i="29"/>
  <c r="AL348" i="29"/>
  <c r="AL268" i="29"/>
  <c r="AL353" i="29"/>
  <c r="AL181" i="29"/>
  <c r="AL265" i="29"/>
  <c r="AL97" i="29"/>
  <c r="AL266" i="29"/>
  <c r="AL267" i="29"/>
  <c r="AL263" i="29"/>
  <c r="AL179" i="29"/>
  <c r="AL178" i="29"/>
  <c r="AL182" i="29"/>
  <c r="AL264" i="29"/>
  <c r="AL183" i="29"/>
  <c r="AL180" i="29"/>
  <c r="AL96" i="29"/>
  <c r="AL95" i="29"/>
  <c r="AL93" i="29"/>
  <c r="AL98" i="29"/>
  <c r="AL94" i="29"/>
  <c r="AM25" i="37"/>
  <c r="AL334" i="29"/>
  <c r="AL339" i="29"/>
  <c r="AL337" i="29"/>
  <c r="AL336" i="29"/>
  <c r="AL249" i="29"/>
  <c r="AL251" i="29"/>
  <c r="AL338" i="29"/>
  <c r="AL165" i="29"/>
  <c r="AL250" i="29"/>
  <c r="AL254" i="29"/>
  <c r="AL166" i="29"/>
  <c r="AL82" i="29"/>
  <c r="AL252" i="29"/>
  <c r="AL335" i="29"/>
  <c r="AL164" i="29"/>
  <c r="AL84" i="29"/>
  <c r="AL169" i="29"/>
  <c r="AL81" i="29"/>
  <c r="AL79" i="29"/>
  <c r="AL168" i="29"/>
  <c r="AL83" i="29"/>
  <c r="AL253" i="29"/>
  <c r="AL80" i="29"/>
  <c r="AL167" i="29"/>
  <c r="AM26" i="37"/>
  <c r="AL345" i="29"/>
  <c r="AL342" i="29"/>
  <c r="AL344" i="29"/>
  <c r="AL341" i="29"/>
  <c r="AL256" i="29"/>
  <c r="AL174" i="29"/>
  <c r="AL346" i="29"/>
  <c r="AL172" i="29"/>
  <c r="AL259" i="29"/>
  <c r="AL261" i="29"/>
  <c r="AL343" i="29"/>
  <c r="AL258" i="29"/>
  <c r="AL171" i="29"/>
  <c r="AL175" i="29"/>
  <c r="AL260" i="29"/>
  <c r="AL88" i="29"/>
  <c r="AL176" i="29"/>
  <c r="AL91" i="29"/>
  <c r="AL89" i="29"/>
  <c r="AL87" i="29"/>
  <c r="AL173" i="29"/>
  <c r="AL86" i="29"/>
  <c r="AL257" i="29"/>
  <c r="AL90" i="29"/>
  <c r="AL283" i="29"/>
  <c r="AL193" i="29"/>
  <c r="AL194" i="29"/>
  <c r="AL198" i="29"/>
  <c r="AL280" i="29"/>
  <c r="AL195" i="29"/>
  <c r="AL279" i="29"/>
  <c r="AL196" i="29"/>
  <c r="AL278" i="29"/>
  <c r="AL281" i="29"/>
  <c r="AL110" i="29"/>
  <c r="AL282" i="29"/>
  <c r="AL113" i="29"/>
  <c r="AL112" i="29"/>
  <c r="AL111" i="29"/>
  <c r="AL197" i="29"/>
  <c r="AL108" i="29"/>
  <c r="AL26" i="29"/>
  <c r="AL23" i="29"/>
  <c r="AL25" i="29"/>
  <c r="AL27" i="29"/>
  <c r="AL109" i="29"/>
  <c r="AL28" i="29"/>
  <c r="AL24" i="29"/>
  <c r="AK241" i="29"/>
  <c r="AJ106" i="29"/>
  <c r="AJ15" i="29" s="1"/>
  <c r="AJ7" i="29" s="1"/>
  <c r="AK29" i="29"/>
  <c r="AK284" i="29"/>
  <c r="AK135" i="29"/>
  <c r="AK354" i="29"/>
  <c r="AK312" i="29"/>
  <c r="AM22" i="37"/>
  <c r="AL313" i="29"/>
  <c r="AL318" i="29"/>
  <c r="AL317" i="29"/>
  <c r="AL316" i="29"/>
  <c r="AL314" i="29"/>
  <c r="AL315" i="29"/>
  <c r="AL231" i="29"/>
  <c r="AL228" i="29"/>
  <c r="AL147" i="29"/>
  <c r="AL232" i="29"/>
  <c r="AL230" i="29"/>
  <c r="AL145" i="29"/>
  <c r="AL233" i="29"/>
  <c r="AL144" i="29"/>
  <c r="AL143" i="29"/>
  <c r="AL148" i="29"/>
  <c r="AL62" i="29"/>
  <c r="AL59" i="29"/>
  <c r="AL229" i="29"/>
  <c r="AL63" i="29"/>
  <c r="AL61" i="29"/>
  <c r="AL146" i="29"/>
  <c r="AL58" i="29"/>
  <c r="AL60" i="29"/>
  <c r="AK234" i="29"/>
  <c r="AK326" i="29"/>
  <c r="AK85" i="29"/>
  <c r="AI6" i="29"/>
  <c r="AI18" i="29"/>
  <c r="AI14" i="2" s="1"/>
  <c r="AK220" i="29"/>
  <c r="AM28" i="37"/>
  <c r="AL359" i="29"/>
  <c r="AL357" i="29"/>
  <c r="AL355" i="29"/>
  <c r="AL358" i="29"/>
  <c r="AL187" i="29"/>
  <c r="AL356" i="29"/>
  <c r="AL101" i="29"/>
  <c r="AL360" i="29"/>
  <c r="AL272" i="29"/>
  <c r="AL275" i="29"/>
  <c r="AL185" i="29"/>
  <c r="AL102" i="29"/>
  <c r="AL273" i="29"/>
  <c r="AL190" i="29"/>
  <c r="AL189" i="29"/>
  <c r="AL270" i="29"/>
  <c r="AL274" i="29"/>
  <c r="AL186" i="29"/>
  <c r="AL271" i="29"/>
  <c r="AL104" i="29"/>
  <c r="AL103" i="29"/>
  <c r="AL188" i="29"/>
  <c r="AL105" i="29"/>
  <c r="AL100" i="29"/>
  <c r="AK319" i="29"/>
  <c r="AK71" i="29"/>
  <c r="AK255" i="29"/>
  <c r="AK298" i="29"/>
  <c r="AK92" i="29"/>
  <c r="AK227" i="29"/>
  <c r="AK50" i="29"/>
  <c r="AK248" i="29"/>
  <c r="AK36" i="29"/>
  <c r="AK184" i="29"/>
  <c r="AM23" i="37"/>
  <c r="AL322" i="29"/>
  <c r="AL323" i="29"/>
  <c r="AL240" i="29"/>
  <c r="AL320" i="29"/>
  <c r="AL237" i="29"/>
  <c r="AL154" i="29"/>
  <c r="AL325" i="29"/>
  <c r="AL235" i="29"/>
  <c r="AL152" i="29"/>
  <c r="AL324" i="29"/>
  <c r="AL321" i="29"/>
  <c r="AL236" i="29"/>
  <c r="AL150" i="29"/>
  <c r="AL153" i="29"/>
  <c r="AL238" i="29"/>
  <c r="AL239" i="29"/>
  <c r="AL151" i="29"/>
  <c r="AL70" i="29"/>
  <c r="AL155" i="29"/>
  <c r="AL67" i="29"/>
  <c r="AL69" i="29"/>
  <c r="AL65" i="29"/>
  <c r="AL68" i="29"/>
  <c r="AL66" i="29"/>
  <c r="AM24" i="37"/>
  <c r="AL331" i="29"/>
  <c r="AL332" i="29"/>
  <c r="AL330" i="29"/>
  <c r="AL328" i="29"/>
  <c r="AL329" i="29"/>
  <c r="AL327" i="29"/>
  <c r="AL243" i="29"/>
  <c r="AL246" i="29"/>
  <c r="AL247" i="29"/>
  <c r="AL244" i="29"/>
  <c r="AL158" i="29"/>
  <c r="AL73" i="29"/>
  <c r="AL157" i="29"/>
  <c r="AL162" i="29"/>
  <c r="AL160" i="29"/>
  <c r="AL245" i="29"/>
  <c r="AL242" i="29"/>
  <c r="AL161" i="29"/>
  <c r="AL159" i="29"/>
  <c r="AL75" i="29"/>
  <c r="AL72" i="29"/>
  <c r="AL76" i="29"/>
  <c r="AL74" i="29"/>
  <c r="AL77" i="29"/>
  <c r="AK57" i="29"/>
  <c r="AK128" i="29"/>
  <c r="AK213" i="29"/>
  <c r="AM21" i="37"/>
  <c r="AL307" i="29"/>
  <c r="AL310" i="29"/>
  <c r="AL311" i="29"/>
  <c r="AL309" i="29"/>
  <c r="AL225" i="29"/>
  <c r="AL308" i="29"/>
  <c r="AL138" i="29"/>
  <c r="AL226" i="29"/>
  <c r="AL221" i="29"/>
  <c r="AL306" i="29"/>
  <c r="AL136" i="29"/>
  <c r="AL55" i="29"/>
  <c r="AL222" i="29"/>
  <c r="AL224" i="29"/>
  <c r="AL137" i="29"/>
  <c r="AL223" i="29"/>
  <c r="AL53" i="29"/>
  <c r="AL139" i="29"/>
  <c r="AL141" i="29"/>
  <c r="AL140" i="29"/>
  <c r="AL56" i="29"/>
  <c r="AL54" i="29"/>
  <c r="AL52" i="29"/>
  <c r="AL51" i="29"/>
  <c r="AK269" i="29"/>
  <c r="AK78" i="29"/>
  <c r="AL288" i="29"/>
  <c r="AL203" i="29"/>
  <c r="AL285" i="29"/>
  <c r="AL286" i="29"/>
  <c r="AL201" i="29"/>
  <c r="AL116" i="29"/>
  <c r="AL205" i="29"/>
  <c r="AL202" i="29"/>
  <c r="AL287" i="29"/>
  <c r="AL204" i="29"/>
  <c r="AL290" i="29"/>
  <c r="AL115" i="29"/>
  <c r="AL118" i="29"/>
  <c r="AL289" i="29"/>
  <c r="AL200" i="29"/>
  <c r="AL117" i="29"/>
  <c r="AL119" i="29"/>
  <c r="AL31" i="29"/>
  <c r="AL30" i="29"/>
  <c r="AL32" i="29"/>
  <c r="AL35" i="29"/>
  <c r="AL33" i="29"/>
  <c r="AL34" i="29"/>
  <c r="AL120" i="29"/>
  <c r="AK262" i="29"/>
  <c r="AK121" i="29"/>
  <c r="AK291" i="29"/>
  <c r="AK340" i="29"/>
  <c r="AK22" i="29"/>
  <c r="AK43" i="29"/>
  <c r="AK333" i="29"/>
  <c r="AM20" i="37"/>
  <c r="AL303" i="29"/>
  <c r="AL299" i="29"/>
  <c r="AL304" i="29"/>
  <c r="AL219" i="29"/>
  <c r="AL301" i="29"/>
  <c r="AL300" i="29"/>
  <c r="AL218" i="29"/>
  <c r="AL214" i="29"/>
  <c r="AL130" i="29"/>
  <c r="AL47" i="29"/>
  <c r="AL216" i="29"/>
  <c r="AL217" i="29"/>
  <c r="AL133" i="29"/>
  <c r="AL131" i="29"/>
  <c r="AL44" i="29"/>
  <c r="AL302" i="29"/>
  <c r="AL129" i="29"/>
  <c r="AL132" i="29"/>
  <c r="AL48" i="29"/>
  <c r="AL46" i="29"/>
  <c r="AL134" i="29"/>
  <c r="AL215" i="29"/>
  <c r="AL45" i="29"/>
  <c r="AL49" i="29"/>
  <c r="AJ276" i="29"/>
  <c r="AJ17" i="29" s="1"/>
  <c r="AJ9" i="29" s="1"/>
  <c r="AJ68" i="8" s="1"/>
  <c r="AK177" i="29"/>
  <c r="AM19" i="37"/>
  <c r="AL296" i="29"/>
  <c r="AL210" i="29"/>
  <c r="AL292" i="29"/>
  <c r="AL293" i="29"/>
  <c r="AL297" i="29"/>
  <c r="AL209" i="29"/>
  <c r="AL294" i="29"/>
  <c r="AL208" i="29"/>
  <c r="AL295" i="29"/>
  <c r="AL211" i="29"/>
  <c r="AL207" i="29"/>
  <c r="AL125" i="29"/>
  <c r="AL127" i="29"/>
  <c r="AL123" i="29"/>
  <c r="AL122" i="29"/>
  <c r="AL124" i="29"/>
  <c r="AL212" i="29"/>
  <c r="AL40" i="29"/>
  <c r="AL126" i="29"/>
  <c r="AL42" i="29"/>
  <c r="AL37" i="29"/>
  <c r="AL41" i="29"/>
  <c r="AL39" i="29"/>
  <c r="AL38" i="29"/>
  <c r="AK163" i="29"/>
  <c r="AK192" i="29"/>
  <c r="AJ21" i="29"/>
  <c r="AJ14" i="29" s="1"/>
  <c r="AH61" i="8" l="1"/>
  <c r="AH59" i="8" s="1"/>
  <c r="AH7" i="8" s="1"/>
  <c r="AH31" i="12" s="1"/>
  <c r="AH13" i="2"/>
  <c r="AH38" i="9"/>
  <c r="AH25" i="9"/>
  <c r="AH22" i="10" s="1"/>
  <c r="AH33" i="10" s="1"/>
  <c r="AJ26" i="18"/>
  <c r="AJ8" i="18" s="1"/>
  <c r="AJ18" i="18"/>
  <c r="AJ6" i="18" s="1"/>
  <c r="AJ39" i="18"/>
  <c r="AI30" i="18"/>
  <c r="AI9" i="18" s="1"/>
  <c r="AI14" i="18" s="1"/>
  <c r="AJ19" i="8"/>
  <c r="AJ43" i="18"/>
  <c r="AJ10" i="18" s="1"/>
  <c r="AH78" i="8"/>
  <c r="AH71" i="8"/>
  <c r="AJ51" i="18"/>
  <c r="AJ12" i="18" s="1"/>
  <c r="AJ23" i="8"/>
  <c r="AH73" i="8"/>
  <c r="AH5" i="8"/>
  <c r="AH29" i="12" s="1"/>
  <c r="AJ21" i="8"/>
  <c r="AJ35" i="18"/>
  <c r="AJ31" i="18"/>
  <c r="AJ20" i="8"/>
  <c r="AK54" i="18"/>
  <c r="AK45" i="18"/>
  <c r="AK36" i="18"/>
  <c r="AK56" i="18"/>
  <c r="AK23" i="18"/>
  <c r="AK48" i="18"/>
  <c r="AK40" i="18"/>
  <c r="AK20" i="18"/>
  <c r="AK57" i="18"/>
  <c r="AK49" i="18"/>
  <c r="AK33" i="18"/>
  <c r="AK32" i="18"/>
  <c r="AK25" i="18"/>
  <c r="AK52" i="18"/>
  <c r="AK44" i="18"/>
  <c r="AK24" i="18"/>
  <c r="AK21" i="18"/>
  <c r="AK27" i="18"/>
  <c r="AK38" i="18"/>
  <c r="AK41" i="18"/>
  <c r="AK58" i="18"/>
  <c r="AK42" i="18"/>
  <c r="AK46" i="18"/>
  <c r="AK50" i="18"/>
  <c r="AK34" i="18"/>
  <c r="AK29" i="18"/>
  <c r="AK28" i="18"/>
  <c r="AK53" i="18"/>
  <c r="AK19" i="18"/>
  <c r="AK37" i="18"/>
  <c r="AJ47" i="18"/>
  <c r="AJ11" i="18" s="1"/>
  <c r="AJ22" i="8"/>
  <c r="AI15" i="8"/>
  <c r="AJ18" i="8"/>
  <c r="AJ22" i="18"/>
  <c r="AJ7" i="18" s="1"/>
  <c r="AJ17" i="8"/>
  <c r="AJ55" i="18"/>
  <c r="AJ13" i="18" s="1"/>
  <c r="AJ24" i="8"/>
  <c r="AL82" i="8"/>
  <c r="AM102" i="8"/>
  <c r="AM88" i="8"/>
  <c r="AM92" i="8"/>
  <c r="AM106" i="8"/>
  <c r="AL96" i="8"/>
  <c r="AL25" i="8" s="1"/>
  <c r="AM103" i="8"/>
  <c r="AM89" i="8"/>
  <c r="AM97" i="8"/>
  <c r="AM83" i="8"/>
  <c r="AM85" i="8"/>
  <c r="AM99" i="8"/>
  <c r="AM87" i="8"/>
  <c r="AM101" i="8"/>
  <c r="AM90" i="8"/>
  <c r="AM104" i="8"/>
  <c r="AM86" i="8"/>
  <c r="AM100" i="8"/>
  <c r="AM84" i="8"/>
  <c r="AM98" i="8"/>
  <c r="AM93" i="8"/>
  <c r="AM107" i="8"/>
  <c r="AM94" i="8"/>
  <c r="AM108" i="8"/>
  <c r="AM91" i="8"/>
  <c r="AM105" i="8"/>
  <c r="AJ85" i="7"/>
  <c r="AI62" i="7"/>
  <c r="AI64" i="7" s="1"/>
  <c r="AI14" i="7" s="1"/>
  <c r="AJ84" i="7"/>
  <c r="AI83" i="7"/>
  <c r="AJ86" i="7"/>
  <c r="AN728" i="1"/>
  <c r="AM51" i="7"/>
  <c r="AM54" i="7"/>
  <c r="AH66" i="7"/>
  <c r="AH68" i="7"/>
  <c r="AG65" i="7"/>
  <c r="AH67" i="7"/>
  <c r="AF89" i="7"/>
  <c r="AE89" i="7"/>
  <c r="AG90" i="7"/>
  <c r="AG91" i="7"/>
  <c r="AG5" i="7"/>
  <c r="AE5" i="7"/>
  <c r="AF5" i="7"/>
  <c r="AH88" i="7"/>
  <c r="AH16" i="7" s="1"/>
  <c r="AH13" i="7" s="1"/>
  <c r="AI5" i="29"/>
  <c r="AL262" i="29"/>
  <c r="AL269" i="29"/>
  <c r="AK276" i="29"/>
  <c r="AK17" i="29" s="1"/>
  <c r="AK9" i="29" s="1"/>
  <c r="AK68" i="8" s="1"/>
  <c r="AK106" i="29"/>
  <c r="AK15" i="29" s="1"/>
  <c r="AK7" i="29" s="1"/>
  <c r="AL36" i="29"/>
  <c r="AL99" i="29"/>
  <c r="AL170" i="29"/>
  <c r="AL121" i="29"/>
  <c r="AL298" i="29"/>
  <c r="AL241" i="29"/>
  <c r="AL234" i="29"/>
  <c r="AL142" i="29"/>
  <c r="AL192" i="29"/>
  <c r="AN25" i="37"/>
  <c r="AO25" i="37" s="1"/>
  <c r="AM334" i="29"/>
  <c r="AM335" i="29"/>
  <c r="AM339" i="29"/>
  <c r="AM337" i="29"/>
  <c r="AM336" i="29"/>
  <c r="AM338" i="29"/>
  <c r="AM254" i="29"/>
  <c r="AM253" i="29"/>
  <c r="AM249" i="29"/>
  <c r="AM250" i="29"/>
  <c r="AM164" i="29"/>
  <c r="AM165" i="29"/>
  <c r="AM252" i="29"/>
  <c r="AM167" i="29"/>
  <c r="AM169" i="29"/>
  <c r="AM251" i="29"/>
  <c r="AM81" i="29"/>
  <c r="AM166" i="29"/>
  <c r="AM79" i="29"/>
  <c r="AM84" i="29"/>
  <c r="AM82" i="29"/>
  <c r="AM83" i="29"/>
  <c r="AM168" i="29"/>
  <c r="AM80" i="29"/>
  <c r="AN28" i="37"/>
  <c r="AO28" i="37" s="1"/>
  <c r="AM358" i="29"/>
  <c r="AM359" i="29"/>
  <c r="AM356" i="29"/>
  <c r="AM360" i="29"/>
  <c r="AM357" i="29"/>
  <c r="AM274" i="29"/>
  <c r="AM271" i="29"/>
  <c r="AM186" i="29"/>
  <c r="AM355" i="29"/>
  <c r="AM188" i="29"/>
  <c r="AM275" i="29"/>
  <c r="AM270" i="29"/>
  <c r="AM273" i="29"/>
  <c r="AM272" i="29"/>
  <c r="AM187" i="29"/>
  <c r="AM185" i="29"/>
  <c r="AM190" i="29"/>
  <c r="AM189" i="29"/>
  <c r="AM101" i="29"/>
  <c r="AM104" i="29"/>
  <c r="AM100" i="29"/>
  <c r="AM102" i="29"/>
  <c r="AM105" i="29"/>
  <c r="AM103" i="29"/>
  <c r="AL128" i="29"/>
  <c r="AL71" i="29"/>
  <c r="AN22" i="37"/>
  <c r="AO22" i="37" s="1"/>
  <c r="AM318" i="29"/>
  <c r="AM317" i="29"/>
  <c r="AM230" i="29"/>
  <c r="AM228" i="29"/>
  <c r="AM315" i="29"/>
  <c r="AM316" i="29"/>
  <c r="AM314" i="29"/>
  <c r="AM233" i="29"/>
  <c r="AM313" i="29"/>
  <c r="AM231" i="29"/>
  <c r="AM229" i="29"/>
  <c r="AM60" i="29"/>
  <c r="AM143" i="29"/>
  <c r="AM148" i="29"/>
  <c r="AM232" i="29"/>
  <c r="AM146" i="29"/>
  <c r="AM145" i="29"/>
  <c r="AM59" i="29"/>
  <c r="AM144" i="29"/>
  <c r="AM58" i="29"/>
  <c r="AM62" i="29"/>
  <c r="AM61" i="29"/>
  <c r="AM147" i="29"/>
  <c r="AM63" i="29"/>
  <c r="AL22" i="29"/>
  <c r="AL277" i="29"/>
  <c r="AL340" i="29"/>
  <c r="AL206" i="29"/>
  <c r="AL43" i="29"/>
  <c r="AL29" i="29"/>
  <c r="AL107" i="29"/>
  <c r="AN26" i="37"/>
  <c r="AO26" i="37" s="1"/>
  <c r="AM345" i="29"/>
  <c r="AM341" i="29"/>
  <c r="AM346" i="29"/>
  <c r="AM344" i="29"/>
  <c r="AM342" i="29"/>
  <c r="AM261" i="29"/>
  <c r="AM176" i="29"/>
  <c r="AM256" i="29"/>
  <c r="AM88" i="29"/>
  <c r="AM257" i="29"/>
  <c r="AM260" i="29"/>
  <c r="AM175" i="29"/>
  <c r="AM259" i="29"/>
  <c r="AM258" i="29"/>
  <c r="AM171" i="29"/>
  <c r="AM343" i="29"/>
  <c r="AM172" i="29"/>
  <c r="AM87" i="29"/>
  <c r="AM173" i="29"/>
  <c r="AM90" i="29"/>
  <c r="AM174" i="29"/>
  <c r="AM91" i="29"/>
  <c r="AM89" i="29"/>
  <c r="AM86" i="29"/>
  <c r="AL163" i="29"/>
  <c r="AL92" i="29"/>
  <c r="AL291" i="29"/>
  <c r="AL227" i="29"/>
  <c r="AN19" i="37"/>
  <c r="AO19" i="37" s="1"/>
  <c r="AM294" i="29"/>
  <c r="AM292" i="29"/>
  <c r="AM297" i="29"/>
  <c r="AM124" i="29"/>
  <c r="AM296" i="29"/>
  <c r="AM295" i="29"/>
  <c r="AM208" i="29"/>
  <c r="AM207" i="29"/>
  <c r="AM123" i="29"/>
  <c r="AM210" i="29"/>
  <c r="AM209" i="29"/>
  <c r="AM211" i="29"/>
  <c r="AM125" i="29"/>
  <c r="AM212" i="29"/>
  <c r="AM42" i="29"/>
  <c r="AM293" i="29"/>
  <c r="AM37" i="29"/>
  <c r="AM41" i="29"/>
  <c r="AM122" i="29"/>
  <c r="AM40" i="29"/>
  <c r="AM126" i="29"/>
  <c r="AM39" i="29"/>
  <c r="AM127" i="29"/>
  <c r="AM38" i="29"/>
  <c r="AN23" i="37"/>
  <c r="AO23" i="37" s="1"/>
  <c r="AM323" i="29"/>
  <c r="AM321" i="29"/>
  <c r="AM325" i="29"/>
  <c r="AM320" i="29"/>
  <c r="AM322" i="29"/>
  <c r="AM238" i="29"/>
  <c r="AM240" i="29"/>
  <c r="AM239" i="29"/>
  <c r="AM235" i="29"/>
  <c r="AM69" i="29"/>
  <c r="AM236" i="29"/>
  <c r="AM151" i="29"/>
  <c r="AM65" i="29"/>
  <c r="AM237" i="29"/>
  <c r="AM152" i="29"/>
  <c r="AM70" i="29"/>
  <c r="AM155" i="29"/>
  <c r="AM67" i="29"/>
  <c r="AM153" i="29"/>
  <c r="AM68" i="29"/>
  <c r="AM154" i="29"/>
  <c r="AM324" i="29"/>
  <c r="AM150" i="29"/>
  <c r="AM66" i="29"/>
  <c r="AJ18" i="29"/>
  <c r="AJ14" i="2" s="1"/>
  <c r="AJ6" i="29"/>
  <c r="AL213" i="29"/>
  <c r="AL305" i="29"/>
  <c r="AL149" i="29"/>
  <c r="AL57" i="29"/>
  <c r="AM283" i="29"/>
  <c r="AM198" i="29"/>
  <c r="AM282" i="29"/>
  <c r="AM279" i="29"/>
  <c r="AM195" i="29"/>
  <c r="AM278" i="29"/>
  <c r="AM108" i="29"/>
  <c r="AM193" i="29"/>
  <c r="AM194" i="29"/>
  <c r="AM280" i="29"/>
  <c r="AM197" i="29"/>
  <c r="AM110" i="29"/>
  <c r="AM113" i="29"/>
  <c r="AM112" i="29"/>
  <c r="AM26" i="29"/>
  <c r="AM109" i="29"/>
  <c r="AM25" i="29"/>
  <c r="AM111" i="29"/>
  <c r="AM196" i="29"/>
  <c r="AM24" i="29"/>
  <c r="AM28" i="29"/>
  <c r="AM281" i="29"/>
  <c r="AM23" i="29"/>
  <c r="AM27" i="29"/>
  <c r="AK191" i="29"/>
  <c r="AK16" i="29" s="1"/>
  <c r="AK8" i="29" s="1"/>
  <c r="AK21" i="29"/>
  <c r="AK14" i="29" s="1"/>
  <c r="AL199" i="29"/>
  <c r="AL220" i="29"/>
  <c r="AN21" i="37"/>
  <c r="AO21" i="37" s="1"/>
  <c r="AM309" i="29"/>
  <c r="AM307" i="29"/>
  <c r="AM223" i="29"/>
  <c r="AM311" i="29"/>
  <c r="AM310" i="29"/>
  <c r="AM306" i="29"/>
  <c r="AM308" i="29"/>
  <c r="AM137" i="29"/>
  <c r="AM222" i="29"/>
  <c r="AM226" i="29"/>
  <c r="AM221" i="29"/>
  <c r="AM225" i="29"/>
  <c r="AM139" i="29"/>
  <c r="AM140" i="29"/>
  <c r="AM56" i="29"/>
  <c r="AM51" i="29"/>
  <c r="AM136" i="29"/>
  <c r="AM141" i="29"/>
  <c r="AM54" i="29"/>
  <c r="AM224" i="29"/>
  <c r="AM52" i="29"/>
  <c r="AM138" i="29"/>
  <c r="AM55" i="29"/>
  <c r="AM53" i="29"/>
  <c r="AL347" i="29"/>
  <c r="AN20" i="37"/>
  <c r="AO20" i="37" s="1"/>
  <c r="AM304" i="29"/>
  <c r="AM303" i="29"/>
  <c r="AM132" i="29"/>
  <c r="AM299" i="29"/>
  <c r="AM214" i="29"/>
  <c r="AM217" i="29"/>
  <c r="AM131" i="29"/>
  <c r="AM301" i="29"/>
  <c r="AM302" i="29"/>
  <c r="AM215" i="29"/>
  <c r="AM216" i="29"/>
  <c r="AM130" i="29"/>
  <c r="AM133" i="29"/>
  <c r="AM219" i="29"/>
  <c r="AM48" i="29"/>
  <c r="AM45" i="29"/>
  <c r="AM129" i="29"/>
  <c r="AM49" i="29"/>
  <c r="AM300" i="29"/>
  <c r="AM218" i="29"/>
  <c r="AM44" i="29"/>
  <c r="AM46" i="29"/>
  <c r="AM47" i="29"/>
  <c r="AM134" i="29"/>
  <c r="AL319" i="29"/>
  <c r="AL284" i="29"/>
  <c r="AM285" i="29"/>
  <c r="AM204" i="29"/>
  <c r="AM290" i="29"/>
  <c r="AM288" i="29"/>
  <c r="AM200" i="29"/>
  <c r="AM116" i="29"/>
  <c r="AM286" i="29"/>
  <c r="AM201" i="29"/>
  <c r="AM289" i="29"/>
  <c r="AM287" i="29"/>
  <c r="AM203" i="29"/>
  <c r="AM205" i="29"/>
  <c r="AM115" i="29"/>
  <c r="AM118" i="29"/>
  <c r="AM117" i="29"/>
  <c r="AM119" i="29"/>
  <c r="AM34" i="29"/>
  <c r="AM31" i="29"/>
  <c r="AM202" i="29"/>
  <c r="AM35" i="29"/>
  <c r="AM120" i="29"/>
  <c r="AM33" i="29"/>
  <c r="AM30" i="29"/>
  <c r="AM32" i="29"/>
  <c r="AN24" i="37"/>
  <c r="AO24" i="37" s="1"/>
  <c r="AM327" i="29"/>
  <c r="AM331" i="29"/>
  <c r="AM328" i="29"/>
  <c r="AM330" i="29"/>
  <c r="AM246" i="29"/>
  <c r="AM159" i="29"/>
  <c r="AM247" i="29"/>
  <c r="AM157" i="29"/>
  <c r="AM329" i="29"/>
  <c r="AM332" i="29"/>
  <c r="AM162" i="29"/>
  <c r="AM245" i="29"/>
  <c r="AM243" i="29"/>
  <c r="AM244" i="29"/>
  <c r="AM161" i="29"/>
  <c r="AM158" i="29"/>
  <c r="AM242" i="29"/>
  <c r="AM73" i="29"/>
  <c r="AM75" i="29"/>
  <c r="AM72" i="29"/>
  <c r="AM160" i="29"/>
  <c r="AM74" i="29"/>
  <c r="AM76" i="29"/>
  <c r="AM77" i="29"/>
  <c r="AL184" i="29"/>
  <c r="AL354" i="29"/>
  <c r="AL248" i="29"/>
  <c r="AL156" i="29"/>
  <c r="AL85" i="29"/>
  <c r="AL78" i="29"/>
  <c r="AL326" i="29"/>
  <c r="AL114" i="29"/>
  <c r="AL135" i="29"/>
  <c r="AL333" i="29"/>
  <c r="AL177" i="29"/>
  <c r="AL255" i="29"/>
  <c r="AL50" i="29"/>
  <c r="AL64" i="29"/>
  <c r="AL312" i="29"/>
  <c r="AN27" i="37"/>
  <c r="AO27" i="37" s="1"/>
  <c r="AM349" i="29"/>
  <c r="AM353" i="29"/>
  <c r="AM351" i="29"/>
  <c r="AM352" i="29"/>
  <c r="AM267" i="29"/>
  <c r="AM348" i="29"/>
  <c r="AM268" i="29"/>
  <c r="AM265" i="29"/>
  <c r="AM182" i="29"/>
  <c r="AM350" i="29"/>
  <c r="AM181" i="29"/>
  <c r="AM263" i="29"/>
  <c r="AM264" i="29"/>
  <c r="AM179" i="29"/>
  <c r="AM94" i="29"/>
  <c r="AM183" i="29"/>
  <c r="AM178" i="29"/>
  <c r="AM97" i="29"/>
  <c r="AM96" i="29"/>
  <c r="AM93" i="29"/>
  <c r="AM266" i="29"/>
  <c r="AM180" i="29"/>
  <c r="AM95" i="29"/>
  <c r="AM98" i="29"/>
  <c r="AO29" i="37" l="1"/>
  <c r="AH44" i="10"/>
  <c r="AI38" i="9"/>
  <c r="AI25" i="9"/>
  <c r="AI22" i="10" s="1"/>
  <c r="AI33" i="10" s="1"/>
  <c r="AI44" i="10" s="1"/>
  <c r="AK19" i="8"/>
  <c r="AK43" i="18"/>
  <c r="AK10" i="18" s="1"/>
  <c r="AK39" i="18"/>
  <c r="AK17" i="8"/>
  <c r="AJ30" i="18"/>
  <c r="AJ9" i="18" s="1"/>
  <c r="AJ14" i="18" s="1"/>
  <c r="AK26" i="18"/>
  <c r="AK8" i="18" s="1"/>
  <c r="AK31" i="18"/>
  <c r="AK20" i="8"/>
  <c r="AL52" i="18"/>
  <c r="AL42" i="18"/>
  <c r="AL33" i="18"/>
  <c r="AL56" i="18"/>
  <c r="AL46" i="18"/>
  <c r="AL37" i="18"/>
  <c r="AL27" i="18"/>
  <c r="AL57" i="18"/>
  <c r="AL48" i="18"/>
  <c r="AL38" i="18"/>
  <c r="AL40" i="18"/>
  <c r="AL20" i="18"/>
  <c r="AL49" i="18"/>
  <c r="AL32" i="18"/>
  <c r="AL25" i="18"/>
  <c r="AL41" i="18"/>
  <c r="AL44" i="18"/>
  <c r="AL24" i="18"/>
  <c r="AL21" i="18"/>
  <c r="AL36" i="18"/>
  <c r="AL28" i="18"/>
  <c r="AL19" i="18"/>
  <c r="AL58" i="18"/>
  <c r="AL45" i="18"/>
  <c r="AL23" i="18"/>
  <c r="AL53" i="18"/>
  <c r="AL29" i="18"/>
  <c r="AL34" i="18"/>
  <c r="AL50" i="18"/>
  <c r="AL54" i="18"/>
  <c r="AJ15" i="8"/>
  <c r="AI5" i="8"/>
  <c r="AI29" i="12" s="1"/>
  <c r="AI73" i="8"/>
  <c r="AK18" i="8"/>
  <c r="AK22" i="18"/>
  <c r="AK7" i="18" s="1"/>
  <c r="AK24" i="8"/>
  <c r="AK55" i="18"/>
  <c r="AK13" i="18" s="1"/>
  <c r="AK35" i="18"/>
  <c r="AK18" i="18"/>
  <c r="AK6" i="18" s="1"/>
  <c r="AK21" i="8"/>
  <c r="AI78" i="8"/>
  <c r="AI71" i="8"/>
  <c r="AK47" i="18"/>
  <c r="AK11" i="18" s="1"/>
  <c r="AK22" i="8"/>
  <c r="AK51" i="18"/>
  <c r="AK12" i="18" s="1"/>
  <c r="AK23" i="8"/>
  <c r="AN83" i="8"/>
  <c r="AN97" i="8"/>
  <c r="AN90" i="8"/>
  <c r="AN104" i="8"/>
  <c r="AN88" i="8"/>
  <c r="AN102" i="8"/>
  <c r="AN85" i="8"/>
  <c r="AN99" i="8"/>
  <c r="AM82" i="8"/>
  <c r="AM96" i="8"/>
  <c r="AM25" i="8" s="1"/>
  <c r="AN107" i="8"/>
  <c r="AN93" i="8"/>
  <c r="AN87" i="8"/>
  <c r="AN101" i="8"/>
  <c r="AN92" i="8"/>
  <c r="AN106" i="8"/>
  <c r="AN105" i="8"/>
  <c r="AN91" i="8"/>
  <c r="AN98" i="8"/>
  <c r="AN84" i="8"/>
  <c r="AN100" i="8"/>
  <c r="AN86" i="8"/>
  <c r="AN89" i="8"/>
  <c r="AN103" i="8"/>
  <c r="AN94" i="8"/>
  <c r="AN108" i="8"/>
  <c r="AK85" i="7"/>
  <c r="AK86" i="7"/>
  <c r="AK84" i="7"/>
  <c r="AJ83" i="7"/>
  <c r="AJ62" i="7"/>
  <c r="AJ64" i="7" s="1"/>
  <c r="AJ14" i="7" s="1"/>
  <c r="AF23" i="12"/>
  <c r="AE23" i="12"/>
  <c r="AG23" i="12"/>
  <c r="AN51" i="7"/>
  <c r="AN54" i="7"/>
  <c r="AI67" i="7"/>
  <c r="AI66" i="7"/>
  <c r="AI68" i="7"/>
  <c r="AH65" i="7"/>
  <c r="AG89" i="7"/>
  <c r="AH90" i="7"/>
  <c r="AH91" i="7"/>
  <c r="AI10" i="29"/>
  <c r="AI82" i="7"/>
  <c r="AJ5" i="29"/>
  <c r="AM107" i="29"/>
  <c r="AM206" i="29"/>
  <c r="AM199" i="29"/>
  <c r="AM29" i="29"/>
  <c r="AM135" i="29"/>
  <c r="AM43" i="29"/>
  <c r="AM277" i="29"/>
  <c r="AM149" i="29"/>
  <c r="AL21" i="29"/>
  <c r="AL14" i="29" s="1"/>
  <c r="AM184" i="29"/>
  <c r="AM192" i="29"/>
  <c r="AM121" i="29"/>
  <c r="AM227" i="29"/>
  <c r="AM305" i="29"/>
  <c r="AM128" i="29"/>
  <c r="AM291" i="29"/>
  <c r="AM312" i="29"/>
  <c r="AL276" i="29"/>
  <c r="AL17" i="29" s="1"/>
  <c r="AL9" i="29" s="1"/>
  <c r="AL68" i="8" s="1"/>
  <c r="AM57" i="29"/>
  <c r="AM248" i="29"/>
  <c r="AN279" i="29"/>
  <c r="AN198" i="29"/>
  <c r="AN282" i="29"/>
  <c r="AN280" i="29"/>
  <c r="AN112" i="29"/>
  <c r="AN283" i="29"/>
  <c r="AN281" i="29"/>
  <c r="AN193" i="29"/>
  <c r="AN195" i="29"/>
  <c r="AN197" i="29"/>
  <c r="AN110" i="29"/>
  <c r="AN113" i="29"/>
  <c r="AN194" i="29"/>
  <c r="AN108" i="29"/>
  <c r="AN111" i="29"/>
  <c r="AN278" i="29"/>
  <c r="AN109" i="29"/>
  <c r="AN196" i="29"/>
  <c r="AN25" i="29"/>
  <c r="AN26" i="29"/>
  <c r="AN28" i="29"/>
  <c r="AN24" i="29"/>
  <c r="AN23" i="29"/>
  <c r="AN27" i="29"/>
  <c r="AN292" i="29"/>
  <c r="AN210" i="29"/>
  <c r="AN207" i="29"/>
  <c r="AN294" i="29"/>
  <c r="AN208" i="29"/>
  <c r="AN293" i="29"/>
  <c r="AN296" i="29"/>
  <c r="AN211" i="29"/>
  <c r="AN295" i="29"/>
  <c r="AN209" i="29"/>
  <c r="AN297" i="29"/>
  <c r="AN123" i="29"/>
  <c r="AN126" i="29"/>
  <c r="AN212" i="29"/>
  <c r="AN124" i="29"/>
  <c r="AN42" i="29"/>
  <c r="AN127" i="29"/>
  <c r="AN122" i="29"/>
  <c r="AN41" i="29"/>
  <c r="AN39" i="29"/>
  <c r="AN38" i="29"/>
  <c r="AN125" i="29"/>
  <c r="AN37" i="29"/>
  <c r="AN40" i="29"/>
  <c r="AM170" i="29"/>
  <c r="AM333" i="29"/>
  <c r="AM92" i="29"/>
  <c r="AM284" i="29"/>
  <c r="AN299" i="29"/>
  <c r="AN303" i="29"/>
  <c r="AN300" i="29"/>
  <c r="AN301" i="29"/>
  <c r="AN217" i="29"/>
  <c r="AN219" i="29"/>
  <c r="AN216" i="29"/>
  <c r="AN302" i="29"/>
  <c r="AN218" i="29"/>
  <c r="AN44" i="29"/>
  <c r="AN304" i="29"/>
  <c r="AN133" i="29"/>
  <c r="AN214" i="29"/>
  <c r="AN131" i="29"/>
  <c r="AN134" i="29"/>
  <c r="AN47" i="29"/>
  <c r="AN130" i="29"/>
  <c r="AN129" i="29"/>
  <c r="AN215" i="29"/>
  <c r="AN132" i="29"/>
  <c r="AN46" i="29"/>
  <c r="AN48" i="29"/>
  <c r="AN45" i="29"/>
  <c r="AN49" i="29"/>
  <c r="AM220" i="29"/>
  <c r="AN344" i="29"/>
  <c r="AN345" i="29"/>
  <c r="AN341" i="29"/>
  <c r="AN346" i="29"/>
  <c r="AN259" i="29"/>
  <c r="AN174" i="29"/>
  <c r="AN86" i="29"/>
  <c r="AN342" i="29"/>
  <c r="AN89" i="29"/>
  <c r="AN343" i="29"/>
  <c r="AN261" i="29"/>
  <c r="AN257" i="29"/>
  <c r="AN173" i="29"/>
  <c r="AN176" i="29"/>
  <c r="AN260" i="29"/>
  <c r="AN256" i="29"/>
  <c r="AN88" i="29"/>
  <c r="AN171" i="29"/>
  <c r="AN91" i="29"/>
  <c r="AN258" i="29"/>
  <c r="AN172" i="29"/>
  <c r="AN90" i="29"/>
  <c r="AN175" i="29"/>
  <c r="AN87" i="29"/>
  <c r="AN339" i="29"/>
  <c r="AN334" i="29"/>
  <c r="AN338" i="29"/>
  <c r="AN250" i="29"/>
  <c r="AN337" i="29"/>
  <c r="AN251" i="29"/>
  <c r="AN168" i="29"/>
  <c r="AN335" i="29"/>
  <c r="AN167" i="29"/>
  <c r="AN164" i="29"/>
  <c r="AN336" i="29"/>
  <c r="AN253" i="29"/>
  <c r="AN169" i="29"/>
  <c r="AN249" i="29"/>
  <c r="AN165" i="29"/>
  <c r="AN252" i="29"/>
  <c r="AN166" i="29"/>
  <c r="AN81" i="29"/>
  <c r="AN79" i="29"/>
  <c r="AN254" i="29"/>
  <c r="AN82" i="29"/>
  <c r="AN84" i="29"/>
  <c r="AN83" i="29"/>
  <c r="AN80" i="29"/>
  <c r="AM50" i="29"/>
  <c r="AM36" i="29"/>
  <c r="AM262" i="29"/>
  <c r="AK6" i="29"/>
  <c r="AK18" i="29"/>
  <c r="AK14" i="2" s="1"/>
  <c r="AM347" i="29"/>
  <c r="AM114" i="29"/>
  <c r="AN322" i="29"/>
  <c r="AN324" i="29"/>
  <c r="AN325" i="29"/>
  <c r="AN323" i="29"/>
  <c r="AN236" i="29"/>
  <c r="AN321" i="29"/>
  <c r="AN320" i="29"/>
  <c r="AN150" i="29"/>
  <c r="AN238" i="29"/>
  <c r="AN239" i="29"/>
  <c r="AN235" i="29"/>
  <c r="AN154" i="29"/>
  <c r="AN151" i="29"/>
  <c r="AN237" i="29"/>
  <c r="AN153" i="29"/>
  <c r="AN240" i="29"/>
  <c r="AN155" i="29"/>
  <c r="AN70" i="29"/>
  <c r="AN67" i="29"/>
  <c r="AN69" i="29"/>
  <c r="AN66" i="29"/>
  <c r="AN65" i="29"/>
  <c r="AN152" i="29"/>
  <c r="AN68" i="29"/>
  <c r="AM354" i="29"/>
  <c r="AM99" i="29"/>
  <c r="AM326" i="29"/>
  <c r="AL106" i="29"/>
  <c r="AL15" i="29" s="1"/>
  <c r="AL7" i="29" s="1"/>
  <c r="AL191" i="29"/>
  <c r="AL16" i="29" s="1"/>
  <c r="AL8" i="29" s="1"/>
  <c r="AM177" i="29"/>
  <c r="AM213" i="29"/>
  <c r="AM64" i="29"/>
  <c r="AM255" i="29"/>
  <c r="AN359" i="29"/>
  <c r="AN356" i="29"/>
  <c r="AN357" i="29"/>
  <c r="AN358" i="29"/>
  <c r="AN275" i="29"/>
  <c r="AN274" i="29"/>
  <c r="AN271" i="29"/>
  <c r="AN360" i="29"/>
  <c r="AN185" i="29"/>
  <c r="AN190" i="29"/>
  <c r="AN270" i="29"/>
  <c r="AN188" i="29"/>
  <c r="AN186" i="29"/>
  <c r="AN273" i="29"/>
  <c r="AN355" i="29"/>
  <c r="AN189" i="29"/>
  <c r="AN101" i="29"/>
  <c r="AN104" i="29"/>
  <c r="AN102" i="29"/>
  <c r="AN100" i="29"/>
  <c r="AN272" i="29"/>
  <c r="AN105" i="29"/>
  <c r="AN187" i="29"/>
  <c r="AN103" i="29"/>
  <c r="AM163" i="29"/>
  <c r="AM156" i="29"/>
  <c r="AM340" i="29"/>
  <c r="AM71" i="29"/>
  <c r="AN311" i="29"/>
  <c r="AN306" i="29"/>
  <c r="AN307" i="29"/>
  <c r="AN225" i="29"/>
  <c r="AN222" i="29"/>
  <c r="AN223" i="29"/>
  <c r="AN309" i="29"/>
  <c r="AN226" i="29"/>
  <c r="AN221" i="29"/>
  <c r="AN141" i="29"/>
  <c r="AN310" i="29"/>
  <c r="AN56" i="29"/>
  <c r="AN308" i="29"/>
  <c r="AN140" i="29"/>
  <c r="AN138" i="29"/>
  <c r="AN139" i="29"/>
  <c r="AN136" i="29"/>
  <c r="AN54" i="29"/>
  <c r="AN52" i="29"/>
  <c r="AN137" i="29"/>
  <c r="AN224" i="29"/>
  <c r="AN51" i="29"/>
  <c r="AN53" i="29"/>
  <c r="AN55" i="29"/>
  <c r="AN289" i="29"/>
  <c r="AN288" i="29"/>
  <c r="AN290" i="29"/>
  <c r="AN286" i="29"/>
  <c r="AN204" i="29"/>
  <c r="AN285" i="29"/>
  <c r="AN120" i="29"/>
  <c r="AN287" i="29"/>
  <c r="AN200" i="29"/>
  <c r="AN202" i="29"/>
  <c r="AN205" i="29"/>
  <c r="AN203" i="29"/>
  <c r="AN118" i="29"/>
  <c r="AN201" i="29"/>
  <c r="AN119" i="29"/>
  <c r="AN116" i="29"/>
  <c r="AN115" i="29"/>
  <c r="AN31" i="29"/>
  <c r="AN117" i="29"/>
  <c r="AN35" i="29"/>
  <c r="AN30" i="29"/>
  <c r="AN33" i="29"/>
  <c r="AN34" i="29"/>
  <c r="AN32" i="29"/>
  <c r="AN332" i="29"/>
  <c r="AN328" i="29"/>
  <c r="AN329" i="29"/>
  <c r="AN327" i="29"/>
  <c r="AN243" i="29"/>
  <c r="AN331" i="29"/>
  <c r="AN161" i="29"/>
  <c r="AN245" i="29"/>
  <c r="AN159" i="29"/>
  <c r="AN242" i="29"/>
  <c r="AN247" i="29"/>
  <c r="AN330" i="29"/>
  <c r="AN160" i="29"/>
  <c r="AN244" i="29"/>
  <c r="AN77" i="29"/>
  <c r="AN246" i="29"/>
  <c r="AN75" i="29"/>
  <c r="AN72" i="29"/>
  <c r="AN158" i="29"/>
  <c r="AN157" i="29"/>
  <c r="AN162" i="29"/>
  <c r="AN76" i="29"/>
  <c r="AN74" i="29"/>
  <c r="AN73" i="29"/>
  <c r="AM22" i="29"/>
  <c r="AM85" i="29"/>
  <c r="AN314" i="29"/>
  <c r="AN315" i="29"/>
  <c r="AN316" i="29"/>
  <c r="AN317" i="29"/>
  <c r="AN232" i="29"/>
  <c r="AN143" i="29"/>
  <c r="AN228" i="29"/>
  <c r="AN313" i="29"/>
  <c r="AN318" i="29"/>
  <c r="AN229" i="29"/>
  <c r="AN231" i="29"/>
  <c r="AN147" i="29"/>
  <c r="AN233" i="29"/>
  <c r="AN148" i="29"/>
  <c r="AN230" i="29"/>
  <c r="AN145" i="29"/>
  <c r="AN62" i="29"/>
  <c r="AN144" i="29"/>
  <c r="AN63" i="29"/>
  <c r="AN61" i="29"/>
  <c r="AN146" i="29"/>
  <c r="AN58" i="29"/>
  <c r="AN60" i="29"/>
  <c r="AN59" i="29"/>
  <c r="AM269" i="29"/>
  <c r="AN348" i="29"/>
  <c r="AN349" i="29"/>
  <c r="AN352" i="29"/>
  <c r="AN180" i="29"/>
  <c r="AN353" i="29"/>
  <c r="AN351" i="29"/>
  <c r="AN350" i="29"/>
  <c r="AN179" i="29"/>
  <c r="AN94" i="29"/>
  <c r="AN267" i="29"/>
  <c r="AN265" i="29"/>
  <c r="AN263" i="29"/>
  <c r="AN268" i="29"/>
  <c r="AN264" i="29"/>
  <c r="AN98" i="29"/>
  <c r="AN95" i="29"/>
  <c r="AN97" i="29"/>
  <c r="AN266" i="29"/>
  <c r="AN96" i="29"/>
  <c r="AN182" i="29"/>
  <c r="AN183" i="29"/>
  <c r="AN93" i="29"/>
  <c r="AN181" i="29"/>
  <c r="AN178" i="29"/>
  <c r="AM78" i="29"/>
  <c r="AM319" i="29"/>
  <c r="AM241" i="29"/>
  <c r="AM298" i="29"/>
  <c r="AM234" i="29"/>
  <c r="AM142" i="29"/>
  <c r="AI61" i="8" l="1"/>
  <c r="AI59" i="8" s="1"/>
  <c r="AI7" i="8" s="1"/>
  <c r="AI31" i="12" s="1"/>
  <c r="AI13" i="2"/>
  <c r="AJ38" i="9"/>
  <c r="AJ25" i="9"/>
  <c r="AJ22" i="10" s="1"/>
  <c r="AJ33" i="10" s="1"/>
  <c r="AL35" i="18"/>
  <c r="AL22" i="18"/>
  <c r="AL7" i="18" s="1"/>
  <c r="AJ78" i="8"/>
  <c r="AJ71" i="8"/>
  <c r="AL47" i="18"/>
  <c r="AL11" i="18" s="1"/>
  <c r="AL22" i="8"/>
  <c r="AK15" i="8"/>
  <c r="AL17" i="8"/>
  <c r="AL18" i="18"/>
  <c r="AL6" i="18" s="1"/>
  <c r="AL26" i="18"/>
  <c r="AL8" i="18" s="1"/>
  <c r="AL19" i="8"/>
  <c r="AJ5" i="8"/>
  <c r="AJ29" i="12" s="1"/>
  <c r="AJ73" i="8"/>
  <c r="AL43" i="18"/>
  <c r="AL10" i="18" s="1"/>
  <c r="AL21" i="8"/>
  <c r="AL24" i="8"/>
  <c r="AL55" i="18"/>
  <c r="AL13" i="18" s="1"/>
  <c r="AL51" i="18"/>
  <c r="AL12" i="18" s="1"/>
  <c r="AL23" i="8"/>
  <c r="AL31" i="18"/>
  <c r="AL20" i="8"/>
  <c r="AK30" i="18"/>
  <c r="AK9" i="18" s="1"/>
  <c r="AK14" i="18" s="1"/>
  <c r="AM52" i="18"/>
  <c r="AM42" i="18"/>
  <c r="AM33" i="18"/>
  <c r="AM48" i="18"/>
  <c r="AM20" i="18"/>
  <c r="AM49" i="18"/>
  <c r="AM32" i="18"/>
  <c r="AM25" i="18"/>
  <c r="AM57" i="18"/>
  <c r="AM41" i="18"/>
  <c r="AM58" i="18"/>
  <c r="AM36" i="18"/>
  <c r="AM28" i="18"/>
  <c r="AM53" i="18"/>
  <c r="AM54" i="18"/>
  <c r="AM46" i="18"/>
  <c r="AM56" i="18"/>
  <c r="AM40" i="18"/>
  <c r="AM44" i="18"/>
  <c r="AM24" i="18"/>
  <c r="AM45" i="18"/>
  <c r="AM23" i="18"/>
  <c r="AM50" i="18"/>
  <c r="AM21" i="18"/>
  <c r="AM37" i="18"/>
  <c r="AM29" i="18"/>
  <c r="AM19" i="18"/>
  <c r="AM34" i="18"/>
  <c r="AM38" i="18"/>
  <c r="AM27" i="18"/>
  <c r="AL18" i="8"/>
  <c r="AL39" i="18"/>
  <c r="AN82" i="8"/>
  <c r="AN96" i="8"/>
  <c r="AN25" i="8" s="1"/>
  <c r="AL86" i="7"/>
  <c r="AL84" i="7"/>
  <c r="AL85" i="7"/>
  <c r="AK62" i="7"/>
  <c r="AK64" i="7" s="1"/>
  <c r="AK14" i="7" s="1"/>
  <c r="AK83" i="7"/>
  <c r="AI65" i="7"/>
  <c r="AJ67" i="7"/>
  <c r="AJ66" i="7"/>
  <c r="AJ68" i="7"/>
  <c r="AH89" i="7"/>
  <c r="AJ10" i="29"/>
  <c r="AJ82" i="7"/>
  <c r="AI88" i="7"/>
  <c r="AI16" i="7" s="1"/>
  <c r="AI13" i="7" s="1"/>
  <c r="AH5" i="7"/>
  <c r="AK5" i="29"/>
  <c r="AN177" i="29"/>
  <c r="AN269" i="29"/>
  <c r="AN220" i="29"/>
  <c r="AN92" i="29"/>
  <c r="AN184" i="29"/>
  <c r="AM106" i="29"/>
  <c r="AM15" i="29" s="1"/>
  <c r="AM7" i="29" s="1"/>
  <c r="AN163" i="29"/>
  <c r="AN206" i="29"/>
  <c r="AN354" i="29"/>
  <c r="AN213" i="29"/>
  <c r="AN22" i="29"/>
  <c r="AN262" i="29"/>
  <c r="AN114" i="29"/>
  <c r="AN170" i="29"/>
  <c r="AN298" i="29"/>
  <c r="AN57" i="29"/>
  <c r="AN312" i="29"/>
  <c r="AN340" i="29"/>
  <c r="AN227" i="29"/>
  <c r="AN156" i="29"/>
  <c r="AN255" i="29"/>
  <c r="AN142" i="29"/>
  <c r="AN71" i="29"/>
  <c r="AN326" i="29"/>
  <c r="AN78" i="29"/>
  <c r="AN192" i="29"/>
  <c r="AN50" i="29"/>
  <c r="AN43" i="29"/>
  <c r="AN333" i="29"/>
  <c r="AN36" i="29"/>
  <c r="AN291" i="29"/>
  <c r="AM191" i="29"/>
  <c r="AM16" i="29" s="1"/>
  <c r="AM8" i="29" s="1"/>
  <c r="AN99" i="29"/>
  <c r="AN234" i="29"/>
  <c r="AN199" i="29"/>
  <c r="AN248" i="29"/>
  <c r="AL18" i="29"/>
  <c r="AL14" i="2" s="1"/>
  <c r="AL6" i="29"/>
  <c r="AN277" i="29"/>
  <c r="AM21" i="29"/>
  <c r="AM14" i="29" s="1"/>
  <c r="AN29" i="29"/>
  <c r="AN135" i="29"/>
  <c r="AN64" i="29"/>
  <c r="AN149" i="29"/>
  <c r="AM276" i="29"/>
  <c r="AM17" i="29" s="1"/>
  <c r="AM9" i="29" s="1"/>
  <c r="AM68" i="8" s="1"/>
  <c r="AN347" i="29"/>
  <c r="AN241" i="29"/>
  <c r="AN284" i="29"/>
  <c r="AN305" i="29"/>
  <c r="AN319" i="29"/>
  <c r="AN85" i="29"/>
  <c r="AN128" i="29"/>
  <c r="AN121" i="29"/>
  <c r="AN107" i="29"/>
  <c r="AJ61" i="8" l="1"/>
  <c r="AJ59" i="8" s="1"/>
  <c r="AJ7" i="8" s="1"/>
  <c r="AJ31" i="12" s="1"/>
  <c r="AJ13" i="2"/>
  <c r="AJ44" i="10"/>
  <c r="AK38" i="9"/>
  <c r="AK25" i="9"/>
  <c r="AK22" i="10" s="1"/>
  <c r="AK33" i="10" s="1"/>
  <c r="AM18" i="8"/>
  <c r="AM39" i="18"/>
  <c r="AL30" i="18"/>
  <c r="AL9" i="18" s="1"/>
  <c r="AL14" i="18" s="1"/>
  <c r="AK78" i="8"/>
  <c r="AK71" i="8"/>
  <c r="AM43" i="18"/>
  <c r="AM10" i="18" s="1"/>
  <c r="AM21" i="8"/>
  <c r="AM47" i="18"/>
  <c r="AM11" i="18" s="1"/>
  <c r="AM22" i="8"/>
  <c r="AM24" i="8"/>
  <c r="AM55" i="18"/>
  <c r="AM13" i="18" s="1"/>
  <c r="AM26" i="18"/>
  <c r="AM8" i="18" s="1"/>
  <c r="AM19" i="8"/>
  <c r="AM17" i="8"/>
  <c r="AM18" i="18"/>
  <c r="AM6" i="18" s="1"/>
  <c r="AL15" i="8"/>
  <c r="AM51" i="18"/>
  <c r="AM12" i="18" s="1"/>
  <c r="AM23" i="8"/>
  <c r="AK5" i="8"/>
  <c r="AK29" i="12" s="1"/>
  <c r="AK73" i="8"/>
  <c r="AN58" i="18"/>
  <c r="AN49" i="18"/>
  <c r="AN40" i="18"/>
  <c r="AN29" i="18"/>
  <c r="AN53" i="18"/>
  <c r="AN44" i="18"/>
  <c r="AN34" i="18"/>
  <c r="AN54" i="18"/>
  <c r="AN45" i="18"/>
  <c r="AN36" i="18"/>
  <c r="AN32" i="18"/>
  <c r="AN25" i="18"/>
  <c r="AN57" i="18"/>
  <c r="AN41" i="18"/>
  <c r="AN33" i="18"/>
  <c r="AN50" i="18"/>
  <c r="AN37" i="18"/>
  <c r="AN38" i="18"/>
  <c r="AN23" i="18"/>
  <c r="AN20" i="18"/>
  <c r="AN42" i="18"/>
  <c r="AN24" i="18"/>
  <c r="AN46" i="18"/>
  <c r="AN48" i="18"/>
  <c r="AN52" i="18"/>
  <c r="AN28" i="18"/>
  <c r="AN27" i="18"/>
  <c r="AN19" i="18"/>
  <c r="AN21" i="18"/>
  <c r="AN56" i="18"/>
  <c r="AM20" i="8"/>
  <c r="AM31" i="18"/>
  <c r="AM35" i="18"/>
  <c r="AM22" i="18"/>
  <c r="AM7" i="18" s="1"/>
  <c r="AL83" i="7"/>
  <c r="AL62" i="7"/>
  <c r="AL64" i="7" s="1"/>
  <c r="AL14" i="7" s="1"/>
  <c r="AM84" i="7"/>
  <c r="AM85" i="7"/>
  <c r="AM86" i="7"/>
  <c r="AH23" i="12"/>
  <c r="AJ65" i="7"/>
  <c r="AK67" i="7"/>
  <c r="AK66" i="7"/>
  <c r="AK68" i="7"/>
  <c r="AI90" i="7"/>
  <c r="AI91" i="7"/>
  <c r="AI5" i="7"/>
  <c r="AK10" i="29"/>
  <c r="AK82" i="7"/>
  <c r="AJ88" i="7"/>
  <c r="AJ16" i="7" s="1"/>
  <c r="AJ13" i="7" s="1"/>
  <c r="AL5" i="29"/>
  <c r="AN21" i="29"/>
  <c r="AN14" i="29" s="1"/>
  <c r="AN6" i="29" s="1"/>
  <c r="AN106" i="29"/>
  <c r="AN15" i="29" s="1"/>
  <c r="AN7" i="29" s="1"/>
  <c r="AM6" i="29"/>
  <c r="AM18" i="29"/>
  <c r="AM14" i="2" s="1"/>
  <c r="AN191" i="29"/>
  <c r="AN16" i="29" s="1"/>
  <c r="AN8" i="29" s="1"/>
  <c r="AN276" i="29"/>
  <c r="AN17" i="29" s="1"/>
  <c r="AN9" i="29" s="1"/>
  <c r="AN68" i="8" s="1"/>
  <c r="AK61" i="8" l="1"/>
  <c r="AK59" i="8" s="1"/>
  <c r="AK7" i="8" s="1"/>
  <c r="AK31" i="12" s="1"/>
  <c r="AK13" i="2"/>
  <c r="AK44" i="10"/>
  <c r="AL38" i="9"/>
  <c r="AL25" i="9"/>
  <c r="AL22" i="10" s="1"/>
  <c r="AL33" i="10" s="1"/>
  <c r="AL44" i="10" s="1"/>
  <c r="AN22" i="18"/>
  <c r="AN7" i="18" s="1"/>
  <c r="AM15" i="8"/>
  <c r="AM73" i="8" s="1"/>
  <c r="AL5" i="8"/>
  <c r="AL29" i="12" s="1"/>
  <c r="AL73" i="8"/>
  <c r="AN21" i="8"/>
  <c r="AN43" i="18"/>
  <c r="AN10" i="18" s="1"/>
  <c r="AN39" i="18"/>
  <c r="AN18" i="8"/>
  <c r="AN24" i="8"/>
  <c r="AN55" i="18"/>
  <c r="AN13" i="18" s="1"/>
  <c r="AM30" i="18"/>
  <c r="AM9" i="18" s="1"/>
  <c r="AM14" i="18" s="1"/>
  <c r="AN47" i="18"/>
  <c r="AN11" i="18" s="1"/>
  <c r="AN17" i="8"/>
  <c r="AN18" i="18"/>
  <c r="AN6" i="18" s="1"/>
  <c r="AN26" i="18"/>
  <c r="AN8" i="18" s="1"/>
  <c r="AN19" i="8"/>
  <c r="AN51" i="18"/>
  <c r="AN12" i="18" s="1"/>
  <c r="AN23" i="8"/>
  <c r="AN20" i="8"/>
  <c r="AN31" i="18"/>
  <c r="AN22" i="8"/>
  <c r="AN35" i="18"/>
  <c r="AL78" i="8"/>
  <c r="AL71" i="8"/>
  <c r="AM83" i="7"/>
  <c r="AN86" i="7"/>
  <c r="AN84" i="7"/>
  <c r="AN85" i="7"/>
  <c r="AM62" i="7"/>
  <c r="AM64" i="7" s="1"/>
  <c r="AM14" i="7" s="1"/>
  <c r="AN83" i="7"/>
  <c r="AI23" i="12"/>
  <c r="AL67" i="7"/>
  <c r="AL66" i="7"/>
  <c r="AL68" i="7"/>
  <c r="AK65" i="7"/>
  <c r="AJ90" i="7"/>
  <c r="AJ91" i="7"/>
  <c r="AI89" i="7"/>
  <c r="AJ5" i="7"/>
  <c r="AL10" i="29"/>
  <c r="AL82" i="7"/>
  <c r="AK88" i="7"/>
  <c r="AK16" i="7" s="1"/>
  <c r="AK13" i="7" s="1"/>
  <c r="AM5" i="29"/>
  <c r="AN5" i="29"/>
  <c r="AN18" i="29"/>
  <c r="AN14" i="2" s="1"/>
  <c r="AL61" i="8" l="1"/>
  <c r="AL59" i="8" s="1"/>
  <c r="AL7" i="8" s="1"/>
  <c r="AL31" i="12" s="1"/>
  <c r="AL13" i="2"/>
  <c r="AM38" i="9"/>
  <c r="AM25" i="9"/>
  <c r="AM22" i="10" s="1"/>
  <c r="AM33" i="10" s="1"/>
  <c r="AM5" i="8"/>
  <c r="AM29" i="12" s="1"/>
  <c r="AM71" i="8"/>
  <c r="AM78" i="8"/>
  <c r="AM80" i="8" s="1"/>
  <c r="AM75" i="8" s="1"/>
  <c r="AN30" i="18"/>
  <c r="AN9" i="18" s="1"/>
  <c r="AN14" i="18" s="1"/>
  <c r="AN15" i="8"/>
  <c r="AN82" i="7"/>
  <c r="AN62" i="7"/>
  <c r="AN64" i="7" s="1"/>
  <c r="AN14" i="7" s="1"/>
  <c r="AJ23" i="12"/>
  <c r="AL65" i="7"/>
  <c r="AM67" i="7"/>
  <c r="AM66" i="7"/>
  <c r="AM68" i="7"/>
  <c r="AK91" i="7"/>
  <c r="AK90" i="7"/>
  <c r="AJ89" i="7"/>
  <c r="AM10" i="29"/>
  <c r="AM82" i="7"/>
  <c r="AL88" i="7"/>
  <c r="AL16" i="7" s="1"/>
  <c r="AL13" i="7" s="1"/>
  <c r="AN10" i="29"/>
  <c r="AM61" i="8" l="1"/>
  <c r="AM59" i="8" s="1"/>
  <c r="AM7" i="8" s="1"/>
  <c r="AM31" i="12" s="1"/>
  <c r="AM13" i="2"/>
  <c r="AN61" i="8"/>
  <c r="AN59" i="8" s="1"/>
  <c r="AN7" i="8" s="1"/>
  <c r="AN31" i="12" s="1"/>
  <c r="AN13" i="2"/>
  <c r="AM44" i="10"/>
  <c r="AN38" i="9"/>
  <c r="AN25" i="9"/>
  <c r="AN22" i="10" s="1"/>
  <c r="AN33" i="10" s="1"/>
  <c r="AN44" i="10" s="1"/>
  <c r="AN71" i="8"/>
  <c r="AN78" i="8"/>
  <c r="AN80" i="8" s="1"/>
  <c r="AN75" i="8" s="1"/>
  <c r="AN5" i="8"/>
  <c r="AN29" i="12" s="1"/>
  <c r="AN26" i="13" s="1"/>
  <c r="AN73" i="8"/>
  <c r="AM69" i="8"/>
  <c r="AM10" i="8" s="1"/>
  <c r="AM34" i="12" s="1"/>
  <c r="AN67" i="7"/>
  <c r="AM65" i="7"/>
  <c r="AN66" i="7"/>
  <c r="AN68" i="7"/>
  <c r="AK89" i="7"/>
  <c r="AM88" i="7"/>
  <c r="AM16" i="7" s="1"/>
  <c r="AM13" i="7" s="1"/>
  <c r="AL91" i="7"/>
  <c r="AL90" i="7"/>
  <c r="AL5" i="7"/>
  <c r="AK5" i="7"/>
  <c r="AN88" i="7"/>
  <c r="AN16" i="7" s="1"/>
  <c r="AN13" i="7" s="1"/>
  <c r="AN69" i="8" l="1"/>
  <c r="AN10" i="8" s="1"/>
  <c r="AN34" i="12" s="1"/>
  <c r="AK23" i="12"/>
  <c r="AL23" i="12"/>
  <c r="AN65" i="7"/>
  <c r="AL89" i="7"/>
  <c r="AM90" i="7"/>
  <c r="AM91" i="7"/>
  <c r="AM5" i="7"/>
  <c r="AN91" i="7"/>
  <c r="AN90" i="7"/>
  <c r="AN5" i="7"/>
  <c r="AM23" i="12" l="1"/>
  <c r="AN23" i="12"/>
  <c r="AM89" i="7"/>
  <c r="AN89" i="7"/>
  <c r="E26" i="8" l="1"/>
  <c r="E6" i="8" l="1"/>
  <c r="E30" i="12" s="1"/>
  <c r="E60" i="8"/>
  <c r="E59" i="8" s="1"/>
  <c r="E7" i="8" s="1"/>
  <c r="E31" i="12" s="1"/>
  <c r="E28" i="12" l="1"/>
  <c r="E22" i="13" s="1"/>
  <c r="E12" i="8"/>
  <c r="E26" i="9" s="1"/>
  <c r="E20" i="14" l="1"/>
  <c r="E21" i="13"/>
  <c r="E36" i="12"/>
  <c r="E14" i="13"/>
  <c r="E15" i="13"/>
  <c r="E9" i="9"/>
  <c r="E10" i="9" s="1"/>
  <c r="E23" i="10"/>
  <c r="E34" i="10" s="1"/>
  <c r="E6" i="12"/>
  <c r="E7" i="12" s="1"/>
  <c r="E41" i="2" l="1"/>
  <c r="E40" i="2" s="1" a="1"/>
  <c r="E40" i="2" s="1"/>
  <c r="E42" i="2"/>
  <c r="E8" i="12"/>
  <c r="E16" i="2"/>
  <c r="E26" i="2"/>
  <c r="E29" i="9"/>
  <c r="E23" i="14"/>
  <c r="E22" i="14" s="1"/>
  <c r="E21" i="14" s="1"/>
  <c r="E6" i="14" s="1"/>
  <c r="E19" i="14"/>
  <c r="E18" i="14"/>
  <c r="E45" i="10"/>
  <c r="E16" i="14" l="1"/>
  <c r="E10" i="10"/>
  <c r="E9" i="10"/>
  <c r="E37" i="12" l="1"/>
  <c r="E38" i="12" s="1"/>
  <c r="E30" i="9"/>
  <c r="E31" i="9" s="1"/>
  <c r="E9" i="12" l="1"/>
  <c r="E15" i="14" s="1"/>
  <c r="F28" i="9"/>
  <c r="E17" i="13"/>
  <c r="E16" i="13" s="1"/>
  <c r="E10" i="12" l="1"/>
  <c r="E17" i="2" s="1"/>
  <c r="E11" i="12" l="1"/>
  <c r="E43" i="2"/>
  <c r="E45" i="2" s="1"/>
  <c r="E46" i="2" s="1"/>
  <c r="H600" i="1" l="1"/>
  <c r="H86" i="29" s="1"/>
  <c r="I86" i="29"/>
  <c r="J87" i="29"/>
  <c r="K341" i="29"/>
  <c r="L600" i="1"/>
  <c r="L172" i="29" s="1"/>
  <c r="G86" i="29"/>
  <c r="K86" i="29"/>
  <c r="M86" i="29"/>
  <c r="G87" i="29"/>
  <c r="I87" i="29"/>
  <c r="M87" i="29"/>
  <c r="G88" i="29"/>
  <c r="I88" i="29"/>
  <c r="J88" i="29"/>
  <c r="K88" i="29"/>
  <c r="M88" i="29"/>
  <c r="G89" i="29"/>
  <c r="I89" i="29"/>
  <c r="J89" i="29"/>
  <c r="K89" i="29"/>
  <c r="M89" i="29"/>
  <c r="G90" i="29"/>
  <c r="I90" i="29"/>
  <c r="J90" i="29"/>
  <c r="K90" i="29"/>
  <c r="M90" i="29"/>
  <c r="G91" i="29"/>
  <c r="I91" i="29"/>
  <c r="K91" i="29"/>
  <c r="M91" i="29"/>
  <c r="G171" i="29"/>
  <c r="I171" i="29"/>
  <c r="J171" i="29"/>
  <c r="K171" i="29"/>
  <c r="M171" i="29"/>
  <c r="G172" i="29"/>
  <c r="I172" i="29"/>
  <c r="J172" i="29"/>
  <c r="K172" i="29"/>
  <c r="M172" i="29"/>
  <c r="G173" i="29"/>
  <c r="I173" i="29"/>
  <c r="J173" i="29"/>
  <c r="M173" i="29"/>
  <c r="G174" i="29"/>
  <c r="I174" i="29"/>
  <c r="K174" i="29"/>
  <c r="M174" i="29"/>
  <c r="G175" i="29"/>
  <c r="M175" i="29"/>
  <c r="G176" i="29"/>
  <c r="I176" i="29"/>
  <c r="J176" i="29"/>
  <c r="M176" i="29"/>
  <c r="G256" i="29"/>
  <c r="I256" i="29"/>
  <c r="M256" i="29"/>
  <c r="G257" i="29"/>
  <c r="I257" i="29"/>
  <c r="J257" i="29"/>
  <c r="K257" i="29"/>
  <c r="M257" i="29"/>
  <c r="G258" i="29"/>
  <c r="H258" i="29"/>
  <c r="M258" i="29"/>
  <c r="G259" i="29"/>
  <c r="I259" i="29"/>
  <c r="K259" i="29"/>
  <c r="M259" i="29"/>
  <c r="G260" i="29"/>
  <c r="I260" i="29"/>
  <c r="M260" i="29"/>
  <c r="G261" i="29"/>
  <c r="I261" i="29"/>
  <c r="J261" i="29"/>
  <c r="M261" i="29"/>
  <c r="G341" i="29"/>
  <c r="I341" i="29"/>
  <c r="J341" i="29"/>
  <c r="M341" i="29"/>
  <c r="G342" i="29"/>
  <c r="I342" i="29"/>
  <c r="J342" i="29"/>
  <c r="K342" i="29"/>
  <c r="M342" i="29"/>
  <c r="G343" i="29"/>
  <c r="I343" i="29"/>
  <c r="J343" i="29"/>
  <c r="K343" i="29"/>
  <c r="M343" i="29"/>
  <c r="G344" i="29"/>
  <c r="I344" i="29"/>
  <c r="J344" i="29"/>
  <c r="K344" i="29"/>
  <c r="M344" i="29"/>
  <c r="G345" i="29"/>
  <c r="I345" i="29"/>
  <c r="J345" i="29"/>
  <c r="K345" i="29"/>
  <c r="M345" i="29"/>
  <c r="G346" i="29"/>
  <c r="I346" i="29"/>
  <c r="J346" i="29"/>
  <c r="K346" i="29"/>
  <c r="M346" i="29"/>
  <c r="G92" i="8"/>
  <c r="G82" i="8" s="1"/>
  <c r="I92" i="8"/>
  <c r="I82" i="8" s="1"/>
  <c r="I20" i="18" s="1"/>
  <c r="J92" i="8"/>
  <c r="J82" i="8" s="1"/>
  <c r="J25" i="18" s="1"/>
  <c r="M92" i="8"/>
  <c r="M82" i="8" s="1"/>
  <c r="M53" i="18" s="1"/>
  <c r="G106" i="8"/>
  <c r="G96" i="8" s="1"/>
  <c r="G25" i="8" s="1"/>
  <c r="J106" i="8"/>
  <c r="J96" i="8" s="1"/>
  <c r="J25" i="8" s="1"/>
  <c r="N106" i="8"/>
  <c r="N96" i="8" s="1"/>
  <c r="N25" i="8" s="1"/>
  <c r="N15" i="8" s="1"/>
  <c r="E26" i="37"/>
  <c r="G26" i="37"/>
  <c r="K26" i="37"/>
  <c r="I106" i="8" l="1"/>
  <c r="I96" i="8" s="1"/>
  <c r="I25" i="8" s="1"/>
  <c r="H343" i="29"/>
  <c r="H106" i="8"/>
  <c r="H96" i="8" s="1"/>
  <c r="H25" i="8" s="1"/>
  <c r="H172" i="29"/>
  <c r="H90" i="29"/>
  <c r="H87" i="29"/>
  <c r="H260" i="29"/>
  <c r="H257" i="29"/>
  <c r="H342" i="29"/>
  <c r="H344" i="29"/>
  <c r="H171" i="29"/>
  <c r="H256" i="29"/>
  <c r="F26" i="37"/>
  <c r="H259" i="29"/>
  <c r="H173" i="29"/>
  <c r="H346" i="29"/>
  <c r="H341" i="29"/>
  <c r="L173" i="29"/>
  <c r="M106" i="8"/>
  <c r="M96" i="8" s="1"/>
  <c r="M25" i="8" s="1"/>
  <c r="L91" i="29"/>
  <c r="L345" i="29"/>
  <c r="H176" i="29"/>
  <c r="H345" i="29"/>
  <c r="H261" i="29"/>
  <c r="H89" i="29"/>
  <c r="H92" i="8"/>
  <c r="H82" i="8" s="1"/>
  <c r="H20" i="18" s="1"/>
  <c r="H175" i="29"/>
  <c r="H91" i="29"/>
  <c r="M56" i="18"/>
  <c r="M52" i="18"/>
  <c r="I46" i="18"/>
  <c r="M44" i="18"/>
  <c r="M50" i="18"/>
  <c r="G340" i="29"/>
  <c r="G276" i="29" s="1"/>
  <c r="G17" i="29" s="1"/>
  <c r="G9" i="29" s="1"/>
  <c r="G86" i="7" s="1"/>
  <c r="H174" i="29"/>
  <c r="I28" i="18"/>
  <c r="I45" i="18"/>
  <c r="I36" i="18"/>
  <c r="I49" i="18"/>
  <c r="L171" i="29"/>
  <c r="G23" i="18"/>
  <c r="G53" i="18"/>
  <c r="I340" i="29"/>
  <c r="I276" i="29" s="1"/>
  <c r="I17" i="29" s="1"/>
  <c r="I9" i="29" s="1"/>
  <c r="I86" i="7" s="1"/>
  <c r="I34" i="18"/>
  <c r="K106" i="8"/>
  <c r="K96" i="8" s="1"/>
  <c r="K25" i="8" s="1"/>
  <c r="K176" i="29"/>
  <c r="J174" i="29"/>
  <c r="J91" i="29"/>
  <c r="J57" i="18"/>
  <c r="I56" i="18"/>
  <c r="J45" i="18"/>
  <c r="J29" i="18"/>
  <c r="K261" i="29"/>
  <c r="J259" i="29"/>
  <c r="J86" i="29"/>
  <c r="J27" i="18"/>
  <c r="K173" i="29"/>
  <c r="K175" i="29"/>
  <c r="J41" i="18"/>
  <c r="L258" i="29"/>
  <c r="K256" i="29"/>
  <c r="J175" i="29"/>
  <c r="I85" i="29"/>
  <c r="I21" i="29" s="1"/>
  <c r="I14" i="29" s="1"/>
  <c r="I6" i="29" s="1"/>
  <c r="I41" i="18"/>
  <c r="J21" i="18"/>
  <c r="L260" i="29"/>
  <c r="K258" i="29"/>
  <c r="J256" i="29"/>
  <c r="I175" i="29"/>
  <c r="I170" i="29" s="1"/>
  <c r="I106" i="29" s="1"/>
  <c r="I15" i="29" s="1"/>
  <c r="L87" i="29"/>
  <c r="J37" i="18"/>
  <c r="J53" i="18"/>
  <c r="I53" i="18"/>
  <c r="I26" i="37"/>
  <c r="L92" i="8"/>
  <c r="L82" i="8" s="1"/>
  <c r="L49" i="18" s="1"/>
  <c r="K260" i="29"/>
  <c r="K87" i="29"/>
  <c r="K85" i="29" s="1"/>
  <c r="K21" i="29" s="1"/>
  <c r="K14" i="29" s="1"/>
  <c r="J49" i="18"/>
  <c r="I42" i="18"/>
  <c r="L175" i="29"/>
  <c r="L256" i="29"/>
  <c r="L341" i="29"/>
  <c r="J258" i="29"/>
  <c r="H26" i="37"/>
  <c r="K92" i="8"/>
  <c r="K82" i="8" s="1"/>
  <c r="K23" i="18" s="1"/>
  <c r="L343" i="29"/>
  <c r="J260" i="29"/>
  <c r="I258" i="29"/>
  <c r="I255" i="29" s="1"/>
  <c r="I191" i="29" s="1"/>
  <c r="I16" i="29" s="1"/>
  <c r="I8" i="29" s="1"/>
  <c r="I85" i="7" s="1"/>
  <c r="L89" i="29"/>
  <c r="G37" i="18"/>
  <c r="M36" i="18"/>
  <c r="J26" i="37"/>
  <c r="G27" i="18"/>
  <c r="L106" i="8"/>
  <c r="L96" i="8" s="1"/>
  <c r="L25" i="8" s="1"/>
  <c r="L346" i="29"/>
  <c r="L344" i="29"/>
  <c r="L342" i="29"/>
  <c r="G58" i="18"/>
  <c r="L90" i="29"/>
  <c r="L88" i="29"/>
  <c r="L86" i="29"/>
  <c r="M85" i="29"/>
  <c r="M21" i="29" s="1"/>
  <c r="M14" i="29" s="1"/>
  <c r="M6" i="29" s="1"/>
  <c r="M83" i="7" s="1"/>
  <c r="G32" i="18"/>
  <c r="G48" i="18"/>
  <c r="M24" i="18"/>
  <c r="G41" i="18"/>
  <c r="L261" i="29"/>
  <c r="L259" i="29"/>
  <c r="L257" i="29"/>
  <c r="M170" i="29"/>
  <c r="M106" i="29" s="1"/>
  <c r="M15" i="29" s="1"/>
  <c r="M7" i="29" s="1"/>
  <c r="M84" i="7" s="1"/>
  <c r="G19" i="18"/>
  <c r="G46" i="18"/>
  <c r="G34" i="18"/>
  <c r="L176" i="29"/>
  <c r="L174" i="29"/>
  <c r="H88" i="29"/>
  <c r="G255" i="29"/>
  <c r="G191" i="29" s="1"/>
  <c r="G16" i="29" s="1"/>
  <c r="G8" i="29" s="1"/>
  <c r="G85" i="7" s="1"/>
  <c r="I23" i="18"/>
  <c r="I37" i="18"/>
  <c r="I44" i="18"/>
  <c r="I58" i="18"/>
  <c r="I40" i="18"/>
  <c r="I54" i="18"/>
  <c r="I24" i="18"/>
  <c r="I38" i="18"/>
  <c r="I52" i="18"/>
  <c r="I29" i="18"/>
  <c r="I57" i="18"/>
  <c r="I48" i="18"/>
  <c r="I33" i="18"/>
  <c r="I50" i="18"/>
  <c r="I27" i="18"/>
  <c r="I19" i="18"/>
  <c r="I21" i="18"/>
  <c r="M20" i="18"/>
  <c r="M27" i="18"/>
  <c r="M34" i="18"/>
  <c r="M41" i="18"/>
  <c r="M48" i="18"/>
  <c r="M19" i="18"/>
  <c r="M33" i="18"/>
  <c r="M40" i="18"/>
  <c r="M54" i="18"/>
  <c r="M21" i="18"/>
  <c r="M32" i="18"/>
  <c r="M46" i="18"/>
  <c r="M25" i="18"/>
  <c r="M23" i="18"/>
  <c r="M28" i="18"/>
  <c r="M45" i="18"/>
  <c r="M49" i="18"/>
  <c r="M29" i="18"/>
  <c r="M37" i="18"/>
  <c r="M57" i="18"/>
  <c r="M38" i="18"/>
  <c r="M42" i="18"/>
  <c r="M58" i="18"/>
  <c r="I32" i="18"/>
  <c r="I25" i="18"/>
  <c r="N5" i="8"/>
  <c r="N73" i="8"/>
  <c r="M255" i="29"/>
  <c r="M191" i="29" s="1"/>
  <c r="M16" i="29" s="1"/>
  <c r="M8" i="29" s="1"/>
  <c r="M85" i="7" s="1"/>
  <c r="G21" i="18"/>
  <c r="G28" i="18"/>
  <c r="G42" i="18"/>
  <c r="G49" i="18"/>
  <c r="G56" i="18"/>
  <c r="G24" i="18"/>
  <c r="G38" i="18"/>
  <c r="G45" i="18"/>
  <c r="G52" i="18"/>
  <c r="G29" i="18"/>
  <c r="G36" i="18"/>
  <c r="G50" i="18"/>
  <c r="G54" i="18"/>
  <c r="G33" i="18"/>
  <c r="G40" i="18"/>
  <c r="G57" i="18"/>
  <c r="G25" i="18"/>
  <c r="G20" i="18"/>
  <c r="G44" i="18"/>
  <c r="J340" i="29"/>
  <c r="J276" i="29" s="1"/>
  <c r="J17" i="29" s="1"/>
  <c r="J9" i="29" s="1"/>
  <c r="J20" i="18"/>
  <c r="J24" i="18"/>
  <c r="J28" i="18"/>
  <c r="J32" i="18"/>
  <c r="J34" i="18"/>
  <c r="J36" i="18"/>
  <c r="J38" i="18"/>
  <c r="J40" i="18"/>
  <c r="J42" i="18"/>
  <c r="J44" i="18"/>
  <c r="J46" i="18"/>
  <c r="J48" i="18"/>
  <c r="J50" i="18"/>
  <c r="J52" i="18"/>
  <c r="J54" i="18"/>
  <c r="J56" i="18"/>
  <c r="J58" i="18"/>
  <c r="M340" i="29"/>
  <c r="M276" i="29" s="1"/>
  <c r="M17" i="29" s="1"/>
  <c r="M9" i="29" s="1"/>
  <c r="J33" i="18"/>
  <c r="J19" i="18"/>
  <c r="K340" i="29"/>
  <c r="K276" i="29" s="1"/>
  <c r="K17" i="29" s="1"/>
  <c r="K9" i="29" s="1"/>
  <c r="J23" i="18"/>
  <c r="G85" i="29"/>
  <c r="G21" i="29" s="1"/>
  <c r="G14" i="29" s="1"/>
  <c r="G170" i="29"/>
  <c r="G106" i="29" s="1"/>
  <c r="G15" i="29" s="1"/>
  <c r="G7" i="29" s="1"/>
  <c r="G84" i="7" s="1"/>
  <c r="H255" i="29" l="1"/>
  <c r="H191" i="29" s="1"/>
  <c r="H16" i="29" s="1"/>
  <c r="H8" i="29" s="1"/>
  <c r="H85" i="7" s="1"/>
  <c r="H340" i="29"/>
  <c r="H276" i="29" s="1"/>
  <c r="H17" i="29" s="1"/>
  <c r="H9" i="29" s="1"/>
  <c r="H86" i="7" s="1"/>
  <c r="L170" i="29"/>
  <c r="L106" i="29" s="1"/>
  <c r="L15" i="29" s="1"/>
  <c r="L7" i="29" s="1"/>
  <c r="L84" i="7" s="1"/>
  <c r="H38" i="18"/>
  <c r="H54" i="18"/>
  <c r="H56" i="18"/>
  <c r="H36" i="18"/>
  <c r="H27" i="18"/>
  <c r="H25" i="18"/>
  <c r="H58" i="18"/>
  <c r="H57" i="18"/>
  <c r="H53" i="18"/>
  <c r="H49" i="18"/>
  <c r="H45" i="18"/>
  <c r="H33" i="18"/>
  <c r="H44" i="18"/>
  <c r="H29" i="18"/>
  <c r="H23" i="18"/>
  <c r="H34" i="18"/>
  <c r="H21" i="18"/>
  <c r="H24" i="18"/>
  <c r="H50" i="18"/>
  <c r="H19" i="18"/>
  <c r="H170" i="29"/>
  <c r="H106" i="29" s="1"/>
  <c r="H15" i="29" s="1"/>
  <c r="H7" i="29" s="1"/>
  <c r="H84" i="7" s="1"/>
  <c r="H85" i="29"/>
  <c r="H21" i="29" s="1"/>
  <c r="H14" i="29" s="1"/>
  <c r="H48" i="18"/>
  <c r="H32" i="18"/>
  <c r="H46" i="18"/>
  <c r="H52" i="18"/>
  <c r="H42" i="18"/>
  <c r="J170" i="29"/>
  <c r="J106" i="29" s="1"/>
  <c r="J15" i="29" s="1"/>
  <c r="J7" i="29" s="1"/>
  <c r="J84" i="7" s="1"/>
  <c r="H41" i="18"/>
  <c r="H37" i="18"/>
  <c r="I39" i="18"/>
  <c r="H40" i="18"/>
  <c r="H28" i="18"/>
  <c r="L56" i="18"/>
  <c r="K255" i="29"/>
  <c r="K191" i="29" s="1"/>
  <c r="K16" i="29" s="1"/>
  <c r="K8" i="29" s="1"/>
  <c r="K85" i="7" s="1"/>
  <c r="L42" i="18"/>
  <c r="M23" i="8"/>
  <c r="G68" i="8"/>
  <c r="K42" i="18"/>
  <c r="L29" i="18"/>
  <c r="K33" i="18"/>
  <c r="L41" i="18"/>
  <c r="L28" i="18"/>
  <c r="L57" i="18"/>
  <c r="L21" i="18"/>
  <c r="M35" i="18"/>
  <c r="J19" i="8"/>
  <c r="M21" i="8"/>
  <c r="G35" i="18"/>
  <c r="I68" i="8"/>
  <c r="I55" i="18"/>
  <c r="I13" i="18" s="1"/>
  <c r="O26" i="37"/>
  <c r="O29" i="37" s="1"/>
  <c r="L53" i="18"/>
  <c r="L54" i="18"/>
  <c r="L46" i="18"/>
  <c r="L34" i="18"/>
  <c r="L23" i="18"/>
  <c r="K27" i="18"/>
  <c r="K170" i="29"/>
  <c r="K106" i="29" s="1"/>
  <c r="K15" i="29" s="1"/>
  <c r="K7" i="29" s="1"/>
  <c r="K84" i="7" s="1"/>
  <c r="L50" i="18"/>
  <c r="L48" i="18"/>
  <c r="L32" i="18"/>
  <c r="L255" i="29"/>
  <c r="L191" i="29" s="1"/>
  <c r="L16" i="29" s="1"/>
  <c r="L8" i="29" s="1"/>
  <c r="L85" i="7" s="1"/>
  <c r="L24" i="18"/>
  <c r="L25" i="18"/>
  <c r="L340" i="29"/>
  <c r="L276" i="29" s="1"/>
  <c r="L17" i="29" s="1"/>
  <c r="L9" i="29" s="1"/>
  <c r="L68" i="8" s="1"/>
  <c r="L58" i="18"/>
  <c r="L33" i="18"/>
  <c r="K57" i="18"/>
  <c r="L38" i="18"/>
  <c r="K32" i="18"/>
  <c r="L45" i="18"/>
  <c r="L27" i="18"/>
  <c r="L36" i="18"/>
  <c r="L40" i="18"/>
  <c r="L44" i="18"/>
  <c r="L52" i="18"/>
  <c r="L37" i="18"/>
  <c r="L20" i="18"/>
  <c r="L19" i="18"/>
  <c r="K37" i="18"/>
  <c r="J255" i="29"/>
  <c r="J191" i="29" s="1"/>
  <c r="J16" i="29" s="1"/>
  <c r="J8" i="29" s="1"/>
  <c r="J85" i="7" s="1"/>
  <c r="J85" i="29"/>
  <c r="J21" i="29" s="1"/>
  <c r="J14" i="29" s="1"/>
  <c r="I7" i="29"/>
  <c r="I84" i="7" s="1"/>
  <c r="I18" i="29"/>
  <c r="I14" i="2" s="1"/>
  <c r="K29" i="18"/>
  <c r="K20" i="18"/>
  <c r="K50" i="18"/>
  <c r="K24" i="18"/>
  <c r="K48" i="18"/>
  <c r="K19" i="18"/>
  <c r="K53" i="18"/>
  <c r="L85" i="29"/>
  <c r="L21" i="29" s="1"/>
  <c r="L14" i="29" s="1"/>
  <c r="L6" i="29" s="1"/>
  <c r="K58" i="18"/>
  <c r="K46" i="18"/>
  <c r="K41" i="18"/>
  <c r="K25" i="18"/>
  <c r="K54" i="18"/>
  <c r="J26" i="18"/>
  <c r="J8" i="18" s="1"/>
  <c r="G39" i="18"/>
  <c r="K34" i="18"/>
  <c r="K21" i="18"/>
  <c r="K28" i="18"/>
  <c r="K52" i="18"/>
  <c r="K56" i="18"/>
  <c r="K44" i="18"/>
  <c r="M24" i="8"/>
  <c r="K45" i="18"/>
  <c r="K40" i="18"/>
  <c r="K36" i="18"/>
  <c r="K38" i="18"/>
  <c r="G20" i="8"/>
  <c r="K49" i="18"/>
  <c r="I35" i="18"/>
  <c r="G18" i="8"/>
  <c r="G22" i="8"/>
  <c r="M55" i="18"/>
  <c r="M13" i="18" s="1"/>
  <c r="J39" i="18"/>
  <c r="G26" i="18"/>
  <c r="G8" i="18" s="1"/>
  <c r="I24" i="8"/>
  <c r="G18" i="18"/>
  <c r="G6" i="18" s="1"/>
  <c r="G31" i="18"/>
  <c r="M18" i="29"/>
  <c r="M14" i="2" s="1"/>
  <c r="G22" i="18"/>
  <c r="G7" i="18" s="1"/>
  <c r="M43" i="18"/>
  <c r="M10" i="18" s="1"/>
  <c r="G18" i="29"/>
  <c r="G6" i="29"/>
  <c r="I20" i="8"/>
  <c r="I31" i="18"/>
  <c r="M20" i="8"/>
  <c r="M31" i="18"/>
  <c r="I51" i="18"/>
  <c r="I12" i="18" s="1"/>
  <c r="I23" i="8"/>
  <c r="J22" i="18"/>
  <c r="J7" i="18" s="1"/>
  <c r="J18" i="8"/>
  <c r="G19" i="8"/>
  <c r="J21" i="8"/>
  <c r="J43" i="18"/>
  <c r="J10" i="18" s="1"/>
  <c r="M39" i="18"/>
  <c r="G17" i="8"/>
  <c r="J18" i="18"/>
  <c r="J6" i="18" s="1"/>
  <c r="J17" i="8"/>
  <c r="M17" i="8"/>
  <c r="M18" i="18"/>
  <c r="M6" i="18" s="1"/>
  <c r="I43" i="18"/>
  <c r="I10" i="18" s="1"/>
  <c r="I21" i="8"/>
  <c r="K86" i="7"/>
  <c r="K68" i="8"/>
  <c r="J35" i="18"/>
  <c r="M68" i="8"/>
  <c r="M86" i="7"/>
  <c r="J31" i="18"/>
  <c r="J20" i="8"/>
  <c r="G23" i="8"/>
  <c r="G51" i="18"/>
  <c r="G12" i="18" s="1"/>
  <c r="M5" i="29"/>
  <c r="M22" i="8"/>
  <c r="M47" i="18"/>
  <c r="M11" i="18" s="1"/>
  <c r="I18" i="18"/>
  <c r="I6" i="18" s="1"/>
  <c r="I17" i="8"/>
  <c r="K6" i="29"/>
  <c r="J24" i="8"/>
  <c r="J55" i="18"/>
  <c r="J13" i="18" s="1"/>
  <c r="G21" i="8"/>
  <c r="G43" i="18"/>
  <c r="G10" i="18" s="1"/>
  <c r="I26" i="18"/>
  <c r="I8" i="18" s="1"/>
  <c r="I19" i="8"/>
  <c r="I22" i="18"/>
  <c r="I7" i="18" s="1"/>
  <c r="I18" i="8"/>
  <c r="N29" i="12"/>
  <c r="J68" i="8"/>
  <c r="J86" i="7"/>
  <c r="I22" i="8"/>
  <c r="I47" i="18"/>
  <c r="I11" i="18" s="1"/>
  <c r="M18" i="8"/>
  <c r="M22" i="18"/>
  <c r="M7" i="18" s="1"/>
  <c r="J51" i="18"/>
  <c r="J12" i="18" s="1"/>
  <c r="J23" i="8"/>
  <c r="M19" i="8"/>
  <c r="M26" i="18"/>
  <c r="M8" i="18" s="1"/>
  <c r="G24" i="8"/>
  <c r="G55" i="18"/>
  <c r="G13" i="18" s="1"/>
  <c r="J47" i="18"/>
  <c r="J11" i="18" s="1"/>
  <c r="J22" i="8"/>
  <c r="I83" i="7"/>
  <c r="G47" i="18"/>
  <c r="G11" i="18" s="1"/>
  <c r="M51" i="18"/>
  <c r="M12" i="18" s="1"/>
  <c r="H68" i="8" l="1"/>
  <c r="H55" i="18"/>
  <c r="H13" i="18" s="1"/>
  <c r="H23" i="8"/>
  <c r="H18" i="18"/>
  <c r="H6" i="18" s="1"/>
  <c r="J18" i="29"/>
  <c r="J14" i="2" s="1"/>
  <c r="H24" i="8"/>
  <c r="H18" i="29"/>
  <c r="H62" i="7" s="1"/>
  <c r="H17" i="8"/>
  <c r="H18" i="8"/>
  <c r="H43" i="18"/>
  <c r="H10" i="18" s="1"/>
  <c r="H31" i="18"/>
  <c r="H47" i="18"/>
  <c r="H11" i="18" s="1"/>
  <c r="H51" i="18"/>
  <c r="H12" i="18" s="1"/>
  <c r="H22" i="8"/>
  <c r="H21" i="8"/>
  <c r="H22" i="18"/>
  <c r="H7" i="18" s="1"/>
  <c r="L55" i="18"/>
  <c r="L13" i="18" s="1"/>
  <c r="L19" i="8"/>
  <c r="H19" i="8"/>
  <c r="H39" i="18"/>
  <c r="H20" i="8"/>
  <c r="J6" i="29"/>
  <c r="J5" i="29" s="1"/>
  <c r="H6" i="29"/>
  <c r="H5" i="29" s="1"/>
  <c r="L24" i="8"/>
  <c r="K18" i="8"/>
  <c r="L39" i="18"/>
  <c r="L47" i="18"/>
  <c r="L11" i="18" s="1"/>
  <c r="K31" i="18"/>
  <c r="H35" i="18"/>
  <c r="I5" i="29"/>
  <c r="I10" i="29" s="1"/>
  <c r="K22" i="8"/>
  <c r="L31" i="18"/>
  <c r="L86" i="7"/>
  <c r="H26" i="18"/>
  <c r="H8" i="18" s="1"/>
  <c r="K18" i="29"/>
  <c r="K14" i="2" s="1"/>
  <c r="L20" i="8"/>
  <c r="L18" i="8"/>
  <c r="K18" i="18"/>
  <c r="K6" i="18" s="1"/>
  <c r="K23" i="8"/>
  <c r="L51" i="18"/>
  <c r="L12" i="18" s="1"/>
  <c r="K26" i="18"/>
  <c r="K8" i="18" s="1"/>
  <c r="K47" i="18"/>
  <c r="K11" i="18" s="1"/>
  <c r="L21" i="8"/>
  <c r="M30" i="18"/>
  <c r="M9" i="18" s="1"/>
  <c r="M14" i="18" s="1"/>
  <c r="K43" i="18"/>
  <c r="K10" i="18" s="1"/>
  <c r="L17" i="8"/>
  <c r="L22" i="18"/>
  <c r="L7" i="18" s="1"/>
  <c r="M62" i="7"/>
  <c r="M64" i="7" s="1"/>
  <c r="G30" i="18"/>
  <c r="G9" i="18" s="1"/>
  <c r="G14" i="18" s="1"/>
  <c r="G25" i="9" s="1"/>
  <c r="G22" i="10" s="1"/>
  <c r="G33" i="10" s="1"/>
  <c r="I62" i="7"/>
  <c r="I64" i="7" s="1"/>
  <c r="I30" i="18"/>
  <c r="I9" i="18" s="1"/>
  <c r="I14" i="18" s="1"/>
  <c r="L43" i="18"/>
  <c r="L10" i="18" s="1"/>
  <c r="K51" i="18"/>
  <c r="K12" i="18" s="1"/>
  <c r="L23" i="8"/>
  <c r="K20" i="8"/>
  <c r="K21" i="8"/>
  <c r="L26" i="18"/>
  <c r="L8" i="18" s="1"/>
  <c r="L35" i="18"/>
  <c r="L22" i="8"/>
  <c r="L18" i="18"/>
  <c r="L6" i="18" s="1"/>
  <c r="K55" i="18"/>
  <c r="K13" i="18" s="1"/>
  <c r="L5" i="29"/>
  <c r="L82" i="7" s="1"/>
  <c r="K24" i="8"/>
  <c r="K17" i="8"/>
  <c r="K19" i="8"/>
  <c r="K22" i="18"/>
  <c r="K7" i="18" s="1"/>
  <c r="L83" i="7"/>
  <c r="L18" i="29"/>
  <c r="L14" i="2" s="1"/>
  <c r="K35" i="18"/>
  <c r="J30" i="18"/>
  <c r="J9" i="18" s="1"/>
  <c r="J14" i="18" s="1"/>
  <c r="K39" i="18"/>
  <c r="M15" i="8"/>
  <c r="K5" i="29"/>
  <c r="K83" i="7"/>
  <c r="M10" i="29"/>
  <c r="M82" i="7"/>
  <c r="J15" i="8"/>
  <c r="G14" i="2"/>
  <c r="G62" i="7"/>
  <c r="I15" i="8"/>
  <c r="G83" i="7"/>
  <c r="G5" i="29"/>
  <c r="G15" i="8"/>
  <c r="H14" i="2" l="1"/>
  <c r="J62" i="7"/>
  <c r="J64" i="7" s="1"/>
  <c r="H15" i="8"/>
  <c r="H5" i="8" s="1"/>
  <c r="H30" i="18"/>
  <c r="H9" i="18" s="1"/>
  <c r="H14" i="18" s="1"/>
  <c r="J83" i="7"/>
  <c r="H83" i="7"/>
  <c r="K62" i="7"/>
  <c r="K64" i="7" s="1"/>
  <c r="L30" i="18"/>
  <c r="L9" i="18" s="1"/>
  <c r="L14" i="18" s="1"/>
  <c r="I82" i="7"/>
  <c r="I88" i="7" s="1"/>
  <c r="K15" i="8"/>
  <c r="K5" i="8" s="1"/>
  <c r="L15" i="8"/>
  <c r="L73" i="8" s="1"/>
  <c r="K30" i="18"/>
  <c r="K9" i="18" s="1"/>
  <c r="K14" i="18" s="1"/>
  <c r="L10" i="29"/>
  <c r="L61" i="8" s="1"/>
  <c r="L59" i="8" s="1"/>
  <c r="L7" i="8" s="1"/>
  <c r="L31" i="12" s="1"/>
  <c r="L62" i="7"/>
  <c r="L64" i="7" s="1"/>
  <c r="G38" i="9"/>
  <c r="G24" i="9" s="1"/>
  <c r="G78" i="8"/>
  <c r="AE79" i="8" s="1"/>
  <c r="AE80" i="8" s="1"/>
  <c r="AE75" i="8" s="1"/>
  <c r="AE69" i="8" s="1"/>
  <c r="AE10" i="8" s="1"/>
  <c r="AE34" i="12" s="1"/>
  <c r="G71" i="8"/>
  <c r="H10" i="29"/>
  <c r="H82" i="7"/>
  <c r="J73" i="8"/>
  <c r="J5" i="8"/>
  <c r="I73" i="8"/>
  <c r="I5" i="8"/>
  <c r="M25" i="9"/>
  <c r="M22" i="10" s="1"/>
  <c r="M33" i="10" s="1"/>
  <c r="X44" i="10" s="1"/>
  <c r="N38" i="9"/>
  <c r="N78" i="8"/>
  <c r="M71" i="8"/>
  <c r="I14" i="7"/>
  <c r="I66" i="7"/>
  <c r="I67" i="7"/>
  <c r="I68" i="7"/>
  <c r="I13" i="2"/>
  <c r="I61" i="8"/>
  <c r="I59" i="8" s="1"/>
  <c r="I7" i="8" s="1"/>
  <c r="I31" i="12" s="1"/>
  <c r="L88" i="7"/>
  <c r="M66" i="7"/>
  <c r="M67" i="7"/>
  <c r="M14" i="7"/>
  <c r="M68" i="7"/>
  <c r="I25" i="9"/>
  <c r="I22" i="10" s="1"/>
  <c r="I33" i="10" s="1"/>
  <c r="I71" i="8"/>
  <c r="H64" i="7"/>
  <c r="M88" i="7"/>
  <c r="G5" i="8"/>
  <c r="G73" i="8"/>
  <c r="M61" i="8"/>
  <c r="M59" i="8" s="1"/>
  <c r="M7" i="8" s="1"/>
  <c r="M31" i="12" s="1"/>
  <c r="M13" i="2"/>
  <c r="J10" i="29"/>
  <c r="J82" i="7"/>
  <c r="G10" i="29"/>
  <c r="G82" i="7"/>
  <c r="K10" i="29"/>
  <c r="K82" i="7"/>
  <c r="G64" i="7"/>
  <c r="M5" i="8"/>
  <c r="M73" i="8"/>
  <c r="J78" i="8"/>
  <c r="J71" i="8"/>
  <c r="J38" i="9"/>
  <c r="J25" i="9"/>
  <c r="J22" i="10" s="1"/>
  <c r="J33" i="10" s="1"/>
  <c r="G44" i="10"/>
  <c r="I38" i="9" l="1"/>
  <c r="I78" i="8"/>
  <c r="AG79" i="8" s="1"/>
  <c r="AG80" i="8" s="1"/>
  <c r="AG75" i="8" s="1"/>
  <c r="AG69" i="8" s="1"/>
  <c r="AG10" i="8" s="1"/>
  <c r="AG34" i="12" s="1"/>
  <c r="H73" i="8"/>
  <c r="K73" i="8"/>
  <c r="H25" i="9"/>
  <c r="H22" i="10" s="1"/>
  <c r="H33" i="10" s="1"/>
  <c r="J44" i="10" s="1"/>
  <c r="H78" i="8"/>
  <c r="H80" i="8" s="1"/>
  <c r="H75" i="8" s="1"/>
  <c r="H71" i="8"/>
  <c r="H38" i="9"/>
  <c r="L71" i="8"/>
  <c r="M38" i="9"/>
  <c r="L25" i="9"/>
  <c r="L22" i="10" s="1"/>
  <c r="L33" i="10" s="1"/>
  <c r="W44" i="10" s="1"/>
  <c r="M78" i="8"/>
  <c r="M80" i="8" s="1"/>
  <c r="M75" i="8" s="1"/>
  <c r="M69" i="8" s="1"/>
  <c r="M10" i="8" s="1"/>
  <c r="M34" i="12" s="1"/>
  <c r="L38" i="9"/>
  <c r="L5" i="8"/>
  <c r="L29" i="12" s="1"/>
  <c r="G80" i="8"/>
  <c r="G75" i="8" s="1"/>
  <c r="G69" i="8" s="1"/>
  <c r="G10" i="8" s="1"/>
  <c r="G34" i="12" s="1"/>
  <c r="K25" i="9"/>
  <c r="K22" i="10" s="1"/>
  <c r="K33" i="10" s="1"/>
  <c r="L13" i="2"/>
  <c r="K71" i="8"/>
  <c r="K38" i="9"/>
  <c r="K78" i="8"/>
  <c r="AI79" i="8" s="1"/>
  <c r="AI80" i="8" s="1"/>
  <c r="AI75" i="8" s="1"/>
  <c r="AI69" i="8" s="1"/>
  <c r="AI10" i="8" s="1"/>
  <c r="AI34" i="12" s="1"/>
  <c r="L78" i="8"/>
  <c r="M65" i="7"/>
  <c r="H29" i="12"/>
  <c r="M29" i="12"/>
  <c r="J14" i="7"/>
  <c r="J66" i="7"/>
  <c r="J67" i="7"/>
  <c r="J68" i="7"/>
  <c r="AL79" i="8"/>
  <c r="AL80" i="8" s="1"/>
  <c r="AL75" i="8" s="1"/>
  <c r="AL69" i="8" s="1"/>
  <c r="AL10" i="8" s="1"/>
  <c r="AL34" i="12" s="1"/>
  <c r="N80" i="8"/>
  <c r="N75" i="8" s="1"/>
  <c r="N69" i="8" s="1"/>
  <c r="N10" i="8" s="1"/>
  <c r="N34" i="12" s="1"/>
  <c r="H67" i="7"/>
  <c r="H68" i="7"/>
  <c r="H66" i="7"/>
  <c r="H14" i="7"/>
  <c r="L16" i="7"/>
  <c r="L90" i="7"/>
  <c r="L91" i="7"/>
  <c r="G67" i="7"/>
  <c r="G74" i="7" s="1"/>
  <c r="G66" i="7"/>
  <c r="G70" i="7" s="1"/>
  <c r="G68" i="7"/>
  <c r="G14" i="7"/>
  <c r="I29" i="12"/>
  <c r="K88" i="7"/>
  <c r="I65" i="7"/>
  <c r="K13" i="2"/>
  <c r="K61" i="8"/>
  <c r="K59" i="8" s="1"/>
  <c r="K7" i="8" s="1"/>
  <c r="K31" i="12" s="1"/>
  <c r="K14" i="7"/>
  <c r="K66" i="7"/>
  <c r="K67" i="7"/>
  <c r="K68" i="7"/>
  <c r="G23" i="9"/>
  <c r="G8" i="9" s="1"/>
  <c r="G21" i="10"/>
  <c r="G32" i="10" s="1"/>
  <c r="G88" i="7"/>
  <c r="K29" i="12"/>
  <c r="L67" i="7"/>
  <c r="L66" i="7"/>
  <c r="L68" i="7"/>
  <c r="L14" i="7"/>
  <c r="H88" i="7"/>
  <c r="J88" i="7"/>
  <c r="J13" i="2"/>
  <c r="J61" i="8"/>
  <c r="J59" i="8" s="1"/>
  <c r="J7" i="8" s="1"/>
  <c r="J31" i="12" s="1"/>
  <c r="G29" i="12"/>
  <c r="AH79" i="8"/>
  <c r="AH80" i="8" s="1"/>
  <c r="AH75" i="8" s="1"/>
  <c r="AH69" i="8" s="1"/>
  <c r="AH10" i="8" s="1"/>
  <c r="AH34" i="12" s="1"/>
  <c r="J80" i="8"/>
  <c r="J75" i="8" s="1"/>
  <c r="J69" i="8" s="1"/>
  <c r="J10" i="8" s="1"/>
  <c r="J34" i="12" s="1"/>
  <c r="G13" i="2"/>
  <c r="G61" i="8"/>
  <c r="G59" i="8" s="1"/>
  <c r="G7" i="8" s="1"/>
  <c r="G31" i="12" s="1"/>
  <c r="J29" i="12"/>
  <c r="M16" i="7"/>
  <c r="M13" i="7" s="1"/>
  <c r="M90" i="7"/>
  <c r="M91" i="7"/>
  <c r="I16" i="7"/>
  <c r="I13" i="7" s="1"/>
  <c r="I90" i="7"/>
  <c r="I91" i="7"/>
  <c r="H13" i="2"/>
  <c r="H61" i="8"/>
  <c r="H59" i="8" s="1"/>
  <c r="H7" i="8" s="1"/>
  <c r="H31" i="12" s="1"/>
  <c r="I44" i="10" l="1"/>
  <c r="H69" i="8"/>
  <c r="H10" i="8" s="1"/>
  <c r="H34" i="12" s="1"/>
  <c r="AF79" i="8"/>
  <c r="AF80" i="8" s="1"/>
  <c r="AF75" i="8" s="1"/>
  <c r="AF69" i="8" s="1"/>
  <c r="AF10" i="8" s="1"/>
  <c r="AF34" i="12" s="1"/>
  <c r="O44" i="10"/>
  <c r="I24" i="9"/>
  <c r="I23" i="9" s="1"/>
  <c r="I8" i="9" s="1"/>
  <c r="I80" i="8"/>
  <c r="I75" i="8" s="1"/>
  <c r="I69" i="8" s="1"/>
  <c r="I10" i="8" s="1"/>
  <c r="I34" i="12" s="1"/>
  <c r="P44" i="10"/>
  <c r="J24" i="9"/>
  <c r="J23" i="9" s="1"/>
  <c r="J8" i="9" s="1"/>
  <c r="H24" i="9"/>
  <c r="H21" i="10" s="1"/>
  <c r="H32" i="10" s="1"/>
  <c r="AK24" i="9"/>
  <c r="AK23" i="9" s="1"/>
  <c r="AK8" i="9" s="1"/>
  <c r="I89" i="7"/>
  <c r="Q44" i="10"/>
  <c r="H44" i="10"/>
  <c r="N44" i="10"/>
  <c r="AI24" i="9"/>
  <c r="AI21" i="10" s="1"/>
  <c r="AI32" i="10" s="1"/>
  <c r="V44" i="10"/>
  <c r="U44" i="10"/>
  <c r="L44" i="10"/>
  <c r="M44" i="10"/>
  <c r="O24" i="9"/>
  <c r="O23" i="9" s="1"/>
  <c r="O8" i="9" s="1"/>
  <c r="T44" i="10"/>
  <c r="AK79" i="8"/>
  <c r="AK80" i="8" s="1"/>
  <c r="AK75" i="8" s="1"/>
  <c r="AK69" i="8" s="1"/>
  <c r="AK10" i="8" s="1"/>
  <c r="AK34" i="12" s="1"/>
  <c r="S44" i="10"/>
  <c r="K44" i="10"/>
  <c r="T24" i="9"/>
  <c r="T23" i="9" s="1"/>
  <c r="T8" i="9" s="1"/>
  <c r="AA24" i="9"/>
  <c r="AA21" i="10" s="1"/>
  <c r="AA32" i="10" s="1"/>
  <c r="AH24" i="9"/>
  <c r="AH21" i="10" s="1"/>
  <c r="AH32" i="10" s="1"/>
  <c r="L24" i="9"/>
  <c r="L23" i="9" s="1"/>
  <c r="L8" i="9" s="1"/>
  <c r="N24" i="9"/>
  <c r="N23" i="9" s="1"/>
  <c r="N8" i="9" s="1"/>
  <c r="U24" i="9"/>
  <c r="U21" i="10" s="1"/>
  <c r="U32" i="10" s="1"/>
  <c r="P24" i="9"/>
  <c r="P23" i="9" s="1"/>
  <c r="P8" i="9" s="1"/>
  <c r="M24" i="9"/>
  <c r="M23" i="9" s="1"/>
  <c r="M8" i="9" s="1"/>
  <c r="AG24" i="9"/>
  <c r="AG21" i="10" s="1"/>
  <c r="AG32" i="10" s="1"/>
  <c r="AD24" i="9"/>
  <c r="AD21" i="10" s="1"/>
  <c r="AD32" i="10" s="1"/>
  <c r="Q24" i="9"/>
  <c r="Q23" i="9" s="1"/>
  <c r="Q8" i="9" s="1"/>
  <c r="Y24" i="9"/>
  <c r="Y21" i="10" s="1"/>
  <c r="Y32" i="10" s="1"/>
  <c r="AJ24" i="9"/>
  <c r="AJ21" i="10" s="1"/>
  <c r="AJ32" i="10" s="1"/>
  <c r="K24" i="9"/>
  <c r="K23" i="9" s="1"/>
  <c r="K8" i="9" s="1"/>
  <c r="AM24" i="9"/>
  <c r="AM23" i="9" s="1"/>
  <c r="AM8" i="9" s="1"/>
  <c r="S24" i="9"/>
  <c r="S21" i="10" s="1"/>
  <c r="S32" i="10" s="1"/>
  <c r="R44" i="10"/>
  <c r="Z24" i="9"/>
  <c r="Z21" i="10" s="1"/>
  <c r="Z32" i="10" s="1"/>
  <c r="X24" i="9"/>
  <c r="X23" i="9" s="1"/>
  <c r="X8" i="9" s="1"/>
  <c r="AE24" i="9"/>
  <c r="AE21" i="10" s="1"/>
  <c r="AE32" i="10" s="1"/>
  <c r="W24" i="9"/>
  <c r="W21" i="10" s="1"/>
  <c r="W32" i="10" s="1"/>
  <c r="K80" i="8"/>
  <c r="K75" i="8" s="1"/>
  <c r="K69" i="8" s="1"/>
  <c r="K10" i="8" s="1"/>
  <c r="K34" i="12" s="1"/>
  <c r="V24" i="9"/>
  <c r="V23" i="9" s="1"/>
  <c r="V8" i="9" s="1"/>
  <c r="AN24" i="9"/>
  <c r="AN21" i="10" s="1"/>
  <c r="AN32" i="10" s="1"/>
  <c r="R24" i="9"/>
  <c r="R23" i="9" s="1"/>
  <c r="R8" i="9" s="1"/>
  <c r="L89" i="7"/>
  <c r="AL24" i="9"/>
  <c r="AL23" i="9" s="1"/>
  <c r="AL8" i="9" s="1"/>
  <c r="AC24" i="9"/>
  <c r="AC21" i="10" s="1"/>
  <c r="AC32" i="10" s="1"/>
  <c r="AF24" i="9"/>
  <c r="AF23" i="9" s="1"/>
  <c r="AF8" i="9" s="1"/>
  <c r="AB24" i="9"/>
  <c r="AB21" i="10" s="1"/>
  <c r="AB32" i="10" s="1"/>
  <c r="L80" i="8"/>
  <c r="L75" i="8" s="1"/>
  <c r="L69" i="8" s="1"/>
  <c r="L10" i="8" s="1"/>
  <c r="L34" i="12" s="1"/>
  <c r="AJ79" i="8"/>
  <c r="AJ80" i="8" s="1"/>
  <c r="AJ75" i="8" s="1"/>
  <c r="AJ69" i="8" s="1"/>
  <c r="AJ10" i="8" s="1"/>
  <c r="AJ34" i="12" s="1"/>
  <c r="K65" i="7"/>
  <c r="I5" i="7"/>
  <c r="G43" i="10"/>
  <c r="G71" i="7"/>
  <c r="G21" i="7" s="1"/>
  <c r="G20" i="7" s="1"/>
  <c r="G78" i="7"/>
  <c r="L65" i="7"/>
  <c r="G75" i="7"/>
  <c r="G36" i="7" s="1"/>
  <c r="G35" i="7" s="1"/>
  <c r="G65" i="7"/>
  <c r="H65" i="7"/>
  <c r="M5" i="7"/>
  <c r="G16" i="7"/>
  <c r="G13" i="7" s="1"/>
  <c r="G90" i="7"/>
  <c r="G93" i="7" s="1"/>
  <c r="G91" i="7"/>
  <c r="G97" i="7" s="1"/>
  <c r="H16" i="7"/>
  <c r="H13" i="7" s="1"/>
  <c r="H90" i="7"/>
  <c r="H91" i="7"/>
  <c r="L13" i="7"/>
  <c r="J16" i="7"/>
  <c r="J13" i="7" s="1"/>
  <c r="J91" i="7"/>
  <c r="J90" i="7"/>
  <c r="M89" i="7"/>
  <c r="K16" i="7"/>
  <c r="K13" i="7" s="1"/>
  <c r="K90" i="7"/>
  <c r="K91" i="7"/>
  <c r="J65" i="7"/>
  <c r="J21" i="10" l="1"/>
  <c r="J32" i="10" s="1"/>
  <c r="I21" i="10"/>
  <c r="I32" i="10" s="1"/>
  <c r="I43" i="10" s="1"/>
  <c r="H23" i="9"/>
  <c r="H8" i="9" s="1"/>
  <c r="N21" i="10"/>
  <c r="N32" i="10" s="1"/>
  <c r="O21" i="10"/>
  <c r="O32" i="10" s="1"/>
  <c r="AI23" i="9"/>
  <c r="AI8" i="9" s="1"/>
  <c r="L21" i="10"/>
  <c r="L32" i="10" s="1"/>
  <c r="AK21" i="10"/>
  <c r="AK32" i="10" s="1"/>
  <c r="M21" i="10"/>
  <c r="M32" i="10" s="1"/>
  <c r="P21" i="10"/>
  <c r="P32" i="10" s="1"/>
  <c r="AA23" i="9"/>
  <c r="AA8" i="9" s="1"/>
  <c r="Y23" i="9"/>
  <c r="Y8" i="9" s="1"/>
  <c r="S23" i="9"/>
  <c r="S8" i="9" s="1"/>
  <c r="AD23" i="9"/>
  <c r="AD8" i="9" s="1"/>
  <c r="T21" i="10"/>
  <c r="T32" i="10" s="1"/>
  <c r="AH23" i="9"/>
  <c r="AH8" i="9" s="1"/>
  <c r="AG23" i="9"/>
  <c r="AG8" i="9" s="1"/>
  <c r="Q21" i="10"/>
  <c r="Q32" i="10" s="1"/>
  <c r="U23" i="9"/>
  <c r="U8" i="9" s="1"/>
  <c r="AJ23" i="9"/>
  <c r="AJ8" i="9" s="1"/>
  <c r="X21" i="10"/>
  <c r="X32" i="10" s="1"/>
  <c r="V21" i="10"/>
  <c r="V32" i="10" s="1"/>
  <c r="AE23" i="9"/>
  <c r="AE8" i="9" s="1"/>
  <c r="W23" i="9"/>
  <c r="W8" i="9" s="1"/>
  <c r="AM21" i="10"/>
  <c r="AM32" i="10" s="1"/>
  <c r="Z23" i="9"/>
  <c r="Z8" i="9" s="1"/>
  <c r="K21" i="10"/>
  <c r="K32" i="10" s="1"/>
  <c r="AL21" i="10"/>
  <c r="AL32" i="10" s="1"/>
  <c r="AF21" i="10"/>
  <c r="AF32" i="10" s="1"/>
  <c r="AC23" i="9"/>
  <c r="AC8" i="9" s="1"/>
  <c r="AB23" i="9"/>
  <c r="AB8" i="9" s="1"/>
  <c r="R21" i="10"/>
  <c r="R32" i="10" s="1"/>
  <c r="H89" i="7"/>
  <c r="AN23" i="9"/>
  <c r="AN8" i="9" s="1"/>
  <c r="G76" i="7"/>
  <c r="H74" i="7" s="1"/>
  <c r="H75" i="7" s="1"/>
  <c r="H36" i="7" s="1"/>
  <c r="H35" i="7" s="1"/>
  <c r="K5" i="7"/>
  <c r="G5" i="7"/>
  <c r="H5" i="7"/>
  <c r="G94" i="7"/>
  <c r="G28" i="7" s="1"/>
  <c r="G27" i="7" s="1"/>
  <c r="H43" i="10"/>
  <c r="L5" i="7"/>
  <c r="M23" i="12"/>
  <c r="J89" i="7"/>
  <c r="G8" i="10"/>
  <c r="J5" i="7"/>
  <c r="G79" i="7"/>
  <c r="G50" i="7" s="1"/>
  <c r="G49" i="7" s="1"/>
  <c r="G48" i="7" s="1"/>
  <c r="G8" i="7" s="1"/>
  <c r="L80" i="7"/>
  <c r="L53" i="7" s="1"/>
  <c r="L52" i="7" s="1"/>
  <c r="G98" i="7"/>
  <c r="G43" i="7" s="1"/>
  <c r="G42" i="7" s="1"/>
  <c r="K89" i="7"/>
  <c r="G89" i="7"/>
  <c r="G72" i="7"/>
  <c r="I23" i="12"/>
  <c r="J43" i="10" l="1"/>
  <c r="J8" i="10" s="1"/>
  <c r="Q43" i="10"/>
  <c r="Q8" i="10" s="1"/>
  <c r="O43" i="10"/>
  <c r="O8" i="10" s="1"/>
  <c r="M43" i="10"/>
  <c r="M8" i="10" s="1"/>
  <c r="K43" i="10"/>
  <c r="K8" i="10" s="1"/>
  <c r="T43" i="10"/>
  <c r="T8" i="10" s="1"/>
  <c r="AL43" i="10"/>
  <c r="AL8" i="10" s="1"/>
  <c r="AI43" i="10"/>
  <c r="AI8" i="10" s="1"/>
  <c r="AC43" i="10"/>
  <c r="AC8" i="10" s="1"/>
  <c r="AB43" i="10"/>
  <c r="AB8" i="10" s="1"/>
  <c r="AG43" i="10"/>
  <c r="AG8" i="10" s="1"/>
  <c r="U43" i="10"/>
  <c r="U8" i="10" s="1"/>
  <c r="Y43" i="10"/>
  <c r="Y8" i="10" s="1"/>
  <c r="P43" i="10"/>
  <c r="P8" i="10" s="1"/>
  <c r="L43" i="10"/>
  <c r="L8" i="10" s="1"/>
  <c r="AN43" i="10"/>
  <c r="AN8" i="10" s="1"/>
  <c r="Z43" i="10"/>
  <c r="Z8" i="10" s="1"/>
  <c r="AD43" i="10"/>
  <c r="AD8" i="10" s="1"/>
  <c r="S43" i="10"/>
  <c r="S8" i="10" s="1"/>
  <c r="N43" i="10"/>
  <c r="N8" i="10" s="1"/>
  <c r="AE43" i="10"/>
  <c r="AE8" i="10" s="1"/>
  <c r="AM43" i="10"/>
  <c r="AM8" i="10" s="1"/>
  <c r="AH43" i="10"/>
  <c r="AH8" i="10" s="1"/>
  <c r="R43" i="10"/>
  <c r="R8" i="10" s="1"/>
  <c r="AK43" i="10"/>
  <c r="AK8" i="10" s="1"/>
  <c r="AA43" i="10"/>
  <c r="AA8" i="10" s="1"/>
  <c r="AF43" i="10"/>
  <c r="AF8" i="10" s="1"/>
  <c r="V43" i="10"/>
  <c r="V8" i="10" s="1"/>
  <c r="W43" i="10"/>
  <c r="W8" i="10" s="1"/>
  <c r="AJ43" i="10"/>
  <c r="AJ8" i="10" s="1"/>
  <c r="X43" i="10"/>
  <c r="X8" i="10" s="1"/>
  <c r="G39" i="7"/>
  <c r="G38" i="7" s="1"/>
  <c r="G34" i="7" s="1"/>
  <c r="H76" i="7"/>
  <c r="G95" i="7"/>
  <c r="G99" i="7"/>
  <c r="L23" i="12"/>
  <c r="H23" i="12"/>
  <c r="I8" i="10"/>
  <c r="H8" i="10"/>
  <c r="G24" i="7"/>
  <c r="G23" i="7" s="1"/>
  <c r="G19" i="7" s="1"/>
  <c r="H70" i="7"/>
  <c r="J23" i="12"/>
  <c r="G26" i="12"/>
  <c r="G23" i="12"/>
  <c r="K23" i="12"/>
  <c r="G46" i="7" l="1"/>
  <c r="G45" i="7" s="1"/>
  <c r="G41" i="7" s="1"/>
  <c r="G33" i="7" s="1"/>
  <c r="G7" i="7" s="1"/>
  <c r="G25" i="12" s="1"/>
  <c r="H97" i="7"/>
  <c r="G31" i="7"/>
  <c r="G30" i="7" s="1"/>
  <c r="G26" i="7" s="1"/>
  <c r="G18" i="7" s="1"/>
  <c r="H93" i="7"/>
  <c r="H71" i="7"/>
  <c r="H21" i="7" s="1"/>
  <c r="H20" i="7" s="1"/>
  <c r="H78" i="7"/>
  <c r="H39" i="7"/>
  <c r="H38" i="7" s="1"/>
  <c r="H34" i="7" s="1"/>
  <c r="I74" i="7"/>
  <c r="H72" i="7" l="1"/>
  <c r="H24" i="7" s="1"/>
  <c r="H23" i="7" s="1"/>
  <c r="H19" i="7" s="1"/>
  <c r="G57" i="7"/>
  <c r="G56" i="7"/>
  <c r="H94" i="7"/>
  <c r="H28" i="7" s="1"/>
  <c r="H27" i="7" s="1"/>
  <c r="G6" i="7"/>
  <c r="H98" i="7"/>
  <c r="H43" i="7" s="1"/>
  <c r="H42" i="7" s="1"/>
  <c r="I75" i="7"/>
  <c r="I36" i="7" s="1"/>
  <c r="I35" i="7" s="1"/>
  <c r="M80" i="7"/>
  <c r="M53" i="7" s="1"/>
  <c r="M52" i="7" s="1"/>
  <c r="H79" i="7"/>
  <c r="H50" i="7" s="1"/>
  <c r="H49" i="7" s="1"/>
  <c r="H48" i="7" s="1"/>
  <c r="H8" i="7" s="1"/>
  <c r="I70" i="7" l="1"/>
  <c r="I71" i="7" s="1"/>
  <c r="I21" i="7" s="1"/>
  <c r="I20" i="7" s="1"/>
  <c r="H99" i="7"/>
  <c r="H46" i="7" s="1"/>
  <c r="H45" i="7" s="1"/>
  <c r="H41" i="7" s="1"/>
  <c r="H33" i="7" s="1"/>
  <c r="H7" i="7" s="1"/>
  <c r="H25" i="12" s="1"/>
  <c r="H26" i="12"/>
  <c r="I76" i="7"/>
  <c r="G24" i="12"/>
  <c r="G63" i="8"/>
  <c r="H95" i="7"/>
  <c r="I97" i="7" l="1"/>
  <c r="I98" i="7" s="1"/>
  <c r="I43" i="7" s="1"/>
  <c r="I42" i="7" s="1"/>
  <c r="I78" i="7"/>
  <c r="N80" i="7" s="1"/>
  <c r="N53" i="7" s="1"/>
  <c r="N52" i="7" s="1"/>
  <c r="I39" i="7"/>
  <c r="I38" i="7" s="1"/>
  <c r="I34" i="7" s="1"/>
  <c r="J74" i="7"/>
  <c r="H31" i="7"/>
  <c r="H30" i="7" s="1"/>
  <c r="H26" i="7" s="1"/>
  <c r="I93" i="7"/>
  <c r="I72" i="7"/>
  <c r="I79" i="7" l="1"/>
  <c r="I50" i="7" s="1"/>
  <c r="I49" i="7" s="1"/>
  <c r="I48" i="7" s="1"/>
  <c r="I8" i="7" s="1"/>
  <c r="I26" i="12" s="1"/>
  <c r="I99" i="7"/>
  <c r="I46" i="7" s="1"/>
  <c r="I45" i="7" s="1"/>
  <c r="I41" i="7" s="1"/>
  <c r="I33" i="7" s="1"/>
  <c r="I7" i="7" s="1"/>
  <c r="I25" i="12" s="1"/>
  <c r="I24" i="7"/>
  <c r="I23" i="7" s="1"/>
  <c r="I19" i="7" s="1"/>
  <c r="J70" i="7"/>
  <c r="H6" i="7"/>
  <c r="H18" i="7"/>
  <c r="I94" i="7"/>
  <c r="I28" i="7" s="1"/>
  <c r="I27" i="7" s="1"/>
  <c r="J75" i="7"/>
  <c r="J36" i="7" s="1"/>
  <c r="J35" i="7" s="1"/>
  <c r="J97" i="7" l="1"/>
  <c r="J98" i="7" s="1"/>
  <c r="J43" i="7" s="1"/>
  <c r="J42" i="7" s="1"/>
  <c r="H24" i="12"/>
  <c r="J71" i="7"/>
  <c r="J21" i="7" s="1"/>
  <c r="J20" i="7" s="1"/>
  <c r="J78" i="7"/>
  <c r="I95" i="7"/>
  <c r="H57" i="7"/>
  <c r="H56" i="7"/>
  <c r="J76" i="7"/>
  <c r="J72" i="7" l="1"/>
  <c r="J24" i="7" s="1"/>
  <c r="J23" i="7" s="1"/>
  <c r="J19" i="7" s="1"/>
  <c r="J39" i="7"/>
  <c r="J38" i="7" s="1"/>
  <c r="J34" i="7" s="1"/>
  <c r="K74" i="7"/>
  <c r="I31" i="7"/>
  <c r="I30" i="7" s="1"/>
  <c r="I26" i="7" s="1"/>
  <c r="J93" i="7"/>
  <c r="J99" i="7"/>
  <c r="J79" i="7"/>
  <c r="J50" i="7" s="1"/>
  <c r="J49" i="7" s="1"/>
  <c r="J48" i="7" s="1"/>
  <c r="J8" i="7" s="1"/>
  <c r="O80" i="7"/>
  <c r="O53" i="7" s="1"/>
  <c r="O52" i="7" s="1"/>
  <c r="H63" i="8"/>
  <c r="K70" i="7" l="1"/>
  <c r="K71" i="7" s="1"/>
  <c r="K21" i="7" s="1"/>
  <c r="K20" i="7" s="1"/>
  <c r="J26" i="12"/>
  <c r="I6" i="7"/>
  <c r="I18" i="7"/>
  <c r="J46" i="7"/>
  <c r="J45" i="7" s="1"/>
  <c r="J41" i="7" s="1"/>
  <c r="J33" i="7" s="1"/>
  <c r="J7" i="7" s="1"/>
  <c r="J25" i="12" s="1"/>
  <c r="K97" i="7"/>
  <c r="K75" i="7"/>
  <c r="K36" i="7" s="1"/>
  <c r="K35" i="7" s="1"/>
  <c r="J94" i="7"/>
  <c r="J28" i="7" s="1"/>
  <c r="J27" i="7" s="1"/>
  <c r="K78" i="7" l="1"/>
  <c r="P80" i="7" s="1"/>
  <c r="P53" i="7" s="1"/>
  <c r="P52" i="7" s="1"/>
  <c r="J95" i="7"/>
  <c r="K93" i="7" s="1"/>
  <c r="K72" i="7"/>
  <c r="L70" i="7" s="1"/>
  <c r="K76" i="7"/>
  <c r="K39" i="7" s="1"/>
  <c r="K38" i="7" s="1"/>
  <c r="K34" i="7" s="1"/>
  <c r="I24" i="12"/>
  <c r="I57" i="7"/>
  <c r="I56" i="7"/>
  <c r="K98" i="7"/>
  <c r="K43" i="7" s="1"/>
  <c r="K42" i="7" s="1"/>
  <c r="L74" i="7" l="1"/>
  <c r="L75" i="7" s="1"/>
  <c r="L36" i="7" s="1"/>
  <c r="L35" i="7" s="1"/>
  <c r="J31" i="7"/>
  <c r="J30" i="7" s="1"/>
  <c r="J26" i="7" s="1"/>
  <c r="J18" i="7" s="1"/>
  <c r="K24" i="7"/>
  <c r="K23" i="7" s="1"/>
  <c r="K19" i="7" s="1"/>
  <c r="K79" i="7"/>
  <c r="K50" i="7" s="1"/>
  <c r="K49" i="7" s="1"/>
  <c r="K48" i="7" s="1"/>
  <c r="K8" i="7" s="1"/>
  <c r="K26" i="12" s="1"/>
  <c r="K99" i="7"/>
  <c r="K46" i="7" s="1"/>
  <c r="K45" i="7" s="1"/>
  <c r="K41" i="7" s="1"/>
  <c r="K33" i="7" s="1"/>
  <c r="K7" i="7" s="1"/>
  <c r="K25" i="12" s="1"/>
  <c r="L71" i="7"/>
  <c r="L21" i="7" s="1"/>
  <c r="L20" i="7" s="1"/>
  <c r="K94" i="7"/>
  <c r="K28" i="7" s="1"/>
  <c r="K27" i="7" s="1"/>
  <c r="I63" i="8"/>
  <c r="L97" i="7" l="1"/>
  <c r="L98" i="7" s="1"/>
  <c r="L43" i="7" s="1"/>
  <c r="L42" i="7" s="1"/>
  <c r="L78" i="7"/>
  <c r="L79" i="7" s="1"/>
  <c r="L50" i="7" s="1"/>
  <c r="L49" i="7" s="1"/>
  <c r="L48" i="7" s="1"/>
  <c r="L8" i="7" s="1"/>
  <c r="J6" i="7"/>
  <c r="J24" i="12" s="1"/>
  <c r="K95" i="7"/>
  <c r="L72" i="7"/>
  <c r="J57" i="7"/>
  <c r="J56" i="7"/>
  <c r="L76" i="7"/>
  <c r="Q80" i="7" l="1"/>
  <c r="Q53" i="7" s="1"/>
  <c r="Q52" i="7" s="1"/>
  <c r="L99" i="7"/>
  <c r="L46" i="7" s="1"/>
  <c r="L45" i="7" s="1"/>
  <c r="L41" i="7" s="1"/>
  <c r="L24" i="7"/>
  <c r="L23" i="7" s="1"/>
  <c r="L19" i="7" s="1"/>
  <c r="M70" i="7"/>
  <c r="J63" i="8"/>
  <c r="L26" i="12"/>
  <c r="L39" i="7"/>
  <c r="L38" i="7" s="1"/>
  <c r="L34" i="7" s="1"/>
  <c r="M74" i="7"/>
  <c r="K31" i="7"/>
  <c r="K30" i="7" s="1"/>
  <c r="K26" i="7" s="1"/>
  <c r="L93" i="7"/>
  <c r="M97" i="7" l="1"/>
  <c r="M98" i="7" s="1"/>
  <c r="M43" i="7" s="1"/>
  <c r="M42" i="7" s="1"/>
  <c r="L33" i="7"/>
  <c r="L7" i="7" s="1"/>
  <c r="L25" i="12" s="1"/>
  <c r="L94" i="7"/>
  <c r="L28" i="7" s="1"/>
  <c r="L27" i="7" s="1"/>
  <c r="M75" i="7"/>
  <c r="M36" i="7" s="1"/>
  <c r="M35" i="7" s="1"/>
  <c r="M71" i="7"/>
  <c r="M21" i="7" s="1"/>
  <c r="M20" i="7" s="1"/>
  <c r="M78" i="7"/>
  <c r="K6" i="7"/>
  <c r="K18" i="7"/>
  <c r="L95" i="7" l="1"/>
  <c r="L31" i="7" s="1"/>
  <c r="L30" i="7" s="1"/>
  <c r="L26" i="7" s="1"/>
  <c r="M76" i="7"/>
  <c r="M39" i="7" s="1"/>
  <c r="M38" i="7" s="1"/>
  <c r="M34" i="7" s="1"/>
  <c r="K24" i="12"/>
  <c r="K57" i="7"/>
  <c r="K56" i="7"/>
  <c r="R80" i="7"/>
  <c r="R53" i="7" s="1"/>
  <c r="R52" i="7" s="1"/>
  <c r="M79" i="7"/>
  <c r="M50" i="7" s="1"/>
  <c r="M49" i="7" s="1"/>
  <c r="M48" i="7" s="1"/>
  <c r="M8" i="7" s="1"/>
  <c r="M72" i="7"/>
  <c r="M99" i="7"/>
  <c r="N74" i="7" l="1"/>
  <c r="N75" i="7" s="1"/>
  <c r="N36" i="7" s="1"/>
  <c r="N35" i="7" s="1"/>
  <c r="M93" i="7"/>
  <c r="M94" i="7" s="1"/>
  <c r="M28" i="7" s="1"/>
  <c r="M27" i="7" s="1"/>
  <c r="M24" i="7"/>
  <c r="M23" i="7" s="1"/>
  <c r="M19" i="7" s="1"/>
  <c r="N70" i="7"/>
  <c r="M26" i="12"/>
  <c r="M46" i="7"/>
  <c r="M45" i="7" s="1"/>
  <c r="M41" i="7" s="1"/>
  <c r="M33" i="7" s="1"/>
  <c r="M7" i="7" s="1"/>
  <c r="M25" i="12" s="1"/>
  <c r="N97" i="7"/>
  <c r="L18" i="7"/>
  <c r="L6" i="7"/>
  <c r="K63" i="8"/>
  <c r="M95" i="7" l="1"/>
  <c r="M31" i="7" s="1"/>
  <c r="M30" i="7" s="1"/>
  <c r="M26" i="7" s="1"/>
  <c r="M18" i="7" s="1"/>
  <c r="L57" i="7"/>
  <c r="L56" i="7"/>
  <c r="L24" i="12"/>
  <c r="N76" i="7"/>
  <c r="N98" i="7"/>
  <c r="N43" i="7" s="1"/>
  <c r="N42" i="7" s="1"/>
  <c r="N78" i="7"/>
  <c r="N71" i="7"/>
  <c r="N21" i="7" s="1"/>
  <c r="N20" i="7" s="1"/>
  <c r="N93" i="7" l="1"/>
  <c r="N94" i="7" s="1"/>
  <c r="N28" i="7" s="1"/>
  <c r="N27" i="7" s="1"/>
  <c r="L63" i="8"/>
  <c r="N99" i="7"/>
  <c r="N46" i="7" s="1"/>
  <c r="N45" i="7" s="1"/>
  <c r="N41" i="7" s="1"/>
  <c r="M57" i="7"/>
  <c r="M56" i="7"/>
  <c r="N72" i="7"/>
  <c r="N39" i="7"/>
  <c r="N38" i="7" s="1"/>
  <c r="N34" i="7" s="1"/>
  <c r="O74" i="7"/>
  <c r="N79" i="7"/>
  <c r="N50" i="7" s="1"/>
  <c r="N49" i="7" s="1"/>
  <c r="N48" i="7" s="1"/>
  <c r="N8" i="7" s="1"/>
  <c r="S80" i="7"/>
  <c r="S53" i="7" s="1"/>
  <c r="S52" i="7" s="1"/>
  <c r="M6" i="7"/>
  <c r="O97" i="7" l="1"/>
  <c r="O98" i="7" s="1"/>
  <c r="O43" i="7" s="1"/>
  <c r="O42" i="7" s="1"/>
  <c r="N95" i="7"/>
  <c r="N31" i="7" s="1"/>
  <c r="N30" i="7" s="1"/>
  <c r="N26" i="7" s="1"/>
  <c r="M24" i="12"/>
  <c r="M63" i="8"/>
  <c r="N26" i="12"/>
  <c r="N24" i="7"/>
  <c r="N23" i="7" s="1"/>
  <c r="N19" i="7" s="1"/>
  <c r="O70" i="7"/>
  <c r="N33" i="7"/>
  <c r="N7" i="7" s="1"/>
  <c r="N25" i="12" s="1"/>
  <c r="O75" i="7"/>
  <c r="O36" i="7" s="1"/>
  <c r="O35" i="7" s="1"/>
  <c r="O93" i="7" l="1"/>
  <c r="O94" i="7" s="1"/>
  <c r="O28" i="7" s="1"/>
  <c r="O27" i="7" s="1"/>
  <c r="O76" i="7"/>
  <c r="O39" i="7" s="1"/>
  <c r="O38" i="7" s="1"/>
  <c r="O34" i="7" s="1"/>
  <c r="O99" i="7"/>
  <c r="N18" i="7"/>
  <c r="N6" i="7"/>
  <c r="O71" i="7"/>
  <c r="O21" i="7" s="1"/>
  <c r="O20" i="7" s="1"/>
  <c r="O78" i="7"/>
  <c r="P74" i="7" l="1"/>
  <c r="P75" i="7" s="1"/>
  <c r="P36" i="7" s="1"/>
  <c r="P35" i="7" s="1"/>
  <c r="O95" i="7"/>
  <c r="O31" i="7" s="1"/>
  <c r="O30" i="7" s="1"/>
  <c r="O26" i="7" s="1"/>
  <c r="O72" i="7"/>
  <c r="O24" i="7" s="1"/>
  <c r="O23" i="7" s="1"/>
  <c r="O19" i="7" s="1"/>
  <c r="N24" i="12"/>
  <c r="T80" i="7"/>
  <c r="T53" i="7" s="1"/>
  <c r="T52" i="7" s="1"/>
  <c r="O79" i="7"/>
  <c r="O50" i="7" s="1"/>
  <c r="O49" i="7" s="1"/>
  <c r="O48" i="7" s="1"/>
  <c r="O8" i="7" s="1"/>
  <c r="N57" i="7"/>
  <c r="N56" i="7"/>
  <c r="O46" i="7"/>
  <c r="O45" i="7" s="1"/>
  <c r="O41" i="7" s="1"/>
  <c r="O33" i="7" s="1"/>
  <c r="O7" i="7" s="1"/>
  <c r="O25" i="12" s="1"/>
  <c r="P97" i="7"/>
  <c r="P70" i="7" l="1"/>
  <c r="P71" i="7" s="1"/>
  <c r="P21" i="7" s="1"/>
  <c r="P20" i="7" s="1"/>
  <c r="P93" i="7"/>
  <c r="P94" i="7" s="1"/>
  <c r="P28" i="7" s="1"/>
  <c r="P27" i="7" s="1"/>
  <c r="P98" i="7"/>
  <c r="P43" i="7" s="1"/>
  <c r="P42" i="7" s="1"/>
  <c r="O6" i="7"/>
  <c r="O18" i="7"/>
  <c r="O26" i="12"/>
  <c r="P76" i="7"/>
  <c r="N63" i="8"/>
  <c r="P78" i="7" l="1"/>
  <c r="U80" i="7" s="1"/>
  <c r="U53" i="7" s="1"/>
  <c r="U52" i="7" s="1"/>
  <c r="P99" i="7"/>
  <c r="P46" i="7" s="1"/>
  <c r="P45" i="7" s="1"/>
  <c r="P41" i="7" s="1"/>
  <c r="P72" i="7"/>
  <c r="P24" i="7" s="1"/>
  <c r="P23" i="7" s="1"/>
  <c r="P19" i="7" s="1"/>
  <c r="P39" i="7"/>
  <c r="P38" i="7" s="1"/>
  <c r="P34" i="7" s="1"/>
  <c r="Q74" i="7"/>
  <c r="O57" i="7"/>
  <c r="O56" i="7"/>
  <c r="O24" i="12"/>
  <c r="P95" i="7"/>
  <c r="P79" i="7" l="1"/>
  <c r="P50" i="7" s="1"/>
  <c r="P49" i="7" s="1"/>
  <c r="P48" i="7" s="1"/>
  <c r="P8" i="7" s="1"/>
  <c r="P26" i="12" s="1"/>
  <c r="Q97" i="7"/>
  <c r="Q98" i="7" s="1"/>
  <c r="Q43" i="7" s="1"/>
  <c r="Q42" i="7" s="1"/>
  <c r="Q70" i="7"/>
  <c r="Q78" i="7" s="1"/>
  <c r="P31" i="7"/>
  <c r="P30" i="7" s="1"/>
  <c r="P26" i="7" s="1"/>
  <c r="P6" i="7" s="1"/>
  <c r="Q93" i="7"/>
  <c r="Q75" i="7"/>
  <c r="Q36" i="7" s="1"/>
  <c r="Q35" i="7" s="1"/>
  <c r="O63" i="8"/>
  <c r="P33" i="7"/>
  <c r="P7" i="7" s="1"/>
  <c r="P25" i="12" s="1"/>
  <c r="Q71" i="7" l="1"/>
  <c r="Q21" i="7" s="1"/>
  <c r="Q20" i="7" s="1"/>
  <c r="Q99" i="7"/>
  <c r="Q46" i="7" s="1"/>
  <c r="Q45" i="7" s="1"/>
  <c r="Q41" i="7" s="1"/>
  <c r="P24" i="12"/>
  <c r="Q76" i="7"/>
  <c r="Q79" i="7"/>
  <c r="Q50" i="7" s="1"/>
  <c r="Q49" i="7" s="1"/>
  <c r="Q48" i="7" s="1"/>
  <c r="Q8" i="7" s="1"/>
  <c r="V80" i="7"/>
  <c r="V53" i="7" s="1"/>
  <c r="V52" i="7" s="1"/>
  <c r="Q94" i="7"/>
  <c r="Q28" i="7" s="1"/>
  <c r="Q27" i="7" s="1"/>
  <c r="P18" i="7"/>
  <c r="Q72" i="7" l="1"/>
  <c r="Q24" i="7" s="1"/>
  <c r="Q23" i="7" s="1"/>
  <c r="Q19" i="7" s="1"/>
  <c r="R97" i="7"/>
  <c r="R98" i="7" s="1"/>
  <c r="R43" i="7" s="1"/>
  <c r="R42" i="7" s="1"/>
  <c r="Q26" i="12"/>
  <c r="P57" i="7"/>
  <c r="P56" i="7"/>
  <c r="Q95" i="7"/>
  <c r="Q39" i="7"/>
  <c r="Q38" i="7" s="1"/>
  <c r="Q34" i="7" s="1"/>
  <c r="Q33" i="7" s="1"/>
  <c r="Q7" i="7" s="1"/>
  <c r="Q25" i="12" s="1"/>
  <c r="R74" i="7"/>
  <c r="R70" i="7" l="1"/>
  <c r="R78" i="7" s="1"/>
  <c r="R99" i="7"/>
  <c r="R46" i="7" s="1"/>
  <c r="R45" i="7" s="1"/>
  <c r="R41" i="7" s="1"/>
  <c r="Q31" i="7"/>
  <c r="Q30" i="7" s="1"/>
  <c r="Q26" i="7" s="1"/>
  <c r="Q6" i="7" s="1"/>
  <c r="R93" i="7"/>
  <c r="R75" i="7"/>
  <c r="R36" i="7" s="1"/>
  <c r="R35" i="7" s="1"/>
  <c r="P63" i="8"/>
  <c r="R71" i="7" l="1"/>
  <c r="R21" i="7" s="1"/>
  <c r="R20" i="7" s="1"/>
  <c r="S97" i="7"/>
  <c r="S98" i="7" s="1"/>
  <c r="S43" i="7" s="1"/>
  <c r="S42" i="7" s="1"/>
  <c r="R76" i="7"/>
  <c r="R39" i="7" s="1"/>
  <c r="R38" i="7" s="1"/>
  <c r="R34" i="7" s="1"/>
  <c r="R33" i="7" s="1"/>
  <c r="R7" i="7" s="1"/>
  <c r="R25" i="12" s="1"/>
  <c r="Q24" i="12"/>
  <c r="R94" i="7"/>
  <c r="R28" i="7" s="1"/>
  <c r="R27" i="7" s="1"/>
  <c r="Q18" i="7"/>
  <c r="R79" i="7"/>
  <c r="R50" i="7" s="1"/>
  <c r="R49" i="7" s="1"/>
  <c r="R48" i="7" s="1"/>
  <c r="R8" i="7" s="1"/>
  <c r="W80" i="7"/>
  <c r="W53" i="7" s="1"/>
  <c r="W52" i="7" s="1"/>
  <c r="R72" i="7" l="1"/>
  <c r="R24" i="7" s="1"/>
  <c r="R23" i="7" s="1"/>
  <c r="R19" i="7" s="1"/>
  <c r="S74" i="7"/>
  <c r="S75" i="7" s="1"/>
  <c r="S36" i="7" s="1"/>
  <c r="S35" i="7" s="1"/>
  <c r="R95" i="7"/>
  <c r="R31" i="7" s="1"/>
  <c r="R30" i="7" s="1"/>
  <c r="R26" i="7" s="1"/>
  <c r="R26" i="12"/>
  <c r="S99" i="7"/>
  <c r="Q56" i="7"/>
  <c r="Q57" i="7"/>
  <c r="S70" i="7" l="1"/>
  <c r="S71" i="7" s="1"/>
  <c r="S21" i="7" s="1"/>
  <c r="S20" i="7" s="1"/>
  <c r="S93" i="7"/>
  <c r="S94" i="7" s="1"/>
  <c r="S28" i="7" s="1"/>
  <c r="S27" i="7" s="1"/>
  <c r="Q63" i="8"/>
  <c r="R18" i="7"/>
  <c r="R6" i="7"/>
  <c r="S46" i="7"/>
  <c r="S45" i="7" s="1"/>
  <c r="S41" i="7" s="1"/>
  <c r="T97" i="7"/>
  <c r="S76" i="7"/>
  <c r="S78" i="7" l="1"/>
  <c r="S79" i="7" s="1"/>
  <c r="S50" i="7" s="1"/>
  <c r="S49" i="7" s="1"/>
  <c r="S48" i="7" s="1"/>
  <c r="S8" i="7" s="1"/>
  <c r="S72" i="7"/>
  <c r="T70" i="7" s="1"/>
  <c r="T98" i="7"/>
  <c r="T43" i="7" s="1"/>
  <c r="T42" i="7" s="1"/>
  <c r="R24" i="12"/>
  <c r="S39" i="7"/>
  <c r="S38" i="7" s="1"/>
  <c r="S34" i="7" s="1"/>
  <c r="S33" i="7" s="1"/>
  <c r="S7" i="7" s="1"/>
  <c r="S25" i="12" s="1"/>
  <c r="T74" i="7"/>
  <c r="R56" i="7"/>
  <c r="R57" i="7"/>
  <c r="S95" i="7"/>
  <c r="X80" i="7" l="1"/>
  <c r="X53" i="7" s="1"/>
  <c r="X52" i="7" s="1"/>
  <c r="S24" i="7"/>
  <c r="S23" i="7" s="1"/>
  <c r="S19" i="7" s="1"/>
  <c r="R63" i="8"/>
  <c r="T99" i="7"/>
  <c r="T46" i="7" s="1"/>
  <c r="T45" i="7" s="1"/>
  <c r="T41" i="7" s="1"/>
  <c r="S26" i="12"/>
  <c r="T71" i="7"/>
  <c r="T21" i="7" s="1"/>
  <c r="T20" i="7" s="1"/>
  <c r="T78" i="7"/>
  <c r="T75" i="7"/>
  <c r="T36" i="7" s="1"/>
  <c r="T35" i="7" s="1"/>
  <c r="S31" i="7"/>
  <c r="S30" i="7" s="1"/>
  <c r="S26" i="7" s="1"/>
  <c r="T93" i="7"/>
  <c r="S18" i="7" l="1"/>
  <c r="S57" i="7" s="1"/>
  <c r="U97" i="7"/>
  <c r="U98" i="7" s="1"/>
  <c r="U43" i="7" s="1"/>
  <c r="U42" i="7" s="1"/>
  <c r="Y80" i="7"/>
  <c r="Y53" i="7" s="1"/>
  <c r="Y52" i="7" s="1"/>
  <c r="T79" i="7"/>
  <c r="T50" i="7" s="1"/>
  <c r="T49" i="7" s="1"/>
  <c r="T48" i="7" s="1"/>
  <c r="T8" i="7" s="1"/>
  <c r="T94" i="7"/>
  <c r="T28" i="7" s="1"/>
  <c r="T27" i="7" s="1"/>
  <c r="T72" i="7"/>
  <c r="T76" i="7"/>
  <c r="S6" i="7"/>
  <c r="S56" i="7" l="1"/>
  <c r="S63" i="8" s="1"/>
  <c r="T95" i="7"/>
  <c r="T31" i="7" s="1"/>
  <c r="T30" i="7" s="1"/>
  <c r="T26" i="7" s="1"/>
  <c r="U99" i="7"/>
  <c r="U46" i="7" s="1"/>
  <c r="U45" i="7" s="1"/>
  <c r="U41" i="7" s="1"/>
  <c r="S24" i="12"/>
  <c r="T39" i="7"/>
  <c r="T38" i="7" s="1"/>
  <c r="T34" i="7" s="1"/>
  <c r="T33" i="7" s="1"/>
  <c r="T7" i="7" s="1"/>
  <c r="T25" i="12" s="1"/>
  <c r="U74" i="7"/>
  <c r="T24" i="7"/>
  <c r="T23" i="7" s="1"/>
  <c r="T19" i="7" s="1"/>
  <c r="U70" i="7"/>
  <c r="T26" i="12"/>
  <c r="U93" i="7" l="1"/>
  <c r="U94" i="7" s="1"/>
  <c r="U28" i="7" s="1"/>
  <c r="U27" i="7" s="1"/>
  <c r="V97" i="7"/>
  <c r="V98" i="7" s="1"/>
  <c r="V43" i="7" s="1"/>
  <c r="V42" i="7" s="1"/>
  <c r="U75" i="7"/>
  <c r="U36" i="7" s="1"/>
  <c r="U35" i="7" s="1"/>
  <c r="U71" i="7"/>
  <c r="U21" i="7" s="1"/>
  <c r="U20" i="7" s="1"/>
  <c r="U78" i="7"/>
  <c r="T6" i="7"/>
  <c r="T18" i="7"/>
  <c r="U72" i="7" l="1"/>
  <c r="V70" i="7" s="1"/>
  <c r="U76" i="7"/>
  <c r="U39" i="7" s="1"/>
  <c r="U38" i="7" s="1"/>
  <c r="U34" i="7" s="1"/>
  <c r="U33" i="7" s="1"/>
  <c r="U7" i="7" s="1"/>
  <c r="U25" i="12" s="1"/>
  <c r="V99" i="7"/>
  <c r="V46" i="7" s="1"/>
  <c r="V45" i="7" s="1"/>
  <c r="V41" i="7" s="1"/>
  <c r="U95" i="7"/>
  <c r="T57" i="7"/>
  <c r="T56" i="7"/>
  <c r="T24" i="12"/>
  <c r="U79" i="7"/>
  <c r="U50" i="7" s="1"/>
  <c r="U49" i="7" s="1"/>
  <c r="U48" i="7" s="1"/>
  <c r="U8" i="7" s="1"/>
  <c r="Z80" i="7"/>
  <c r="Z53" i="7" s="1"/>
  <c r="Z52" i="7" s="1"/>
  <c r="T63" i="8" l="1"/>
  <c r="U24" i="7"/>
  <c r="U23" i="7" s="1"/>
  <c r="U19" i="7" s="1"/>
  <c r="W97" i="7"/>
  <c r="W98" i="7" s="1"/>
  <c r="W43" i="7" s="1"/>
  <c r="W42" i="7" s="1"/>
  <c r="V74" i="7"/>
  <c r="V75" i="7" s="1"/>
  <c r="U26" i="12"/>
  <c r="V71" i="7"/>
  <c r="V21" i="7" s="1"/>
  <c r="V20" i="7" s="1"/>
  <c r="U31" i="7"/>
  <c r="U30" i="7" s="1"/>
  <c r="U26" i="7" s="1"/>
  <c r="V93" i="7"/>
  <c r="U18" i="7" l="1"/>
  <c r="U57" i="7" s="1"/>
  <c r="V78" i="7"/>
  <c r="AA80" i="7" s="1"/>
  <c r="AA53" i="7" s="1"/>
  <c r="AA52" i="7" s="1"/>
  <c r="V36" i="7"/>
  <c r="V35" i="7" s="1"/>
  <c r="V76" i="7"/>
  <c r="W74" i="7" s="1"/>
  <c r="U6" i="7"/>
  <c r="U24" i="12" s="1"/>
  <c r="W99" i="7"/>
  <c r="V94" i="7"/>
  <c r="V28" i="7" s="1"/>
  <c r="V27" i="7" s="1"/>
  <c r="V72" i="7"/>
  <c r="U56" i="7" l="1"/>
  <c r="U63" i="8" s="1"/>
  <c r="V79" i="7"/>
  <c r="V50" i="7" s="1"/>
  <c r="V49" i="7" s="1"/>
  <c r="V48" i="7" s="1"/>
  <c r="V8" i="7" s="1"/>
  <c r="V26" i="12" s="1"/>
  <c r="V39" i="7"/>
  <c r="V38" i="7" s="1"/>
  <c r="V34" i="7" s="1"/>
  <c r="V33" i="7" s="1"/>
  <c r="V7" i="7" s="1"/>
  <c r="V25" i="12" s="1"/>
  <c r="W75" i="7"/>
  <c r="W36" i="7" s="1"/>
  <c r="W35" i="7" s="1"/>
  <c r="V95" i="7"/>
  <c r="V24" i="7"/>
  <c r="V23" i="7" s="1"/>
  <c r="V19" i="7" s="1"/>
  <c r="W70" i="7"/>
  <c r="W46" i="7"/>
  <c r="W45" i="7" s="1"/>
  <c r="W41" i="7" s="1"/>
  <c r="X97" i="7"/>
  <c r="X98" i="7" l="1"/>
  <c r="X43" i="7" s="1"/>
  <c r="X42" i="7" s="1"/>
  <c r="W76" i="7"/>
  <c r="W78" i="7"/>
  <c r="W71" i="7"/>
  <c r="W21" i="7" s="1"/>
  <c r="W20" i="7" s="1"/>
  <c r="V31" i="7"/>
  <c r="V30" i="7" s="1"/>
  <c r="V26" i="7" s="1"/>
  <c r="V18" i="7" s="1"/>
  <c r="W93" i="7"/>
  <c r="V6" i="7" l="1"/>
  <c r="V24" i="12" s="1"/>
  <c r="V56" i="7"/>
  <c r="V57" i="7"/>
  <c r="W94" i="7"/>
  <c r="W28" i="7" s="1"/>
  <c r="W27" i="7" s="1"/>
  <c r="AB80" i="7"/>
  <c r="AB53" i="7" s="1"/>
  <c r="AB52" i="7" s="1"/>
  <c r="W79" i="7"/>
  <c r="W50" i="7" s="1"/>
  <c r="W49" i="7" s="1"/>
  <c r="W48" i="7" s="1"/>
  <c r="W8" i="7" s="1"/>
  <c r="W72" i="7"/>
  <c r="W39" i="7"/>
  <c r="W38" i="7" s="1"/>
  <c r="W34" i="7" s="1"/>
  <c r="W33" i="7" s="1"/>
  <c r="W7" i="7" s="1"/>
  <c r="W25" i="12" s="1"/>
  <c r="X74" i="7"/>
  <c r="X99" i="7"/>
  <c r="V63" i="8" l="1"/>
  <c r="W24" i="7"/>
  <c r="W23" i="7" s="1"/>
  <c r="W19" i="7" s="1"/>
  <c r="X70" i="7"/>
  <c r="X75" i="7"/>
  <c r="X36" i="7" s="1"/>
  <c r="X35" i="7" s="1"/>
  <c r="W26" i="12"/>
  <c r="W95" i="7"/>
  <c r="X46" i="7"/>
  <c r="X45" i="7" s="1"/>
  <c r="X41" i="7" s="1"/>
  <c r="Y97" i="7"/>
  <c r="X76" i="7" l="1"/>
  <c r="X39" i="7" s="1"/>
  <c r="X38" i="7" s="1"/>
  <c r="X34" i="7" s="1"/>
  <c r="X33" i="7" s="1"/>
  <c r="X7" i="7" s="1"/>
  <c r="X25" i="12" s="1"/>
  <c r="W31" i="7"/>
  <c r="W30" i="7" s="1"/>
  <c r="W26" i="7" s="1"/>
  <c r="W6" i="7" s="1"/>
  <c r="X93" i="7"/>
  <c r="Y98" i="7"/>
  <c r="Y43" i="7" s="1"/>
  <c r="Y42" i="7" s="1"/>
  <c r="X78" i="7"/>
  <c r="X71" i="7"/>
  <c r="X21" i="7" s="1"/>
  <c r="X20" i="7" s="1"/>
  <c r="W18" i="7" l="1"/>
  <c r="W57" i="7" s="1"/>
  <c r="Y74" i="7"/>
  <c r="Y75" i="7" s="1"/>
  <c r="Y36" i="7" s="1"/>
  <c r="Y35" i="7" s="1"/>
  <c r="Y99" i="7"/>
  <c r="Y46" i="7" s="1"/>
  <c r="Y45" i="7" s="1"/>
  <c r="Y41" i="7" s="1"/>
  <c r="X72" i="7"/>
  <c r="W24" i="12"/>
  <c r="X94" i="7"/>
  <c r="X28" i="7" s="1"/>
  <c r="X27" i="7" s="1"/>
  <c r="AC80" i="7"/>
  <c r="AC53" i="7" s="1"/>
  <c r="AC52" i="7" s="1"/>
  <c r="X79" i="7"/>
  <c r="X50" i="7" s="1"/>
  <c r="X49" i="7" s="1"/>
  <c r="X48" i="7" s="1"/>
  <c r="X8" i="7" s="1"/>
  <c r="W56" i="7" l="1"/>
  <c r="W63" i="8" s="1"/>
  <c r="Z97" i="7"/>
  <c r="Z98" i="7" s="1"/>
  <c r="Z43" i="7" s="1"/>
  <c r="Z42" i="7" s="1"/>
  <c r="X95" i="7"/>
  <c r="X31" i="7" s="1"/>
  <c r="X30" i="7" s="1"/>
  <c r="X26" i="7" s="1"/>
  <c r="Y76" i="7"/>
  <c r="X24" i="7"/>
  <c r="X23" i="7" s="1"/>
  <c r="X19" i="7" s="1"/>
  <c r="Y70" i="7"/>
  <c r="X26" i="12"/>
  <c r="Y93" i="7" l="1"/>
  <c r="Y94" i="7" s="1"/>
  <c r="Y28" i="7" s="1"/>
  <c r="Y27" i="7" s="1"/>
  <c r="Z99" i="7"/>
  <c r="Z46" i="7" s="1"/>
  <c r="Z45" i="7" s="1"/>
  <c r="Z41" i="7" s="1"/>
  <c r="X6" i="7"/>
  <c r="X18" i="7"/>
  <c r="Y71" i="7"/>
  <c r="Y21" i="7" s="1"/>
  <c r="Y20" i="7" s="1"/>
  <c r="Y78" i="7"/>
  <c r="Y39" i="7"/>
  <c r="Y38" i="7" s="1"/>
  <c r="Y34" i="7" s="1"/>
  <c r="Y33" i="7" s="1"/>
  <c r="Y7" i="7" s="1"/>
  <c r="Y25" i="12" s="1"/>
  <c r="Z74" i="7"/>
  <c r="AA97" i="7" l="1"/>
  <c r="AA98" i="7" s="1"/>
  <c r="AA43" i="7" s="1"/>
  <c r="AA42" i="7" s="1"/>
  <c r="Y72" i="7"/>
  <c r="Y24" i="7" s="1"/>
  <c r="Y23" i="7" s="1"/>
  <c r="Y19" i="7" s="1"/>
  <c r="Y95" i="7"/>
  <c r="Y31" i="7" s="1"/>
  <c r="Y30" i="7" s="1"/>
  <c r="Y26" i="7" s="1"/>
  <c r="Z75" i="7"/>
  <c r="Z36" i="7" s="1"/>
  <c r="Z35" i="7" s="1"/>
  <c r="Y79" i="7"/>
  <c r="Y50" i="7" s="1"/>
  <c r="Y49" i="7" s="1"/>
  <c r="Y48" i="7" s="1"/>
  <c r="Y8" i="7" s="1"/>
  <c r="AD80" i="7"/>
  <c r="AD53" i="7" s="1"/>
  <c r="AD52" i="7" s="1"/>
  <c r="X56" i="7"/>
  <c r="X57" i="7"/>
  <c r="X24" i="12"/>
  <c r="Z70" i="7" l="1"/>
  <c r="Z78" i="7" s="1"/>
  <c r="Z93" i="7"/>
  <c r="Z94" i="7" s="1"/>
  <c r="Z28" i="7" s="1"/>
  <c r="Z27" i="7" s="1"/>
  <c r="X63" i="8"/>
  <c r="Z76" i="7"/>
  <c r="Z39" i="7" s="1"/>
  <c r="Z38" i="7" s="1"/>
  <c r="Z34" i="7" s="1"/>
  <c r="Z33" i="7" s="1"/>
  <c r="Z7" i="7" s="1"/>
  <c r="Z25" i="12" s="1"/>
  <c r="Y6" i="7"/>
  <c r="Y18" i="7"/>
  <c r="Y26" i="12"/>
  <c r="AA99" i="7"/>
  <c r="Z71" i="7" l="1"/>
  <c r="Z21" i="7" s="1"/>
  <c r="Z20" i="7" s="1"/>
  <c r="AA74" i="7"/>
  <c r="AA75" i="7" s="1"/>
  <c r="AA36" i="7" s="1"/>
  <c r="AA35" i="7" s="1"/>
  <c r="Z95" i="7"/>
  <c r="Z31" i="7" s="1"/>
  <c r="Z30" i="7" s="1"/>
  <c r="Z26" i="7" s="1"/>
  <c r="AA46" i="7"/>
  <c r="AA45" i="7" s="1"/>
  <c r="AA41" i="7" s="1"/>
  <c r="AB97" i="7"/>
  <c r="Y24" i="12"/>
  <c r="Z79" i="7"/>
  <c r="Z50" i="7" s="1"/>
  <c r="Z49" i="7" s="1"/>
  <c r="Z48" i="7" s="1"/>
  <c r="Z8" i="7" s="1"/>
  <c r="AE80" i="7"/>
  <c r="AE53" i="7" s="1"/>
  <c r="AE52" i="7" s="1"/>
  <c r="Y57" i="7"/>
  <c r="Y56" i="7"/>
  <c r="Z72" i="7" l="1"/>
  <c r="AA93" i="7"/>
  <c r="AA94" i="7" s="1"/>
  <c r="AA28" i="7" s="1"/>
  <c r="AA27" i="7" s="1"/>
  <c r="AA76" i="7"/>
  <c r="AA39" i="7" s="1"/>
  <c r="AA38" i="7" s="1"/>
  <c r="AA34" i="7" s="1"/>
  <c r="AA33" i="7" s="1"/>
  <c r="AA7" i="7" s="1"/>
  <c r="AA25" i="12" s="1"/>
  <c r="AB98" i="7"/>
  <c r="AB43" i="7" s="1"/>
  <c r="AB42" i="7" s="1"/>
  <c r="Z26" i="12"/>
  <c r="Y63" i="8"/>
  <c r="Z24" i="7" l="1"/>
  <c r="Z23" i="7" s="1"/>
  <c r="Z19" i="7" s="1"/>
  <c r="AA70" i="7"/>
  <c r="AB74" i="7"/>
  <c r="AB75" i="7" s="1"/>
  <c r="AB36" i="7" s="1"/>
  <c r="AB35" i="7" s="1"/>
  <c r="AB99" i="7"/>
  <c r="AB46" i="7" s="1"/>
  <c r="AB45" i="7" s="1"/>
  <c r="AB41" i="7" s="1"/>
  <c r="AA95" i="7"/>
  <c r="AC97" i="7" l="1"/>
  <c r="AC98" i="7" s="1"/>
  <c r="AC43" i="7" s="1"/>
  <c r="AC42" i="7" s="1"/>
  <c r="AA78" i="7"/>
  <c r="AA71" i="7"/>
  <c r="AA21" i="7" s="1"/>
  <c r="AA20" i="7" s="1"/>
  <c r="Z6" i="7"/>
  <c r="Z24" i="12" s="1"/>
  <c r="Z18" i="7"/>
  <c r="AA31" i="7"/>
  <c r="AA30" i="7" s="1"/>
  <c r="AA26" i="7" s="1"/>
  <c r="AB93" i="7"/>
  <c r="AB76" i="7"/>
  <c r="AA79" i="7" l="1"/>
  <c r="AA50" i="7" s="1"/>
  <c r="AA49" i="7" s="1"/>
  <c r="AA48" i="7" s="1"/>
  <c r="AA8" i="7" s="1"/>
  <c r="AA26" i="12" s="1"/>
  <c r="AF80" i="7"/>
  <c r="AF53" i="7" s="1"/>
  <c r="AF52" i="7" s="1"/>
  <c r="AA72" i="7"/>
  <c r="Z56" i="7"/>
  <c r="Z57" i="7"/>
  <c r="AC99" i="7"/>
  <c r="AB39" i="7"/>
  <c r="AB38" i="7" s="1"/>
  <c r="AB34" i="7" s="1"/>
  <c r="AB33" i="7" s="1"/>
  <c r="AB7" i="7" s="1"/>
  <c r="AB25" i="12" s="1"/>
  <c r="AC74" i="7"/>
  <c r="AB94" i="7"/>
  <c r="AB28" i="7" s="1"/>
  <c r="AB27" i="7" s="1"/>
  <c r="Z63" i="8" l="1"/>
  <c r="AA24" i="7"/>
  <c r="AA23" i="7" s="1"/>
  <c r="AA19" i="7" s="1"/>
  <c r="AB70" i="7"/>
  <c r="AC75" i="7"/>
  <c r="AC36" i="7" s="1"/>
  <c r="AC35" i="7" s="1"/>
  <c r="AB95" i="7"/>
  <c r="AC46" i="7"/>
  <c r="AC45" i="7" s="1"/>
  <c r="AC41" i="7" s="1"/>
  <c r="AD97" i="7"/>
  <c r="AB71" i="7" l="1"/>
  <c r="AB21" i="7" s="1"/>
  <c r="AB20" i="7" s="1"/>
  <c r="AB78" i="7"/>
  <c r="AA18" i="7"/>
  <c r="AA6" i="7"/>
  <c r="AA24" i="12" s="1"/>
  <c r="AC76" i="7"/>
  <c r="AC39" i="7" s="1"/>
  <c r="AC38" i="7" s="1"/>
  <c r="AC34" i="7" s="1"/>
  <c r="AC33" i="7" s="1"/>
  <c r="AC7" i="7" s="1"/>
  <c r="AC25" i="12" s="1"/>
  <c r="AB31" i="7"/>
  <c r="AB30" i="7" s="1"/>
  <c r="AB26" i="7" s="1"/>
  <c r="AC93" i="7"/>
  <c r="AD98" i="7"/>
  <c r="AD43" i="7" s="1"/>
  <c r="AD42" i="7" s="1"/>
  <c r="AB72" i="7" l="1"/>
  <c r="AB24" i="7" s="1"/>
  <c r="AB23" i="7" s="1"/>
  <c r="AB19" i="7" s="1"/>
  <c r="AB18" i="7" s="1"/>
  <c r="AB79" i="7"/>
  <c r="AB50" i="7" s="1"/>
  <c r="AB49" i="7" s="1"/>
  <c r="AB48" i="7" s="1"/>
  <c r="AB8" i="7" s="1"/>
  <c r="AB26" i="12" s="1"/>
  <c r="AG80" i="7"/>
  <c r="AG53" i="7" s="1"/>
  <c r="AG52" i="7" s="1"/>
  <c r="AA56" i="7"/>
  <c r="AA57" i="7"/>
  <c r="AD74" i="7"/>
  <c r="AD75" i="7" s="1"/>
  <c r="AD36" i="7" s="1"/>
  <c r="AD35" i="7" s="1"/>
  <c r="AD99" i="7"/>
  <c r="AC94" i="7"/>
  <c r="AC28" i="7" s="1"/>
  <c r="AC27" i="7" s="1"/>
  <c r="AC70" i="7" l="1"/>
  <c r="AC71" i="7" s="1"/>
  <c r="AC21" i="7" s="1"/>
  <c r="AC20" i="7" s="1"/>
  <c r="AB57" i="7"/>
  <c r="AB56" i="7"/>
  <c r="AB6" i="7"/>
  <c r="AB24" i="12" s="1"/>
  <c r="AA63" i="8"/>
  <c r="AC95" i="7"/>
  <c r="AC31" i="7" s="1"/>
  <c r="AC30" i="7" s="1"/>
  <c r="AC26" i="7" s="1"/>
  <c r="AD76" i="7"/>
  <c r="AD39" i="7" s="1"/>
  <c r="AD38" i="7" s="1"/>
  <c r="AD34" i="7" s="1"/>
  <c r="AD46" i="7"/>
  <c r="AD45" i="7" s="1"/>
  <c r="AD41" i="7" s="1"/>
  <c r="AE97" i="7"/>
  <c r="AC78" i="7" l="1"/>
  <c r="AC79" i="7" s="1"/>
  <c r="AC50" i="7" s="1"/>
  <c r="AC49" i="7" s="1"/>
  <c r="AC48" i="7" s="1"/>
  <c r="AC8" i="7" s="1"/>
  <c r="AC26" i="12" s="1"/>
  <c r="AB63" i="8"/>
  <c r="AC72" i="7"/>
  <c r="AE74" i="7"/>
  <c r="AE75" i="7" s="1"/>
  <c r="AE36" i="7" s="1"/>
  <c r="AE35" i="7" s="1"/>
  <c r="AD93" i="7"/>
  <c r="AD94" i="7" s="1"/>
  <c r="AD28" i="7" s="1"/>
  <c r="AD27" i="7" s="1"/>
  <c r="AD33" i="7"/>
  <c r="AD7" i="7" s="1"/>
  <c r="AD25" i="12" s="1"/>
  <c r="AE98" i="7"/>
  <c r="AE43" i="7" s="1"/>
  <c r="AE42" i="7" s="1"/>
  <c r="AH80" i="7" l="1"/>
  <c r="AH53" i="7" s="1"/>
  <c r="AH52" i="7" s="1"/>
  <c r="AC24" i="7"/>
  <c r="AC23" i="7" s="1"/>
  <c r="AC19" i="7" s="1"/>
  <c r="AD70" i="7"/>
  <c r="AD95" i="7"/>
  <c r="AD31" i="7" s="1"/>
  <c r="AD30" i="7" s="1"/>
  <c r="AD26" i="7" s="1"/>
  <c r="AE99" i="7"/>
  <c r="AE46" i="7" s="1"/>
  <c r="AE45" i="7" s="1"/>
  <c r="AE41" i="7" s="1"/>
  <c r="AE76" i="7"/>
  <c r="AE39" i="7" s="1"/>
  <c r="AE38" i="7" s="1"/>
  <c r="AE34" i="7" s="1"/>
  <c r="AD78" i="7" l="1"/>
  <c r="AD71" i="7"/>
  <c r="AC18" i="7"/>
  <c r="AC6" i="7"/>
  <c r="AC24" i="12" s="1"/>
  <c r="AF74" i="7"/>
  <c r="AF75" i="7" s="1"/>
  <c r="AF36" i="7" s="1"/>
  <c r="AF35" i="7" s="1"/>
  <c r="AF97" i="7"/>
  <c r="AF98" i="7" s="1"/>
  <c r="AF43" i="7" s="1"/>
  <c r="AF42" i="7" s="1"/>
  <c r="AE93" i="7"/>
  <c r="AE94" i="7" s="1"/>
  <c r="AE28" i="7" s="1"/>
  <c r="AE27" i="7" s="1"/>
  <c r="AE33" i="7"/>
  <c r="AE7" i="7" s="1"/>
  <c r="AE25" i="12" s="1"/>
  <c r="AC56" i="7" l="1"/>
  <c r="AC57" i="7"/>
  <c r="AD21" i="7"/>
  <c r="AD20" i="7" s="1"/>
  <c r="AD72" i="7"/>
  <c r="AI80" i="7"/>
  <c r="AI53" i="7" s="1"/>
  <c r="AI52" i="7" s="1"/>
  <c r="AD79" i="7"/>
  <c r="AD50" i="7" s="1"/>
  <c r="AD49" i="7" s="1"/>
  <c r="AD48" i="7" s="1"/>
  <c r="AD8" i="7" s="1"/>
  <c r="AD26" i="12" s="1"/>
  <c r="AF76" i="7"/>
  <c r="AF39" i="7" s="1"/>
  <c r="AF38" i="7" s="1"/>
  <c r="AF34" i="7" s="1"/>
  <c r="AE95" i="7"/>
  <c r="AF99" i="7"/>
  <c r="AC63" i="8" l="1"/>
  <c r="AD24" i="7"/>
  <c r="AD23" i="7" s="1"/>
  <c r="AD19" i="7" s="1"/>
  <c r="AE70" i="7"/>
  <c r="AG74" i="7"/>
  <c r="AG75" i="7" s="1"/>
  <c r="AG36" i="7" s="1"/>
  <c r="AG35" i="7" s="1"/>
  <c r="AF46" i="7"/>
  <c r="AF45" i="7" s="1"/>
  <c r="AF41" i="7" s="1"/>
  <c r="AF33" i="7" s="1"/>
  <c r="AF7" i="7" s="1"/>
  <c r="AF25" i="12" s="1"/>
  <c r="AG97" i="7"/>
  <c r="AE31" i="7"/>
  <c r="AE30" i="7" s="1"/>
  <c r="AE26" i="7" s="1"/>
  <c r="AF93" i="7"/>
  <c r="AE71" i="7" l="1"/>
  <c r="AE21" i="7" s="1"/>
  <c r="AE20" i="7" s="1"/>
  <c r="AE78" i="7"/>
  <c r="AD6" i="7"/>
  <c r="AD18" i="7"/>
  <c r="AG76" i="7"/>
  <c r="AG39" i="7" s="1"/>
  <c r="AG38" i="7" s="1"/>
  <c r="AG34" i="7" s="1"/>
  <c r="AF94" i="7"/>
  <c r="AF28" i="7" s="1"/>
  <c r="AF27" i="7" s="1"/>
  <c r="AG98" i="7"/>
  <c r="AG43" i="7" s="1"/>
  <c r="AG42" i="7" s="1"/>
  <c r="AJ80" i="7" l="1"/>
  <c r="AJ53" i="7" s="1"/>
  <c r="AJ52" i="7" s="1"/>
  <c r="AE79" i="7"/>
  <c r="AE50" i="7" s="1"/>
  <c r="AE49" i="7" s="1"/>
  <c r="AE48" i="7" s="1"/>
  <c r="AE8" i="7" s="1"/>
  <c r="AE26" i="12" s="1"/>
  <c r="AD56" i="7"/>
  <c r="AD57" i="7"/>
  <c r="AD24" i="12"/>
  <c r="AE72" i="7"/>
  <c r="AH74" i="7"/>
  <c r="AH75" i="7" s="1"/>
  <c r="AH36" i="7" s="1"/>
  <c r="AH35" i="7" s="1"/>
  <c r="AF95" i="7"/>
  <c r="AF31" i="7" s="1"/>
  <c r="AF30" i="7" s="1"/>
  <c r="AF26" i="7" s="1"/>
  <c r="AG99" i="7"/>
  <c r="AG93" i="7" l="1"/>
  <c r="AG94" i="7" s="1"/>
  <c r="AG28" i="7" s="1"/>
  <c r="AG27" i="7" s="1"/>
  <c r="AD63" i="8"/>
  <c r="AE24" i="7"/>
  <c r="AE23" i="7" s="1"/>
  <c r="AE19" i="7" s="1"/>
  <c r="AF70" i="7"/>
  <c r="AH76" i="7"/>
  <c r="AH39" i="7" s="1"/>
  <c r="AH38" i="7" s="1"/>
  <c r="AH34" i="7" s="1"/>
  <c r="AG46" i="7"/>
  <c r="AG45" i="7" s="1"/>
  <c r="AG41" i="7" s="1"/>
  <c r="AG33" i="7" s="1"/>
  <c r="AG7" i="7" s="1"/>
  <c r="AG25" i="12" s="1"/>
  <c r="AH97" i="7"/>
  <c r="AF78" i="7" l="1"/>
  <c r="AF71" i="7"/>
  <c r="AF21" i="7" s="1"/>
  <c r="AF20" i="7" s="1"/>
  <c r="AE18" i="7"/>
  <c r="AE6" i="7"/>
  <c r="AE24" i="12" s="1"/>
  <c r="AI74" i="7"/>
  <c r="AI75" i="7" s="1"/>
  <c r="AI36" i="7" s="1"/>
  <c r="AI35" i="7" s="1"/>
  <c r="AH98" i="7"/>
  <c r="AH43" i="7" s="1"/>
  <c r="AH42" i="7" s="1"/>
  <c r="AG95" i="7"/>
  <c r="AE56" i="7" l="1"/>
  <c r="AE57" i="7"/>
  <c r="AK80" i="7"/>
  <c r="AK53" i="7" s="1"/>
  <c r="AK52" i="7" s="1"/>
  <c r="AF79" i="7"/>
  <c r="AF50" i="7" s="1"/>
  <c r="AF49" i="7" s="1"/>
  <c r="AF48" i="7" s="1"/>
  <c r="AF8" i="7" s="1"/>
  <c r="AF26" i="12" s="1"/>
  <c r="AF72" i="7"/>
  <c r="AI76" i="7"/>
  <c r="AI39" i="7" s="1"/>
  <c r="AI38" i="7" s="1"/>
  <c r="AI34" i="7" s="1"/>
  <c r="AH99" i="7"/>
  <c r="AH46" i="7" s="1"/>
  <c r="AH45" i="7" s="1"/>
  <c r="AH41" i="7" s="1"/>
  <c r="AH33" i="7" s="1"/>
  <c r="AH7" i="7" s="1"/>
  <c r="AH25" i="12" s="1"/>
  <c r="AG31" i="7"/>
  <c r="AG30" i="7" s="1"/>
  <c r="AG26" i="7" s="1"/>
  <c r="AH93" i="7"/>
  <c r="AE63" i="8" l="1"/>
  <c r="AF24" i="7"/>
  <c r="AF23" i="7" s="1"/>
  <c r="AF19" i="7" s="1"/>
  <c r="AG70" i="7"/>
  <c r="AJ74" i="7"/>
  <c r="AJ75" i="7" s="1"/>
  <c r="AJ36" i="7" s="1"/>
  <c r="AJ35" i="7" s="1"/>
  <c r="AI97" i="7"/>
  <c r="AI98" i="7" s="1"/>
  <c r="AI43" i="7" s="1"/>
  <c r="AI42" i="7" s="1"/>
  <c r="AH94" i="7"/>
  <c r="AH28" i="7" s="1"/>
  <c r="AH27" i="7" s="1"/>
  <c r="AG78" i="7" l="1"/>
  <c r="AG71" i="7"/>
  <c r="AG21" i="7" s="1"/>
  <c r="AG20" i="7" s="1"/>
  <c r="AF6" i="7"/>
  <c r="AF24" i="12" s="1"/>
  <c r="AF18" i="7"/>
  <c r="AH95" i="7"/>
  <c r="AH31" i="7" s="1"/>
  <c r="AH30" i="7" s="1"/>
  <c r="AH26" i="7" s="1"/>
  <c r="AJ76" i="7"/>
  <c r="AI99" i="7"/>
  <c r="AF57" i="7" l="1"/>
  <c r="AF56" i="7"/>
  <c r="AL80" i="7"/>
  <c r="AL53" i="7" s="1"/>
  <c r="AL52" i="7" s="1"/>
  <c r="AG79" i="7"/>
  <c r="AG50" i="7" s="1"/>
  <c r="AG49" i="7" s="1"/>
  <c r="AG48" i="7" s="1"/>
  <c r="AG8" i="7" s="1"/>
  <c r="AG26" i="12" s="1"/>
  <c r="AG72" i="7"/>
  <c r="AI93" i="7"/>
  <c r="AI94" i="7" s="1"/>
  <c r="AI28" i="7" s="1"/>
  <c r="AI27" i="7" s="1"/>
  <c r="AI46" i="7"/>
  <c r="AI45" i="7" s="1"/>
  <c r="AI41" i="7" s="1"/>
  <c r="AI33" i="7" s="1"/>
  <c r="AI7" i="7" s="1"/>
  <c r="AI25" i="12" s="1"/>
  <c r="AJ97" i="7"/>
  <c r="AJ39" i="7"/>
  <c r="AJ38" i="7" s="1"/>
  <c r="AJ34" i="7" s="1"/>
  <c r="AK74" i="7"/>
  <c r="AF63" i="8" l="1"/>
  <c r="AH70" i="7"/>
  <c r="AG24" i="7"/>
  <c r="AG23" i="7" s="1"/>
  <c r="AG19" i="7" s="1"/>
  <c r="AJ98" i="7"/>
  <c r="AJ43" i="7" s="1"/>
  <c r="AJ42" i="7" s="1"/>
  <c r="AK75" i="7"/>
  <c r="AK36" i="7" s="1"/>
  <c r="AK35" i="7" s="1"/>
  <c r="AI95" i="7"/>
  <c r="AH78" i="7" l="1"/>
  <c r="AH71" i="7"/>
  <c r="AH21" i="7" s="1"/>
  <c r="AH20" i="7" s="1"/>
  <c r="AG6" i="7"/>
  <c r="AG24" i="12" s="1"/>
  <c r="AG18" i="7"/>
  <c r="AJ99" i="7"/>
  <c r="AJ46" i="7" s="1"/>
  <c r="AJ45" i="7" s="1"/>
  <c r="AJ41" i="7" s="1"/>
  <c r="AJ33" i="7" s="1"/>
  <c r="AJ7" i="7" s="1"/>
  <c r="AJ25" i="12" s="1"/>
  <c r="AI31" i="7"/>
  <c r="AI30" i="7" s="1"/>
  <c r="AI26" i="7" s="1"/>
  <c r="AJ93" i="7"/>
  <c r="AK76" i="7"/>
  <c r="AK97" i="7" l="1"/>
  <c r="AK98" i="7" s="1"/>
  <c r="AK43" i="7" s="1"/>
  <c r="AK42" i="7" s="1"/>
  <c r="AM80" i="7"/>
  <c r="AM53" i="7" s="1"/>
  <c r="AM52" i="7" s="1"/>
  <c r="AH79" i="7"/>
  <c r="AH50" i="7" s="1"/>
  <c r="AH49" i="7" s="1"/>
  <c r="AH48" i="7" s="1"/>
  <c r="AH8" i="7" s="1"/>
  <c r="AH26" i="12" s="1"/>
  <c r="AG57" i="7"/>
  <c r="AG56" i="7"/>
  <c r="AH72" i="7"/>
  <c r="AJ94" i="7"/>
  <c r="AJ28" i="7" s="1"/>
  <c r="AJ27" i="7" s="1"/>
  <c r="AK39" i="7"/>
  <c r="AK38" i="7" s="1"/>
  <c r="AK34" i="7" s="1"/>
  <c r="AL74" i="7"/>
  <c r="AH24" i="7" l="1"/>
  <c r="AH23" i="7" s="1"/>
  <c r="AH19" i="7" s="1"/>
  <c r="AI70" i="7"/>
  <c r="AG63" i="8"/>
  <c r="AK99" i="7"/>
  <c r="AK46" i="7" s="1"/>
  <c r="AK45" i="7" s="1"/>
  <c r="AK41" i="7" s="1"/>
  <c r="AK33" i="7" s="1"/>
  <c r="AK7" i="7" s="1"/>
  <c r="AK25" i="12" s="1"/>
  <c r="AL75" i="7"/>
  <c r="AL36" i="7" s="1"/>
  <c r="AL35" i="7" s="1"/>
  <c r="AJ95" i="7"/>
  <c r="AL97" i="7" l="1"/>
  <c r="AL98" i="7" s="1"/>
  <c r="AL43" i="7" s="1"/>
  <c r="AL42" i="7" s="1"/>
  <c r="AH6" i="7"/>
  <c r="AH18" i="7"/>
  <c r="AI78" i="7"/>
  <c r="AI71" i="7"/>
  <c r="AI21" i="7" s="1"/>
  <c r="AI20" i="7" s="1"/>
  <c r="AL76" i="7"/>
  <c r="AJ31" i="7"/>
  <c r="AJ30" i="7" s="1"/>
  <c r="AJ26" i="7" s="1"/>
  <c r="AK93" i="7"/>
  <c r="AI72" i="7" l="1"/>
  <c r="AI24" i="7" s="1"/>
  <c r="AI23" i="7" s="1"/>
  <c r="AI19" i="7" s="1"/>
  <c r="AI18" i="7" s="1"/>
  <c r="AI79" i="7"/>
  <c r="AI50" i="7" s="1"/>
  <c r="AI49" i="7" s="1"/>
  <c r="AI48" i="7" s="1"/>
  <c r="AI8" i="7" s="1"/>
  <c r="AI26" i="12" s="1"/>
  <c r="AN80" i="7"/>
  <c r="AN53" i="7" s="1"/>
  <c r="AN52" i="7" s="1"/>
  <c r="AH57" i="7"/>
  <c r="AH56" i="7"/>
  <c r="AH24" i="12"/>
  <c r="AL99" i="7"/>
  <c r="AL39" i="7"/>
  <c r="AL38" i="7" s="1"/>
  <c r="AL34" i="7" s="1"/>
  <c r="AM74" i="7"/>
  <c r="AK94" i="7"/>
  <c r="AK28" i="7" s="1"/>
  <c r="AK27" i="7" s="1"/>
  <c r="AH63" i="8" l="1"/>
  <c r="AJ70" i="7"/>
  <c r="AJ71" i="7" s="1"/>
  <c r="AJ21" i="7" s="1"/>
  <c r="AJ20" i="7" s="1"/>
  <c r="AI6" i="7"/>
  <c r="AI24" i="12" s="1"/>
  <c r="AI57" i="7"/>
  <c r="AI56" i="7"/>
  <c r="AK95" i="7"/>
  <c r="AM75" i="7"/>
  <c r="AM36" i="7" s="1"/>
  <c r="AM35" i="7" s="1"/>
  <c r="AL46" i="7"/>
  <c r="AL45" i="7" s="1"/>
  <c r="AL41" i="7" s="1"/>
  <c r="AL33" i="7" s="1"/>
  <c r="AL7" i="7" s="1"/>
  <c r="AL25" i="12" s="1"/>
  <c r="AM97" i="7"/>
  <c r="AJ72" i="7" l="1"/>
  <c r="AJ24" i="7" s="1"/>
  <c r="AJ23" i="7" s="1"/>
  <c r="AJ19" i="7" s="1"/>
  <c r="AJ78" i="7"/>
  <c r="AJ79" i="7" s="1"/>
  <c r="AJ50" i="7" s="1"/>
  <c r="AJ49" i="7" s="1"/>
  <c r="AJ48" i="7" s="1"/>
  <c r="AJ8" i="7" s="1"/>
  <c r="AJ26" i="12" s="1"/>
  <c r="AI63" i="8"/>
  <c r="AK31" i="7"/>
  <c r="AK30" i="7" s="1"/>
  <c r="AK26" i="7" s="1"/>
  <c r="AL93" i="7"/>
  <c r="AM98" i="7"/>
  <c r="AM43" i="7" s="1"/>
  <c r="AM42" i="7" s="1"/>
  <c r="AM76" i="7"/>
  <c r="AK70" i="7" l="1"/>
  <c r="AK71" i="7" s="1"/>
  <c r="AK21" i="7" s="1"/>
  <c r="AK20" i="7" s="1"/>
  <c r="AJ18" i="7"/>
  <c r="AJ6" i="7"/>
  <c r="AM99" i="7"/>
  <c r="AM46" i="7" s="1"/>
  <c r="AM45" i="7" s="1"/>
  <c r="AM41" i="7" s="1"/>
  <c r="AL94" i="7"/>
  <c r="AL28" i="7" s="1"/>
  <c r="AL27" i="7" s="1"/>
  <c r="AM39" i="7"/>
  <c r="AM38" i="7" s="1"/>
  <c r="AM34" i="7" s="1"/>
  <c r="AN74" i="7"/>
  <c r="AK78" i="7" l="1"/>
  <c r="AK79" i="7" s="1"/>
  <c r="AK50" i="7" s="1"/>
  <c r="AK49" i="7" s="1"/>
  <c r="AK48" i="7" s="1"/>
  <c r="AK8" i="7" s="1"/>
  <c r="AK26" i="12" s="1"/>
  <c r="AJ24" i="12"/>
  <c r="AJ56" i="7"/>
  <c r="AJ57" i="7"/>
  <c r="AK72" i="7"/>
  <c r="AN97" i="7"/>
  <c r="AN98" i="7" s="1"/>
  <c r="AN43" i="7" s="1"/>
  <c r="AN42" i="7" s="1"/>
  <c r="AL95" i="7"/>
  <c r="AL31" i="7" s="1"/>
  <c r="AL30" i="7" s="1"/>
  <c r="AL26" i="7" s="1"/>
  <c r="AN75" i="7"/>
  <c r="AN36" i="7" s="1"/>
  <c r="AN35" i="7" s="1"/>
  <c r="AM33" i="7"/>
  <c r="AM7" i="7" s="1"/>
  <c r="AM25" i="12" s="1"/>
  <c r="AM93" i="7" l="1"/>
  <c r="AM94" i="7" s="1"/>
  <c r="AM28" i="7" s="1"/>
  <c r="AM27" i="7" s="1"/>
  <c r="AJ63" i="8"/>
  <c r="AK24" i="7"/>
  <c r="AK23" i="7" s="1"/>
  <c r="AK19" i="7" s="1"/>
  <c r="AL70" i="7"/>
  <c r="AN76" i="7"/>
  <c r="AN39" i="7" s="1"/>
  <c r="AN38" i="7" s="1"/>
  <c r="AN34" i="7" s="1"/>
  <c r="AN99" i="7"/>
  <c r="AN46" i="7" s="1"/>
  <c r="AN45" i="7" s="1"/>
  <c r="AN41" i="7" s="1"/>
  <c r="AK18" i="7" l="1"/>
  <c r="AK6" i="7"/>
  <c r="AL71" i="7"/>
  <c r="AL21" i="7" s="1"/>
  <c r="AL20" i="7" s="1"/>
  <c r="AL78" i="7"/>
  <c r="AL79" i="7" s="1"/>
  <c r="AL50" i="7" s="1"/>
  <c r="AL49" i="7" s="1"/>
  <c r="AL48" i="7" s="1"/>
  <c r="AL8" i="7" s="1"/>
  <c r="AL26" i="12" s="1"/>
  <c r="AM95" i="7"/>
  <c r="AM31" i="7" s="1"/>
  <c r="AM30" i="7" s="1"/>
  <c r="AM26" i="7" s="1"/>
  <c r="AN33" i="7"/>
  <c r="AN7" i="7" s="1"/>
  <c r="AN25" i="12" s="1"/>
  <c r="AL72" i="7" l="1"/>
  <c r="AL24" i="7" s="1"/>
  <c r="AL23" i="7" s="1"/>
  <c r="AL19" i="7" s="1"/>
  <c r="AK24" i="12"/>
  <c r="AK57" i="7"/>
  <c r="AK56" i="7"/>
  <c r="AN93" i="7"/>
  <c r="AN94" i="7" s="1"/>
  <c r="AN28" i="7" s="1"/>
  <c r="AN27" i="7" s="1"/>
  <c r="AM70" i="7" l="1"/>
  <c r="AM71" i="7" s="1"/>
  <c r="AM21" i="7" s="1"/>
  <c r="AM20" i="7" s="1"/>
  <c r="AK63" i="8"/>
  <c r="AL6" i="7"/>
  <c r="AL24" i="12" s="1"/>
  <c r="AL18" i="7"/>
  <c r="AN95" i="7"/>
  <c r="AN31" i="7" s="1"/>
  <c r="AN30" i="7" s="1"/>
  <c r="AN26" i="7" s="1"/>
  <c r="AM78" i="7" l="1"/>
  <c r="AM79" i="7" s="1"/>
  <c r="AM50" i="7" s="1"/>
  <c r="AM49" i="7" s="1"/>
  <c r="AM48" i="7" s="1"/>
  <c r="AM8" i="7" s="1"/>
  <c r="AM26" i="12" s="1"/>
  <c r="AM72" i="7"/>
  <c r="AL57" i="7"/>
  <c r="AL56" i="7"/>
  <c r="AN70" i="7" l="1"/>
  <c r="AM24" i="7"/>
  <c r="AM23" i="7" s="1"/>
  <c r="AM19" i="7" s="1"/>
  <c r="AL63" i="8"/>
  <c r="AN78" i="7" l="1"/>
  <c r="AN79" i="7" s="1"/>
  <c r="AN50" i="7" s="1"/>
  <c r="AN49" i="7" s="1"/>
  <c r="AN48" i="7" s="1"/>
  <c r="AN8" i="7" s="1"/>
  <c r="AN26" i="12" s="1"/>
  <c r="AN71" i="7"/>
  <c r="AN21" i="7" s="1"/>
  <c r="AN20" i="7" s="1"/>
  <c r="AM18" i="7"/>
  <c r="AM6" i="7"/>
  <c r="AM24" i="12" s="1"/>
  <c r="AM56" i="7" l="1"/>
  <c r="AM57" i="7"/>
  <c r="AN72" i="7"/>
  <c r="AN24" i="7" s="1"/>
  <c r="AN23" i="7" s="1"/>
  <c r="AN19" i="7" s="1"/>
  <c r="AN18" i="7" s="1"/>
  <c r="AM63" i="8" l="1"/>
  <c r="AN6" i="7"/>
  <c r="AN24" i="12" s="1"/>
  <c r="AN56" i="7"/>
  <c r="AN57" i="7"/>
  <c r="AN63" i="8" l="1"/>
  <c r="E27" i="1" l="1" a="1"/>
  <c r="E27" i="1"/>
  <c r="F27" i="1" a="1"/>
  <c r="F27" i="1"/>
  <c r="G27" i="1" a="1"/>
  <c r="G27" i="1"/>
  <c r="H27" i="1" a="1"/>
  <c r="H27" i="1"/>
  <c r="I27" i="1" a="1"/>
  <c r="I27" i="1"/>
  <c r="J27" i="1" a="1"/>
  <c r="J27" i="1"/>
  <c r="K27" i="1" a="1"/>
  <c r="K27" i="1"/>
  <c r="L27" i="1" a="1"/>
  <c r="L27" i="1"/>
  <c r="M27" i="1" a="1"/>
  <c r="M27" i="1"/>
  <c r="N27" i="1" a="1"/>
  <c r="N27" i="1"/>
  <c r="O27" i="1" a="1"/>
  <c r="O27" i="1"/>
  <c r="P27" i="1" a="1"/>
  <c r="P27" i="1"/>
  <c r="Q27" i="1" a="1"/>
  <c r="Q27" i="1"/>
  <c r="R27" i="1" a="1"/>
  <c r="R27" i="1"/>
  <c r="S27" i="1" a="1"/>
  <c r="S27" i="1"/>
  <c r="T27" i="1" a="1"/>
  <c r="T27" i="1"/>
  <c r="U27" i="1" a="1"/>
  <c r="U27" i="1"/>
  <c r="V27" i="1" a="1"/>
  <c r="V27" i="1"/>
  <c r="W27" i="1" a="1"/>
  <c r="W27" i="1"/>
  <c r="X27" i="1" a="1"/>
  <c r="X27" i="1"/>
  <c r="Y27" i="1" a="1"/>
  <c r="Y27" i="1"/>
  <c r="Z27" i="1" a="1"/>
  <c r="Z27" i="1"/>
  <c r="AA27" i="1" a="1"/>
  <c r="AA27" i="1"/>
  <c r="AB27" i="1" a="1"/>
  <c r="AB27" i="1"/>
  <c r="AC27" i="1" a="1"/>
  <c r="AC27" i="1"/>
  <c r="AD27" i="1" a="1"/>
  <c r="AD27" i="1"/>
  <c r="AE27" i="1" a="1"/>
  <c r="AE27" i="1"/>
  <c r="AF27" i="1" a="1"/>
  <c r="AF27" i="1"/>
  <c r="AG27" i="1" a="1"/>
  <c r="AG27" i="1"/>
  <c r="AH27" i="1" a="1"/>
  <c r="AH27" i="1"/>
  <c r="AI27" i="1" a="1"/>
  <c r="AI27" i="1"/>
  <c r="AJ27" i="1" a="1"/>
  <c r="AJ27" i="1"/>
  <c r="AK27" i="1" a="1"/>
  <c r="AK27" i="1"/>
  <c r="AL27" i="1" a="1"/>
  <c r="AL27" i="1"/>
  <c r="AM27" i="1" a="1"/>
  <c r="AM27" i="1"/>
  <c r="AN27" i="1" a="1"/>
  <c r="AN27" i="1"/>
  <c r="E5" i="2"/>
  <c r="E6" i="2"/>
  <c r="E7" i="2"/>
  <c r="E8" i="2"/>
  <c r="E9" i="2"/>
  <c r="E10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F40" i="2" a="1"/>
  <c r="F40" i="2"/>
  <c r="G40" i="2" a="1"/>
  <c r="G40" i="2"/>
  <c r="H40" i="2" a="1"/>
  <c r="H40" i="2"/>
  <c r="I40" i="2" a="1"/>
  <c r="I40" i="2"/>
  <c r="J40" i="2" a="1"/>
  <c r="J40" i="2"/>
  <c r="K40" i="2" a="1"/>
  <c r="K40" i="2"/>
  <c r="L40" i="2" a="1"/>
  <c r="L40" i="2"/>
  <c r="M40" i="2" a="1"/>
  <c r="M40" i="2"/>
  <c r="N40" i="2" a="1"/>
  <c r="N40" i="2"/>
  <c r="O40" i="2" a="1"/>
  <c r="O40" i="2"/>
  <c r="P40" i="2" a="1"/>
  <c r="P40" i="2"/>
  <c r="Q40" i="2" a="1"/>
  <c r="Q40" i="2"/>
  <c r="R40" i="2" a="1"/>
  <c r="R40" i="2"/>
  <c r="S40" i="2" a="1"/>
  <c r="S40" i="2"/>
  <c r="T40" i="2" a="1"/>
  <c r="T40" i="2"/>
  <c r="U40" i="2" a="1"/>
  <c r="U40" i="2"/>
  <c r="V40" i="2" a="1"/>
  <c r="V40" i="2"/>
  <c r="W40" i="2" a="1"/>
  <c r="W40" i="2"/>
  <c r="X40" i="2" a="1"/>
  <c r="X40" i="2"/>
  <c r="Y40" i="2" a="1"/>
  <c r="Y40" i="2"/>
  <c r="Z40" i="2" a="1"/>
  <c r="Z40" i="2"/>
  <c r="AA40" i="2" a="1"/>
  <c r="AA40" i="2"/>
  <c r="AB40" i="2" a="1"/>
  <c r="AB40" i="2"/>
  <c r="AC40" i="2" a="1"/>
  <c r="AC40" i="2"/>
  <c r="AD40" i="2" a="1"/>
  <c r="AD40" i="2"/>
  <c r="AE40" i="2" a="1"/>
  <c r="AE40" i="2"/>
  <c r="AF40" i="2" a="1"/>
  <c r="AF40" i="2"/>
  <c r="AG40" i="2" a="1"/>
  <c r="AG40" i="2"/>
  <c r="AH40" i="2" a="1"/>
  <c r="AH40" i="2"/>
  <c r="AI40" i="2" a="1"/>
  <c r="AI40" i="2"/>
  <c r="AJ40" i="2" a="1"/>
  <c r="AJ40" i="2"/>
  <c r="AK40" i="2" a="1"/>
  <c r="AK40" i="2"/>
  <c r="AL40" i="2" a="1"/>
  <c r="AL40" i="2"/>
  <c r="AM40" i="2" a="1"/>
  <c r="AM40" i="2"/>
  <c r="AN40" i="2" a="1"/>
  <c r="AN40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AL5" i="12"/>
  <c r="AM5" i="12"/>
  <c r="AN5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AD6" i="12"/>
  <c r="AE6" i="12"/>
  <c r="AF6" i="12"/>
  <c r="AG6" i="12"/>
  <c r="AH6" i="12"/>
  <c r="AI6" i="12"/>
  <c r="AJ6" i="12"/>
  <c r="AK6" i="12"/>
  <c r="AL6" i="12"/>
  <c r="AM6" i="12"/>
  <c r="AN6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AL7" i="12"/>
  <c r="AM7" i="12"/>
  <c r="AN7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AD8" i="12"/>
  <c r="AE8" i="12"/>
  <c r="AF8" i="12"/>
  <c r="AG8" i="12"/>
  <c r="AH8" i="12"/>
  <c r="AI8" i="12"/>
  <c r="AJ8" i="12"/>
  <c r="AK8" i="12"/>
  <c r="AL8" i="12"/>
  <c r="AM8" i="12"/>
  <c r="AN8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AD9" i="12"/>
  <c r="AE9" i="12"/>
  <c r="AF9" i="12"/>
  <c r="AG9" i="12"/>
  <c r="AH9" i="12"/>
  <c r="AI9" i="12"/>
  <c r="AJ9" i="12"/>
  <c r="AK9" i="12"/>
  <c r="AL9" i="12"/>
  <c r="AM9" i="12"/>
  <c r="AN9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AD10" i="12"/>
  <c r="AE10" i="12"/>
  <c r="AF10" i="12"/>
  <c r="AG10" i="12"/>
  <c r="AH10" i="12"/>
  <c r="AI10" i="12"/>
  <c r="AJ10" i="12"/>
  <c r="AK10" i="12"/>
  <c r="AL10" i="12"/>
  <c r="AM10" i="12"/>
  <c r="AN10" i="12"/>
  <c r="F11" i="12"/>
  <c r="G11" i="12"/>
  <c r="H11" i="12"/>
  <c r="I11" i="12"/>
  <c r="J11" i="12"/>
  <c r="K11" i="12"/>
  <c r="L11" i="12"/>
  <c r="M11" i="12"/>
  <c r="N11" i="12"/>
  <c r="O11" i="12"/>
  <c r="P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AD11" i="12"/>
  <c r="AE11" i="12"/>
  <c r="AF11" i="12"/>
  <c r="AG11" i="12"/>
  <c r="AH11" i="12"/>
  <c r="AI11" i="12"/>
  <c r="AJ11" i="12"/>
  <c r="AK11" i="12"/>
  <c r="AL11" i="12"/>
  <c r="AM11" i="12"/>
  <c r="AN11" i="12"/>
  <c r="E12" i="12"/>
  <c r="F12" i="12"/>
  <c r="G12" i="12"/>
  <c r="H12" i="12"/>
  <c r="I12" i="12"/>
  <c r="J12" i="12"/>
  <c r="K12" i="12"/>
  <c r="L12" i="12"/>
  <c r="M12" i="12"/>
  <c r="N12" i="12"/>
  <c r="O12" i="12"/>
  <c r="P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AD12" i="12"/>
  <c r="AE12" i="12"/>
  <c r="AF12" i="12"/>
  <c r="AG12" i="12"/>
  <c r="AH12" i="12"/>
  <c r="AI12" i="12"/>
  <c r="AJ12" i="12"/>
  <c r="AK12" i="12"/>
  <c r="AL12" i="12"/>
  <c r="AM12" i="12"/>
  <c r="AN12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/>
  <c r="AI13" i="12"/>
  <c r="AJ13" i="12"/>
  <c r="AK13" i="12"/>
  <c r="AL13" i="12"/>
  <c r="AM13" i="12"/>
  <c r="AN13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/>
  <c r="AH15" i="12"/>
  <c r="AI15" i="12"/>
  <c r="AJ15" i="12"/>
  <c r="AK15" i="12"/>
  <c r="AL15" i="12"/>
  <c r="AM15" i="12"/>
  <c r="AN15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AD16" i="12"/>
  <c r="AE16" i="12"/>
  <c r="AF16" i="12"/>
  <c r="AG16" i="12"/>
  <c r="AH16" i="12"/>
  <c r="AI16" i="12"/>
  <c r="AJ16" i="12"/>
  <c r="AK16" i="12"/>
  <c r="AL16" i="12"/>
  <c r="AM16" i="12"/>
  <c r="AN16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AD17" i="12"/>
  <c r="AE17" i="12"/>
  <c r="AF17" i="12"/>
  <c r="AG17" i="12"/>
  <c r="AH17" i="12"/>
  <c r="AI17" i="12"/>
  <c r="AJ17" i="12"/>
  <c r="AK17" i="12"/>
  <c r="AL17" i="12"/>
  <c r="AM17" i="12"/>
  <c r="AN17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AD18" i="12"/>
  <c r="AE18" i="12"/>
  <c r="AF18" i="12"/>
  <c r="AG18" i="12"/>
  <c r="AH18" i="12"/>
  <c r="AI18" i="12"/>
  <c r="AJ18" i="12"/>
  <c r="AK18" i="12"/>
  <c r="AL18" i="12"/>
  <c r="AM18" i="12"/>
  <c r="AN18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AD19" i="12"/>
  <c r="AE19" i="12"/>
  <c r="AF19" i="12"/>
  <c r="AG19" i="12"/>
  <c r="AH19" i="12"/>
  <c r="AI19" i="12"/>
  <c r="AJ19" i="12"/>
  <c r="AK19" i="12"/>
  <c r="AL19" i="12"/>
  <c r="AM19" i="12"/>
  <c r="AN19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AD22" i="12"/>
  <c r="AE22" i="12"/>
  <c r="AF22" i="12"/>
  <c r="AG22" i="12"/>
  <c r="AH22" i="12"/>
  <c r="AI22" i="12"/>
  <c r="AJ22" i="12"/>
  <c r="AK22" i="12"/>
  <c r="AL22" i="12"/>
  <c r="AM22" i="12"/>
  <c r="AN22" i="12"/>
  <c r="F27" i="12"/>
  <c r="G27" i="12"/>
  <c r="H27" i="12"/>
  <c r="I27" i="12"/>
  <c r="J27" i="12"/>
  <c r="K27" i="12"/>
  <c r="L27" i="12"/>
  <c r="M27" i="12"/>
  <c r="N27" i="12"/>
  <c r="O27" i="12"/>
  <c r="P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AD27" i="12"/>
  <c r="AE27" i="12"/>
  <c r="AF27" i="12"/>
  <c r="AG27" i="12"/>
  <c r="AH27" i="12"/>
  <c r="AI27" i="12"/>
  <c r="AJ27" i="12"/>
  <c r="AK27" i="12"/>
  <c r="AL27" i="12"/>
  <c r="AM27" i="12"/>
  <c r="AN27" i="12"/>
  <c r="F28" i="12"/>
  <c r="G28" i="12"/>
  <c r="H28" i="12"/>
  <c r="I28" i="12"/>
  <c r="J28" i="12"/>
  <c r="K28" i="12"/>
  <c r="L28" i="12"/>
  <c r="M28" i="12"/>
  <c r="N28" i="12"/>
  <c r="O28" i="12"/>
  <c r="P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AD28" i="12"/>
  <c r="AE28" i="12"/>
  <c r="AF28" i="12"/>
  <c r="AG28" i="12"/>
  <c r="AH28" i="12"/>
  <c r="AI28" i="12"/>
  <c r="AJ28" i="12"/>
  <c r="AK28" i="12"/>
  <c r="AL28" i="12"/>
  <c r="AM28" i="12"/>
  <c r="AN28" i="12"/>
  <c r="F32" i="12"/>
  <c r="G32" i="12"/>
  <c r="H32" i="12"/>
  <c r="I32" i="12"/>
  <c r="J32" i="12"/>
  <c r="K32" i="12"/>
  <c r="L32" i="12"/>
  <c r="M32" i="12"/>
  <c r="N32" i="12"/>
  <c r="O32" i="12"/>
  <c r="P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AD32" i="12"/>
  <c r="AE32" i="12"/>
  <c r="AF32" i="12"/>
  <c r="AG32" i="12"/>
  <c r="AH32" i="12"/>
  <c r="AI32" i="12"/>
  <c r="AJ32" i="12"/>
  <c r="AK32" i="12"/>
  <c r="AL32" i="12"/>
  <c r="AM32" i="12"/>
  <c r="AN32" i="12"/>
  <c r="F33" i="12"/>
  <c r="G33" i="12"/>
  <c r="H33" i="12"/>
  <c r="I33" i="12"/>
  <c r="J33" i="12"/>
  <c r="K33" i="12"/>
  <c r="L33" i="12"/>
  <c r="M33" i="12"/>
  <c r="N33" i="12"/>
  <c r="O33" i="12"/>
  <c r="P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AD33" i="12"/>
  <c r="AE33" i="12"/>
  <c r="AF33" i="12"/>
  <c r="AG33" i="12"/>
  <c r="AH33" i="12"/>
  <c r="AI33" i="12"/>
  <c r="AJ33" i="12"/>
  <c r="AK33" i="12"/>
  <c r="AL33" i="12"/>
  <c r="AM33" i="12"/>
  <c r="AN33" i="12"/>
  <c r="F35" i="12"/>
  <c r="G35" i="12"/>
  <c r="H35" i="12"/>
  <c r="I35" i="12"/>
  <c r="J35" i="12"/>
  <c r="K35" i="12"/>
  <c r="L35" i="12"/>
  <c r="M35" i="12"/>
  <c r="N35" i="12"/>
  <c r="O35" i="12"/>
  <c r="P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AD35" i="12"/>
  <c r="AE35" i="12"/>
  <c r="AF35" i="12"/>
  <c r="AG35" i="12"/>
  <c r="AH35" i="12"/>
  <c r="AI35" i="12"/>
  <c r="AJ35" i="12"/>
  <c r="AK35" i="12"/>
  <c r="AL35" i="12"/>
  <c r="AM35" i="12"/>
  <c r="AN35" i="12"/>
  <c r="F36" i="12"/>
  <c r="G36" i="12"/>
  <c r="H36" i="12"/>
  <c r="I36" i="12"/>
  <c r="J36" i="12"/>
  <c r="K36" i="12"/>
  <c r="L36" i="12"/>
  <c r="M36" i="12"/>
  <c r="N36" i="12"/>
  <c r="O36" i="12"/>
  <c r="P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AD36" i="12"/>
  <c r="AE36" i="12"/>
  <c r="AF36" i="12"/>
  <c r="AG36" i="12"/>
  <c r="AH36" i="12"/>
  <c r="AI36" i="12"/>
  <c r="AJ36" i="12"/>
  <c r="AK36" i="12"/>
  <c r="AL36" i="12"/>
  <c r="AM36" i="12"/>
  <c r="AN36" i="12"/>
  <c r="F37" i="12"/>
  <c r="G37" i="12"/>
  <c r="H37" i="12"/>
  <c r="I37" i="12"/>
  <c r="J37" i="12"/>
  <c r="K37" i="12"/>
  <c r="L37" i="12"/>
  <c r="M37" i="12"/>
  <c r="N37" i="12"/>
  <c r="O37" i="12"/>
  <c r="P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AD37" i="12"/>
  <c r="AE37" i="12"/>
  <c r="AF37" i="12"/>
  <c r="AG37" i="12"/>
  <c r="AH37" i="12"/>
  <c r="AI37" i="12"/>
  <c r="AJ37" i="12"/>
  <c r="AK37" i="12"/>
  <c r="AL37" i="12"/>
  <c r="AM37" i="12"/>
  <c r="AN37" i="12"/>
  <c r="F38" i="12"/>
  <c r="G38" i="12"/>
  <c r="H38" i="12"/>
  <c r="I38" i="12"/>
  <c r="J38" i="12"/>
  <c r="K38" i="12"/>
  <c r="L38" i="12"/>
  <c r="M38" i="12"/>
  <c r="N38" i="12"/>
  <c r="O38" i="12"/>
  <c r="P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AD38" i="12"/>
  <c r="AE38" i="12"/>
  <c r="AF38" i="12"/>
  <c r="AG38" i="12"/>
  <c r="AH38" i="12"/>
  <c r="AI38" i="12"/>
  <c r="AJ38" i="12"/>
  <c r="AK38" i="12"/>
  <c r="AL38" i="12"/>
  <c r="AM38" i="12"/>
  <c r="AN38" i="12"/>
  <c r="E39" i="12"/>
  <c r="F39" i="12"/>
  <c r="G39" i="12"/>
  <c r="H39" i="12"/>
  <c r="I39" i="12"/>
  <c r="J39" i="12"/>
  <c r="K39" i="12"/>
  <c r="L39" i="12"/>
  <c r="M39" i="12"/>
  <c r="N39" i="12"/>
  <c r="O39" i="12"/>
  <c r="P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AD39" i="12"/>
  <c r="AE39" i="12"/>
  <c r="AF39" i="12"/>
  <c r="AG39" i="12"/>
  <c r="AH39" i="12"/>
  <c r="AI39" i="12"/>
  <c r="AJ39" i="12"/>
  <c r="AK39" i="12"/>
  <c r="AL39" i="12"/>
  <c r="AM39" i="12"/>
  <c r="AN39" i="12"/>
  <c r="E40" i="12"/>
  <c r="F40" i="12"/>
  <c r="G40" i="12"/>
  <c r="H40" i="12"/>
  <c r="I40" i="12"/>
  <c r="J40" i="12"/>
  <c r="K40" i="12"/>
  <c r="L40" i="12"/>
  <c r="M40" i="12"/>
  <c r="N40" i="12"/>
  <c r="O40" i="12"/>
  <c r="P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AD40" i="12"/>
  <c r="AE40" i="12"/>
  <c r="AF40" i="12"/>
  <c r="AG40" i="12"/>
  <c r="AH40" i="12"/>
  <c r="AI40" i="12"/>
  <c r="AJ40" i="12"/>
  <c r="AK40" i="12"/>
  <c r="AL40" i="12"/>
  <c r="AM40" i="12"/>
  <c r="AN40" i="12"/>
  <c r="E41" i="12"/>
  <c r="F41" i="12"/>
  <c r="G41" i="12"/>
  <c r="H41" i="12"/>
  <c r="I41" i="12"/>
  <c r="J41" i="12"/>
  <c r="K41" i="12"/>
  <c r="L41" i="12"/>
  <c r="M41" i="12"/>
  <c r="N41" i="12"/>
  <c r="O41" i="12"/>
  <c r="P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AD41" i="12"/>
  <c r="AE41" i="12"/>
  <c r="AF41" i="12"/>
  <c r="AG41" i="12"/>
  <c r="AH41" i="12"/>
  <c r="AI41" i="12"/>
  <c r="AJ41" i="12"/>
  <c r="AK41" i="12"/>
  <c r="AL41" i="12"/>
  <c r="AM41" i="12"/>
  <c r="AN41" i="12"/>
  <c r="F42" i="12"/>
  <c r="G42" i="12"/>
  <c r="H42" i="12"/>
  <c r="I42" i="12"/>
  <c r="J42" i="12"/>
  <c r="K42" i="12"/>
  <c r="L42" i="12"/>
  <c r="M42" i="12"/>
  <c r="N42" i="12"/>
  <c r="O42" i="12"/>
  <c r="P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AD42" i="12"/>
  <c r="AE42" i="12"/>
  <c r="AF42" i="12"/>
  <c r="AG42" i="12"/>
  <c r="AH42" i="12"/>
  <c r="AI42" i="12"/>
  <c r="AJ42" i="12"/>
  <c r="AK42" i="12"/>
  <c r="AL42" i="12"/>
  <c r="AM42" i="12"/>
  <c r="AN42" i="12"/>
  <c r="F43" i="12"/>
  <c r="G43" i="12"/>
  <c r="H43" i="12"/>
  <c r="I43" i="12"/>
  <c r="J43" i="12"/>
  <c r="K43" i="12"/>
  <c r="L43" i="12"/>
  <c r="M43" i="12"/>
  <c r="N43" i="12"/>
  <c r="O43" i="12"/>
  <c r="P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AD43" i="12"/>
  <c r="AE43" i="12"/>
  <c r="AF43" i="12"/>
  <c r="AG43" i="12"/>
  <c r="AH43" i="12"/>
  <c r="AI43" i="12"/>
  <c r="AJ43" i="12"/>
  <c r="AK43" i="12"/>
  <c r="AL43" i="12"/>
  <c r="AM43" i="12"/>
  <c r="AN43" i="12"/>
  <c r="E44" i="12"/>
  <c r="F44" i="12"/>
  <c r="G44" i="12"/>
  <c r="H44" i="12"/>
  <c r="I44" i="12"/>
  <c r="J44" i="12"/>
  <c r="K44" i="12"/>
  <c r="L44" i="12"/>
  <c r="M44" i="12"/>
  <c r="N44" i="12"/>
  <c r="O44" i="12"/>
  <c r="P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AD44" i="12"/>
  <c r="AE44" i="12"/>
  <c r="AF44" i="12"/>
  <c r="AG44" i="12"/>
  <c r="AH44" i="12"/>
  <c r="AI44" i="12"/>
  <c r="AJ44" i="12"/>
  <c r="AK44" i="12"/>
  <c r="AL44" i="12"/>
  <c r="AM44" i="12"/>
  <c r="AN44" i="12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F5" i="13"/>
  <c r="AG5" i="13"/>
  <c r="AH5" i="13"/>
  <c r="AI5" i="13"/>
  <c r="AJ5" i="13"/>
  <c r="AK5" i="13"/>
  <c r="AL5" i="13"/>
  <c r="AM5" i="13"/>
  <c r="AN5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F6" i="13"/>
  <c r="AG6" i="13"/>
  <c r="AH6" i="13"/>
  <c r="AI6" i="13"/>
  <c r="AJ6" i="13"/>
  <c r="AK6" i="13"/>
  <c r="AL6" i="13"/>
  <c r="AM6" i="13"/>
  <c r="AN6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F7" i="13"/>
  <c r="AG7" i="13"/>
  <c r="AH7" i="13"/>
  <c r="AI7" i="13"/>
  <c r="AJ7" i="13"/>
  <c r="AK7" i="13"/>
  <c r="AL7" i="13"/>
  <c r="AM7" i="13"/>
  <c r="AN7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F13" i="13"/>
  <c r="AG13" i="13"/>
  <c r="AH13" i="13"/>
  <c r="AI13" i="13"/>
  <c r="AJ13" i="13"/>
  <c r="AK13" i="13"/>
  <c r="AL13" i="13"/>
  <c r="AM13" i="13"/>
  <c r="AN13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F15" i="13"/>
  <c r="AG15" i="13"/>
  <c r="AH15" i="13"/>
  <c r="AI15" i="13"/>
  <c r="AJ15" i="13"/>
  <c r="AK15" i="13"/>
  <c r="AL15" i="13"/>
  <c r="AM15" i="13"/>
  <c r="AN15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F16" i="13"/>
  <c r="AG16" i="13"/>
  <c r="AH16" i="13"/>
  <c r="AI16" i="13"/>
  <c r="AJ16" i="13"/>
  <c r="AK16" i="13"/>
  <c r="AL16" i="13"/>
  <c r="AM16" i="13"/>
  <c r="AN16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F17" i="13"/>
  <c r="AG17" i="13"/>
  <c r="AH17" i="13"/>
  <c r="AI17" i="13"/>
  <c r="AJ17" i="13"/>
  <c r="AK17" i="13"/>
  <c r="AL17" i="13"/>
  <c r="AM17" i="13"/>
  <c r="AN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F18" i="13"/>
  <c r="AG18" i="13"/>
  <c r="AH18" i="13"/>
  <c r="AI18" i="13"/>
  <c r="AJ18" i="13"/>
  <c r="AK18" i="13"/>
  <c r="AL18" i="13"/>
  <c r="AM18" i="13"/>
  <c r="AN18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F19" i="13"/>
  <c r="AG19" i="13"/>
  <c r="AH19" i="13"/>
  <c r="AI19" i="13"/>
  <c r="AJ19" i="13"/>
  <c r="AK19" i="13"/>
  <c r="AL19" i="13"/>
  <c r="AM19" i="13"/>
  <c r="AN19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F20" i="13"/>
  <c r="AG20" i="13"/>
  <c r="AH20" i="13"/>
  <c r="AI20" i="13"/>
  <c r="AJ20" i="13"/>
  <c r="AK20" i="13"/>
  <c r="AL20" i="13"/>
  <c r="AM20" i="13"/>
  <c r="AN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F21" i="13"/>
  <c r="AG21" i="13"/>
  <c r="AH21" i="13"/>
  <c r="AI21" i="13"/>
  <c r="AJ21" i="13"/>
  <c r="AK21" i="13"/>
  <c r="AL21" i="13"/>
  <c r="AM21" i="13"/>
  <c r="AN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F22" i="13"/>
  <c r="AG22" i="13"/>
  <c r="AH22" i="13"/>
  <c r="AI22" i="13"/>
  <c r="AJ22" i="13"/>
  <c r="AK22" i="13"/>
  <c r="AL22" i="13"/>
  <c r="AM22" i="13"/>
  <c r="AN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F23" i="13"/>
  <c r="AG23" i="13"/>
  <c r="AH23" i="13"/>
  <c r="AI23" i="13"/>
  <c r="AJ23" i="13"/>
  <c r="AK23" i="13"/>
  <c r="AL23" i="13"/>
  <c r="AM23" i="13"/>
  <c r="AN23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F24" i="13"/>
  <c r="AG24" i="13"/>
  <c r="AH24" i="13"/>
  <c r="AI24" i="13"/>
  <c r="AJ24" i="13"/>
  <c r="AK24" i="13"/>
  <c r="AL24" i="13"/>
  <c r="AM24" i="13"/>
  <c r="AN24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E25" i="13"/>
  <c r="AF25" i="13"/>
  <c r="AG25" i="13"/>
  <c r="AH25" i="13"/>
  <c r="AI25" i="13"/>
  <c r="AJ25" i="13"/>
  <c r="AK25" i="13"/>
  <c r="AL25" i="13"/>
  <c r="AM25" i="13"/>
  <c r="AN25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F27" i="13"/>
  <c r="AG27" i="13"/>
  <c r="AH27" i="13"/>
  <c r="AI27" i="13"/>
  <c r="AJ27" i="13"/>
  <c r="AK27" i="13"/>
  <c r="AL27" i="13"/>
  <c r="AM27" i="13"/>
  <c r="AN27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F28" i="13"/>
  <c r="AG28" i="13"/>
  <c r="AH28" i="13"/>
  <c r="AI28" i="13"/>
  <c r="AJ28" i="13"/>
  <c r="AK28" i="13"/>
  <c r="AL28" i="13"/>
  <c r="AM28" i="13"/>
  <c r="AN28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E32" i="13"/>
  <c r="AF32" i="13"/>
  <c r="AG32" i="13"/>
  <c r="AH32" i="13"/>
  <c r="AI32" i="13"/>
  <c r="AJ32" i="13"/>
  <c r="AK32" i="13"/>
  <c r="AL32" i="13"/>
  <c r="AM32" i="13"/>
  <c r="AN32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E33" i="13"/>
  <c r="AF33" i="13"/>
  <c r="AG33" i="13"/>
  <c r="AH33" i="13"/>
  <c r="AI33" i="13"/>
  <c r="AJ33" i="13"/>
  <c r="AK33" i="13"/>
  <c r="AL33" i="13"/>
  <c r="AM33" i="13"/>
  <c r="AN33" i="13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F5" i="14"/>
  <c r="AG5" i="14"/>
  <c r="AH5" i="14"/>
  <c r="AI5" i="14"/>
  <c r="AJ5" i="14"/>
  <c r="AK5" i="14"/>
  <c r="AL5" i="14"/>
  <c r="AM5" i="14"/>
  <c r="AN5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AH6" i="14"/>
  <c r="AI6" i="14"/>
  <c r="AJ6" i="14"/>
  <c r="AK6" i="14"/>
  <c r="AL6" i="14"/>
  <c r="AM6" i="14"/>
  <c r="AN6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AH7" i="14"/>
  <c r="AI7" i="14"/>
  <c r="AJ7" i="14"/>
  <c r="AK7" i="14"/>
  <c r="AL7" i="14"/>
  <c r="AM7" i="14"/>
  <c r="AN7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AH8" i="14"/>
  <c r="AI8" i="14"/>
  <c r="AJ8" i="14"/>
  <c r="AK8" i="14"/>
  <c r="AL8" i="14"/>
  <c r="AM8" i="14"/>
  <c r="AN8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AH10" i="14"/>
  <c r="AI10" i="14"/>
  <c r="AJ10" i="14"/>
  <c r="AK10" i="14"/>
  <c r="AL10" i="14"/>
  <c r="AM10" i="14"/>
  <c r="AN10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AH13" i="14"/>
  <c r="AI13" i="14"/>
  <c r="AJ13" i="14"/>
  <c r="AK13" i="14"/>
  <c r="AL13" i="14"/>
  <c r="AM13" i="14"/>
  <c r="AN13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AH15" i="14"/>
  <c r="AI15" i="14"/>
  <c r="AJ15" i="14"/>
  <c r="AK15" i="14"/>
  <c r="AL15" i="14"/>
  <c r="AM15" i="14"/>
  <c r="AN15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AH16" i="14"/>
  <c r="AI16" i="14"/>
  <c r="AJ16" i="14"/>
  <c r="AK16" i="14"/>
  <c r="AL16" i="14"/>
  <c r="AM16" i="14"/>
  <c r="AN16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AH17" i="14"/>
  <c r="AI17" i="14"/>
  <c r="AJ17" i="14"/>
  <c r="AK17" i="14"/>
  <c r="AL17" i="14"/>
  <c r="AM17" i="14"/>
  <c r="AN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F18" i="14"/>
  <c r="AG18" i="14"/>
  <c r="AH18" i="14"/>
  <c r="AI18" i="14"/>
  <c r="AJ18" i="14"/>
  <c r="AK18" i="14"/>
  <c r="AL18" i="14"/>
  <c r="AM18" i="14"/>
  <c r="AN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AH19" i="14"/>
  <c r="AI19" i="14"/>
  <c r="AJ19" i="14"/>
  <c r="AK19" i="14"/>
  <c r="AL19" i="14"/>
  <c r="AM19" i="14"/>
  <c r="AN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AI20" i="14"/>
  <c r="AJ20" i="14"/>
  <c r="AK20" i="14"/>
  <c r="AL20" i="14"/>
  <c r="AM20" i="14"/>
  <c r="AN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AI21" i="14"/>
  <c r="AJ21" i="14"/>
  <c r="AK21" i="14"/>
  <c r="AL21" i="14"/>
  <c r="AM21" i="14"/>
  <c r="AN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AI22" i="14"/>
  <c r="AJ22" i="14"/>
  <c r="AK22" i="14"/>
  <c r="AL22" i="14"/>
  <c r="AM22" i="14"/>
  <c r="AN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AI23" i="14"/>
  <c r="AJ23" i="14"/>
  <c r="AK23" i="14"/>
  <c r="AL23" i="14"/>
  <c r="AM23" i="14"/>
  <c r="AN23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AI26" i="14"/>
  <c r="AJ26" i="14"/>
  <c r="AK26" i="14"/>
  <c r="AL26" i="14"/>
  <c r="AM26" i="14"/>
  <c r="AN26" i="14"/>
  <c r="F27" i="14"/>
  <c r="G27" i="14"/>
  <c r="H27" i="14"/>
  <c r="I27" i="14"/>
  <c r="J27" i="14"/>
  <c r="K27" i="14"/>
  <c r="L27" i="14"/>
  <c r="M27" i="14"/>
  <c r="N27" i="14"/>
  <c r="O27" i="14"/>
  <c r="P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AH27" i="14"/>
  <c r="AI27" i="14"/>
  <c r="AJ27" i="14"/>
  <c r="AK27" i="14"/>
  <c r="AL27" i="14"/>
  <c r="AM27" i="14"/>
  <c r="AN27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AH30" i="14"/>
  <c r="AI30" i="14"/>
  <c r="AJ30" i="14"/>
  <c r="AK30" i="14"/>
  <c r="AL30" i="14"/>
  <c r="AM30" i="14"/>
  <c r="AN30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AI31" i="14"/>
  <c r="AJ31" i="14"/>
  <c r="AK31" i="14"/>
  <c r="AL31" i="14"/>
  <c r="AM31" i="14"/>
  <c r="AN31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AH32" i="14"/>
  <c r="AI32" i="14"/>
  <c r="AJ32" i="14"/>
  <c r="AK32" i="14"/>
  <c r="AL32" i="14"/>
  <c r="AM32" i="14"/>
  <c r="AN32" i="14"/>
  <c r="D4" i="31"/>
  <c r="D6" i="31"/>
  <c r="D10" i="31"/>
  <c r="D13" i="31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F64" i="8"/>
  <c r="AG64" i="8"/>
  <c r="AH64" i="8"/>
  <c r="AI64" i="8"/>
  <c r="AJ64" i="8"/>
  <c r="AK64" i="8"/>
  <c r="AL64" i="8"/>
  <c r="AM64" i="8"/>
  <c r="AN64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F65" i="8"/>
  <c r="AG65" i="8"/>
  <c r="AH65" i="8"/>
  <c r="AI65" i="8"/>
  <c r="AJ65" i="8"/>
  <c r="AK65" i="8"/>
  <c r="AL65" i="8"/>
  <c r="AM65" i="8"/>
  <c r="AN65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F66" i="8"/>
  <c r="AG66" i="8"/>
  <c r="AH66" i="8"/>
  <c r="AI66" i="8"/>
  <c r="AJ66" i="8"/>
  <c r="AK66" i="8"/>
  <c r="AL66" i="8"/>
  <c r="AM66" i="8"/>
  <c r="AN66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F67" i="8"/>
  <c r="AG67" i="8"/>
  <c r="AH67" i="8"/>
  <c r="AI67" i="8"/>
  <c r="AJ67" i="8"/>
  <c r="AK67" i="8"/>
  <c r="AL67" i="8"/>
  <c r="AM67" i="8"/>
  <c r="AN67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F76" i="8"/>
  <c r="AG76" i="8"/>
  <c r="AH76" i="8"/>
  <c r="AI76" i="8"/>
  <c r="AJ76" i="8"/>
  <c r="AK76" i="8"/>
  <c r="AL76" i="8"/>
  <c r="AM76" i="8"/>
  <c r="AN76" i="8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F5" i="21"/>
  <c r="G5" i="21"/>
  <c r="H5" i="21"/>
  <c r="I5" i="21"/>
  <c r="J5" i="21"/>
  <c r="K5" i="21"/>
  <c r="L5" i="21"/>
  <c r="M5" i="21"/>
  <c r="N5" i="21"/>
  <c r="O5" i="21"/>
  <c r="P5" i="21"/>
  <c r="Q5" i="21"/>
  <c r="R5" i="21"/>
  <c r="S5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AG5" i="21"/>
  <c r="AH5" i="21"/>
  <c r="AI5" i="21"/>
  <c r="AJ5" i="21"/>
  <c r="AK5" i="21"/>
  <c r="AL5" i="21"/>
  <c r="AM5" i="21"/>
  <c r="AN5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Y6" i="21"/>
  <c r="Z6" i="21"/>
  <c r="AA6" i="21"/>
  <c r="AB6" i="21"/>
  <c r="AC6" i="21"/>
  <c r="AD6" i="21"/>
  <c r="AE6" i="21"/>
  <c r="AF6" i="21"/>
  <c r="AG6" i="21"/>
  <c r="AH6" i="21"/>
  <c r="AI6" i="21"/>
  <c r="AJ6" i="21"/>
  <c r="AK6" i="21"/>
  <c r="AL6" i="21"/>
  <c r="AM6" i="21"/>
  <c r="AN6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AF8" i="21"/>
  <c r="AG8" i="21"/>
  <c r="AH8" i="21"/>
  <c r="AI8" i="21"/>
  <c r="AJ8" i="21"/>
  <c r="AK8" i="21"/>
  <c r="AL8" i="21"/>
  <c r="AM8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F10" i="21"/>
  <c r="AG10" i="21"/>
  <c r="AH10" i="21"/>
  <c r="AI10" i="21"/>
  <c r="AJ10" i="21"/>
  <c r="AK10" i="21"/>
  <c r="AL10" i="21"/>
  <c r="AM10" i="21"/>
  <c r="AN10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E21" i="21"/>
  <c r="F21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/>
  <c r="AD25" i="21"/>
  <c r="AE25" i="21"/>
  <c r="AF25" i="21"/>
  <c r="AG25" i="21"/>
  <c r="AH25" i="21"/>
  <c r="AI25" i="21"/>
  <c r="AJ25" i="21"/>
  <c r="AK25" i="21"/>
  <c r="AL25" i="21"/>
  <c r="AM25" i="21"/>
  <c r="AN25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/>
  <c r="AD26" i="21"/>
  <c r="AE26" i="21"/>
  <c r="AF26" i="21"/>
  <c r="AG26" i="21"/>
  <c r="AH26" i="21"/>
  <c r="AI26" i="21"/>
  <c r="AJ26" i="21"/>
  <c r="AK26" i="21"/>
  <c r="AL26" i="21"/>
  <c r="AM26" i="21"/>
  <c r="AN26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/>
  <c r="AD30" i="21"/>
  <c r="AE30" i="21"/>
  <c r="AF30" i="21"/>
  <c r="AG30" i="21"/>
  <c r="AH30" i="21"/>
  <c r="AI30" i="21"/>
  <c r="AJ30" i="21"/>
  <c r="AK30" i="21"/>
  <c r="AL30" i="21"/>
  <c r="AM30" i="21"/>
  <c r="AN30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/>
  <c r="AD31" i="21"/>
  <c r="AE31" i="21"/>
  <c r="AF31" i="21"/>
  <c r="AG31" i="21"/>
  <c r="AH31" i="21"/>
  <c r="AI31" i="21"/>
  <c r="AJ31" i="21"/>
  <c r="AK31" i="21"/>
  <c r="AL31" i="21"/>
  <c r="AM31" i="21"/>
  <c r="AN31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T37" i="21"/>
  <c r="U37" i="21"/>
  <c r="V37" i="21"/>
  <c r="W37" i="21"/>
  <c r="X37" i="21"/>
  <c r="Y37" i="21"/>
  <c r="Z37" i="21"/>
  <c r="AA37" i="21"/>
  <c r="AB37" i="21"/>
  <c r="AC37" i="21"/>
  <c r="AD37" i="21"/>
  <c r="AE37" i="21"/>
  <c r="AF37" i="21"/>
  <c r="AG37" i="21"/>
  <c r="AH37" i="21"/>
  <c r="AI37" i="21"/>
  <c r="AJ37" i="21"/>
  <c r="AK37" i="21"/>
  <c r="AL37" i="21"/>
  <c r="AM37" i="21"/>
  <c r="AN37" i="21"/>
  <c r="U38" i="21"/>
  <c r="V38" i="21"/>
  <c r="W38" i="21"/>
  <c r="X38" i="21"/>
  <c r="Y38" i="21"/>
  <c r="Z38" i="21"/>
  <c r="AA38" i="21"/>
  <c r="AB38" i="21"/>
  <c r="AC38" i="21"/>
  <c r="AD38" i="21"/>
  <c r="AE38" i="21"/>
  <c r="AF38" i="21"/>
  <c r="AG38" i="21"/>
  <c r="AH38" i="21"/>
  <c r="AI38" i="21"/>
  <c r="AJ38" i="21"/>
  <c r="AK38" i="21"/>
  <c r="AL38" i="21"/>
  <c r="AM38" i="21"/>
  <c r="AN38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A44" i="21"/>
  <c r="AB44" i="21"/>
  <c r="AC44" i="21"/>
  <c r="AD44" i="21"/>
  <c r="AE44" i="21"/>
  <c r="AF44" i="21"/>
  <c r="AG44" i="21"/>
  <c r="AH44" i="21"/>
  <c r="AI44" i="21"/>
  <c r="AJ44" i="21"/>
  <c r="AK44" i="21"/>
  <c r="AL44" i="21"/>
  <c r="AM44" i="21"/>
  <c r="AN44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C46" i="21"/>
  <c r="AD46" i="21"/>
  <c r="AE46" i="21"/>
  <c r="AF46" i="21"/>
  <c r="AG46" i="21"/>
  <c r="AH46" i="21"/>
  <c r="AI46" i="21"/>
  <c r="AJ46" i="21"/>
  <c r="AK46" i="21"/>
  <c r="AL46" i="21"/>
  <c r="AM46" i="21"/>
  <c r="AN46" i="21"/>
  <c r="AD47" i="21"/>
  <c r="AE47" i="21"/>
  <c r="AF47" i="21"/>
  <c r="AG47" i="21"/>
  <c r="AH47" i="21"/>
  <c r="AI47" i="21"/>
  <c r="AJ47" i="21"/>
  <c r="AK47" i="21"/>
  <c r="AL47" i="21"/>
  <c r="AM47" i="21"/>
  <c r="AN47" i="21"/>
  <c r="AE48" i="21"/>
  <c r="AF48" i="21"/>
  <c r="AG48" i="21"/>
  <c r="AH48" i="21"/>
  <c r="AI48" i="21"/>
  <c r="AJ48" i="21"/>
  <c r="AK48" i="21"/>
  <c r="AL48" i="21"/>
  <c r="AM48" i="21"/>
  <c r="AN48" i="21"/>
  <c r="AF49" i="21"/>
  <c r="AG49" i="21"/>
  <c r="AH49" i="21"/>
  <c r="AI49" i="21"/>
  <c r="AJ49" i="21"/>
  <c r="AK49" i="21"/>
  <c r="AL49" i="21"/>
  <c r="AM49" i="21"/>
  <c r="AN49" i="21"/>
  <c r="AG50" i="21"/>
  <c r="AH50" i="21"/>
  <c r="AI50" i="21"/>
  <c r="AJ50" i="21"/>
  <c r="AK50" i="21"/>
  <c r="AL50" i="21"/>
  <c r="AM50" i="21"/>
  <c r="AN50" i="21"/>
  <c r="AH51" i="21"/>
  <c r="AI51" i="21"/>
  <c r="AJ51" i="21"/>
  <c r="AK51" i="21"/>
  <c r="AL51" i="21"/>
  <c r="AM51" i="21"/>
  <c r="AN51" i="21"/>
  <c r="AI52" i="21"/>
  <c r="AJ52" i="21"/>
  <c r="AK52" i="21"/>
  <c r="AL52" i="21"/>
  <c r="AM52" i="21"/>
  <c r="AN52" i="21"/>
  <c r="AJ53" i="21"/>
  <c r="AK53" i="21"/>
  <c r="AL53" i="21"/>
  <c r="AM53" i="21"/>
  <c r="AN53" i="21"/>
  <c r="AK54" i="21"/>
  <c r="AL54" i="21"/>
  <c r="AM54" i="21"/>
  <c r="AN54" i="21"/>
  <c r="AL55" i="21"/>
  <c r="AM55" i="21"/>
  <c r="AN55" i="21"/>
  <c r="AM56" i="21"/>
  <c r="AN56" i="21"/>
  <c r="AN57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/>
  <c r="Z62" i="21"/>
  <c r="AA62" i="21"/>
  <c r="AB62" i="21"/>
  <c r="AC62" i="21"/>
  <c r="AD62" i="21"/>
  <c r="AE62" i="21"/>
  <c r="AF62" i="21"/>
  <c r="AG62" i="21"/>
  <c r="AH62" i="21"/>
  <c r="AI62" i="21"/>
  <c r="AJ62" i="21"/>
  <c r="AK62" i="21"/>
  <c r="AL62" i="21"/>
  <c r="AM62" i="21"/>
  <c r="AN62" i="21"/>
  <c r="H63" i="21"/>
  <c r="I63" i="21"/>
  <c r="J63" i="21"/>
  <c r="K63" i="21"/>
  <c r="L63" i="21"/>
  <c r="M63" i="21"/>
  <c r="N63" i="21"/>
  <c r="O63" i="21"/>
  <c r="P63" i="21"/>
  <c r="Q63" i="21"/>
  <c r="R63" i="21"/>
  <c r="S63" i="21"/>
  <c r="T63" i="21"/>
  <c r="U63" i="21"/>
  <c r="V63" i="21"/>
  <c r="W63" i="21"/>
  <c r="X63" i="21"/>
  <c r="Y63" i="21"/>
  <c r="Z63" i="21"/>
  <c r="AA63" i="21"/>
  <c r="AB63" i="21"/>
  <c r="AC63" i="21"/>
  <c r="AD63" i="21"/>
  <c r="AE63" i="21"/>
  <c r="AF63" i="21"/>
  <c r="AG63" i="21"/>
  <c r="AH63" i="21"/>
  <c r="AI63" i="21"/>
  <c r="AJ63" i="21"/>
  <c r="AK63" i="21"/>
  <c r="AL63" i="21"/>
  <c r="AM63" i="21"/>
  <c r="AN63" i="21"/>
  <c r="I64" i="21"/>
  <c r="J64" i="21"/>
  <c r="K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J65" i="21"/>
  <c r="K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L67" i="21"/>
  <c r="M67" i="21"/>
  <c r="N67" i="21"/>
  <c r="O67" i="21"/>
  <c r="P67" i="21"/>
  <c r="Q67" i="21"/>
  <c r="R67" i="21"/>
  <c r="S67" i="21"/>
  <c r="T67" i="21"/>
  <c r="U67" i="21"/>
  <c r="V67" i="21"/>
  <c r="W67" i="21"/>
  <c r="X67" i="21"/>
  <c r="Y67" i="21"/>
  <c r="Z67" i="21"/>
  <c r="AA67" i="21"/>
  <c r="AB67" i="21"/>
  <c r="AC67" i="21"/>
  <c r="AD67" i="21"/>
  <c r="AE67" i="21"/>
  <c r="AF67" i="21"/>
  <c r="AG67" i="21"/>
  <c r="AH67" i="21"/>
  <c r="AI67" i="21"/>
  <c r="AJ67" i="21"/>
  <c r="AK67" i="21"/>
  <c r="AL67" i="21"/>
  <c r="AM67" i="21"/>
  <c r="AN67" i="21"/>
  <c r="M68" i="21"/>
  <c r="N68" i="21"/>
  <c r="O68" i="21"/>
  <c r="P68" i="21"/>
  <c r="Q68" i="21"/>
  <c r="R68" i="21"/>
  <c r="S68" i="21"/>
  <c r="T68" i="21"/>
  <c r="U68" i="21"/>
  <c r="V68" i="21"/>
  <c r="W68" i="21"/>
  <c r="X68" i="21"/>
  <c r="Y68" i="21"/>
  <c r="Z68" i="21"/>
  <c r="AA68" i="21"/>
  <c r="AB68" i="21"/>
  <c r="AC68" i="21"/>
  <c r="AD68" i="21"/>
  <c r="AE68" i="21"/>
  <c r="AF68" i="21"/>
  <c r="AG68" i="21"/>
  <c r="AH68" i="21"/>
  <c r="AI68" i="21"/>
  <c r="AJ68" i="21"/>
  <c r="AK68" i="21"/>
  <c r="AL68" i="21"/>
  <c r="AM68" i="21"/>
  <c r="AN68" i="21"/>
  <c r="N69" i="21"/>
  <c r="O69" i="21"/>
  <c r="P69" i="21"/>
  <c r="Q69" i="21"/>
  <c r="R69" i="21"/>
  <c r="S69" i="21"/>
  <c r="T69" i="21"/>
  <c r="U69" i="21"/>
  <c r="V69" i="21"/>
  <c r="W69" i="21"/>
  <c r="X69" i="21"/>
  <c r="Y69" i="21"/>
  <c r="Z69" i="21"/>
  <c r="AA69" i="21"/>
  <c r="AB69" i="21"/>
  <c r="AC69" i="21"/>
  <c r="AD69" i="21"/>
  <c r="AE69" i="21"/>
  <c r="AF69" i="21"/>
  <c r="AG69" i="21"/>
  <c r="AH69" i="21"/>
  <c r="AI69" i="21"/>
  <c r="AJ69" i="21"/>
  <c r="AK69" i="21"/>
  <c r="AL69" i="21"/>
  <c r="AM69" i="21"/>
  <c r="AN69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B83" i="21"/>
  <c r="AC83" i="21"/>
  <c r="AD83" i="21"/>
  <c r="AE83" i="21"/>
  <c r="AF83" i="21"/>
  <c r="AG83" i="21"/>
  <c r="AH83" i="21"/>
  <c r="AI83" i="21"/>
  <c r="AJ83" i="21"/>
  <c r="AK83" i="21"/>
  <c r="AL83" i="21"/>
  <c r="AM83" i="21"/>
  <c r="AN83" i="21"/>
  <c r="AC84" i="21"/>
  <c r="AD84" i="21"/>
  <c r="AE84" i="21"/>
  <c r="AF84" i="21"/>
  <c r="AG84" i="21"/>
  <c r="AH84" i="21"/>
  <c r="AI84" i="21"/>
  <c r="AJ84" i="21"/>
  <c r="AK84" i="21"/>
  <c r="AL84" i="21"/>
  <c r="AM84" i="21"/>
  <c r="AN84" i="21"/>
  <c r="AD85" i="21"/>
  <c r="AE85" i="21"/>
  <c r="AF85" i="21"/>
  <c r="AG85" i="21"/>
  <c r="AH85" i="21"/>
  <c r="AI85" i="21"/>
  <c r="AJ85" i="21"/>
  <c r="AK85" i="21"/>
  <c r="AL85" i="21"/>
  <c r="AM85" i="21"/>
  <c r="AN85" i="21"/>
  <c r="AE86" i="21"/>
  <c r="AF86" i="21"/>
  <c r="AG86" i="21"/>
  <c r="AH86" i="21"/>
  <c r="AI86" i="21"/>
  <c r="AJ86" i="21"/>
  <c r="AK86" i="21"/>
  <c r="AL86" i="21"/>
  <c r="AM86" i="21"/>
  <c r="AN86" i="21"/>
  <c r="AF87" i="21"/>
  <c r="AG87" i="21"/>
  <c r="AH87" i="21"/>
  <c r="AI87" i="21"/>
  <c r="AJ87" i="21"/>
  <c r="AK87" i="21"/>
  <c r="AL87" i="21"/>
  <c r="AM87" i="21"/>
  <c r="AN87" i="21"/>
  <c r="AG88" i="21"/>
  <c r="AH88" i="21"/>
  <c r="AI88" i="21"/>
  <c r="AJ88" i="21"/>
  <c r="AK88" i="21"/>
  <c r="AL88" i="21"/>
  <c r="AM88" i="21"/>
  <c r="AN88" i="21"/>
  <c r="AH89" i="21"/>
  <c r="AI89" i="21"/>
  <c r="AJ89" i="21"/>
  <c r="AK89" i="21"/>
  <c r="AL89" i="21"/>
  <c r="AM89" i="21"/>
  <c r="AN89" i="21"/>
  <c r="AI90" i="21"/>
  <c r="AJ90" i="21"/>
  <c r="AK90" i="21"/>
  <c r="AL90" i="21"/>
  <c r="AM90" i="21"/>
  <c r="AN90" i="21"/>
  <c r="AJ91" i="21"/>
  <c r="AK91" i="21"/>
  <c r="AL91" i="21"/>
  <c r="AM91" i="21"/>
  <c r="AN91" i="21"/>
  <c r="AK92" i="21"/>
  <c r="AL92" i="21"/>
  <c r="AM92" i="21"/>
  <c r="AN92" i="21"/>
  <c r="AL93" i="21"/>
  <c r="AM93" i="21"/>
  <c r="AN93" i="21"/>
  <c r="AM94" i="21"/>
  <c r="AN94" i="21"/>
  <c r="AN95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W97" i="21"/>
  <c r="X97" i="21"/>
  <c r="Y97" i="21"/>
  <c r="Z97" i="21"/>
  <c r="AA97" i="21"/>
  <c r="AB97" i="21"/>
  <c r="AC97" i="21"/>
  <c r="AD97" i="21"/>
  <c r="AE97" i="21"/>
  <c r="AF97" i="21"/>
  <c r="AG97" i="21"/>
  <c r="AH97" i="21"/>
  <c r="AI97" i="21"/>
  <c r="AJ97" i="21"/>
  <c r="AK97" i="21"/>
  <c r="AL97" i="21"/>
  <c r="AM97" i="21"/>
  <c r="AN97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W98" i="21"/>
  <c r="X98" i="21"/>
  <c r="Y98" i="21"/>
  <c r="Z98" i="21"/>
  <c r="AA98" i="21"/>
  <c r="AB98" i="21"/>
  <c r="AC98" i="21"/>
  <c r="AD98" i="21"/>
  <c r="AE98" i="21"/>
  <c r="AF98" i="21"/>
  <c r="AG98" i="21"/>
  <c r="AH98" i="21"/>
  <c r="AI98" i="21"/>
  <c r="AJ98" i="21"/>
  <c r="AK98" i="21"/>
  <c r="AL98" i="21"/>
  <c r="AM98" i="21"/>
  <c r="AN98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S99" i="21"/>
  <c r="T99" i="21"/>
  <c r="U99" i="21"/>
  <c r="V99" i="21"/>
  <c r="W99" i="21"/>
  <c r="X99" i="21"/>
  <c r="Y99" i="21"/>
  <c r="Z99" i="21"/>
  <c r="AA99" i="21"/>
  <c r="AB99" i="21"/>
  <c r="AC99" i="21"/>
  <c r="AD99" i="21"/>
  <c r="AE99" i="21"/>
  <c r="AF99" i="21"/>
  <c r="AG99" i="21"/>
  <c r="AH99" i="21"/>
  <c r="AI99" i="21"/>
  <c r="AJ99" i="21"/>
  <c r="AK99" i="21"/>
  <c r="AL99" i="21"/>
  <c r="AM99" i="21"/>
  <c r="AN99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S100" i="21"/>
  <c r="T100" i="21"/>
  <c r="U100" i="21"/>
  <c r="V100" i="21"/>
  <c r="W100" i="21"/>
  <c r="X100" i="21"/>
  <c r="Y100" i="21"/>
  <c r="Z100" i="21"/>
  <c r="AA100" i="21"/>
  <c r="AB100" i="21"/>
  <c r="AC100" i="21"/>
  <c r="AD100" i="21"/>
  <c r="AE100" i="21"/>
  <c r="AF100" i="21"/>
  <c r="AG100" i="21"/>
  <c r="AH100" i="21"/>
  <c r="AI100" i="21"/>
  <c r="AJ100" i="21"/>
  <c r="AK100" i="21"/>
  <c r="AL100" i="21"/>
  <c r="AM100" i="21"/>
  <c r="AN100" i="21"/>
  <c r="H101" i="21"/>
  <c r="I101" i="21"/>
  <c r="J101" i="21"/>
  <c r="K101" i="21"/>
  <c r="L101" i="21"/>
  <c r="M101" i="21"/>
  <c r="N101" i="21"/>
  <c r="O101" i="21"/>
  <c r="P101" i="21"/>
  <c r="Q101" i="21"/>
  <c r="R101" i="21"/>
  <c r="S101" i="21"/>
  <c r="T101" i="21"/>
  <c r="U101" i="21"/>
  <c r="V101" i="21"/>
  <c r="W101" i="21"/>
  <c r="X101" i="21"/>
  <c r="Y101" i="21"/>
  <c r="Z101" i="21"/>
  <c r="AA101" i="21"/>
  <c r="AB101" i="21"/>
  <c r="AC101" i="21"/>
  <c r="AD101" i="21"/>
  <c r="AE101" i="21"/>
  <c r="AF101" i="21"/>
  <c r="AG101" i="21"/>
  <c r="AH101" i="21"/>
  <c r="AI101" i="21"/>
  <c r="AJ101" i="21"/>
  <c r="AK101" i="21"/>
  <c r="AL101" i="21"/>
  <c r="AM101" i="21"/>
  <c r="AN101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W102" i="21"/>
  <c r="X102" i="21"/>
  <c r="Y102" i="21"/>
  <c r="Z102" i="21"/>
  <c r="AA102" i="21"/>
  <c r="AB102" i="21"/>
  <c r="AC102" i="21"/>
  <c r="AD102" i="21"/>
  <c r="AE102" i="21"/>
  <c r="AF102" i="21"/>
  <c r="AG102" i="21"/>
  <c r="AH102" i="21"/>
  <c r="AI102" i="21"/>
  <c r="AJ102" i="21"/>
  <c r="AK102" i="21"/>
  <c r="AL102" i="21"/>
  <c r="AM102" i="21"/>
  <c r="AN102" i="21"/>
  <c r="J103" i="21"/>
  <c r="K103" i="21"/>
  <c r="L103" i="21"/>
  <c r="M103" i="21"/>
  <c r="N103" i="21"/>
  <c r="O103" i="21"/>
  <c r="P103" i="21"/>
  <c r="Q103" i="21"/>
  <c r="R103" i="21"/>
  <c r="S103" i="21"/>
  <c r="T103" i="21"/>
  <c r="U103" i="21"/>
  <c r="V103" i="21"/>
  <c r="W103" i="21"/>
  <c r="X103" i="21"/>
  <c r="Y103" i="21"/>
  <c r="Z103" i="21"/>
  <c r="AA103" i="21"/>
  <c r="AB103" i="21"/>
  <c r="AC103" i="21"/>
  <c r="AD103" i="21"/>
  <c r="AE103" i="21"/>
  <c r="AF103" i="21"/>
  <c r="AG103" i="21"/>
  <c r="AH103" i="21"/>
  <c r="AI103" i="21"/>
  <c r="AJ103" i="21"/>
  <c r="AK103" i="21"/>
  <c r="AL103" i="21"/>
  <c r="AM103" i="21"/>
  <c r="AN103" i="21"/>
  <c r="K104" i="21"/>
  <c r="L104" i="21"/>
  <c r="M104" i="21"/>
  <c r="N104" i="21"/>
  <c r="O104" i="21"/>
  <c r="P104" i="21"/>
  <c r="Q104" i="21"/>
  <c r="R104" i="21"/>
  <c r="S104" i="21"/>
  <c r="T104" i="21"/>
  <c r="U104" i="21"/>
  <c r="V104" i="21"/>
  <c r="W104" i="21"/>
  <c r="X104" i="21"/>
  <c r="Y104" i="21"/>
  <c r="Z104" i="21"/>
  <c r="AA104" i="21"/>
  <c r="AB104" i="21"/>
  <c r="AC104" i="21"/>
  <c r="AD104" i="21"/>
  <c r="AE104" i="21"/>
  <c r="AF104" i="21"/>
  <c r="AG104" i="21"/>
  <c r="AH104" i="21"/>
  <c r="AI104" i="21"/>
  <c r="AJ104" i="21"/>
  <c r="AK104" i="21"/>
  <c r="AL104" i="21"/>
  <c r="AM104" i="21"/>
  <c r="AN104" i="21"/>
  <c r="L105" i="21"/>
  <c r="M105" i="21"/>
  <c r="N105" i="21"/>
  <c r="O105" i="21"/>
  <c r="P105" i="21"/>
  <c r="Q105" i="21"/>
  <c r="R105" i="21"/>
  <c r="S105" i="21"/>
  <c r="T105" i="21"/>
  <c r="U105" i="21"/>
  <c r="V105" i="21"/>
  <c r="W105" i="21"/>
  <c r="X105" i="21"/>
  <c r="Y105" i="21"/>
  <c r="Z105" i="21"/>
  <c r="AA105" i="21"/>
  <c r="AB105" i="21"/>
  <c r="AC105" i="21"/>
  <c r="AD105" i="21"/>
  <c r="AE105" i="21"/>
  <c r="AF105" i="21"/>
  <c r="AG105" i="21"/>
  <c r="AH105" i="21"/>
  <c r="AI105" i="21"/>
  <c r="AJ105" i="21"/>
  <c r="AK105" i="21"/>
  <c r="AL105" i="21"/>
  <c r="AM105" i="21"/>
  <c r="AN105" i="21"/>
  <c r="M106" i="21"/>
  <c r="N106" i="21"/>
  <c r="O106" i="21"/>
  <c r="P106" i="21"/>
  <c r="Q106" i="21"/>
  <c r="R106" i="21"/>
  <c r="S106" i="21"/>
  <c r="T106" i="21"/>
  <c r="U106" i="21"/>
  <c r="V106" i="21"/>
  <c r="W106" i="21"/>
  <c r="X106" i="21"/>
  <c r="Y106" i="21"/>
  <c r="Z106" i="21"/>
  <c r="AA106" i="21"/>
  <c r="AB106" i="21"/>
  <c r="AC106" i="21"/>
  <c r="AD106" i="21"/>
  <c r="AE106" i="21"/>
  <c r="AF106" i="21"/>
  <c r="AG106" i="21"/>
  <c r="AH106" i="21"/>
  <c r="AI106" i="21"/>
  <c r="AJ106" i="21"/>
  <c r="AK106" i="21"/>
  <c r="AL106" i="21"/>
  <c r="AM106" i="21"/>
  <c r="AN106" i="21"/>
  <c r="N107" i="21"/>
  <c r="O107" i="21"/>
  <c r="P107" i="21"/>
  <c r="Q107" i="21"/>
  <c r="R107" i="21"/>
  <c r="S107" i="21"/>
  <c r="T107" i="21"/>
  <c r="U107" i="21"/>
  <c r="V107" i="21"/>
  <c r="W107" i="21"/>
  <c r="X107" i="21"/>
  <c r="Y107" i="21"/>
  <c r="Z107" i="21"/>
  <c r="AA107" i="21"/>
  <c r="AB107" i="21"/>
  <c r="AC107" i="21"/>
  <c r="AD107" i="21"/>
  <c r="AE107" i="21"/>
  <c r="AF107" i="21"/>
  <c r="AG107" i="21"/>
  <c r="AH107" i="21"/>
  <c r="AI107" i="21"/>
  <c r="AJ107" i="21"/>
  <c r="AK107" i="21"/>
  <c r="AL107" i="21"/>
  <c r="AM107" i="21"/>
  <c r="AN107" i="21"/>
  <c r="O108" i="21"/>
  <c r="P108" i="21"/>
  <c r="Q108" i="21"/>
  <c r="R108" i="21"/>
  <c r="S108" i="21"/>
  <c r="T108" i="21"/>
  <c r="U108" i="21"/>
  <c r="V108" i="21"/>
  <c r="W108" i="21"/>
  <c r="X108" i="21"/>
  <c r="Y108" i="21"/>
  <c r="Z108" i="21"/>
  <c r="AA108" i="21"/>
  <c r="AB108" i="21"/>
  <c r="AC108" i="21"/>
  <c r="AD108" i="21"/>
  <c r="AE108" i="21"/>
  <c r="AF108" i="21"/>
  <c r="AG108" i="21"/>
  <c r="AH108" i="21"/>
  <c r="AI108" i="21"/>
  <c r="AJ108" i="21"/>
  <c r="AK108" i="21"/>
  <c r="AL108" i="21"/>
  <c r="AM108" i="21"/>
  <c r="AN108" i="21"/>
  <c r="P109" i="21"/>
  <c r="Q109" i="21"/>
  <c r="R109" i="21"/>
  <c r="S109" i="21"/>
  <c r="T109" i="21"/>
  <c r="U109" i="21"/>
  <c r="V109" i="21"/>
  <c r="W109" i="21"/>
  <c r="X109" i="21"/>
  <c r="Y109" i="21"/>
  <c r="Z109" i="21"/>
  <c r="AA109" i="21"/>
  <c r="AB109" i="21"/>
  <c r="AC109" i="21"/>
  <c r="AD109" i="21"/>
  <c r="AE109" i="21"/>
  <c r="AF109" i="21"/>
  <c r="AG109" i="21"/>
  <c r="AH109" i="21"/>
  <c r="AI109" i="21"/>
  <c r="AJ109" i="21"/>
  <c r="AK109" i="21"/>
  <c r="AL109" i="21"/>
  <c r="AM109" i="21"/>
  <c r="AN109" i="21"/>
  <c r="Q110" i="21"/>
  <c r="R110" i="21"/>
  <c r="S110" i="21"/>
  <c r="T110" i="21"/>
  <c r="U110" i="21"/>
  <c r="V110" i="21"/>
  <c r="W110" i="21"/>
  <c r="X110" i="21"/>
  <c r="Y110" i="21"/>
  <c r="Z110" i="21"/>
  <c r="AA110" i="21"/>
  <c r="AB110" i="21"/>
  <c r="AC110" i="21"/>
  <c r="AD110" i="21"/>
  <c r="AE110" i="21"/>
  <c r="AF110" i="21"/>
  <c r="AG110" i="21"/>
  <c r="AH110" i="21"/>
  <c r="AI110" i="21"/>
  <c r="AJ110" i="21"/>
  <c r="AK110" i="21"/>
  <c r="AL110" i="21"/>
  <c r="AM110" i="21"/>
  <c r="AN110" i="21"/>
  <c r="R111" i="21"/>
  <c r="S111" i="21"/>
  <c r="T111" i="21"/>
  <c r="U111" i="21"/>
  <c r="V111" i="21"/>
  <c r="W111" i="21"/>
  <c r="X111" i="21"/>
  <c r="Y111" i="21"/>
  <c r="Z111" i="21"/>
  <c r="AA111" i="21"/>
  <c r="AB111" i="21"/>
  <c r="AC111" i="21"/>
  <c r="AD111" i="21"/>
  <c r="AE111" i="21"/>
  <c r="AF111" i="21"/>
  <c r="AG111" i="21"/>
  <c r="AH111" i="21"/>
  <c r="AI111" i="21"/>
  <c r="AJ111" i="21"/>
  <c r="AK111" i="21"/>
  <c r="AL111" i="21"/>
  <c r="AM111" i="21"/>
  <c r="AN111" i="21"/>
  <c r="S112" i="21"/>
  <c r="T112" i="21"/>
  <c r="U112" i="21"/>
  <c r="V112" i="21"/>
  <c r="W112" i="21"/>
  <c r="X112" i="21"/>
  <c r="Y112" i="21"/>
  <c r="Z112" i="21"/>
  <c r="AA112" i="21"/>
  <c r="AB112" i="21"/>
  <c r="AC112" i="21"/>
  <c r="AD112" i="21"/>
  <c r="AE112" i="21"/>
  <c r="AF112" i="21"/>
  <c r="AG112" i="21"/>
  <c r="AH112" i="21"/>
  <c r="AI112" i="21"/>
  <c r="AJ112" i="21"/>
  <c r="AK112" i="21"/>
  <c r="AL112" i="21"/>
  <c r="AM112" i="21"/>
  <c r="AN112" i="21"/>
  <c r="T113" i="21"/>
  <c r="U113" i="21"/>
  <c r="V113" i="21"/>
  <c r="W113" i="21"/>
  <c r="X113" i="21"/>
  <c r="Y113" i="21"/>
  <c r="Z113" i="21"/>
  <c r="AA113" i="21"/>
  <c r="AB113" i="21"/>
  <c r="AC113" i="21"/>
  <c r="AD113" i="21"/>
  <c r="AE113" i="21"/>
  <c r="AF113" i="21"/>
  <c r="AG113" i="21"/>
  <c r="AH113" i="21"/>
  <c r="AI113" i="21"/>
  <c r="AJ113" i="21"/>
  <c r="AK113" i="21"/>
  <c r="AL113" i="21"/>
  <c r="AM113" i="21"/>
  <c r="AN113" i="21"/>
  <c r="U114" i="21"/>
  <c r="V114" i="21"/>
  <c r="W114" i="21"/>
  <c r="X114" i="21"/>
  <c r="Y114" i="21"/>
  <c r="Z114" i="21"/>
  <c r="AA114" i="21"/>
  <c r="AB114" i="21"/>
  <c r="AC114" i="21"/>
  <c r="AD114" i="21"/>
  <c r="AE114" i="21"/>
  <c r="AF114" i="21"/>
  <c r="AG114" i="21"/>
  <c r="AH114" i="21"/>
  <c r="AI114" i="21"/>
  <c r="AJ114" i="21"/>
  <c r="AK114" i="21"/>
  <c r="AL114" i="21"/>
  <c r="AM114" i="21"/>
  <c r="AN114" i="21"/>
  <c r="V115" i="21"/>
  <c r="W115" i="21"/>
  <c r="X115" i="21"/>
  <c r="Y115" i="21"/>
  <c r="Z115" i="21"/>
  <c r="AA115" i="21"/>
  <c r="AB115" i="21"/>
  <c r="AC115" i="21"/>
  <c r="AD115" i="21"/>
  <c r="AE115" i="21"/>
  <c r="AF115" i="21"/>
  <c r="AG115" i="21"/>
  <c r="AH115" i="21"/>
  <c r="AI115" i="21"/>
  <c r="AJ115" i="21"/>
  <c r="AK115" i="21"/>
  <c r="AL115" i="21"/>
  <c r="AM115" i="21"/>
  <c r="AN115" i="21"/>
  <c r="W116" i="21"/>
  <c r="X116" i="21"/>
  <c r="Y116" i="21"/>
  <c r="Z116" i="21"/>
  <c r="AA116" i="21"/>
  <c r="AB116" i="21"/>
  <c r="AC116" i="21"/>
  <c r="AD116" i="21"/>
  <c r="AE116" i="21"/>
  <c r="AF116" i="21"/>
  <c r="AG116" i="21"/>
  <c r="AH116" i="21"/>
  <c r="AI116" i="21"/>
  <c r="AJ116" i="21"/>
  <c r="AK116" i="21"/>
  <c r="AL116" i="21"/>
  <c r="AM116" i="21"/>
  <c r="AN116" i="21"/>
  <c r="X117" i="21"/>
  <c r="Y117" i="21"/>
  <c r="Z117" i="21"/>
  <c r="AA117" i="21"/>
  <c r="AB117" i="21"/>
  <c r="AC117" i="21"/>
  <c r="AD117" i="21"/>
  <c r="AE117" i="21"/>
  <c r="AF117" i="21"/>
  <c r="AG117" i="21"/>
  <c r="AH117" i="21"/>
  <c r="AI117" i="21"/>
  <c r="AJ117" i="21"/>
  <c r="AK117" i="21"/>
  <c r="AL117" i="21"/>
  <c r="AM117" i="21"/>
  <c r="AN117" i="21"/>
  <c r="Y118" i="21"/>
  <c r="Z118" i="21"/>
  <c r="AA118" i="21"/>
  <c r="AB118" i="21"/>
  <c r="AC118" i="21"/>
  <c r="AD118" i="21"/>
  <c r="AE118" i="21"/>
  <c r="AF118" i="21"/>
  <c r="AG118" i="21"/>
  <c r="AH118" i="21"/>
  <c r="AI118" i="21"/>
  <c r="AJ118" i="21"/>
  <c r="AK118" i="21"/>
  <c r="AL118" i="21"/>
  <c r="AM118" i="21"/>
  <c r="AN118" i="21"/>
  <c r="Z119" i="21"/>
  <c r="AA119" i="21"/>
  <c r="AB119" i="21"/>
  <c r="AC119" i="21"/>
  <c r="AD119" i="21"/>
  <c r="AE119" i="21"/>
  <c r="AF119" i="21"/>
  <c r="AG119" i="21"/>
  <c r="AH119" i="21"/>
  <c r="AI119" i="21"/>
  <c r="AJ119" i="21"/>
  <c r="AK119" i="21"/>
  <c r="AL119" i="21"/>
  <c r="AM119" i="21"/>
  <c r="AN119" i="21"/>
  <c r="AA120" i="21"/>
  <c r="AB120" i="21"/>
  <c r="AC120" i="21"/>
  <c r="AD120" i="21"/>
  <c r="AE120" i="21"/>
  <c r="AF120" i="21"/>
  <c r="AG120" i="21"/>
  <c r="AH120" i="21"/>
  <c r="AI120" i="21"/>
  <c r="AJ120" i="21"/>
  <c r="AK120" i="21"/>
  <c r="AL120" i="21"/>
  <c r="AM120" i="21"/>
  <c r="AN120" i="21"/>
  <c r="AB121" i="21"/>
  <c r="AC121" i="21"/>
  <c r="AD121" i="21"/>
  <c r="AE121" i="21"/>
  <c r="AF121" i="21"/>
  <c r="AG121" i="21"/>
  <c r="AH121" i="21"/>
  <c r="AI121" i="21"/>
  <c r="AJ121" i="21"/>
  <c r="AK121" i="21"/>
  <c r="AL121" i="21"/>
  <c r="AM121" i="21"/>
  <c r="AN121" i="21"/>
  <c r="AC122" i="21"/>
  <c r="AD122" i="21"/>
  <c r="AE122" i="21"/>
  <c r="AF122" i="21"/>
  <c r="AG122" i="21"/>
  <c r="AH122" i="21"/>
  <c r="AI122" i="21"/>
  <c r="AJ122" i="21"/>
  <c r="AK122" i="21"/>
  <c r="AL122" i="21"/>
  <c r="AM122" i="21"/>
  <c r="AN122" i="21"/>
  <c r="AD123" i="21"/>
  <c r="AE123" i="21"/>
  <c r="AF123" i="21"/>
  <c r="AG123" i="21"/>
  <c r="AH123" i="21"/>
  <c r="AI123" i="21"/>
  <c r="AJ123" i="21"/>
  <c r="AK123" i="21"/>
  <c r="AL123" i="21"/>
  <c r="AM123" i="21"/>
  <c r="AN123" i="21"/>
  <c r="AE124" i="21"/>
  <c r="AF124" i="21"/>
  <c r="AG124" i="21"/>
  <c r="AH124" i="21"/>
  <c r="AI124" i="21"/>
  <c r="AJ124" i="21"/>
  <c r="AK124" i="21"/>
  <c r="AL124" i="21"/>
  <c r="AM124" i="21"/>
  <c r="AN124" i="21"/>
  <c r="AF125" i="21"/>
  <c r="AG125" i="21"/>
  <c r="AH125" i="21"/>
  <c r="AI125" i="21"/>
  <c r="AJ125" i="21"/>
  <c r="AK125" i="21"/>
  <c r="AL125" i="21"/>
  <c r="AM125" i="21"/>
  <c r="AN125" i="21"/>
  <c r="AG126" i="21"/>
  <c r="AH126" i="21"/>
  <c r="AI126" i="21"/>
  <c r="AJ126" i="21"/>
  <c r="AK126" i="21"/>
  <c r="AL126" i="21"/>
  <c r="AM126" i="21"/>
  <c r="AN126" i="21"/>
  <c r="AH127" i="21"/>
  <c r="AI127" i="21"/>
  <c r="AJ127" i="21"/>
  <c r="AK127" i="21"/>
  <c r="AL127" i="21"/>
  <c r="AM127" i="21"/>
  <c r="AN127" i="21"/>
  <c r="AI128" i="21"/>
  <c r="AJ128" i="21"/>
  <c r="AK128" i="21"/>
  <c r="AL128" i="21"/>
  <c r="AM128" i="21"/>
  <c r="AN128" i="21"/>
  <c r="AJ129" i="21"/>
  <c r="AK129" i="21"/>
  <c r="AL129" i="21"/>
  <c r="AM129" i="21"/>
  <c r="AN129" i="21"/>
  <c r="AK130" i="21"/>
  <c r="AL130" i="21"/>
  <c r="AM130" i="21"/>
  <c r="AN130" i="21"/>
  <c r="AL131" i="21"/>
  <c r="AM131" i="21"/>
  <c r="AN131" i="21"/>
  <c r="AM132" i="21"/>
  <c r="AN132" i="21"/>
  <c r="AN133" i="21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AC5" i="28"/>
  <c r="AD5" i="28"/>
  <c r="AE5" i="28"/>
  <c r="AF5" i="28"/>
  <c r="AG5" i="28"/>
  <c r="AH5" i="28"/>
  <c r="AI5" i="28"/>
  <c r="AJ5" i="28"/>
  <c r="AK5" i="28"/>
  <c r="AL5" i="28"/>
  <c r="AM5" i="28"/>
  <c r="AN5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AC6" i="28"/>
  <c r="AD6" i="28"/>
  <c r="AE6" i="28"/>
  <c r="AF6" i="28"/>
  <c r="AG6" i="28"/>
  <c r="AH6" i="28"/>
  <c r="AI6" i="28"/>
  <c r="AJ6" i="28"/>
  <c r="AK6" i="28"/>
  <c r="AL6" i="28"/>
  <c r="AM6" i="28"/>
  <c r="AN6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AC7" i="28"/>
  <c r="AD7" i="28"/>
  <c r="AE7" i="28"/>
  <c r="AF7" i="28"/>
  <c r="AG7" i="28"/>
  <c r="AH7" i="28"/>
  <c r="AI7" i="28"/>
  <c r="AJ7" i="28"/>
  <c r="AK7" i="28"/>
  <c r="AL7" i="28"/>
  <c r="AM7" i="28"/>
  <c r="AN7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AC8" i="28"/>
  <c r="AD8" i="28"/>
  <c r="AE8" i="28"/>
  <c r="AF8" i="28"/>
  <c r="AG8" i="28"/>
  <c r="AH8" i="28"/>
  <c r="AI8" i="28"/>
  <c r="AJ8" i="28"/>
  <c r="AK8" i="28"/>
  <c r="AL8" i="28"/>
  <c r="AM8" i="28"/>
  <c r="AN8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AC9" i="28"/>
  <c r="AD9" i="28"/>
  <c r="AE9" i="28"/>
  <c r="AF9" i="28"/>
  <c r="AG9" i="28"/>
  <c r="AH9" i="28"/>
  <c r="AI9" i="28"/>
  <c r="AJ9" i="28"/>
  <c r="AK9" i="28"/>
  <c r="AL9" i="28"/>
  <c r="AM9" i="28"/>
  <c r="AN9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AC10" i="28"/>
  <c r="AD10" i="28"/>
  <c r="AE10" i="28"/>
  <c r="AF10" i="28"/>
  <c r="AG10" i="28"/>
  <c r="AH10" i="28"/>
  <c r="AI10" i="28"/>
  <c r="AJ10" i="28"/>
  <c r="AK10" i="28"/>
  <c r="AL10" i="28"/>
  <c r="AM10" i="28"/>
  <c r="AN10" i="28"/>
  <c r="F11" i="28"/>
  <c r="G11" i="28"/>
  <c r="H11" i="28"/>
  <c r="I11" i="28"/>
  <c r="J11" i="28"/>
  <c r="K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F12" i="28"/>
  <c r="G12" i="28"/>
  <c r="H12" i="28"/>
  <c r="I12" i="28"/>
  <c r="J12" i="28"/>
  <c r="K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F13" i="28"/>
  <c r="G13" i="28"/>
  <c r="H13" i="28"/>
  <c r="I13" i="28"/>
  <c r="J13" i="28"/>
  <c r="K13" i="28"/>
  <c r="L13" i="28"/>
  <c r="M13" i="28"/>
  <c r="N13" i="28"/>
  <c r="O13" i="28"/>
  <c r="P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AC18" i="28"/>
  <c r="AD18" i="28"/>
  <c r="AE18" i="28"/>
  <c r="AF18" i="28"/>
  <c r="AG18" i="28"/>
  <c r="AH18" i="28"/>
  <c r="AI18" i="28"/>
  <c r="AJ18" i="28"/>
  <c r="AK18" i="28"/>
  <c r="AL18" i="28"/>
  <c r="AM18" i="28"/>
  <c r="AN18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F23" i="28"/>
  <c r="G23" i="28"/>
  <c r="H23" i="28"/>
  <c r="I23" i="28"/>
  <c r="J23" i="28"/>
  <c r="K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F25" i="28"/>
  <c r="G25" i="28"/>
  <c r="H25" i="28"/>
  <c r="I25" i="28"/>
  <c r="J25" i="28"/>
  <c r="K25" i="28"/>
  <c r="L25" i="28"/>
  <c r="M25" i="28"/>
  <c r="N25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AA25" i="28"/>
  <c r="AB25" i="28"/>
  <c r="AC25" i="28"/>
  <c r="AD25" i="28"/>
  <c r="AE25" i="28"/>
  <c r="AF25" i="28"/>
  <c r="AG25" i="28"/>
  <c r="AH25" i="28"/>
  <c r="AI25" i="28"/>
  <c r="AJ25" i="28"/>
  <c r="AK25" i="28"/>
  <c r="AL25" i="28"/>
  <c r="AM25" i="28"/>
  <c r="AN25" i="28"/>
  <c r="F28" i="28"/>
  <c r="G28" i="28"/>
  <c r="H28" i="28"/>
  <c r="I28" i="28"/>
  <c r="J28" i="28"/>
  <c r="K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F30" i="28"/>
  <c r="G30" i="28"/>
  <c r="H30" i="28"/>
  <c r="I30" i="28"/>
  <c r="J30" i="28"/>
  <c r="K30" i="28"/>
  <c r="L30" i="28"/>
  <c r="M30" i="28"/>
  <c r="N30" i="28"/>
  <c r="O30" i="28"/>
  <c r="P30" i="28"/>
  <c r="Q30" i="28"/>
  <c r="R30" i="28"/>
  <c r="S30" i="28"/>
  <c r="T30" i="28"/>
  <c r="U30" i="28"/>
  <c r="V30" i="28"/>
  <c r="W30" i="28"/>
  <c r="X30" i="28"/>
  <c r="Y30" i="28"/>
  <c r="Z30" i="28"/>
  <c r="AA30" i="28"/>
  <c r="AB30" i="28"/>
  <c r="AC30" i="28"/>
  <c r="AD30" i="28"/>
  <c r="AE30" i="28"/>
  <c r="AF30" i="28"/>
  <c r="AG30" i="28"/>
  <c r="AH30" i="28"/>
  <c r="AI30" i="28"/>
  <c r="AJ30" i="28"/>
  <c r="AK30" i="28"/>
  <c r="AL30" i="28"/>
  <c r="AM30" i="28"/>
  <c r="AN30" i="28"/>
  <c r="F31" i="28"/>
  <c r="G31" i="28"/>
  <c r="H31" i="28"/>
  <c r="I31" i="28"/>
  <c r="J31" i="28"/>
  <c r="K31" i="28"/>
  <c r="L31" i="28"/>
  <c r="M31" i="28"/>
  <c r="N31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AA31" i="28"/>
  <c r="AB31" i="28"/>
  <c r="AC31" i="28"/>
  <c r="AD31" i="28"/>
  <c r="AE31" i="28"/>
  <c r="AF31" i="28"/>
  <c r="AG31" i="28"/>
  <c r="AH31" i="28"/>
  <c r="AI31" i="28"/>
  <c r="AJ31" i="28"/>
  <c r="AK31" i="28"/>
  <c r="AL31" i="28"/>
  <c r="AM31" i="28"/>
  <c r="AN31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F33" i="28"/>
  <c r="G33" i="28"/>
  <c r="H33" i="28"/>
  <c r="I33" i="28"/>
  <c r="J33" i="28"/>
  <c r="K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F35" i="28"/>
  <c r="G35" i="28"/>
  <c r="H35" i="28"/>
  <c r="I35" i="28"/>
  <c r="J35" i="28"/>
  <c r="K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<sst xmlns="http://schemas.openxmlformats.org/spreadsheetml/2006/main" count="6013" uniqueCount="991">
  <si>
    <t>.</t>
  </si>
  <si>
    <t>Model Switches</t>
  </si>
  <si>
    <t>Macroeconomic Assumptions</t>
  </si>
  <si>
    <t>Financial Statements</t>
  </si>
  <si>
    <t>Revenue</t>
  </si>
  <si>
    <t>CapEx</t>
  </si>
  <si>
    <t>PnL Assumptions</t>
  </si>
  <si>
    <t>Balance Sheet</t>
  </si>
  <si>
    <t>Cashflow Statement</t>
  </si>
  <si>
    <t>x</t>
  </si>
  <si>
    <t>X</t>
  </si>
  <si>
    <t>Revenue Overview</t>
  </si>
  <si>
    <t>Revenue Breakdown</t>
  </si>
  <si>
    <t>Total Revenue</t>
  </si>
  <si>
    <t>Unit</t>
  </si>
  <si>
    <t>Cost Overview</t>
  </si>
  <si>
    <t>Cost Breakdown</t>
  </si>
  <si>
    <t>Total Costs</t>
  </si>
  <si>
    <t>CapEx Overview</t>
  </si>
  <si>
    <t>CapEx Breakdown</t>
  </si>
  <si>
    <t>D&amp;A Overview</t>
  </si>
  <si>
    <t>Depreciation of planned CapEx</t>
  </si>
  <si>
    <t>D&amp;A Period</t>
  </si>
  <si>
    <t>Planned CapEx Items</t>
  </si>
  <si>
    <t>Straight-lined depreciation per CapEx item in 1st year</t>
  </si>
  <si>
    <t>Depreciation schedule per CapEx item</t>
  </si>
  <si>
    <t>PNL Overview</t>
  </si>
  <si>
    <t>EBITDA</t>
  </si>
  <si>
    <t>EBITDA Margin</t>
  </si>
  <si>
    <t>%</t>
  </si>
  <si>
    <t>Depreciation and Amortization</t>
  </si>
  <si>
    <t>EBIT</t>
  </si>
  <si>
    <t>EBIT Margin</t>
  </si>
  <si>
    <t>Net Interest Expense</t>
  </si>
  <si>
    <t>Tax</t>
  </si>
  <si>
    <t>Net Income</t>
  </si>
  <si>
    <t>Net Margin</t>
  </si>
  <si>
    <t>Impairment</t>
  </si>
  <si>
    <t>Other Income / Losses</t>
  </si>
  <si>
    <t>Full Income of the year</t>
  </si>
  <si>
    <t>Income Margin</t>
  </si>
  <si>
    <t>Profit and Loss Statement</t>
  </si>
  <si>
    <t>Costs</t>
  </si>
  <si>
    <t xml:space="preserve">Depreciation </t>
  </si>
  <si>
    <t>Net income</t>
  </si>
  <si>
    <t>Comments</t>
  </si>
  <si>
    <t>USD</t>
  </si>
  <si>
    <t>Net Interest expense</t>
  </si>
  <si>
    <t>Total Depreciation</t>
  </si>
  <si>
    <t>Depreciation</t>
  </si>
  <si>
    <t>Cashflows</t>
  </si>
  <si>
    <t>Operating Cashflow</t>
  </si>
  <si>
    <t>Investing Cashflow</t>
  </si>
  <si>
    <t>Financing Cashflow</t>
  </si>
  <si>
    <t>YoY Cash Change</t>
  </si>
  <si>
    <t>EBIT (NOPLAT - excluding interest)</t>
  </si>
  <si>
    <t>(+) Depreciation</t>
  </si>
  <si>
    <t>(+) Changes in Working Capital</t>
  </si>
  <si>
    <t>(-) Δ Trade and other receivables</t>
  </si>
  <si>
    <t>(-) Prepaid expenses</t>
  </si>
  <si>
    <t>(-) Δ Inventory</t>
  </si>
  <si>
    <t>(+) Δ Trade and Other Payables and unearned revenue</t>
  </si>
  <si>
    <t>Cashflow from CapEx Activities</t>
  </si>
  <si>
    <t>(-) CapEx</t>
  </si>
  <si>
    <t>Cashflow from non-CapEx Activities</t>
  </si>
  <si>
    <t>(±) Sales or disposal of other assets</t>
  </si>
  <si>
    <t>(+) Debt issued</t>
  </si>
  <si>
    <t>(-) Debt principal repayment</t>
  </si>
  <si>
    <t>(-) Interest payment</t>
  </si>
  <si>
    <t>Assets</t>
  </si>
  <si>
    <t>Liabilities and Equity</t>
  </si>
  <si>
    <t>Balance Check</t>
  </si>
  <si>
    <t>Bool</t>
  </si>
  <si>
    <t>Current Assets</t>
  </si>
  <si>
    <t>Cash and cash equivalents</t>
  </si>
  <si>
    <t>Trade and other receivables</t>
  </si>
  <si>
    <t>Prepaid expenses</t>
  </si>
  <si>
    <t>Inventory</t>
  </si>
  <si>
    <t>Non-current Assets</t>
  </si>
  <si>
    <t>Long-term receivables</t>
  </si>
  <si>
    <t>Liabilities</t>
  </si>
  <si>
    <t>Current Liabilities</t>
  </si>
  <si>
    <t>Trade and Other Payables</t>
  </si>
  <si>
    <t>Unearned Revenue</t>
  </si>
  <si>
    <t>Non-current Liabilities</t>
  </si>
  <si>
    <t>Long-term Borrowings</t>
  </si>
  <si>
    <t>Employee end of service benefits</t>
  </si>
  <si>
    <t>Equity</t>
  </si>
  <si>
    <t>Legal Reserve</t>
  </si>
  <si>
    <t>Revaluation Reserve</t>
  </si>
  <si>
    <t>Accumulated Gains / Losses</t>
  </si>
  <si>
    <t>Corporate KPIs</t>
  </si>
  <si>
    <t>Financial Metrics</t>
  </si>
  <si>
    <t>Year</t>
  </si>
  <si>
    <t>Terminal Value</t>
  </si>
  <si>
    <t>PPE</t>
  </si>
  <si>
    <t>(+) Equity</t>
  </si>
  <si>
    <t>Forecasting Scenario</t>
  </si>
  <si>
    <t>Terminal Value Scenario</t>
  </si>
  <si>
    <t xml:space="preserve">Global Inflation </t>
  </si>
  <si>
    <t>Market Interest rates</t>
  </si>
  <si>
    <t>1. Outputs</t>
  </si>
  <si>
    <t>Go to Section</t>
  </si>
  <si>
    <t>&gt;&gt;</t>
  </si>
  <si>
    <t>Model Control Panel and Output Overview</t>
  </si>
  <si>
    <t>Sheet Name</t>
  </si>
  <si>
    <t>Description</t>
  </si>
  <si>
    <t>1.1. Control Panel</t>
  </si>
  <si>
    <t>Control panel of all assumptions feeding into the financial model</t>
  </si>
  <si>
    <t>1.2. Financials Overview</t>
  </si>
  <si>
    <t>1.3. Sensitivity Analysis</t>
  </si>
  <si>
    <t>2. Financial Statements</t>
  </si>
  <si>
    <t>Financial Statement Overview</t>
  </si>
  <si>
    <t>2.1. Income Statement</t>
  </si>
  <si>
    <t>2.2. Balance Sheet</t>
  </si>
  <si>
    <t>2.3. Cashflow Statement</t>
  </si>
  <si>
    <t>3. Calculations</t>
  </si>
  <si>
    <t>Detailed breakdown and calculations of the levers required for the Financial Statements</t>
  </si>
  <si>
    <t>4. Input</t>
  </si>
  <si>
    <t>Input to the model from all stakeholders</t>
  </si>
  <si>
    <t>Sensitivity Variables</t>
  </si>
  <si>
    <t>Lower Bound Sensitivity Control</t>
  </si>
  <si>
    <t>Upper Bound Sensitivity Control</t>
  </si>
  <si>
    <t>Resulting 2028YE Sensitivity</t>
  </si>
  <si>
    <t>Flag: LB Activate</t>
  </si>
  <si>
    <t>Flag: UB Activate</t>
  </si>
  <si>
    <t>LB Sensitivity</t>
  </si>
  <si>
    <t>UB Sensitivity</t>
  </si>
  <si>
    <t>Lower Bound Δ</t>
  </si>
  <si>
    <t>Upper Bound Δ</t>
  </si>
  <si>
    <t>NPV - FCF: 2024 - 2027</t>
  </si>
  <si>
    <t>IRR: 2024 - 2027</t>
  </si>
  <si>
    <t>Equity IRR (EIRR): 2024 - 2027</t>
  </si>
  <si>
    <t>Total Financing Requirement: 2024 - 2027</t>
  </si>
  <si>
    <t>Operating Costs</t>
  </si>
  <si>
    <t>Staff Evolution</t>
  </si>
  <si>
    <t>Estimation and repayment of the Financing requirements of Doojo</t>
  </si>
  <si>
    <t>Estimation of the revenues of Doojo across sectors</t>
  </si>
  <si>
    <t>Estimation of direct and indirect costs of Doojo</t>
  </si>
  <si>
    <t>Estimation of the size of the organization</t>
  </si>
  <si>
    <t>Estimation of the CapEx investments</t>
  </si>
  <si>
    <t>Estimation of Depreciation associated with the CapEx</t>
  </si>
  <si>
    <t>Full Projection of Doojo Income Statement</t>
  </si>
  <si>
    <t xml:space="preserve">Projection of Key Balance Sheet Metrics of Doojo </t>
  </si>
  <si>
    <t>Full Projection of Doojo Cashflow Statement</t>
  </si>
  <si>
    <t>Overview of the key financial and corporate KPIs</t>
  </si>
  <si>
    <t>Assessment of the impact of key sensitive variables on the return of Doojo</t>
  </si>
  <si>
    <t>Flow Chart</t>
  </si>
  <si>
    <t>Base</t>
  </si>
  <si>
    <t>Conservative</t>
  </si>
  <si>
    <t>Aggressive</t>
  </si>
  <si>
    <t>Name File</t>
  </si>
  <si>
    <t>Transportation</t>
  </si>
  <si>
    <t>Healthcare</t>
  </si>
  <si>
    <t>Financial Services</t>
  </si>
  <si>
    <t>Chemicals</t>
  </si>
  <si>
    <t>Construction</t>
  </si>
  <si>
    <t>Agriculture</t>
  </si>
  <si>
    <t>Aerospace &amp; Defense</t>
  </si>
  <si>
    <t>Real Estate</t>
  </si>
  <si>
    <t>Entertainment</t>
  </si>
  <si>
    <t>Insurance</t>
  </si>
  <si>
    <t>#</t>
  </si>
  <si>
    <t>Textiles</t>
  </si>
  <si>
    <t>E-Commerce</t>
  </si>
  <si>
    <t>Education</t>
  </si>
  <si>
    <t>Home Furnishings</t>
  </si>
  <si>
    <t>Information Technology</t>
  </si>
  <si>
    <t>Industry Group</t>
  </si>
  <si>
    <t>Industry</t>
  </si>
  <si>
    <t>Sub-Industry</t>
  </si>
  <si>
    <t>Energy</t>
  </si>
  <si>
    <t>Energy Equipment &amp; Services</t>
  </si>
  <si>
    <t>Oil &amp; Gas Drilling</t>
  </si>
  <si>
    <t>Oil &amp; Gas Equipment &amp; Services</t>
  </si>
  <si>
    <t>Oil, Gas &amp; Consumable Fuels</t>
  </si>
  <si>
    <t>Integrated Oil &amp; Gas</t>
  </si>
  <si>
    <t>Oil &amp; Gas Exploration &amp; Production</t>
  </si>
  <si>
    <t>Oil &amp; Gas Refining &amp; Marketing</t>
  </si>
  <si>
    <t>Oil &amp; Gas Storage &amp; Transportation</t>
  </si>
  <si>
    <t>Coal &amp; Consumable Fuels</t>
  </si>
  <si>
    <t>Materials</t>
  </si>
  <si>
    <t>Commodity Chemicals</t>
  </si>
  <si>
    <t>Diversified Chemicals</t>
  </si>
  <si>
    <t>Fertilizers &amp; Agricultural Chemicals</t>
  </si>
  <si>
    <t>Industrial Gases</t>
  </si>
  <si>
    <t>Specialty Chemicals</t>
  </si>
  <si>
    <t>Construction Materials</t>
  </si>
  <si>
    <t>Containers &amp; Packaging</t>
  </si>
  <si>
    <t>Metal, Glass &amp; Plastic Containers</t>
  </si>
  <si>
    <t>Paper &amp; Plastic Packaging Products &amp; Materials</t>
  </si>
  <si>
    <t>Metals &amp; Mining</t>
  </si>
  <si>
    <t>Aluminum</t>
  </si>
  <si>
    <t>Diversified Metals &amp; Mining</t>
  </si>
  <si>
    <t>Copper</t>
  </si>
  <si>
    <t>Gold</t>
  </si>
  <si>
    <t>Precious Metals &amp; Minerals</t>
  </si>
  <si>
    <t>Silver</t>
  </si>
  <si>
    <t>Steel</t>
  </si>
  <si>
    <t>Paper &amp; Forest Products</t>
  </si>
  <si>
    <t>Forest Products</t>
  </si>
  <si>
    <t>Paper Products</t>
  </si>
  <si>
    <t>Industrials</t>
  </si>
  <si>
    <t>Capital Goods</t>
  </si>
  <si>
    <t>Aerospace &amp; Defense</t>
  </si>
  <si>
    <t>Building Products</t>
  </si>
  <si>
    <t>Construction &amp; Engineering</t>
  </si>
  <si>
    <t>Electrical Equipment</t>
  </si>
  <si>
    <t>Electrical Components &amp; Equipment</t>
  </si>
  <si>
    <t>Heavy Electrical Equipment</t>
  </si>
  <si>
    <t>Industrial Conglomerates</t>
  </si>
  <si>
    <t>Machinery</t>
  </si>
  <si>
    <t>Construction Machinery &amp; Heavy Transportation Equipment</t>
  </si>
  <si>
    <t>Agricultural &amp; Farm Machinery</t>
  </si>
  <si>
    <t>Industrial Machinery &amp; Supplies &amp; Components</t>
  </si>
  <si>
    <t>Trading Companies &amp; Distributors</t>
  </si>
  <si>
    <t>Commercial &amp; Professional Services</t>
  </si>
  <si>
    <t>Commercial Services &amp; Supplies</t>
  </si>
  <si>
    <t>Commercial Printing</t>
  </si>
  <si>
    <t>Environmental &amp; Facilities Services</t>
  </si>
  <si>
    <t>Office Services &amp; Supplies</t>
  </si>
  <si>
    <t>Diversified Support Services</t>
  </si>
  <si>
    <t>Security &amp; Alarm Services</t>
  </si>
  <si>
    <t>Professional Services</t>
  </si>
  <si>
    <t>Human Resource &amp; Employment Services</t>
  </si>
  <si>
    <t>Research &amp; Consulting Services</t>
  </si>
  <si>
    <t>Data Processing &amp; Outsourced Services</t>
  </si>
  <si>
    <t>Air Freight &amp; Logistics</t>
  </si>
  <si>
    <t>Passenger Airlines</t>
  </si>
  <si>
    <t>Marine Transportation</t>
  </si>
  <si>
    <t>Ground Transportation</t>
  </si>
  <si>
    <t>Rail Transportation</t>
  </si>
  <si>
    <t>Cargo Ground Transportation</t>
  </si>
  <si>
    <t>Passenger Ground Transportation</t>
  </si>
  <si>
    <t>Transportation Infrastructure</t>
  </si>
  <si>
    <t>Airport Services</t>
  </si>
  <si>
    <t>Highways &amp; Railtracks</t>
  </si>
  <si>
    <t>Marine Ports &amp; Services</t>
  </si>
  <si>
    <t>Consumer Discretionary</t>
  </si>
  <si>
    <t>Automobiles &amp; Components</t>
  </si>
  <si>
    <t>Automobile Components</t>
  </si>
  <si>
    <t>Automotive Parts &amp; Equipment</t>
  </si>
  <si>
    <t>Tires &amp; Rubber</t>
  </si>
  <si>
    <t>Automobiles</t>
  </si>
  <si>
    <t>Automobile Manufacturers</t>
  </si>
  <si>
    <t>Motorcycle Manufacturers</t>
  </si>
  <si>
    <t>Consumer Durables &amp; Apparel</t>
  </si>
  <si>
    <t>Household Durables</t>
  </si>
  <si>
    <t>Consumer Electronics</t>
  </si>
  <si>
    <t>Homebuilding</t>
  </si>
  <si>
    <t>Household Appliances</t>
  </si>
  <si>
    <t>Housewares &amp; Specialties</t>
  </si>
  <si>
    <t>Leisure Products</t>
  </si>
  <si>
    <t>Textiles, Apparel &amp; Luxury Goods</t>
  </si>
  <si>
    <t>Apparel, Accessories &amp; Luxury Goods</t>
  </si>
  <si>
    <t>Footwear</t>
  </si>
  <si>
    <t>Consumer Services</t>
  </si>
  <si>
    <t>Hotels, Restaurants &amp; Leisure</t>
  </si>
  <si>
    <t>Casinos &amp; Gaming</t>
  </si>
  <si>
    <t>Hotels, Resorts &amp; Cruise Lines</t>
  </si>
  <si>
    <t>Leisure Facilities</t>
  </si>
  <si>
    <t>Restaurants</t>
  </si>
  <si>
    <t>Diversified Consumer Services</t>
  </si>
  <si>
    <t>Education Services</t>
  </si>
  <si>
    <t>Specialized Consumer Services</t>
  </si>
  <si>
    <t>Consumer Discretionary Distribution &amp; Retail</t>
  </si>
  <si>
    <t>Distributors</t>
  </si>
  <si>
    <t>Broadline Retail</t>
  </si>
  <si>
    <t>Specialty Retail</t>
  </si>
  <si>
    <t>Apparel Retail</t>
  </si>
  <si>
    <t>Computer &amp; Electronics Retail</t>
  </si>
  <si>
    <t>Home Improvement Retail</t>
  </si>
  <si>
    <t>Other Specialty Retail</t>
  </si>
  <si>
    <t>Automotive Retail</t>
  </si>
  <si>
    <t>Homefurnishing Retail</t>
  </si>
  <si>
    <t>Consumer Staples</t>
  </si>
  <si>
    <t>Consumer Staples Distribution &amp; Retail</t>
  </si>
  <si>
    <t>Drug Retail</t>
  </si>
  <si>
    <t>Food Distributors</t>
  </si>
  <si>
    <t>Food Retail</t>
  </si>
  <si>
    <t>Consumer Staples Merchandise Retail</t>
  </si>
  <si>
    <t>Food, Beverage &amp; Tobacco</t>
  </si>
  <si>
    <t>Beverages</t>
  </si>
  <si>
    <t>Brewers</t>
  </si>
  <si>
    <t>Distillers &amp; Vintners</t>
  </si>
  <si>
    <t>Soft Drinks &amp; Non-alcoholic Beverages</t>
  </si>
  <si>
    <t>Food Products</t>
  </si>
  <si>
    <t>Agricultural Products &amp; Services</t>
  </si>
  <si>
    <t>Packaged Foods &amp; Meats</t>
  </si>
  <si>
    <t>Tobacco</t>
  </si>
  <si>
    <t>Household &amp; Personal Products</t>
  </si>
  <si>
    <t>Household Products</t>
  </si>
  <si>
    <t>Personal Care Products</t>
  </si>
  <si>
    <t>Health Care</t>
  </si>
  <si>
    <t>Health Care Equipment &amp; Services</t>
  </si>
  <si>
    <t>Health Care Equipment &amp; Supplies</t>
  </si>
  <si>
    <t>Health Care Equipment</t>
  </si>
  <si>
    <t>Health Care Supplies</t>
  </si>
  <si>
    <t>Health Care Providers &amp; Services</t>
  </si>
  <si>
    <t>Health Care Distributors</t>
  </si>
  <si>
    <t>Health Care Services</t>
  </si>
  <si>
    <t>Health Care Facilities</t>
  </si>
  <si>
    <t>Managed Health Care</t>
  </si>
  <si>
    <t>Health Care Technology</t>
  </si>
  <si>
    <t>Pharmaceuticals, Biotechnology &amp; Life Sciences</t>
  </si>
  <si>
    <t>Biotechnology</t>
  </si>
  <si>
    <t>Pharmaceuticals</t>
  </si>
  <si>
    <t>Life Sciences Tools &amp; Services</t>
  </si>
  <si>
    <t>Financials</t>
  </si>
  <si>
    <t>Banks</t>
  </si>
  <si>
    <t>Diversified Banks</t>
  </si>
  <si>
    <t>Regional Banks</t>
  </si>
  <si>
    <t>Diversified Financial Services</t>
  </si>
  <si>
    <t>Multi-Sector Holdings</t>
  </si>
  <si>
    <t>Specialized Finance</t>
  </si>
  <si>
    <t>Commercial &amp; Residential Mortgage Finance</t>
  </si>
  <si>
    <t>Transaction &amp; Payment Processing Services</t>
  </si>
  <si>
    <t>Consumer Finance</t>
  </si>
  <si>
    <t>Capital Markets</t>
  </si>
  <si>
    <t>Asset Management &amp; Custody Banks</t>
  </si>
  <si>
    <t>Investment Banking &amp; Brokerage</t>
  </si>
  <si>
    <t>Diversified Capital Markets</t>
  </si>
  <si>
    <t>Financial Exchanges &amp; Data</t>
  </si>
  <si>
    <t>Mortgage Real Estate Investment Trusts (REITs)</t>
  </si>
  <si>
    <t>Mortgage REITs</t>
  </si>
  <si>
    <t>Insurance Brokers</t>
  </si>
  <si>
    <t>Life &amp; Health Insurance</t>
  </si>
  <si>
    <t>Multi-line Insurance</t>
  </si>
  <si>
    <t>Property &amp; Casualty Insurance</t>
  </si>
  <si>
    <t>Reinsurance</t>
  </si>
  <si>
    <t>Software &amp; Services</t>
  </si>
  <si>
    <t>IT Services</t>
  </si>
  <si>
    <t>IT Consulting &amp; Other Services</t>
  </si>
  <si>
    <t>Internet Services &amp; Infrastructure</t>
  </si>
  <si>
    <t>Software</t>
  </si>
  <si>
    <t>Application Software</t>
  </si>
  <si>
    <t>Systems Software</t>
  </si>
  <si>
    <t>Technology Hardware &amp; Equipment</t>
  </si>
  <si>
    <t>Communications Equipment</t>
  </si>
  <si>
    <t>Technology Hardware, Storage &amp; Peripherals</t>
  </si>
  <si>
    <t>Electronic Equipment, Instruments &amp; Components</t>
  </si>
  <si>
    <t>Electronic Equipment &amp; Instruments</t>
  </si>
  <si>
    <t>Electronic Components</t>
  </si>
  <si>
    <t>Electronic Manufacturing Services</t>
  </si>
  <si>
    <t>Technology Distributors</t>
  </si>
  <si>
    <t>Semiconductors &amp; Semiconductor Equipment</t>
  </si>
  <si>
    <t>Semiconductor Materials &amp; Equipment</t>
  </si>
  <si>
    <t>Semiconductors</t>
  </si>
  <si>
    <t>Communication Services</t>
  </si>
  <si>
    <t>Telecommunication Services</t>
  </si>
  <si>
    <t>Diversified Telecommunication Services</t>
  </si>
  <si>
    <t>Alternative Carriers</t>
  </si>
  <si>
    <t>Integrated Telecommunication Services</t>
  </si>
  <si>
    <t>Wireless Telecommunication Services</t>
  </si>
  <si>
    <t>Media &amp; Entertainment</t>
  </si>
  <si>
    <t>Media</t>
  </si>
  <si>
    <t>Advertising</t>
  </si>
  <si>
    <t>Broadcasting</t>
  </si>
  <si>
    <t>Cable &amp; Satellite</t>
  </si>
  <si>
    <t>Publishing</t>
  </si>
  <si>
    <t>Movies &amp; Entertainment</t>
  </si>
  <si>
    <t>Interactive Home Entertainment</t>
  </si>
  <si>
    <t>Interactive Media &amp; Services</t>
  </si>
  <si>
    <t>Utilities</t>
  </si>
  <si>
    <t>Electric Utilities</t>
  </si>
  <si>
    <t>Gas Utilities</t>
  </si>
  <si>
    <t>Multi-Utilities</t>
  </si>
  <si>
    <t>Water Utilities</t>
  </si>
  <si>
    <t>Independent Power and Renewable Electricity Producers</t>
  </si>
  <si>
    <t>Independent Power Producers &amp; Energy Traders</t>
  </si>
  <si>
    <t>Renewable Electricity</t>
  </si>
  <si>
    <t>Equity Real Estate Investment Trusts (REITs)</t>
  </si>
  <si>
    <t>Diversified REITs</t>
  </si>
  <si>
    <t>Industrial REITs</t>
  </si>
  <si>
    <t>Hotel &amp; Resort REITs</t>
  </si>
  <si>
    <t>Office REITs</t>
  </si>
  <si>
    <t>Health Care REITs</t>
  </si>
  <si>
    <t>Residential REITs</t>
  </si>
  <si>
    <t>Multi-Family Residential REITs</t>
  </si>
  <si>
    <t>Single-Family Residential REITs</t>
  </si>
  <si>
    <t>Retail REITs</t>
  </si>
  <si>
    <t>Specialized REITs</t>
  </si>
  <si>
    <t>Other Specialized REITs</t>
  </si>
  <si>
    <t>Self-Storage REITs</t>
  </si>
  <si>
    <t>Telecom Tower REITs</t>
  </si>
  <si>
    <t>Timber REITs</t>
  </si>
  <si>
    <t>Data Center REITs</t>
  </si>
  <si>
    <t>Real Estate Management &amp; Development</t>
  </si>
  <si>
    <t>Diversified Real Estate Activities</t>
  </si>
  <si>
    <t>Real Estate Operating Companies</t>
  </si>
  <si>
    <t>Real Estate Development</t>
  </si>
  <si>
    <t>Real Estate Services</t>
  </si>
  <si>
    <t>Africa</t>
  </si>
  <si>
    <t>North America</t>
  </si>
  <si>
    <t>3.3. Revenue</t>
  </si>
  <si>
    <t>3.4. Operating Costs</t>
  </si>
  <si>
    <t>3.5. Staff Evolution</t>
  </si>
  <si>
    <t>3.6. CapEx</t>
  </si>
  <si>
    <t>3.7. D&amp;A</t>
  </si>
  <si>
    <t>Estimation of the equity balance with funds raised</t>
  </si>
  <si>
    <t>Sector Group</t>
  </si>
  <si>
    <t>Market</t>
  </si>
  <si>
    <t>Equity Balance</t>
  </si>
  <si>
    <t>3.2. Doojo Base</t>
  </si>
  <si>
    <t>3.1. Market</t>
  </si>
  <si>
    <t>Assumption of Venture Debt</t>
  </si>
  <si>
    <t>EBITDAR</t>
  </si>
  <si>
    <t>NOPLAT</t>
  </si>
  <si>
    <t>TV to EBIT Multiple</t>
  </si>
  <si>
    <t>TV to EBITDAR Multiple</t>
  </si>
  <si>
    <t>TV to EBITDA Multiple</t>
  </si>
  <si>
    <t>Informed by market reports, including Globaldata, FED, Statista</t>
  </si>
  <si>
    <t>3.10. WACC Composition</t>
  </si>
  <si>
    <t>Estimation of the WACC of Doojo</t>
  </si>
  <si>
    <t>Estimation of the SME Market by sector</t>
  </si>
  <si>
    <t>Estimation of the market demand for Doojo products, informed by use case growth</t>
  </si>
  <si>
    <t>Weighted Average Cost of Capital of Doojo</t>
  </si>
  <si>
    <t>TV to NOPLAT Multiple</t>
  </si>
  <si>
    <t>Based on analyst reports from CapIQ</t>
  </si>
  <si>
    <t>Calculated in sheet 3.10 WACC with breakdown</t>
  </si>
  <si>
    <t>Valuation Variables</t>
  </si>
  <si>
    <t>Tax as a share of profit</t>
  </si>
  <si>
    <t>Company Registration Location</t>
  </si>
  <si>
    <t>UAE</t>
  </si>
  <si>
    <t>USA</t>
  </si>
  <si>
    <t>KSA</t>
  </si>
  <si>
    <t>Qatar</t>
  </si>
  <si>
    <t>Doojo Staff Overview</t>
  </si>
  <si>
    <t>Enterprise Breakdown</t>
  </si>
  <si>
    <t>Micro Enterprises</t>
  </si>
  <si>
    <t>Small Enterprises</t>
  </si>
  <si>
    <t>Medium Enterprises</t>
  </si>
  <si>
    <t>Large Enterprises</t>
  </si>
  <si>
    <t>Total Enterprises</t>
  </si>
  <si>
    <t>Based on the Global Industry Classification Standard</t>
  </si>
  <si>
    <t>Distribution of companies worldwide 2020, by industry</t>
  </si>
  <si>
    <t>Retail &amp; Trade</t>
  </si>
  <si>
    <t>in %</t>
  </si>
  <si>
    <t>Metals &amp; Electronics</t>
  </si>
  <si>
    <t>Finance &amp; Insurance</t>
  </si>
  <si>
    <t>Consumer Goods &amp; FMCG</t>
  </si>
  <si>
    <t>Services</t>
  </si>
  <si>
    <t>Society*</t>
  </si>
  <si>
    <t>Chemicals &amp; Resources</t>
  </si>
  <si>
    <t>Health, Pharma &amp; Medtech</t>
  </si>
  <si>
    <t>Transportation &amp; Logistics</t>
  </si>
  <si>
    <t>Technology &amp; Telecommunications</t>
  </si>
  <si>
    <t>Governmental / nonprofits*</t>
  </si>
  <si>
    <t>Travel, Tourism &amp; Hospitality</t>
  </si>
  <si>
    <t>Energy &amp; Environment</t>
  </si>
  <si>
    <t>Sports &amp; Recreation</t>
  </si>
  <si>
    <t>Advertising &amp; Marketing</t>
  </si>
  <si>
    <t>Internet</t>
  </si>
  <si>
    <t>Estimated number of companies worldwide in 2023, by region</t>
  </si>
  <si>
    <t>Middle East</t>
  </si>
  <si>
    <t>UK and Europe</t>
  </si>
  <si>
    <t>Latin America</t>
  </si>
  <si>
    <t xml:space="preserve"> 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</si>
  <si>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</si>
  <si>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</si>
  <si>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</si>
  <si>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</si>
  <si>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</si>
  <si>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</si>
  <si>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</si>
  <si>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</si>
  <si>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</si>
  <si>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</si>
  <si>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</si>
  <si>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</si>
  <si>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</si>
  <si>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</si>
  <si>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</si>
  <si>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</si>
  <si>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</si>
  <si>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</si>
  <si>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</si>
  <si>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</si>
  <si>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</si>
  <si>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</si>
  <si>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</si>
  <si>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</si>
  <si>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</si>
  <si>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</si>
  <si>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</si>
  <si>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</si>
  <si>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</si>
  <si>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</si>
  <si>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</si>
  <si>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</si>
  <si>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</si>
  <si>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Northern America</t>
  </si>
  <si>
    <t>Latin America and the Caribbean</t>
  </si>
  <si>
    <t>Asia and the Pacific</t>
  </si>
  <si>
    <t>World</t>
  </si>
  <si>
    <t>Europe and Central Asia</t>
  </si>
  <si>
    <t>Estimated employment-to-population ratio worldwide in 2023, by region</t>
  </si>
  <si>
    <t>2024</t>
  </si>
  <si>
    <t>Number of employees worldwide from 1991 to 2024 (in billions)</t>
  </si>
  <si>
    <t>Estimated number of large companies worldwide in 2023, by region</t>
  </si>
  <si>
    <t>Females in senior roles</t>
  </si>
  <si>
    <t>Women in parliaments</t>
  </si>
  <si>
    <t>Share of global workforce</t>
  </si>
  <si>
    <t>Women's hiring into leadership positions</t>
  </si>
  <si>
    <t>Women in STEM*</t>
  </si>
  <si>
    <t>Women in non-STEM positions</t>
  </si>
  <si>
    <t>Micro (0-9 employees)</t>
  </si>
  <si>
    <t>Small (10-49 employees)</t>
  </si>
  <si>
    <t>Medium-sized (50-249 employees)</t>
  </si>
  <si>
    <t>Medium (50-249 employees)</t>
  </si>
  <si>
    <t>Large (250+ employees)</t>
  </si>
  <si>
    <t>Austria</t>
  </si>
  <si>
    <t>Belgium</t>
  </si>
  <si>
    <t>Bulgaria</t>
  </si>
  <si>
    <t>Croatia</t>
  </si>
  <si>
    <t>Cyprus</t>
  </si>
  <si>
    <t>Czechia</t>
  </si>
  <si>
    <t>Denmark</t>
  </si>
  <si>
    <t>Estonia</t>
  </si>
  <si>
    <t>European Union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</si>
  <si>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</si>
  <si>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</si>
  <si>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</si>
  <si>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</si>
  <si>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</si>
  <si>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</si>
  <si>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</si>
  <si>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</si>
  <si>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</si>
  <si>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</si>
  <si>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</si>
  <si>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</si>
  <si>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</si>
  <si>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</si>
  <si>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</si>
  <si>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</si>
  <si>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</si>
  <si>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</si>
  <si>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</si>
  <si>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Distribution of value added in EU countries 2023, by enterprise size</t>
  </si>
  <si>
    <t>Distributive trades</t>
  </si>
  <si>
    <t>Professional, scientific &amp; technical activities</t>
  </si>
  <si>
    <t>Accommodation &amp; food services</t>
  </si>
  <si>
    <t>Manufacturing</t>
  </si>
  <si>
    <t>Administrative &amp; support services</t>
  </si>
  <si>
    <t>Real estate</t>
  </si>
  <si>
    <t>Transportation &amp; storage</t>
  </si>
  <si>
    <t>Information &amp; communication</t>
  </si>
  <si>
    <t>Electricity, gas</t>
  </si>
  <si>
    <t>Water supply, sewerage, waste management</t>
  </si>
  <si>
    <t>Mining &amp; quarrying</t>
  </si>
  <si>
    <t>Number of small and medium-sized enterprises (SMEs) in the non-financial business economy of the European Union in 2023, by sector</t>
  </si>
  <si>
    <t>Wholesale and retail trade; repair of motor vehicles and motorcycle</t>
  </si>
  <si>
    <t>Administrative and support services</t>
  </si>
  <si>
    <t>Transportation and storage</t>
  </si>
  <si>
    <t>Accommodation and food services</t>
  </si>
  <si>
    <t>Professional, scientific and technical activities</t>
  </si>
  <si>
    <t>Information and communication</t>
  </si>
  <si>
    <t>Water supply; sewerage, waste management and remediation activities</t>
  </si>
  <si>
    <t>Real estate activities</t>
  </si>
  <si>
    <t>Electricity, gas, steam and air condition supply</t>
  </si>
  <si>
    <t>Mining and quarrying</t>
  </si>
  <si>
    <t>Number of medium-sized enterprises (50-249 employees) in the non-financial business economy of the European Union in 2024, by sector</t>
  </si>
  <si>
    <t>Number of small-sized enterprises (10-49 employees) in the non-financial business economy of the European Union in 2024, by sector</t>
  </si>
  <si>
    <t>Wholesale and retail trade</t>
  </si>
  <si>
    <t>Source: DIW Berlin, European Commission, Eurostat, Statista, World Bank, GlobalData</t>
  </si>
  <si>
    <t>Professional, Scientific and Technical Activities</t>
  </si>
  <si>
    <t>Wholesale and Retail Trade*</t>
  </si>
  <si>
    <t>Other Service Activities</t>
  </si>
  <si>
    <t>Human Health and Social Work Activities</t>
  </si>
  <si>
    <t>Information and Communication</t>
  </si>
  <si>
    <t>Transportation and Storage</t>
  </si>
  <si>
    <t>Arts, Entertainment and Recreation</t>
  </si>
  <si>
    <t>Accommodation and Food Service Activities</t>
  </si>
  <si>
    <t>Agriculture, Forestry and Fishing</t>
  </si>
  <si>
    <t>Real Estate Activities</t>
  </si>
  <si>
    <t>Administrative and Support Service Activities</t>
  </si>
  <si>
    <t>Financial and Insurance activities</t>
  </si>
  <si>
    <t>Mining, energy, water supply, and waste management**</t>
  </si>
  <si>
    <t>Professional, Scientific, and Technical Services</t>
  </si>
  <si>
    <t>Other Services (except public administration)</t>
  </si>
  <si>
    <t>Transportation and Warehousing</t>
  </si>
  <si>
    <t>Real Estate and Rental and Leasing</t>
  </si>
  <si>
    <t>Administrative, Support, and Waste Management</t>
  </si>
  <si>
    <t>Retail Trade</t>
  </si>
  <si>
    <t>Healthcare and Social Assistance</t>
  </si>
  <si>
    <t>Accomodation and Food Services</t>
  </si>
  <si>
    <t>Finance and Insurance</t>
  </si>
  <si>
    <t>Educational Services</t>
  </si>
  <si>
    <t>Wholesale Trade</t>
  </si>
  <si>
    <t>Information</t>
  </si>
  <si>
    <t>Agriculture, Forestry, Fishing and Hunting</t>
  </si>
  <si>
    <t>Mining, Quarrying, and Oil and Gas Extraction</t>
  </si>
  <si>
    <t>Management of Companies and Enterprises</t>
  </si>
  <si>
    <t>Industries not classified</t>
  </si>
  <si>
    <t>Without employees</t>
  </si>
  <si>
    <t>1-19 employees</t>
  </si>
  <si>
    <t>20-499 employees</t>
  </si>
  <si>
    <t>All Small businesses</t>
  </si>
  <si>
    <t xml:space="preserve">Total </t>
  </si>
  <si>
    <t>Asia and Pacific</t>
  </si>
  <si>
    <t>Energy and Environment</t>
  </si>
  <si>
    <t>Sectorial Mapping</t>
  </si>
  <si>
    <t>Sector Classification</t>
  </si>
  <si>
    <t>Communication, Media and Technology</t>
  </si>
  <si>
    <t>Public and Social Services</t>
  </si>
  <si>
    <t>Retail and Consumer Goods</t>
  </si>
  <si>
    <t>Industrials and Services</t>
  </si>
  <si>
    <t>Real Estate and Construction</t>
  </si>
  <si>
    <t>Transportation and Services</t>
  </si>
  <si>
    <t>Terminologies accumulated from Global Reports</t>
  </si>
  <si>
    <t>Terminologies accumulated from EU SMEs Reports</t>
  </si>
  <si>
    <t>Terminologies accumulated from USA SMEs Reports</t>
  </si>
  <si>
    <t>Terminologies accumulated from UK SMEs Reports</t>
  </si>
  <si>
    <t>Percentage of map</t>
  </si>
  <si>
    <t>Financials and Insurance</t>
  </si>
  <si>
    <t>Professional Services: Human Resources, Education, Consulting, Legal</t>
  </si>
  <si>
    <t>Entertainment and Recreation</t>
  </si>
  <si>
    <t>Source: US SME Administration Office, latest available 2023</t>
  </si>
  <si>
    <t>Number of US SMEs per sector</t>
  </si>
  <si>
    <t>Number of UK SMEs per sector</t>
  </si>
  <si>
    <t>Total</t>
  </si>
  <si>
    <t>Source: UK Government - Department of Business, 2024</t>
  </si>
  <si>
    <t>Doojo User-Base</t>
  </si>
  <si>
    <t>Individual Developers</t>
  </si>
  <si>
    <t>Number of Use Cases Published</t>
  </si>
  <si>
    <t>Conversion per region: Micro Enterprises</t>
  </si>
  <si>
    <t>Conversion per region: Small Enterprises</t>
  </si>
  <si>
    <t>Conversion per region: Medium Enterprises</t>
  </si>
  <si>
    <t>Conversion per region: Large Enterprises</t>
  </si>
  <si>
    <t>Developers</t>
  </si>
  <si>
    <t>Share of Developers from Enterprises Signing-up to solution</t>
  </si>
  <si>
    <t>Inventory as a share of OpEx</t>
  </si>
  <si>
    <t>Assets - Current Assets</t>
  </si>
  <si>
    <t>Assets - Non-current Assets</t>
  </si>
  <si>
    <t>Liabilities - Current Liabilities</t>
  </si>
  <si>
    <t>Liabilities - Non-current Liabilities</t>
  </si>
  <si>
    <t xml:space="preserve">Trade and Other Payables as a share of OpEx </t>
  </si>
  <si>
    <t>Unearned Revenue as a share of Revenue</t>
  </si>
  <si>
    <t>Number of Staff Converted per Enterprise Size</t>
  </si>
  <si>
    <t>Micro Enterprise: Average Staff per Enterprise</t>
  </si>
  <si>
    <t>Small Enterprise: Average Staff per Enterprise</t>
  </si>
  <si>
    <t>Small Enterprise: Share Staff using Doojo</t>
  </si>
  <si>
    <t>Micro Enterprise: Share Staff using Doojo</t>
  </si>
  <si>
    <t>Medium Enterprise: Average Staff per Enterprise</t>
  </si>
  <si>
    <t>Medium Enterprise: Share Staff using Doojo</t>
  </si>
  <si>
    <t>Large Enterprise: Average Staff per Enterprise</t>
  </si>
  <si>
    <t>Large Enterprise: Share Staff using Doojo</t>
  </si>
  <si>
    <t>Independent Developers</t>
  </si>
  <si>
    <t>Micro Enterprise User Base</t>
  </si>
  <si>
    <t>Small Enterprise User Base</t>
  </si>
  <si>
    <t>Medium Enterprise User Base</t>
  </si>
  <si>
    <t>Large Enterprise User Base</t>
  </si>
  <si>
    <t>Doojo Company Base</t>
  </si>
  <si>
    <t>Micro Enterprise Base</t>
  </si>
  <si>
    <t>Small Enterprise Base</t>
  </si>
  <si>
    <t>Medium Enterprise Base</t>
  </si>
  <si>
    <t>Large Enterprise Base</t>
  </si>
  <si>
    <r>
      <t xml:space="preserve">Starter Package: </t>
    </r>
    <r>
      <rPr>
        <sz val="9"/>
        <color theme="1"/>
        <rFont val="Arial"/>
        <family val="2"/>
      </rPr>
      <t>Free Trail - 3 Days</t>
    </r>
  </si>
  <si>
    <t>Doojo Essentials</t>
  </si>
  <si>
    <r>
      <t xml:space="preserve">Doojo Essentials: </t>
    </r>
    <r>
      <rPr>
        <sz val="9"/>
        <color theme="1"/>
        <rFont val="Arial"/>
        <family val="2"/>
      </rPr>
      <t>Essential tools and features for small to mid-size Apps</t>
    </r>
  </si>
  <si>
    <r>
      <t>Doojo Advanced:</t>
    </r>
    <r>
      <rPr>
        <sz val="9"/>
        <color theme="1"/>
        <rFont val="Arial"/>
        <family val="2"/>
      </rPr>
      <t xml:space="preserve"> Additional tools and features for scaling Enterprises </t>
    </r>
  </si>
  <si>
    <t>Share of free trail users who convert to Doojo Essentials</t>
  </si>
  <si>
    <t>Share of free trail users who convert to Doojo Advanced</t>
  </si>
  <si>
    <t>Enterprise Evolution from 2023 Data</t>
  </si>
  <si>
    <t>Enterprise Growth rate</t>
  </si>
  <si>
    <t>Enterprise Exit rate</t>
  </si>
  <si>
    <r>
      <rPr>
        <b/>
        <sz val="9"/>
        <color theme="1"/>
        <rFont val="Arial"/>
        <family val="2"/>
      </rPr>
      <t>Qualifying Assumption 1:</t>
    </r>
    <r>
      <rPr>
        <sz val="9"/>
        <color theme="1"/>
        <rFont val="Arial"/>
        <family val="2"/>
      </rPr>
      <t xml:space="preserve"> Enterprises with Enabling Tech Set-up</t>
    </r>
  </si>
  <si>
    <t>Qualifying Assumption 2: Enterprises Interested in Adopting AI/LLM Solutions</t>
  </si>
  <si>
    <t>Qualifying Assumption 3: Enterprises interested in solutions beyond existing LLMs</t>
  </si>
  <si>
    <t>Workplace gender gap worldwide in 2024, by type - In percentage</t>
  </si>
  <si>
    <t>Source: DIW Berlin, EU Commission, Eurostat, Statista, WB, GlobalData, US SME Admin Office, UK Department of Business</t>
  </si>
  <si>
    <t>Estimated number of Small and Medium Enterprises worldwide in 2023, by region - In Millions</t>
  </si>
  <si>
    <t>Sector Mapping</t>
  </si>
  <si>
    <t>Number of small and medium-sized enterprises (SMEs) in the European Union from 2008 to 2024, by number of enterprises, In #</t>
  </si>
  <si>
    <t>Share of enterprise sizes in EU countries 2023: Share of enterprise sizes in non-financial business economy in the EU by member state</t>
  </si>
  <si>
    <t>Number of people employed by SMEs in the European Union from 2008 to 2024, by enterprise size</t>
  </si>
  <si>
    <t>Forecasted number of micro enterprises (0-9 employees) in the non-financial business economy of the EU in 2024, by sector</t>
  </si>
  <si>
    <t>Global Enterprise Breakdown</t>
  </si>
  <si>
    <t>Estimated number of large companies worldwide by sector</t>
  </si>
  <si>
    <t>Doojo Architect</t>
  </si>
  <si>
    <t>Doojo Advanced</t>
  </si>
  <si>
    <t>Starter Package</t>
  </si>
  <si>
    <t>Monthly Variation</t>
  </si>
  <si>
    <t>Annaul Variation</t>
  </si>
  <si>
    <t xml:space="preserve">Direct Conversion as a share of monthly user-base </t>
  </si>
  <si>
    <t>Share of Starter Package users who convert to Doojo Architect</t>
  </si>
  <si>
    <t>Average ticket price</t>
  </si>
  <si>
    <t>Other Revenue</t>
  </si>
  <si>
    <t>Third Party Seller</t>
  </si>
  <si>
    <t>Cash Investing</t>
  </si>
  <si>
    <t>Average Subscriber Churn</t>
  </si>
  <si>
    <t xml:space="preserve">Share of Target Doojo User Base retained per sector </t>
  </si>
  <si>
    <t>Subscription Price - Monthly Payment</t>
  </si>
  <si>
    <t>Subscription Price - Annual Payment</t>
  </si>
  <si>
    <t>Marketing Income</t>
  </si>
  <si>
    <t>Cash Investing return on cash invested</t>
  </si>
  <si>
    <t>Marketing Income as a share of Doojo Essentials and Advanced</t>
  </si>
  <si>
    <t>Third Party App / API Seller, as a share of All Income</t>
  </si>
  <si>
    <t xml:space="preserve">Average ticket </t>
  </si>
  <si>
    <t xml:space="preserve">Share of monthly user-base </t>
  </si>
  <si>
    <r>
      <t>Doojo Architect:</t>
    </r>
    <r>
      <rPr>
        <sz val="9"/>
        <color theme="1"/>
        <rFont val="Arial"/>
        <family val="2"/>
      </rPr>
      <t xml:space="preserve"> Custom Solutions for Enterprise Use Cases</t>
    </r>
  </si>
  <si>
    <t>Share of cash invested on return</t>
  </si>
  <si>
    <t>Subscription Price</t>
  </si>
  <si>
    <t>Number of Users</t>
  </si>
  <si>
    <t>Share of subscribers as monthly subscribers</t>
  </si>
  <si>
    <t>Share of money at start versus end of engagement</t>
  </si>
  <si>
    <t>Average Starter Package Price</t>
  </si>
  <si>
    <t>Average Annual Subscription</t>
  </si>
  <si>
    <t>Initial Payment</t>
  </si>
  <si>
    <t>Full Delivery Payment</t>
  </si>
  <si>
    <t>Monthly Subscription</t>
  </si>
  <si>
    <t>Annual Subscription</t>
  </si>
  <si>
    <t>Average number of users</t>
  </si>
  <si>
    <t>Average monthly Subscription</t>
  </si>
  <si>
    <t>User-base Breakdown</t>
  </si>
  <si>
    <t>Entities</t>
  </si>
  <si>
    <t>Total Individual Developers</t>
  </si>
  <si>
    <t>Share of Enterprise Developers who retain Individual accounts: Micro</t>
  </si>
  <si>
    <t>Share of Enterprise Developers who retain Individual accounts: Small</t>
  </si>
  <si>
    <t>Share of Enterprise Developers who retain Individual accounts: Medium</t>
  </si>
  <si>
    <t>Share of Enterprise Developers who retain Individual accounts: Large</t>
  </si>
  <si>
    <r>
      <t>Entities - Doojo Architect:</t>
    </r>
    <r>
      <rPr>
        <sz val="9"/>
        <color theme="1"/>
        <rFont val="Arial"/>
        <family val="2"/>
      </rPr>
      <t xml:space="preserve"> Custom Solutions for Enterprise Use Cases</t>
    </r>
  </si>
  <si>
    <t>Share of Developers subscribing on Doojo Essentials</t>
  </si>
  <si>
    <t>Share of Developers subscribing Doojo Advanced</t>
  </si>
  <si>
    <t>Share of Developers subscribing on Starter Package</t>
  </si>
  <si>
    <t>Number of subscribers</t>
  </si>
  <si>
    <t>Subscription terms</t>
  </si>
  <si>
    <r>
      <t xml:space="preserve">Starter Package: </t>
    </r>
    <r>
      <rPr>
        <sz val="9"/>
        <color theme="0"/>
        <rFont val="Arial"/>
        <family val="2"/>
      </rPr>
      <t>Free Trail - 3 Days</t>
    </r>
  </si>
  <si>
    <t xml:space="preserve">Enterprise - Doojo Essentials </t>
  </si>
  <si>
    <t xml:space="preserve">Individual - Doojo Essentials </t>
  </si>
  <si>
    <t>Enterprise - Doojo Advanced</t>
  </si>
  <si>
    <t>Share of Individuals on Monthly Payment</t>
  </si>
  <si>
    <t>Share of Individuals on Annual Payment</t>
  </si>
  <si>
    <t>Number of monthly subscribers</t>
  </si>
  <si>
    <t>Number of annual subscribers</t>
  </si>
  <si>
    <t>Individual - Doojo Advanced</t>
  </si>
  <si>
    <t>Subscribers whose journey ends with Starter Package</t>
  </si>
  <si>
    <t>Starter Package Subscribers who transition to Essentials</t>
  </si>
  <si>
    <t>Starter Package Subscribers who transition to Advanced</t>
  </si>
  <si>
    <t>Share of Starter Package Developers who join Doojo Essentials</t>
  </si>
  <si>
    <t>Share of Starter Package Developers who join Doojo Advanced</t>
  </si>
  <si>
    <t>Starter Conversions</t>
  </si>
  <si>
    <t>Average ticket duration in number of months</t>
  </si>
  <si>
    <t>Starter Package Subscribers who transition to Architect</t>
  </si>
  <si>
    <t>Number of subscribers paid initial fee</t>
  </si>
  <si>
    <t>Number of subscribers paid full fee</t>
  </si>
  <si>
    <t xml:space="preserve">Essentials and Advanced </t>
  </si>
  <si>
    <t>Number of Users - Enterprise Accounts</t>
  </si>
  <si>
    <t>Number of Users - Individual Accounts</t>
  </si>
  <si>
    <t>Commissions and Incentives</t>
  </si>
  <si>
    <t>Advertisement and Promotion Cost</t>
  </si>
  <si>
    <t>Incorporation and Set-up Cost</t>
  </si>
  <si>
    <t>Software and Integrations</t>
  </si>
  <si>
    <t>Personnel</t>
  </si>
  <si>
    <t>General and Administrative Costs</t>
  </si>
  <si>
    <t>Sales and Marketing Costs</t>
  </si>
  <si>
    <t>Other Costs</t>
  </si>
  <si>
    <t>Payment Processing Costs</t>
  </si>
  <si>
    <t>Total Operating Costs</t>
  </si>
  <si>
    <t>Doojo Essentials Package</t>
  </si>
  <si>
    <t xml:space="preserve">Doojo Advanced Package </t>
  </si>
  <si>
    <t xml:space="preserve">Doojo Architect Package </t>
  </si>
  <si>
    <t>Rent and Utilities</t>
  </si>
  <si>
    <t>IT and Infrastructure</t>
  </si>
  <si>
    <t>Insurance Cost</t>
  </si>
  <si>
    <t>Financial Audit Cost</t>
  </si>
  <si>
    <t>Partnership Costs</t>
  </si>
  <si>
    <t>Other GnA Cost (e.g., Air Travel, Training)</t>
  </si>
  <si>
    <t>Online Conversion</t>
  </si>
  <si>
    <t>Bank Conversion</t>
  </si>
  <si>
    <t>Other Cost</t>
  </si>
  <si>
    <t>Other Cost as a share of revenue</t>
  </si>
  <si>
    <t>Insurance Cost as a share of staff cost</t>
  </si>
  <si>
    <t>Software and integrations</t>
  </si>
  <si>
    <t>Advertisement and Promotion Cost as a share of revenue</t>
  </si>
  <si>
    <t>Commissions and Incentives as a share of revenue</t>
  </si>
  <si>
    <t>Partnership Costs per 100 users</t>
  </si>
  <si>
    <t>LLM Tokens</t>
  </si>
  <si>
    <t>Data Storage</t>
  </si>
  <si>
    <t>API Integrations</t>
  </si>
  <si>
    <t>Software licensing and third-party tools</t>
  </si>
  <si>
    <t>User Authentication and Security Costs</t>
  </si>
  <si>
    <t>Data Analytics</t>
  </si>
  <si>
    <t>Server Cost</t>
  </si>
  <si>
    <t>Proxy Efforts</t>
  </si>
  <si>
    <t>Serper API</t>
  </si>
  <si>
    <t>DevOps</t>
  </si>
  <si>
    <t>Customer Support</t>
  </si>
  <si>
    <t>Payroll Taxes and Benefits rate per annum</t>
  </si>
  <si>
    <t>Salary growth rate per annum</t>
  </si>
  <si>
    <t>Total Staff</t>
  </si>
  <si>
    <t>Other Third-party Costs</t>
  </si>
  <si>
    <t>Other third-party costs</t>
  </si>
  <si>
    <t>Marketing</t>
  </si>
  <si>
    <t>Sales and Business Development</t>
  </si>
  <si>
    <t>Accounting and Finance</t>
  </si>
  <si>
    <t>AI and NLP</t>
  </si>
  <si>
    <t xml:space="preserve">DevOps </t>
  </si>
  <si>
    <t>Web Front- and Back-end Developers</t>
  </si>
  <si>
    <t>Industry SMEs</t>
  </si>
  <si>
    <t>Human Resources and Admin</t>
  </si>
  <si>
    <t>Co-founders</t>
  </si>
  <si>
    <t>Mid-level</t>
  </si>
  <si>
    <t>Senior-level</t>
  </si>
  <si>
    <t>Junior-level</t>
  </si>
  <si>
    <t>Shift 1</t>
  </si>
  <si>
    <t>Shift 2</t>
  </si>
  <si>
    <t>Shift 3</t>
  </si>
  <si>
    <t>Average SMEs:Use Case Multiplier: Agriculture</t>
  </si>
  <si>
    <t>Average SMEs:Use Case Multiplier: Communication, Media and Technology</t>
  </si>
  <si>
    <t>Average SMEs:Use Case Multiplier: Energy and Environment</t>
  </si>
  <si>
    <t>Average SMEs:Use Case Multiplier: Financial Services</t>
  </si>
  <si>
    <t>Average SMEs:Use Case Multiplier: Healthcare</t>
  </si>
  <si>
    <t>Average SMEs:Use Case Multiplier: Industrials and Services</t>
  </si>
  <si>
    <t>Average SMEs:Use Case Multiplier: Professional Services: Human Resources, Education, Consulting, Legal</t>
  </si>
  <si>
    <t>Average SMEs:Use Case Multiplier: Public and Social Services</t>
  </si>
  <si>
    <t>Average SMEs:Use Case Multiplier: Real Estate and Construction</t>
  </si>
  <si>
    <t>Average SMEs:Use Case Multiplier: Retail and Consumer Goods</t>
  </si>
  <si>
    <t>Average SMEs:Use Case Multiplier: Entertainment and Recreation</t>
  </si>
  <si>
    <t>Average SMEs:Use Case Multiplier: Transportation and Services</t>
  </si>
  <si>
    <t>CEO</t>
  </si>
  <si>
    <t>CTO</t>
  </si>
  <si>
    <t>Expected Number of Hours to complete a use-case</t>
  </si>
  <si>
    <t>Cost per hour per SME</t>
  </si>
  <si>
    <t>Average Costs per Item</t>
  </si>
  <si>
    <t>Starter Package Specification</t>
  </si>
  <si>
    <t>Architect Package Specification</t>
  </si>
  <si>
    <t>Advanced Package Specification</t>
  </si>
  <si>
    <t>Essentials Package Specification</t>
  </si>
  <si>
    <t>Average cost per I/O LLM Token</t>
  </si>
  <si>
    <t>USD / Staff</t>
  </si>
  <si>
    <t>Other GnA Cost (e.g., Air Travel, Training) as a share of personnel cost</t>
  </si>
  <si>
    <t>Visa Costs: Share of Staff Remote</t>
  </si>
  <si>
    <t>Visa Costs: Cost to establish a visa per 2 years per staff</t>
  </si>
  <si>
    <t>Incorporation and Set-up Cost fee per annum</t>
  </si>
  <si>
    <t>Incorporation and Set-up Cost: Incorporation fee</t>
  </si>
  <si>
    <t>Financial Audit Cost per annum</t>
  </si>
  <si>
    <t>IT and Infrastructure cost per new employee</t>
  </si>
  <si>
    <t>Visa Cost</t>
  </si>
  <si>
    <t>USD / User</t>
  </si>
  <si>
    <t>Number of Use Cases</t>
  </si>
  <si>
    <t>Staff Evolution versus Use Cases</t>
  </si>
  <si>
    <t>Impairment, as a share of revenue</t>
  </si>
  <si>
    <t>Other Income / losses as a share of revenue</t>
  </si>
  <si>
    <t>Platform Development</t>
  </si>
  <si>
    <t>Workspace Development</t>
  </si>
  <si>
    <t>Staff IT Development</t>
  </si>
  <si>
    <t>AI Model Development</t>
  </si>
  <si>
    <t>Other CapEx</t>
  </si>
  <si>
    <t xml:space="preserve">Front-end and Back-end </t>
  </si>
  <si>
    <t>Integrations with APIs and Data Sources</t>
  </si>
  <si>
    <t>Testing and QA Systems</t>
  </si>
  <si>
    <t>Custom Fine-Tuning</t>
  </si>
  <si>
    <t>Model Training GPUs</t>
  </si>
  <si>
    <t>Office Set-up</t>
  </si>
  <si>
    <t>Networking Infrastructure</t>
  </si>
  <si>
    <t>Laptops and phones</t>
  </si>
  <si>
    <t>Software Licenses</t>
  </si>
  <si>
    <t>Other CapEx as a share of costs</t>
  </si>
  <si>
    <t>Total Capital Expenditures</t>
  </si>
  <si>
    <t>Annual Software Licenses</t>
  </si>
  <si>
    <t>Months</t>
  </si>
  <si>
    <t>Cost per Sector</t>
  </si>
  <si>
    <t>Sector Specific Model Launch-time</t>
  </si>
  <si>
    <t>Timeline</t>
  </si>
  <si>
    <t>Trade and Other Receivables as a share of Revenue</t>
  </si>
  <si>
    <t>Depreciation and Amortization - Share incurred in Y1</t>
  </si>
  <si>
    <t>Prepaid Expenses as a share of OpEx</t>
  </si>
  <si>
    <t>New CapEx</t>
  </si>
  <si>
    <t>CapEx New</t>
  </si>
  <si>
    <t>PPE - Old</t>
  </si>
  <si>
    <t>Cash Balance by EoM</t>
  </si>
  <si>
    <t>Sales and Disposal of Assets</t>
  </si>
  <si>
    <t>Funding Requirement</t>
  </si>
  <si>
    <t>Opening Cash Balance</t>
  </si>
  <si>
    <t>Cash Surplus/Deficit</t>
  </si>
  <si>
    <t>Minimum desired Cash Balance</t>
  </si>
  <si>
    <t>(+) Grants</t>
  </si>
  <si>
    <t>Equity Injections</t>
  </si>
  <si>
    <t>Grants</t>
  </si>
  <si>
    <t>(+) Change in Reserves</t>
  </si>
  <si>
    <t>Debt Financing</t>
  </si>
  <si>
    <t>Debt Issued for Cash financing</t>
  </si>
  <si>
    <t>Debt Issuance</t>
  </si>
  <si>
    <t>Interest Payment</t>
  </si>
  <si>
    <t>Debt: Payback period in years</t>
  </si>
  <si>
    <t>Debt: Proportion of year interest paid in 1st year</t>
  </si>
  <si>
    <t>Debt: Proportion of year principal paid in 1st year</t>
  </si>
  <si>
    <t>Full Debt Payment</t>
  </si>
  <si>
    <t>Principle Payment</t>
  </si>
  <si>
    <t>Outstanding Debt</t>
  </si>
  <si>
    <t>Debt Added</t>
  </si>
  <si>
    <t>Debt Principal Paid</t>
  </si>
  <si>
    <t>Debt EOP</t>
  </si>
  <si>
    <t>Total number of Users</t>
  </si>
  <si>
    <t>Total number of Enterprises</t>
  </si>
  <si>
    <t>Net Profit</t>
  </si>
  <si>
    <t>Debt to equity ratio</t>
  </si>
  <si>
    <t>Assets to Liability Ratio</t>
  </si>
  <si>
    <t>Working capital ratio</t>
  </si>
  <si>
    <t>Quick ratio</t>
  </si>
  <si>
    <t>Debt to assets ratio</t>
  </si>
  <si>
    <t>Return on equity</t>
  </si>
  <si>
    <t>Days Sales Outstanding</t>
  </si>
  <si>
    <t>Days Payables Outstanding</t>
  </si>
  <si>
    <t>Interest coverage ratio</t>
  </si>
  <si>
    <t>Operating cashflow to sales ratio</t>
  </si>
  <si>
    <t>Cashflow to debt ratio</t>
  </si>
  <si>
    <t>Raised Equity</t>
  </si>
  <si>
    <t>Calculations</t>
  </si>
  <si>
    <t>Discount</t>
  </si>
  <si>
    <t>Free Cashflow of Equity</t>
  </si>
  <si>
    <t>Free Cashflow</t>
  </si>
  <si>
    <t>Long term US Nominal risk free rate</t>
  </si>
  <si>
    <t>Implied risk free rate for the country</t>
  </si>
  <si>
    <t>Unlevered beta</t>
  </si>
  <si>
    <t>Debt-to-equity</t>
  </si>
  <si>
    <t>Levered beta</t>
  </si>
  <si>
    <t>Implied market risk premium</t>
  </si>
  <si>
    <t>Size &amp; specific risk premium</t>
  </si>
  <si>
    <t>Cost of equity</t>
  </si>
  <si>
    <t>Inflation differential between GCC and US</t>
  </si>
  <si>
    <t>Tax rate - UAE</t>
  </si>
  <si>
    <t>Average Country risk premium</t>
  </si>
  <si>
    <t>Cost of debt</t>
  </si>
  <si>
    <t>Cost of Equity Sizing</t>
  </si>
  <si>
    <t>Tax Rate for WACC Build-up</t>
  </si>
  <si>
    <t>Debt Financing Cash Flow</t>
  </si>
  <si>
    <t>Terminal Value Month</t>
  </si>
  <si>
    <t>TV Month</t>
  </si>
  <si>
    <t>Month</t>
  </si>
  <si>
    <t>Month it takes to EBIT turn positive</t>
  </si>
  <si>
    <t>EBIT turns positive year</t>
  </si>
  <si>
    <t>Equity Financing</t>
  </si>
  <si>
    <t>Financing Scenario</t>
  </si>
  <si>
    <t>Bootstrapped</t>
  </si>
  <si>
    <t>Raised</t>
  </si>
  <si>
    <t>Share of Staff salaries provisioned as end of Service benefits</t>
  </si>
  <si>
    <t>Equity Sale Injection</t>
  </si>
  <si>
    <t>Equity Financing by Round</t>
  </si>
  <si>
    <t>Pre-seed</t>
  </si>
  <si>
    <t>Seed</t>
  </si>
  <si>
    <t>Series A</t>
  </si>
  <si>
    <t>Series B</t>
  </si>
  <si>
    <t>Series C</t>
  </si>
  <si>
    <t>Series D</t>
  </si>
  <si>
    <t>Series E</t>
  </si>
  <si>
    <t>Series F</t>
  </si>
  <si>
    <t>Equity Breakdown</t>
  </si>
  <si>
    <t>Revenue Trigger</t>
  </si>
  <si>
    <t>Share Sale</t>
  </si>
  <si>
    <t>Equity Injection</t>
  </si>
  <si>
    <t>Equity remaining for Founders</t>
  </si>
  <si>
    <t>Founders Equity Share</t>
  </si>
  <si>
    <t>Total Equity Raised</t>
  </si>
  <si>
    <t>4.1 GICS Sectors</t>
  </si>
  <si>
    <t>4.2 Sector Mapping</t>
  </si>
  <si>
    <t>4.3 Global SME Data</t>
  </si>
  <si>
    <t>4.4 EU SME Data</t>
  </si>
  <si>
    <t>4.5 UK SME Data</t>
  </si>
  <si>
    <t>4.6 USA SME Data</t>
  </si>
  <si>
    <t>Overview of the Sector Breakdowns</t>
  </si>
  <si>
    <t>Overview of the Sector Mapping for the different continent SMEs</t>
  </si>
  <si>
    <t>Global SME Data Overview</t>
  </si>
  <si>
    <t>EU SME Data Overview</t>
  </si>
  <si>
    <t>UK SME Data Overview</t>
  </si>
  <si>
    <t>USA SME Data Overview</t>
  </si>
  <si>
    <t>3.9. Equity Financing</t>
  </si>
  <si>
    <t>3.8. Debt Financing</t>
  </si>
  <si>
    <t>Last updated as of December 2024</t>
  </si>
  <si>
    <t>As per UAE</t>
  </si>
  <si>
    <t>Share of Small Enterprises of MSMEs</t>
  </si>
  <si>
    <t>Share of Micro Enterprises of MSMEs</t>
  </si>
  <si>
    <t>Share of Medium Enterprises of MSMEs</t>
  </si>
  <si>
    <t>Year 2025</t>
  </si>
  <si>
    <t>Year 2027</t>
  </si>
  <si>
    <t>Year 2026</t>
  </si>
  <si>
    <t>Use Case Breakdown</t>
  </si>
  <si>
    <t>Delta 2025</t>
  </si>
  <si>
    <t>Delta 2026</t>
  </si>
  <si>
    <t>Delta 2027</t>
  </si>
  <si>
    <t>Total number of Use Cases - 2025</t>
  </si>
  <si>
    <t>Total number of Use Cases - 2026</t>
  </si>
  <si>
    <t>Total number of Use Cases - 2027</t>
  </si>
  <si>
    <t>FCF (sum of investing + operating cashflows from CF)</t>
  </si>
  <si>
    <t>Opening Cash Balance (bs - last month cash balance)</t>
  </si>
  <si>
    <t>Grants and Reserves (BS - equity)</t>
  </si>
  <si>
    <t>Equity Sale (BS - equity assumption)</t>
  </si>
  <si>
    <t>Minimum Desired Cash (new assumption to be made)</t>
  </si>
  <si>
    <t>Debt BOP (last month / year debt outstanding on BS)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</si>
</sst>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2" formatCode="_-&quot;AED&quot;* #,##0_-;\-&quot;AED&quot;* #,##0_-;_-&quot;AED&quot;* &quot;-&quot;_-;_-@_-"/>
    <numFmt numFmtId="41" formatCode="_-* #,##0_-;\-* #,##0_-;_-* &quot;-&quot;_-;_-@_-"/>
    <numFmt numFmtId="44" formatCode="_-&quot;AED&quot;* #,##0.00_-;\-&quot;AED&quot;* #,##0.00_-;_-&quot;AED&quot;* &quot;-&quot;??_-;_-@_-"/>
    <numFmt numFmtId="43" formatCode="_-* #,##0.00_-;\-* #,##0.00_-;_-* &quot;-&quot;??_-;_-@_-"/>
    <numFmt numFmtId="164" formatCode="_(#,##0_);\(#,##0\);_(&quot;-&quot;_);_(@_)"/>
    <numFmt numFmtId="165" formatCode="_(* #,##0.00_);_(* \(#,##0.00\);_(* &quot;-&quot;??_);_(@_)"/>
    <numFmt numFmtId="166" formatCode="#,##0.0"/>
    <numFmt numFmtId="167" formatCode="0.0%"/>
    <numFmt numFmtId="168" formatCode="#,##0.000"/>
  </numFmts>
  <fonts count="2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sz val="9"/>
      <color theme="0" tint="-4.9989318521683403E-2"/>
      <name val="Arial"/>
      <family val="2"/>
    </font>
    <font>
      <sz val="9"/>
      <color theme="0"/>
      <name val="Arial"/>
      <family val="2"/>
    </font>
    <font>
      <b/>
      <sz val="11"/>
      <color theme="0"/>
      <name val="Arial"/>
      <family val="2"/>
    </font>
    <font>
      <b/>
      <sz val="9"/>
      <color theme="0"/>
      <name val="Arial"/>
      <family val="2"/>
    </font>
    <font>
      <b/>
      <sz val="9"/>
      <color theme="1"/>
      <name val="Arial"/>
      <family val="2"/>
    </font>
    <font>
      <b/>
      <sz val="9"/>
      <color theme="0" tint="-4.9989318521683403E-2"/>
      <name val="Arial"/>
      <family val="2"/>
    </font>
    <font>
      <sz val="10"/>
      <name val="Aptos Narrow"/>
      <family val="2"/>
      <scheme val="minor"/>
    </font>
    <font>
      <sz val="11"/>
      <color indexed="8"/>
      <name val="Aptos Narrow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sz val="9"/>
      <color theme="0" tint="-0.499984740745262"/>
      <name val="Arial"/>
      <family val="2"/>
    </font>
    <font>
      <b/>
      <sz val="11"/>
      <color indexed="9"/>
      <name val="Arial"/>
      <family val="2"/>
    </font>
    <font>
      <b/>
      <sz val="9"/>
      <color theme="4" tint="-0.499984740745262"/>
      <name val="Arial"/>
      <family val="2"/>
    </font>
    <font>
      <b/>
      <sz val="9"/>
      <color rgb="FF002060"/>
      <name val="Arial"/>
      <family val="2"/>
    </font>
    <font>
      <u/>
      <sz val="11"/>
      <color theme="10"/>
      <name val="Aptos Narrow"/>
      <family val="2"/>
      <scheme val="minor"/>
    </font>
    <font>
      <b/>
      <i/>
      <sz val="9"/>
      <color theme="4"/>
      <name val="Arial"/>
      <family val="2"/>
    </font>
    <font>
      <b/>
      <i/>
      <sz val="9"/>
      <name val="Arial"/>
      <family val="2"/>
    </font>
    <font>
      <sz val="9"/>
      <color theme="0" tint="-0.34998626667073579"/>
      <name val="Arial"/>
      <family val="2"/>
    </font>
    <font>
      <sz val="11"/>
      <color theme="1"/>
      <name val="Aptos Narrow"/>
      <family val="2"/>
      <charset val="204"/>
      <scheme val="minor"/>
    </font>
    <font>
      <sz val="10"/>
      <name val="Arial"/>
      <family val="2"/>
    </font>
    <font>
      <sz val="9"/>
      <color theme="9" tint="-0.249977111117893"/>
      <name val="Arial"/>
      <family val="2"/>
    </font>
    <font>
      <sz val="11"/>
      <color theme="0"/>
      <name val="Aptos Narrow"/>
      <family val="2"/>
      <scheme val="minor"/>
    </font>
    <font>
      <sz val="9"/>
      <color theme="1" tint="0.499984740745262"/>
      <name val="Arial"/>
      <family val="2"/>
    </font>
    <font>
      <sz val="11"/>
      <color theme="0"/>
      <name val="Arial"/>
      <family val="2"/>
    </font>
    <font>
      <sz val="9"/>
      <color theme="0" tint="-0.249977111117893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E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DAE9F8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E9F2FB"/>
        <bgColor indexed="64"/>
      </patternFill>
    </fill>
    <fill>
      <patternFill patternType="solid">
        <fgColor rgb="FFA6C9EC"/>
        <bgColor indexed="64"/>
      </patternFill>
    </fill>
    <fill>
      <patternFill patternType="solid">
        <fgColor rgb="FFEEF5FC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rgb="FFF1F7FD"/>
        <bgColor indexed="64"/>
      </patternFill>
    </fill>
    <fill>
      <patternFill patternType="solid">
        <fgColor rgb="FF4D93D9"/>
        <bgColor indexed="64"/>
      </patternFill>
    </fill>
    <fill>
      <patternFill patternType="solid">
        <fgColor rgb="FF215C9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/>
      <diagonal/>
    </border>
    <border>
      <left/>
      <right/>
      <top style="dotted">
        <color theme="0" tint="-0.14996795556505021"/>
      </top>
      <bottom style="thin">
        <color theme="0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dotted">
        <color theme="0" tint="-0.14996795556505021"/>
      </top>
      <bottom style="dotted">
        <color theme="0" tint="-0.14993743705557422"/>
      </bottom>
      <diagonal/>
    </border>
    <border>
      <left/>
      <right/>
      <top style="thin">
        <color theme="0"/>
      </top>
      <bottom style="dotted">
        <color theme="0" tint="-0.14996795556505021"/>
      </bottom>
      <diagonal/>
    </border>
    <border>
      <left/>
      <right/>
      <top style="thin">
        <color theme="0" tint="-0.14996795556505021"/>
      </top>
      <bottom style="medium">
        <color theme="0"/>
      </bottom>
      <diagonal/>
    </border>
    <border>
      <left/>
      <right/>
      <top style="medium">
        <color theme="0"/>
      </top>
      <bottom style="thin">
        <color theme="0" tint="-0.14996795556505021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/>
      <top style="dotted">
        <color theme="0" tint="-0.14993743705557422"/>
      </top>
      <bottom/>
      <diagonal/>
    </border>
    <border>
      <left/>
      <right/>
      <top style="dotted">
        <color theme="0" tint="-0.14993743705557422"/>
      </top>
      <bottom style="dotted">
        <color theme="0" tint="-0.14996795556505021"/>
      </bottom>
      <diagonal/>
    </border>
    <border>
      <left/>
      <right/>
      <top style="dotted">
        <color theme="0" tint="-0.14993743705557422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/>
      <top style="thin">
        <color indexed="64"/>
      </top>
      <bottom style="thin">
        <color theme="0" tint="-0.1499374370555742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6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thin">
        <color theme="0"/>
      </right>
      <top style="medium">
        <color theme="0"/>
      </top>
      <bottom style="medium">
        <color theme="0"/>
      </bottom>
      <diagonal/>
    </border>
    <border>
      <left style="thin">
        <color theme="0"/>
      </left>
      <right/>
      <top style="medium">
        <color theme="0"/>
      </top>
      <bottom style="medium">
        <color theme="0"/>
      </bottom>
      <diagonal/>
    </border>
    <border>
      <left/>
      <right style="thick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/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medium">
        <color theme="0"/>
      </top>
      <bottom style="dotted">
        <color theme="0" tint="-0.14996795556505021"/>
      </bottom>
      <diagonal/>
    </border>
    <border>
      <left style="thick">
        <color theme="0"/>
      </left>
      <right style="thick">
        <color theme="0"/>
      </right>
      <top/>
      <bottom style="dotted">
        <color theme="0" tint="-0.14996795556505021"/>
      </bottom>
      <diagonal/>
    </border>
    <border>
      <left style="thick">
        <color theme="0"/>
      </left>
      <right style="thick">
        <color theme="0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ck">
        <color theme="0"/>
      </left>
      <right style="thick">
        <color theme="0"/>
      </right>
      <top style="dotted">
        <color theme="0" tint="-0.14996795556505021"/>
      </top>
      <bottom/>
      <diagonal/>
    </border>
    <border>
      <left style="thick">
        <color theme="0"/>
      </left>
      <right style="thick">
        <color theme="0"/>
      </right>
      <top style="dotted">
        <color theme="0" tint="-0.14996795556505021"/>
      </top>
      <bottom style="thin">
        <color indexed="64"/>
      </bottom>
      <diagonal/>
    </border>
    <border>
      <left/>
      <right/>
      <top style="thin">
        <color theme="0" tint="-0.14996795556505021"/>
      </top>
      <bottom style="thin">
        <color indexed="64"/>
      </bottom>
      <diagonal/>
    </border>
    <border>
      <left/>
      <right/>
      <top/>
      <bottom style="dotted">
        <color theme="0" tint="-0.14993743705557422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3743705557422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4">
    <xf numFmtId="0" fontId="0" fillId="0" borderId="0"/>
    <xf numFmtId="0" fontId="10" fillId="0" borderId="0"/>
    <xf numFmtId="0" fontId="11" fillId="0" borderId="0"/>
    <xf numFmtId="165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22" fillId="0" borderId="0"/>
    <xf numFmtId="0" fontId="23" fillId="0" borderId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2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3" fontId="23" fillId="0" borderId="0" applyFont="0" applyFill="0" applyBorder="0" applyAlignment="0" applyProtection="0"/>
  </cellStyleXfs>
  <cellXfs count="788">
    <xf numFmtId="0" fontId="0" fillId="0" borderId="0" xfId="0"/>
    <xf numFmtId="0" fontId="2" fillId="0" borderId="0" xfId="0" applyFont="1"/>
    <xf numFmtId="3" fontId="3" fillId="0" borderId="0" xfId="0" applyNumberFormat="1" applyFont="1"/>
    <xf numFmtId="0" fontId="3" fillId="0" borderId="0" xfId="0" applyFont="1"/>
    <xf numFmtId="0" fontId="2" fillId="2" borderId="0" xfId="0" applyFont="1" applyFill="1"/>
    <xf numFmtId="0" fontId="3" fillId="2" borderId="0" xfId="0" applyFont="1" applyFill="1"/>
    <xf numFmtId="0" fontId="4" fillId="3" borderId="0" xfId="0" applyFont="1" applyFill="1"/>
    <xf numFmtId="0" fontId="5" fillId="2" borderId="0" xfId="0" applyFont="1" applyFill="1" applyAlignment="1">
      <alignment horizontal="left" indent="1"/>
    </xf>
    <xf numFmtId="0" fontId="6" fillId="2" borderId="0" xfId="0" applyFont="1" applyFill="1" applyAlignment="1">
      <alignment horizontal="left" indent="1"/>
    </xf>
    <xf numFmtId="3" fontId="5" fillId="2" borderId="0" xfId="0" applyNumberFormat="1" applyFont="1" applyFill="1"/>
    <xf numFmtId="3" fontId="7" fillId="2" borderId="0" xfId="0" applyNumberFormat="1" applyFont="1" applyFill="1"/>
    <xf numFmtId="0" fontId="3" fillId="4" borderId="0" xfId="0" applyFont="1" applyFill="1"/>
    <xf numFmtId="0" fontId="3" fillId="0" borderId="1" xfId="0" applyFont="1" applyBorder="1"/>
    <xf numFmtId="0" fontId="4" fillId="3" borderId="1" xfId="0" applyFont="1" applyFill="1" applyBorder="1"/>
    <xf numFmtId="3" fontId="7" fillId="2" borderId="1" xfId="0" applyNumberFormat="1" applyFont="1" applyFill="1" applyBorder="1"/>
    <xf numFmtId="0" fontId="3" fillId="2" borderId="1" xfId="0" applyFont="1" applyFill="1" applyBorder="1"/>
    <xf numFmtId="0" fontId="3" fillId="0" borderId="2" xfId="0" applyFont="1" applyBorder="1"/>
    <xf numFmtId="0" fontId="3" fillId="4" borderId="2" xfId="0" applyFont="1" applyFill="1" applyBorder="1"/>
    <xf numFmtId="0" fontId="8" fillId="4" borderId="2" xfId="0" applyFont="1" applyFill="1" applyBorder="1"/>
    <xf numFmtId="0" fontId="5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5" borderId="3" xfId="0" applyFont="1" applyFill="1" applyBorder="1"/>
    <xf numFmtId="0" fontId="3" fillId="5" borderId="4" xfId="0" applyFont="1" applyFill="1" applyBorder="1"/>
    <xf numFmtId="0" fontId="3" fillId="5" borderId="5" xfId="0" applyFont="1" applyFill="1" applyBorder="1"/>
    <xf numFmtId="0" fontId="3" fillId="0" borderId="6" xfId="0" applyFont="1" applyBorder="1"/>
    <xf numFmtId="0" fontId="3" fillId="0" borderId="7" xfId="0" applyFont="1" applyBorder="1"/>
    <xf numFmtId="3" fontId="3" fillId="0" borderId="3" xfId="0" applyNumberFormat="1" applyFont="1" applyBorder="1"/>
    <xf numFmtId="0" fontId="5" fillId="2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9" xfId="0" applyFont="1" applyBorder="1"/>
    <xf numFmtId="0" fontId="3" fillId="6" borderId="10" xfId="0" applyFont="1" applyFill="1" applyBorder="1" applyAlignment="1">
      <alignment horizontal="center"/>
    </xf>
    <xf numFmtId="164" fontId="13" fillId="7" borderId="10" xfId="2" applyNumberFormat="1" applyFont="1" applyFill="1" applyBorder="1" applyAlignment="1">
      <alignment horizontal="right"/>
    </xf>
    <xf numFmtId="0" fontId="3" fillId="0" borderId="4" xfId="0" applyFont="1" applyBorder="1" applyAlignment="1">
      <alignment horizontal="center"/>
    </xf>
    <xf numFmtId="164" fontId="13" fillId="0" borderId="4" xfId="0" applyNumberFormat="1" applyFont="1" applyBorder="1" applyAlignment="1">
      <alignment horizontal="right"/>
    </xf>
    <xf numFmtId="0" fontId="3" fillId="0" borderId="7" xfId="0" applyFont="1" applyBorder="1" applyAlignment="1">
      <alignment horizontal="center"/>
    </xf>
    <xf numFmtId="0" fontId="8" fillId="4" borderId="8" xfId="0" applyFont="1" applyFill="1" applyBorder="1"/>
    <xf numFmtId="0" fontId="8" fillId="4" borderId="8" xfId="0" applyFont="1" applyFill="1" applyBorder="1" applyAlignment="1">
      <alignment horizontal="center"/>
    </xf>
    <xf numFmtId="164" fontId="12" fillId="4" borderId="8" xfId="2" applyNumberFormat="1" applyFont="1" applyFill="1" applyBorder="1" applyAlignment="1">
      <alignment horizontal="right"/>
    </xf>
    <xf numFmtId="0" fontId="3" fillId="6" borderId="0" xfId="0" applyFont="1" applyFill="1"/>
    <xf numFmtId="0" fontId="4" fillId="3" borderId="8" xfId="0" applyFont="1" applyFill="1" applyBorder="1"/>
    <xf numFmtId="0" fontId="13" fillId="6" borderId="0" xfId="1" applyFont="1" applyFill="1"/>
    <xf numFmtId="4" fontId="13" fillId="6" borderId="3" xfId="3" applyNumberFormat="1" applyFont="1" applyFill="1" applyBorder="1" applyAlignment="1">
      <alignment horizontal="left"/>
    </xf>
    <xf numFmtId="4" fontId="13" fillId="6" borderId="3" xfId="3" applyNumberFormat="1" applyFont="1" applyFill="1" applyBorder="1" applyAlignment="1">
      <alignment horizontal="center"/>
    </xf>
    <xf numFmtId="0" fontId="5" fillId="6" borderId="0" xfId="1" applyFont="1" applyFill="1"/>
    <xf numFmtId="0" fontId="8" fillId="8" borderId="11" xfId="0" applyFont="1" applyFill="1" applyBorder="1" applyAlignment="1">
      <alignment horizontal="left"/>
    </xf>
    <xf numFmtId="0" fontId="8" fillId="8" borderId="11" xfId="0" applyFont="1" applyFill="1" applyBorder="1" applyAlignment="1">
      <alignment horizontal="center"/>
    </xf>
    <xf numFmtId="0" fontId="14" fillId="8" borderId="12" xfId="0" applyFont="1" applyFill="1" applyBorder="1" applyAlignment="1">
      <alignment horizontal="left"/>
    </xf>
    <xf numFmtId="0" fontId="14" fillId="8" borderId="12" xfId="0" applyFont="1" applyFill="1" applyBorder="1" applyAlignment="1">
      <alignment horizontal="center"/>
    </xf>
    <xf numFmtId="0" fontId="12" fillId="3" borderId="13" xfId="1" applyFont="1" applyFill="1" applyBorder="1" applyAlignment="1">
      <alignment horizontal="left"/>
    </xf>
    <xf numFmtId="0" fontId="12" fillId="3" borderId="13" xfId="1" applyFont="1" applyFill="1" applyBorder="1" applyAlignment="1">
      <alignment horizontal="center"/>
    </xf>
    <xf numFmtId="0" fontId="13" fillId="3" borderId="2" xfId="1" applyFont="1" applyFill="1" applyBorder="1" applyAlignment="1">
      <alignment horizontal="left"/>
    </xf>
    <xf numFmtId="0" fontId="13" fillId="3" borderId="2" xfId="1" applyFont="1" applyFill="1" applyBorder="1" applyAlignment="1">
      <alignment horizontal="center"/>
    </xf>
    <xf numFmtId="0" fontId="13" fillId="6" borderId="14" xfId="1" applyFont="1" applyFill="1" applyBorder="1" applyAlignment="1">
      <alignment horizontal="left"/>
    </xf>
    <xf numFmtId="0" fontId="13" fillId="6" borderId="14" xfId="1" applyFont="1" applyFill="1" applyBorder="1" applyAlignment="1">
      <alignment horizontal="center"/>
    </xf>
    <xf numFmtId="0" fontId="13" fillId="6" borderId="7" xfId="1" applyFont="1" applyFill="1" applyBorder="1" applyAlignment="1">
      <alignment horizontal="left"/>
    </xf>
    <xf numFmtId="0" fontId="13" fillId="6" borderId="7" xfId="1" applyFont="1" applyFill="1" applyBorder="1" applyAlignment="1">
      <alignment horizontal="center"/>
    </xf>
    <xf numFmtId="0" fontId="5" fillId="6" borderId="0" xfId="1" applyFont="1" applyFill="1" applyAlignment="1">
      <alignment horizontal="center"/>
    </xf>
    <xf numFmtId="0" fontId="13" fillId="6" borderId="3" xfId="1" applyFont="1" applyFill="1" applyBorder="1" applyAlignment="1">
      <alignment horizontal="center" vertical="center"/>
    </xf>
    <xf numFmtId="0" fontId="13" fillId="6" borderId="4" xfId="1" applyFont="1" applyFill="1" applyBorder="1" applyAlignment="1">
      <alignment horizontal="center" vertical="center"/>
    </xf>
    <xf numFmtId="0" fontId="13" fillId="6" borderId="5" xfId="1" applyFont="1" applyFill="1" applyBorder="1" applyAlignment="1">
      <alignment horizontal="center" vertical="center"/>
    </xf>
    <xf numFmtId="0" fontId="13" fillId="6" borderId="15" xfId="1" applyFont="1" applyFill="1" applyBorder="1" applyAlignment="1">
      <alignment horizontal="left" vertical="center"/>
    </xf>
    <xf numFmtId="0" fontId="13" fillId="6" borderId="15" xfId="1" applyFont="1" applyFill="1" applyBorder="1" applyAlignment="1">
      <alignment horizontal="center" vertical="center"/>
    </xf>
    <xf numFmtId="0" fontId="13" fillId="6" borderId="10" xfId="1" applyFont="1" applyFill="1" applyBorder="1" applyAlignment="1">
      <alignment horizontal="left"/>
    </xf>
    <xf numFmtId="0" fontId="13" fillId="6" borderId="10" xfId="1" applyFont="1" applyFill="1" applyBorder="1" applyAlignment="1">
      <alignment horizontal="center"/>
    </xf>
    <xf numFmtId="0" fontId="13" fillId="6" borderId="5" xfId="1" applyFont="1" applyFill="1" applyBorder="1" applyAlignment="1">
      <alignment horizontal="left"/>
    </xf>
    <xf numFmtId="0" fontId="13" fillId="6" borderId="5" xfId="1" applyFont="1" applyFill="1" applyBorder="1" applyAlignment="1">
      <alignment horizontal="center"/>
    </xf>
    <xf numFmtId="0" fontId="5" fillId="6" borderId="8" xfId="1" applyFont="1" applyFill="1" applyBorder="1"/>
    <xf numFmtId="0" fontId="0" fillId="2" borderId="0" xfId="0" applyFill="1"/>
    <xf numFmtId="0" fontId="3" fillId="0" borderId="8" xfId="0" applyFont="1" applyBorder="1"/>
    <xf numFmtId="0" fontId="13" fillId="4" borderId="13" xfId="1" applyFont="1" applyFill="1" applyBorder="1" applyAlignment="1">
      <alignment horizontal="left"/>
    </xf>
    <xf numFmtId="0" fontId="13" fillId="4" borderId="13" xfId="1" applyFont="1" applyFill="1" applyBorder="1" applyAlignment="1">
      <alignment horizontal="center"/>
    </xf>
    <xf numFmtId="0" fontId="14" fillId="4" borderId="2" xfId="1" applyFont="1" applyFill="1" applyBorder="1" applyAlignment="1">
      <alignment horizontal="left"/>
    </xf>
    <xf numFmtId="0" fontId="14" fillId="4" borderId="2" xfId="1" applyFont="1" applyFill="1" applyBorder="1" applyAlignment="1">
      <alignment horizontal="center"/>
    </xf>
    <xf numFmtId="0" fontId="12" fillId="4" borderId="0" xfId="1" applyFont="1" applyFill="1" applyAlignment="1">
      <alignment horizontal="left"/>
    </xf>
    <xf numFmtId="0" fontId="12" fillId="4" borderId="0" xfId="1" applyFont="1" applyFill="1" applyAlignment="1">
      <alignment horizontal="center"/>
    </xf>
    <xf numFmtId="0" fontId="12" fillId="4" borderId="8" xfId="1" applyFont="1" applyFill="1" applyBorder="1" applyAlignment="1">
      <alignment horizontal="center"/>
    </xf>
    <xf numFmtId="0" fontId="12" fillId="4" borderId="8" xfId="1" applyFont="1" applyFill="1" applyBorder="1" applyAlignment="1">
      <alignment horizontal="left"/>
    </xf>
    <xf numFmtId="4" fontId="13" fillId="6" borderId="3" xfId="3" applyNumberFormat="1" applyFont="1" applyFill="1" applyBorder="1" applyAlignment="1">
      <alignment horizontal="right"/>
    </xf>
    <xf numFmtId="0" fontId="12" fillId="4" borderId="13" xfId="1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0" fontId="3" fillId="6" borderId="8" xfId="0" applyFont="1" applyFill="1" applyBorder="1"/>
    <xf numFmtId="0" fontId="3" fillId="6" borderId="0" xfId="0" applyFont="1" applyFill="1" applyAlignment="1">
      <alignment horizontal="right"/>
    </xf>
    <xf numFmtId="3" fontId="13" fillId="6" borderId="3" xfId="3" applyNumberFormat="1" applyFont="1" applyFill="1" applyBorder="1" applyAlignment="1">
      <alignment horizontal="right"/>
    </xf>
    <xf numFmtId="3" fontId="8" fillId="8" borderId="11" xfId="0" applyNumberFormat="1" applyFont="1" applyFill="1" applyBorder="1" applyAlignment="1">
      <alignment horizontal="right"/>
    </xf>
    <xf numFmtId="3" fontId="12" fillId="3" borderId="13" xfId="1" applyNumberFormat="1" applyFont="1" applyFill="1" applyBorder="1" applyAlignment="1">
      <alignment horizontal="right"/>
    </xf>
    <xf numFmtId="3" fontId="13" fillId="6" borderId="14" xfId="1" applyNumberFormat="1" applyFont="1" applyFill="1" applyBorder="1" applyAlignment="1">
      <alignment horizontal="right"/>
    </xf>
    <xf numFmtId="3" fontId="13" fillId="6" borderId="7" xfId="1" applyNumberFormat="1" applyFont="1" applyFill="1" applyBorder="1" applyAlignment="1">
      <alignment horizontal="right"/>
    </xf>
    <xf numFmtId="3" fontId="13" fillId="4" borderId="13" xfId="1" applyNumberFormat="1" applyFont="1" applyFill="1" applyBorder="1" applyAlignment="1">
      <alignment horizontal="right"/>
    </xf>
    <xf numFmtId="0" fontId="3" fillId="0" borderId="10" xfId="0" applyFont="1" applyBorder="1"/>
    <xf numFmtId="0" fontId="3" fillId="0" borderId="1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5" fillId="2" borderId="8" xfId="0" applyFont="1" applyFill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2" borderId="0" xfId="0" applyFont="1" applyFill="1"/>
    <xf numFmtId="0" fontId="3" fillId="6" borderId="3" xfId="0" applyFont="1" applyFill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15" fillId="2" borderId="0" xfId="0" applyFont="1" applyFill="1" applyAlignment="1">
      <alignment horizontal="left" indent="1"/>
    </xf>
    <xf numFmtId="0" fontId="3" fillId="4" borderId="0" xfId="0" applyFont="1" applyFill="1" applyAlignment="1">
      <alignment horizontal="center"/>
    </xf>
    <xf numFmtId="0" fontId="3" fillId="4" borderId="8" xfId="0" applyFont="1" applyFill="1" applyBorder="1"/>
    <xf numFmtId="0" fontId="3" fillId="4" borderId="8" xfId="0" applyFont="1" applyFill="1" applyBorder="1" applyAlignment="1">
      <alignment horizontal="center"/>
    </xf>
    <xf numFmtId="0" fontId="3" fillId="6" borderId="8" xfId="0" applyFont="1" applyFill="1" applyBorder="1" applyAlignment="1">
      <alignment horizontal="center"/>
    </xf>
    <xf numFmtId="0" fontId="5" fillId="6" borderId="0" xfId="0" applyFont="1" applyFill="1" applyAlignment="1">
      <alignment horizontal="center"/>
    </xf>
    <xf numFmtId="0" fontId="7" fillId="6" borderId="0" xfId="1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3" fillId="0" borderId="9" xfId="0" applyFont="1" applyBorder="1" applyAlignment="1">
      <alignment horizontal="left"/>
    </xf>
    <xf numFmtId="0" fontId="0" fillId="2" borderId="0" xfId="0" applyFill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4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7" fillId="11" borderId="8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3" fillId="4" borderId="8" xfId="0" applyFont="1" applyFill="1" applyBorder="1" applyAlignment="1">
      <alignment horizontal="left"/>
    </xf>
    <xf numFmtId="0" fontId="8" fillId="11" borderId="8" xfId="0" applyFont="1" applyFill="1" applyBorder="1" applyAlignment="1">
      <alignment horizontal="left"/>
    </xf>
    <xf numFmtId="0" fontId="8" fillId="10" borderId="8" xfId="0" applyFont="1" applyFill="1" applyBorder="1" applyAlignment="1">
      <alignment horizontal="left"/>
    </xf>
    <xf numFmtId="0" fontId="3" fillId="0" borderId="16" xfId="0" applyFont="1" applyBorder="1" applyAlignment="1">
      <alignment horizontal="left"/>
    </xf>
    <xf numFmtId="0" fontId="2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3" fontId="3" fillId="0" borderId="0" xfId="0" applyNumberFormat="1" applyFont="1" applyAlignment="1">
      <alignment vertical="center"/>
    </xf>
    <xf numFmtId="3" fontId="7" fillId="2" borderId="0" xfId="0" applyNumberFormat="1" applyFont="1" applyFill="1" applyAlignment="1">
      <alignment vertical="center"/>
    </xf>
    <xf numFmtId="3" fontId="3" fillId="0" borderId="3" xfId="0" applyNumberFormat="1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4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3" fillId="4" borderId="2" xfId="0" applyFont="1" applyFill="1" applyBorder="1" applyAlignment="1">
      <alignment vertical="center"/>
    </xf>
    <xf numFmtId="0" fontId="2" fillId="0" borderId="0" xfId="0" applyFont="1" applyAlignment="1">
      <alignment horizontal="left"/>
    </xf>
    <xf numFmtId="0" fontId="2" fillId="6" borderId="0" xfId="0" applyFont="1" applyFill="1"/>
    <xf numFmtId="0" fontId="2" fillId="6" borderId="8" xfId="0" applyFont="1" applyFill="1" applyBorder="1"/>
    <xf numFmtId="0" fontId="5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3" fillId="0" borderId="10" xfId="0" applyFont="1" applyBorder="1" applyAlignment="1">
      <alignment vertical="center"/>
    </xf>
    <xf numFmtId="0" fontId="7" fillId="11" borderId="8" xfId="0" applyFont="1" applyFill="1" applyBorder="1" applyAlignment="1">
      <alignment vertical="center"/>
    </xf>
    <xf numFmtId="0" fontId="3" fillId="4" borderId="8" xfId="0" applyFont="1" applyFill="1" applyBorder="1" applyAlignment="1">
      <alignment vertical="center"/>
    </xf>
    <xf numFmtId="0" fontId="8" fillId="10" borderId="8" xfId="0" applyFont="1" applyFill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6" xfId="0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7" fillId="11" borderId="8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8" fillId="10" borderId="8" xfId="0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5" fillId="2" borderId="8" xfId="0" applyFont="1" applyFill="1" applyBorder="1" applyAlignment="1">
      <alignment vertical="center"/>
    </xf>
    <xf numFmtId="0" fontId="5" fillId="2" borderId="8" xfId="0" applyFont="1" applyFill="1" applyBorder="1" applyAlignment="1">
      <alignment horizontal="center" vertical="center"/>
    </xf>
    <xf numFmtId="0" fontId="4" fillId="3" borderId="18" xfId="0" applyFont="1" applyFill="1" applyBorder="1"/>
    <xf numFmtId="0" fontId="7" fillId="2" borderId="19" xfId="0" applyFont="1" applyFill="1" applyBorder="1"/>
    <xf numFmtId="0" fontId="7" fillId="2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right"/>
    </xf>
    <xf numFmtId="167" fontId="3" fillId="5" borderId="10" xfId="0" applyNumberFormat="1" applyFont="1" applyFill="1" applyBorder="1" applyAlignment="1">
      <alignment horizontal="center"/>
    </xf>
    <xf numFmtId="167" fontId="3" fillId="5" borderId="5" xfId="0" applyNumberFormat="1" applyFont="1" applyFill="1" applyBorder="1" applyAlignment="1">
      <alignment horizontal="center"/>
    </xf>
    <xf numFmtId="3" fontId="7" fillId="2" borderId="8" xfId="0" applyNumberFormat="1" applyFont="1" applyFill="1" applyBorder="1"/>
    <xf numFmtId="0" fontId="3" fillId="2" borderId="8" xfId="0" applyFont="1" applyFill="1" applyBorder="1"/>
    <xf numFmtId="0" fontId="3" fillId="4" borderId="8" xfId="0" applyFont="1" applyFill="1" applyBorder="1" applyAlignment="1">
      <alignment horizontal="right" vertical="center"/>
    </xf>
    <xf numFmtId="0" fontId="3" fillId="4" borderId="0" xfId="0" applyFont="1" applyFill="1" applyAlignment="1">
      <alignment horizontal="right" vertical="center"/>
    </xf>
    <xf numFmtId="0" fontId="5" fillId="2" borderId="0" xfId="1" applyFont="1" applyFill="1"/>
    <xf numFmtId="0" fontId="16" fillId="6" borderId="0" xfId="0" applyFont="1" applyFill="1"/>
    <xf numFmtId="0" fontId="17" fillId="0" borderId="0" xfId="0" applyFont="1" applyAlignment="1">
      <alignment horizontal="right"/>
    </xf>
    <xf numFmtId="0" fontId="17" fillId="0" borderId="0" xfId="0" applyFont="1" applyAlignment="1">
      <alignment horizontal="left"/>
    </xf>
    <xf numFmtId="0" fontId="17" fillId="6" borderId="20" xfId="0" applyFont="1" applyFill="1" applyBorder="1"/>
    <xf numFmtId="0" fontId="3" fillId="6" borderId="20" xfId="0" applyFont="1" applyFill="1" applyBorder="1"/>
    <xf numFmtId="0" fontId="3" fillId="6" borderId="21" xfId="4" applyFont="1" applyFill="1" applyBorder="1"/>
    <xf numFmtId="0" fontId="3" fillId="6" borderId="22" xfId="0" applyFont="1" applyFill="1" applyBorder="1"/>
    <xf numFmtId="0" fontId="3" fillId="6" borderId="21" xfId="0" applyFont="1" applyFill="1" applyBorder="1"/>
    <xf numFmtId="0" fontId="19" fillId="6" borderId="20" xfId="0" applyFont="1" applyFill="1" applyBorder="1"/>
    <xf numFmtId="0" fontId="17" fillId="6" borderId="0" xfId="0" applyFont="1" applyFill="1"/>
    <xf numFmtId="0" fontId="19" fillId="6" borderId="0" xfId="0" applyFont="1" applyFill="1"/>
    <xf numFmtId="0" fontId="13" fillId="6" borderId="24" xfId="0" applyFont="1" applyFill="1" applyBorder="1"/>
    <xf numFmtId="0" fontId="3" fillId="6" borderId="25" xfId="0" applyFont="1" applyFill="1" applyBorder="1"/>
    <xf numFmtId="0" fontId="3" fillId="6" borderId="26" xfId="0" applyFont="1" applyFill="1" applyBorder="1"/>
    <xf numFmtId="0" fontId="20" fillId="6" borderId="24" xfId="0" applyFont="1" applyFill="1" applyBorder="1"/>
    <xf numFmtId="0" fontId="13" fillId="6" borderId="25" xfId="0" applyFont="1" applyFill="1" applyBorder="1"/>
    <xf numFmtId="0" fontId="20" fillId="6" borderId="25" xfId="0" applyFont="1" applyFill="1" applyBorder="1"/>
    <xf numFmtId="0" fontId="13" fillId="12" borderId="0" xfId="1" applyFont="1" applyFill="1"/>
    <xf numFmtId="0" fontId="21" fillId="6" borderId="0" xfId="0" applyFont="1" applyFill="1"/>
    <xf numFmtId="0" fontId="7" fillId="2" borderId="0" xfId="0" applyFont="1" applyFill="1" applyAlignment="1">
      <alignment horizontal="centerContinuous"/>
    </xf>
    <xf numFmtId="0" fontId="7" fillId="2" borderId="27" xfId="0" applyFont="1" applyFill="1" applyBorder="1" applyAlignment="1">
      <alignment horizontal="centerContinuous"/>
    </xf>
    <xf numFmtId="0" fontId="7" fillId="2" borderId="28" xfId="0" applyFont="1" applyFill="1" applyBorder="1" applyAlignment="1">
      <alignment horizontal="centerContinuous"/>
    </xf>
    <xf numFmtId="0" fontId="0" fillId="0" borderId="29" xfId="0" applyBorder="1"/>
    <xf numFmtId="0" fontId="4" fillId="3" borderId="30" xfId="0" applyFont="1" applyFill="1" applyBorder="1"/>
    <xf numFmtId="0" fontId="7" fillId="2" borderId="31" xfId="0" applyFont="1" applyFill="1" applyBorder="1"/>
    <xf numFmtId="0" fontId="7" fillId="2" borderId="29" xfId="0" applyFont="1" applyFill="1" applyBorder="1" applyAlignment="1">
      <alignment horizontal="center"/>
    </xf>
    <xf numFmtId="4" fontId="7" fillId="2" borderId="29" xfId="1" applyNumberFormat="1" applyFont="1" applyFill="1" applyBorder="1" applyAlignment="1">
      <alignment horizontal="center"/>
    </xf>
    <xf numFmtId="4" fontId="7" fillId="2" borderId="32" xfId="1" applyNumberFormat="1" applyFont="1" applyFill="1" applyBorder="1" applyAlignment="1">
      <alignment horizontal="center"/>
    </xf>
    <xf numFmtId="4" fontId="7" fillId="2" borderId="33" xfId="1" applyNumberFormat="1" applyFont="1" applyFill="1" applyBorder="1" applyAlignment="1">
      <alignment horizontal="center"/>
    </xf>
    <xf numFmtId="4" fontId="7" fillId="2" borderId="34" xfId="1" applyNumberFormat="1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13" borderId="3" xfId="0" applyFont="1" applyFill="1" applyBorder="1" applyAlignment="1">
      <alignment horizontal="center"/>
    </xf>
    <xf numFmtId="0" fontId="3" fillId="13" borderId="4" xfId="0" applyFont="1" applyFill="1" applyBorder="1" applyAlignment="1">
      <alignment horizontal="center"/>
    </xf>
    <xf numFmtId="0" fontId="3" fillId="13" borderId="5" xfId="0" applyFont="1" applyFill="1" applyBorder="1" applyAlignment="1">
      <alignment horizontal="center"/>
    </xf>
    <xf numFmtId="0" fontId="3" fillId="13" borderId="7" xfId="0" applyFont="1" applyFill="1" applyBorder="1" applyAlignment="1">
      <alignment horizontal="center"/>
    </xf>
    <xf numFmtId="0" fontId="3" fillId="3" borderId="35" xfId="0" applyFont="1" applyFill="1" applyBorder="1" applyAlignment="1">
      <alignment horizontal="center"/>
    </xf>
    <xf numFmtId="0" fontId="3" fillId="3" borderId="36" xfId="0" applyFont="1" applyFill="1" applyBorder="1" applyAlignment="1">
      <alignment horizontal="center"/>
    </xf>
    <xf numFmtId="0" fontId="3" fillId="3" borderId="37" xfId="0" applyFont="1" applyFill="1" applyBorder="1" applyAlignment="1">
      <alignment horizontal="center"/>
    </xf>
    <xf numFmtId="0" fontId="3" fillId="3" borderId="38" xfId="0" applyFont="1" applyFill="1" applyBorder="1" applyAlignment="1">
      <alignment horizontal="center"/>
    </xf>
    <xf numFmtId="0" fontId="3" fillId="3" borderId="39" xfId="0" applyFont="1" applyFill="1" applyBorder="1" applyAlignment="1">
      <alignment horizontal="center"/>
    </xf>
    <xf numFmtId="0" fontId="12" fillId="3" borderId="8" xfId="0" applyFont="1" applyFill="1" applyBorder="1" applyAlignment="1">
      <alignment horizontal="center"/>
    </xf>
    <xf numFmtId="0" fontId="8" fillId="4" borderId="0" xfId="0" applyFont="1" applyFill="1"/>
    <xf numFmtId="0" fontId="13" fillId="6" borderId="0" xfId="0" applyFont="1" applyFill="1"/>
    <xf numFmtId="0" fontId="20" fillId="6" borderId="0" xfId="0" applyFont="1" applyFill="1"/>
    <xf numFmtId="0" fontId="13" fillId="6" borderId="40" xfId="0" applyFont="1" applyFill="1" applyBorder="1"/>
    <xf numFmtId="0" fontId="20" fillId="6" borderId="40" xfId="0" applyFont="1" applyFill="1" applyBorder="1"/>
    <xf numFmtId="3" fontId="3" fillId="4" borderId="3" xfId="0" applyNumberFormat="1" applyFont="1" applyFill="1" applyBorder="1" applyAlignment="1">
      <alignment horizontal="center"/>
    </xf>
    <xf numFmtId="3" fontId="3" fillId="4" borderId="4" xfId="0" applyNumberFormat="1" applyFont="1" applyFill="1" applyBorder="1" applyAlignment="1">
      <alignment horizontal="center"/>
    </xf>
    <xf numFmtId="0" fontId="8" fillId="0" borderId="20" xfId="0" applyFont="1" applyBorder="1" applyAlignment="1">
      <alignment vertical="center"/>
    </xf>
    <xf numFmtId="0" fontId="3" fillId="6" borderId="3" xfId="0" applyFont="1" applyFill="1" applyBorder="1"/>
    <xf numFmtId="0" fontId="3" fillId="6" borderId="4" xfId="0" applyFont="1" applyFill="1" applyBorder="1"/>
    <xf numFmtId="0" fontId="3" fillId="0" borderId="0" xfId="0" applyFont="1" applyAlignment="1">
      <alignment horizontal="center"/>
    </xf>
    <xf numFmtId="0" fontId="3" fillId="13" borderId="4" xfId="0" applyFont="1" applyFill="1" applyBorder="1"/>
    <xf numFmtId="0" fontId="7" fillId="2" borderId="8" xfId="0" applyFont="1" applyFill="1" applyBorder="1"/>
    <xf numFmtId="0" fontId="3" fillId="2" borderId="0" xfId="0" applyFont="1" applyFill="1" applyAlignment="1">
      <alignment horizontal="left"/>
    </xf>
    <xf numFmtId="0" fontId="13" fillId="6" borderId="26" xfId="0" applyFont="1" applyFill="1" applyBorder="1"/>
    <xf numFmtId="0" fontId="3" fillId="13" borderId="10" xfId="0" applyFont="1" applyFill="1" applyBorder="1"/>
    <xf numFmtId="17" fontId="5" fillId="2" borderId="8" xfId="0" applyNumberFormat="1" applyFont="1" applyFill="1" applyBorder="1" applyAlignment="1">
      <alignment horizontal="center"/>
    </xf>
    <xf numFmtId="0" fontId="3" fillId="6" borderId="10" xfId="0" applyFont="1" applyFill="1" applyBorder="1"/>
    <xf numFmtId="0" fontId="3" fillId="6" borderId="5" xfId="0" applyFont="1" applyFill="1" applyBorder="1"/>
    <xf numFmtId="167" fontId="3" fillId="6" borderId="10" xfId="0" applyNumberFormat="1" applyFont="1" applyFill="1" applyBorder="1" applyAlignment="1">
      <alignment horizontal="center"/>
    </xf>
    <xf numFmtId="167" fontId="3" fillId="6" borderId="4" xfId="0" applyNumberFormat="1" applyFont="1" applyFill="1" applyBorder="1" applyAlignment="1">
      <alignment horizontal="center"/>
    </xf>
    <xf numFmtId="3" fontId="3" fillId="5" borderId="4" xfId="0" applyNumberFormat="1" applyFont="1" applyFill="1" applyBorder="1" applyAlignment="1">
      <alignment horizontal="center"/>
    </xf>
    <xf numFmtId="17" fontId="5" fillId="2" borderId="1" xfId="0" applyNumberFormat="1" applyFont="1" applyFill="1" applyBorder="1" applyAlignment="1">
      <alignment horizontal="center"/>
    </xf>
    <xf numFmtId="0" fontId="3" fillId="0" borderId="23" xfId="0" applyFont="1" applyBorder="1" applyAlignment="1">
      <alignment vertical="center"/>
    </xf>
    <xf numFmtId="17" fontId="5" fillId="2" borderId="1" xfId="0" applyNumberFormat="1" applyFont="1" applyFill="1" applyBorder="1" applyAlignment="1">
      <alignment horizontal="left"/>
    </xf>
    <xf numFmtId="17" fontId="5" fillId="2" borderId="0" xfId="0" applyNumberFormat="1" applyFont="1" applyFill="1" applyAlignment="1">
      <alignment horizontal="left"/>
    </xf>
    <xf numFmtId="17" fontId="5" fillId="2" borderId="0" xfId="0" applyNumberFormat="1" applyFont="1" applyFill="1" applyAlignment="1">
      <alignment horizontal="right"/>
    </xf>
    <xf numFmtId="0" fontId="5" fillId="2" borderId="1" xfId="0" applyFont="1" applyFill="1" applyBorder="1" applyAlignment="1">
      <alignment horizontal="center"/>
    </xf>
    <xf numFmtId="17" fontId="5" fillId="2" borderId="1" xfId="0" applyNumberFormat="1" applyFont="1" applyFill="1" applyBorder="1" applyAlignment="1">
      <alignment horizontal="right"/>
    </xf>
    <xf numFmtId="0" fontId="7" fillId="2" borderId="1" xfId="1" applyFont="1" applyFill="1" applyBorder="1" applyAlignment="1">
      <alignment horizontal="left" vertical="center"/>
    </xf>
    <xf numFmtId="0" fontId="7" fillId="2" borderId="1" xfId="1" applyFont="1" applyFill="1" applyBorder="1" applyAlignment="1">
      <alignment horizontal="center" vertical="center"/>
    </xf>
    <xf numFmtId="0" fontId="3" fillId="6" borderId="1" xfId="0" applyFont="1" applyFill="1" applyBorder="1"/>
    <xf numFmtId="0" fontId="5" fillId="2" borderId="1" xfId="0" applyFont="1" applyFill="1" applyBorder="1" applyAlignment="1">
      <alignment horizontal="left"/>
    </xf>
    <xf numFmtId="0" fontId="7" fillId="2" borderId="1" xfId="1" applyFont="1" applyFill="1" applyBorder="1" applyAlignment="1">
      <alignment horizontal="left" vertical="top"/>
    </xf>
    <xf numFmtId="17" fontId="5" fillId="2" borderId="0" xfId="0" applyNumberFormat="1" applyFont="1" applyFill="1" applyAlignment="1">
      <alignment horizontal="right" vertical="center"/>
    </xf>
    <xf numFmtId="3" fontId="13" fillId="7" borderId="3" xfId="3" applyNumberFormat="1" applyFont="1" applyFill="1" applyBorder="1" applyAlignment="1">
      <alignment horizontal="right"/>
    </xf>
    <xf numFmtId="0" fontId="3" fillId="0" borderId="0" xfId="5" applyFont="1"/>
    <xf numFmtId="4" fontId="3" fillId="0" borderId="0" xfId="5" applyNumberFormat="1" applyFont="1"/>
    <xf numFmtId="4" fontId="3" fillId="0" borderId="0" xfId="0" applyNumberFormat="1" applyFont="1"/>
    <xf numFmtId="0" fontId="3" fillId="0" borderId="0" xfId="5" applyFont="1" applyAlignment="1">
      <alignment horizontal="center"/>
    </xf>
    <xf numFmtId="0" fontId="8" fillId="0" borderId="0" xfId="0" applyFont="1"/>
    <xf numFmtId="0" fontId="8" fillId="10" borderId="2" xfId="0" applyFont="1" applyFill="1" applyBorder="1"/>
    <xf numFmtId="0" fontId="3" fillId="10" borderId="2" xfId="0" applyFont="1" applyFill="1" applyBorder="1"/>
    <xf numFmtId="0" fontId="5" fillId="0" borderId="0" xfId="0" applyFont="1"/>
    <xf numFmtId="3" fontId="3" fillId="0" borderId="3" xfId="0" applyNumberFormat="1" applyFont="1" applyBorder="1" applyAlignment="1">
      <alignment horizontal="center"/>
    </xf>
    <xf numFmtId="0" fontId="8" fillId="10" borderId="2" xfId="0" applyFont="1" applyFill="1" applyBorder="1" applyAlignment="1">
      <alignment horizontal="center"/>
    </xf>
    <xf numFmtId="0" fontId="13" fillId="13" borderId="3" xfId="0" applyFont="1" applyFill="1" applyBorder="1" applyAlignment="1">
      <alignment horizontal="left" vertical="center"/>
    </xf>
    <xf numFmtId="0" fontId="13" fillId="13" borderId="4" xfId="0" applyFont="1" applyFill="1" applyBorder="1" applyAlignment="1">
      <alignment horizontal="left" vertical="center"/>
    </xf>
    <xf numFmtId="0" fontId="13" fillId="13" borderId="5" xfId="0" applyFont="1" applyFill="1" applyBorder="1" applyAlignment="1">
      <alignment horizontal="left" vertical="center"/>
    </xf>
    <xf numFmtId="0" fontId="13" fillId="13" borderId="0" xfId="0" applyFont="1" applyFill="1" applyAlignment="1">
      <alignment horizontal="left" vertical="center"/>
    </xf>
    <xf numFmtId="0" fontId="7" fillId="2" borderId="1" xfId="0" applyFont="1" applyFill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6" borderId="1" xfId="0" applyFont="1" applyFill="1" applyBorder="1" applyAlignment="1">
      <alignment vertical="center"/>
    </xf>
    <xf numFmtId="0" fontId="13" fillId="13" borderId="20" xfId="0" applyFont="1" applyFill="1" applyBorder="1" applyAlignment="1">
      <alignment horizontal="left" vertical="center"/>
    </xf>
    <xf numFmtId="0" fontId="5" fillId="6" borderId="0" xfId="0" applyFont="1" applyFill="1" applyAlignment="1">
      <alignment vertical="center"/>
    </xf>
    <xf numFmtId="0" fontId="5" fillId="2" borderId="1" xfId="0" applyFont="1" applyFill="1" applyBorder="1" applyAlignment="1">
      <alignment horizontal="center" vertical="center"/>
    </xf>
    <xf numFmtId="9" fontId="3" fillId="0" borderId="3" xfId="0" applyNumberFormat="1" applyFont="1" applyBorder="1" applyAlignment="1">
      <alignment horizontal="center"/>
    </xf>
    <xf numFmtId="9" fontId="3" fillId="0" borderId="4" xfId="0" applyNumberFormat="1" applyFont="1" applyBorder="1" applyAlignment="1">
      <alignment horizontal="center"/>
    </xf>
    <xf numFmtId="9" fontId="3" fillId="0" borderId="5" xfId="0" applyNumberFormat="1" applyFont="1" applyBorder="1" applyAlignment="1">
      <alignment horizontal="center"/>
    </xf>
    <xf numFmtId="0" fontId="13" fillId="13" borderId="10" xfId="0" applyFont="1" applyFill="1" applyBorder="1" applyAlignment="1">
      <alignment horizontal="left" vertical="center"/>
    </xf>
    <xf numFmtId="9" fontId="3" fillId="0" borderId="10" xfId="0" applyNumberFormat="1" applyFont="1" applyBorder="1" applyAlignment="1">
      <alignment horizontal="center"/>
    </xf>
    <xf numFmtId="0" fontId="13" fillId="13" borderId="9" xfId="0" applyFont="1" applyFill="1" applyBorder="1" applyAlignment="1">
      <alignment horizontal="left" vertical="center"/>
    </xf>
    <xf numFmtId="0" fontId="13" fillId="13" borderId="15" xfId="0" applyFont="1" applyFill="1" applyBorder="1" applyAlignment="1">
      <alignment horizontal="left" vertical="center"/>
    </xf>
    <xf numFmtId="0" fontId="3" fillId="0" borderId="15" xfId="0" applyFont="1" applyBorder="1"/>
    <xf numFmtId="9" fontId="3" fillId="0" borderId="9" xfId="0" applyNumberFormat="1" applyFont="1" applyBorder="1" applyAlignment="1">
      <alignment horizontal="center"/>
    </xf>
    <xf numFmtId="9" fontId="3" fillId="0" borderId="15" xfId="0" applyNumberFormat="1" applyFont="1" applyBorder="1" applyAlignment="1">
      <alignment horizontal="center"/>
    </xf>
    <xf numFmtId="9" fontId="3" fillId="0" borderId="7" xfId="0" applyNumberFormat="1" applyFont="1" applyBorder="1" applyAlignment="1">
      <alignment horizontal="center"/>
    </xf>
    <xf numFmtId="0" fontId="3" fillId="0" borderId="17" xfId="0" applyFont="1" applyBorder="1"/>
    <xf numFmtId="0" fontId="5" fillId="6" borderId="0" xfId="0" applyFont="1" applyFill="1" applyAlignment="1">
      <alignment horizontal="left" indent="1"/>
    </xf>
    <xf numFmtId="0" fontId="3" fillId="6" borderId="0" xfId="0" applyFont="1" applyFill="1" applyAlignment="1">
      <alignment horizontal="left"/>
    </xf>
    <xf numFmtId="0" fontId="5" fillId="2" borderId="20" xfId="0" applyFont="1" applyFill="1" applyBorder="1" applyAlignment="1">
      <alignment horizontal="right"/>
    </xf>
    <xf numFmtId="0" fontId="3" fillId="0" borderId="41" xfId="0" applyFont="1" applyBorder="1"/>
    <xf numFmtId="3" fontId="3" fillId="0" borderId="41" xfId="0" applyNumberFormat="1" applyFont="1" applyBorder="1"/>
    <xf numFmtId="0" fontId="3" fillId="0" borderId="42" xfId="0" applyFont="1" applyBorder="1"/>
    <xf numFmtId="3" fontId="3" fillId="0" borderId="42" xfId="0" applyNumberFormat="1" applyFont="1" applyBorder="1"/>
    <xf numFmtId="3" fontId="3" fillId="0" borderId="15" xfId="0" applyNumberFormat="1" applyFont="1" applyBorder="1"/>
    <xf numFmtId="3" fontId="8" fillId="4" borderId="0" xfId="0" applyNumberFormat="1" applyFont="1" applyFill="1"/>
    <xf numFmtId="0" fontId="13" fillId="0" borderId="3" xfId="6" applyFont="1" applyBorder="1" applyAlignment="1">
      <alignment horizontal="left" vertical="center"/>
    </xf>
    <xf numFmtId="3" fontId="13" fillId="0" borderId="3" xfId="6" applyNumberFormat="1" applyFont="1" applyBorder="1" applyAlignment="1">
      <alignment horizontal="right" vertical="center"/>
    </xf>
    <xf numFmtId="0" fontId="13" fillId="0" borderId="4" xfId="6" applyFont="1" applyBorder="1" applyAlignment="1">
      <alignment horizontal="left" vertical="center"/>
    </xf>
    <xf numFmtId="3" fontId="13" fillId="0" borderId="4" xfId="6" applyNumberFormat="1" applyFont="1" applyBorder="1" applyAlignment="1">
      <alignment horizontal="right" vertical="center"/>
    </xf>
    <xf numFmtId="0" fontId="13" fillId="0" borderId="5" xfId="6" applyFont="1" applyBorder="1" applyAlignment="1">
      <alignment horizontal="left" vertical="center"/>
    </xf>
    <xf numFmtId="3" fontId="13" fillId="0" borderId="5" xfId="6" applyNumberFormat="1" applyFont="1" applyBorder="1" applyAlignment="1">
      <alignment horizontal="right" vertical="center"/>
    </xf>
    <xf numFmtId="0" fontId="3" fillId="5" borderId="10" xfId="0" applyFont="1" applyFill="1" applyBorder="1"/>
    <xf numFmtId="0" fontId="3" fillId="5" borderId="6" xfId="0" applyFont="1" applyFill="1" applyBorder="1"/>
    <xf numFmtId="0" fontId="3" fillId="15" borderId="8" xfId="0" applyFont="1" applyFill="1" applyBorder="1"/>
    <xf numFmtId="0" fontId="3" fillId="10" borderId="8" xfId="0" applyFont="1" applyFill="1" applyBorder="1"/>
    <xf numFmtId="3" fontId="7" fillId="2" borderId="0" xfId="0" applyNumberFormat="1" applyFont="1" applyFill="1" applyAlignment="1">
      <alignment horizontal="center"/>
    </xf>
    <xf numFmtId="3" fontId="7" fillId="2" borderId="8" xfId="0" applyNumberFormat="1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15" borderId="8" xfId="0" applyFont="1" applyFill="1" applyBorder="1" applyAlignment="1">
      <alignment horizontal="center"/>
    </xf>
    <xf numFmtId="0" fontId="3" fillId="0" borderId="6" xfId="0" applyFont="1" applyBorder="1" applyAlignment="1">
      <alignment horizontal="center"/>
    </xf>
    <xf numFmtId="3" fontId="7" fillId="2" borderId="1" xfId="0" applyNumberFormat="1" applyFont="1" applyFill="1" applyBorder="1" applyAlignment="1">
      <alignment horizontal="center"/>
    </xf>
    <xf numFmtId="0" fontId="13" fillId="6" borderId="8" xfId="0" applyFont="1" applyFill="1" applyBorder="1"/>
    <xf numFmtId="3" fontId="13" fillId="6" borderId="10" xfId="0" applyNumberFormat="1" applyFont="1" applyFill="1" applyBorder="1"/>
    <xf numFmtId="0" fontId="3" fillId="6" borderId="6" xfId="0" applyFont="1" applyFill="1" applyBorder="1"/>
    <xf numFmtId="0" fontId="3" fillId="0" borderId="43" xfId="0" applyFont="1" applyBorder="1"/>
    <xf numFmtId="0" fontId="3" fillId="0" borderId="43" xfId="0" applyFont="1" applyBorder="1" applyAlignment="1">
      <alignment horizontal="center"/>
    </xf>
    <xf numFmtId="0" fontId="3" fillId="5" borderId="43" xfId="0" applyFont="1" applyFill="1" applyBorder="1"/>
    <xf numFmtId="0" fontId="3" fillId="6" borderId="17" xfId="0" applyFont="1" applyFill="1" applyBorder="1"/>
    <xf numFmtId="0" fontId="3" fillId="6" borderId="17" xfId="0" applyFont="1" applyFill="1" applyBorder="1" applyAlignment="1">
      <alignment horizontal="center"/>
    </xf>
    <xf numFmtId="0" fontId="3" fillId="6" borderId="17" xfId="0" applyFont="1" applyFill="1" applyBorder="1" applyAlignment="1">
      <alignment vertical="center"/>
    </xf>
    <xf numFmtId="0" fontId="3" fillId="0" borderId="42" xfId="0" applyFont="1" applyBorder="1" applyAlignment="1">
      <alignment horizontal="center"/>
    </xf>
    <xf numFmtId="0" fontId="3" fillId="5" borderId="42" xfId="0" applyFont="1" applyFill="1" applyBorder="1"/>
    <xf numFmtId="0" fontId="3" fillId="5" borderId="0" xfId="0" applyFont="1" applyFill="1"/>
    <xf numFmtId="0" fontId="8" fillId="10" borderId="8" xfId="0" applyFont="1" applyFill="1" applyBorder="1"/>
    <xf numFmtId="0" fontId="8" fillId="10" borderId="8" xfId="0" applyFont="1" applyFill="1" applyBorder="1" applyAlignment="1">
      <alignment horizontal="center"/>
    </xf>
    <xf numFmtId="9" fontId="3" fillId="5" borderId="10" xfId="0" applyNumberFormat="1" applyFont="1" applyFill="1" applyBorder="1"/>
    <xf numFmtId="9" fontId="3" fillId="5" borderId="3" xfId="0" applyNumberFormat="1" applyFont="1" applyFill="1" applyBorder="1"/>
    <xf numFmtId="9" fontId="3" fillId="5" borderId="6" xfId="0" applyNumberFormat="1" applyFont="1" applyFill="1" applyBorder="1"/>
    <xf numFmtId="9" fontId="3" fillId="5" borderId="4" xfId="0" applyNumberFormat="1" applyFont="1" applyFill="1" applyBorder="1"/>
    <xf numFmtId="9" fontId="3" fillId="5" borderId="43" xfId="0" applyNumberFormat="1" applyFont="1" applyFill="1" applyBorder="1"/>
    <xf numFmtId="0" fontId="5" fillId="2" borderId="0" xfId="0" applyFont="1" applyFill="1" applyAlignment="1">
      <alignment horizontal="left"/>
    </xf>
    <xf numFmtId="0" fontId="3" fillId="0" borderId="3" xfId="5" applyFont="1" applyBorder="1"/>
    <xf numFmtId="0" fontId="3" fillId="0" borderId="4" xfId="5" applyFont="1" applyBorder="1"/>
    <xf numFmtId="0" fontId="3" fillId="0" borderId="5" xfId="5" applyFont="1" applyBorder="1"/>
    <xf numFmtId="0" fontId="3" fillId="0" borderId="3" xfId="5" applyFont="1" applyBorder="1" applyAlignment="1">
      <alignment horizontal="right"/>
    </xf>
    <xf numFmtId="0" fontId="3" fillId="0" borderId="4" xfId="5" applyFont="1" applyBorder="1" applyAlignment="1">
      <alignment horizontal="right"/>
    </xf>
    <xf numFmtId="3" fontId="3" fillId="0" borderId="5" xfId="5" applyNumberFormat="1" applyFont="1" applyBorder="1" applyAlignment="1">
      <alignment horizontal="right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4" fontId="3" fillId="0" borderId="4" xfId="0" applyNumberFormat="1" applyFont="1" applyBorder="1" applyAlignment="1">
      <alignment horizontal="right" vertical="center"/>
    </xf>
    <xf numFmtId="0" fontId="3" fillId="0" borderId="5" xfId="0" applyFont="1" applyBorder="1" applyAlignment="1">
      <alignment horizontal="left" vertical="center"/>
    </xf>
    <xf numFmtId="166" fontId="3" fillId="0" borderId="3" xfId="0" applyNumberFormat="1" applyFont="1" applyBorder="1"/>
    <xf numFmtId="4" fontId="3" fillId="0" borderId="3" xfId="0" applyNumberFormat="1" applyFont="1" applyBorder="1"/>
    <xf numFmtId="166" fontId="3" fillId="0" borderId="4" xfId="0" applyNumberFormat="1" applyFont="1" applyBorder="1"/>
    <xf numFmtId="4" fontId="3" fillId="0" borderId="4" xfId="0" applyNumberFormat="1" applyFont="1" applyBorder="1"/>
    <xf numFmtId="166" fontId="3" fillId="0" borderId="5" xfId="0" applyNumberFormat="1" applyFont="1" applyBorder="1"/>
    <xf numFmtId="4" fontId="3" fillId="0" borderId="5" xfId="0" applyNumberFormat="1" applyFont="1" applyBorder="1"/>
    <xf numFmtId="3" fontId="3" fillId="0" borderId="4" xfId="5" applyNumberFormat="1" applyFont="1" applyBorder="1"/>
    <xf numFmtId="3" fontId="3" fillId="0" borderId="5" xfId="5" applyNumberFormat="1" applyFont="1" applyBorder="1"/>
    <xf numFmtId="0" fontId="3" fillId="0" borderId="3" xfId="0" applyFont="1" applyBorder="1" applyAlignment="1">
      <alignment horizontal="right" vertical="center"/>
    </xf>
    <xf numFmtId="3" fontId="3" fillId="0" borderId="4" xfId="0" applyNumberFormat="1" applyFont="1" applyBorder="1" applyAlignment="1">
      <alignment horizontal="right" vertical="center"/>
    </xf>
    <xf numFmtId="4" fontId="3" fillId="0" borderId="5" xfId="0" applyNumberFormat="1" applyFont="1" applyBorder="1" applyAlignment="1">
      <alignment horizontal="right" vertical="center"/>
    </xf>
    <xf numFmtId="3" fontId="3" fillId="0" borderId="3" xfId="5" applyNumberFormat="1" applyFont="1" applyBorder="1"/>
    <xf numFmtId="0" fontId="3" fillId="0" borderId="7" xfId="5" applyFont="1" applyBorder="1"/>
    <xf numFmtId="3" fontId="3" fillId="0" borderId="7" xfId="5" applyNumberFormat="1" applyFont="1" applyBorder="1"/>
    <xf numFmtId="3" fontId="13" fillId="6" borderId="9" xfId="0" applyNumberFormat="1" applyFont="1" applyFill="1" applyBorder="1"/>
    <xf numFmtId="3" fontId="13" fillId="6" borderId="9" xfId="0" applyNumberFormat="1" applyFont="1" applyFill="1" applyBorder="1" applyAlignment="1">
      <alignment horizontal="center"/>
    </xf>
    <xf numFmtId="9" fontId="13" fillId="5" borderId="9" xfId="0" applyNumberFormat="1" applyFont="1" applyFill="1" applyBorder="1"/>
    <xf numFmtId="0" fontId="13" fillId="6" borderId="9" xfId="0" applyFont="1" applyFill="1" applyBorder="1"/>
    <xf numFmtId="3" fontId="13" fillId="6" borderId="42" xfId="0" applyNumberFormat="1" applyFont="1" applyFill="1" applyBorder="1"/>
    <xf numFmtId="3" fontId="13" fillId="6" borderId="42" xfId="0" applyNumberFormat="1" applyFont="1" applyFill="1" applyBorder="1" applyAlignment="1">
      <alignment horizontal="center"/>
    </xf>
    <xf numFmtId="9" fontId="13" fillId="5" borderId="42" xfId="0" applyNumberFormat="1" applyFont="1" applyFill="1" applyBorder="1"/>
    <xf numFmtId="0" fontId="13" fillId="6" borderId="42" xfId="0" applyFont="1" applyFill="1" applyBorder="1"/>
    <xf numFmtId="9" fontId="24" fillId="5" borderId="42" xfId="0" applyNumberFormat="1" applyFont="1" applyFill="1" applyBorder="1"/>
    <xf numFmtId="3" fontId="2" fillId="2" borderId="0" xfId="0" applyNumberFormat="1" applyFont="1" applyFill="1" applyAlignment="1">
      <alignment vertical="center"/>
    </xf>
    <xf numFmtId="3" fontId="3" fillId="2" borderId="0" xfId="0" applyNumberFormat="1" applyFont="1" applyFill="1" applyAlignment="1">
      <alignment vertical="center"/>
    </xf>
    <xf numFmtId="3" fontId="3" fillId="0" borderId="4" xfId="0" applyNumberFormat="1" applyFont="1" applyBorder="1"/>
    <xf numFmtId="3" fontId="3" fillId="0" borderId="7" xfId="0" applyNumberFormat="1" applyFont="1" applyBorder="1"/>
    <xf numFmtId="3" fontId="3" fillId="4" borderId="0" xfId="0" applyNumberFormat="1" applyFont="1" applyFill="1"/>
    <xf numFmtId="3" fontId="8" fillId="10" borderId="2" xfId="0" applyNumberFormat="1" applyFont="1" applyFill="1" applyBorder="1"/>
    <xf numFmtId="3" fontId="3" fillId="4" borderId="8" xfId="0" applyNumberFormat="1" applyFont="1" applyFill="1" applyBorder="1"/>
    <xf numFmtId="3" fontId="8" fillId="14" borderId="2" xfId="0" applyNumberFormat="1" applyFont="1" applyFill="1" applyBorder="1"/>
    <xf numFmtId="0" fontId="5" fillId="2" borderId="0" xfId="0" applyFont="1" applyFill="1" applyAlignment="1">
      <alignment horizontal="right" vertical="center"/>
    </xf>
    <xf numFmtId="3" fontId="3" fillId="9" borderId="8" xfId="0" applyNumberFormat="1" applyFont="1" applyFill="1" applyBorder="1"/>
    <xf numFmtId="9" fontId="3" fillId="0" borderId="3" xfId="0" applyNumberFormat="1" applyFont="1" applyBorder="1"/>
    <xf numFmtId="9" fontId="3" fillId="0" borderId="4" xfId="0" applyNumberFormat="1" applyFont="1" applyBorder="1"/>
    <xf numFmtId="9" fontId="3" fillId="0" borderId="5" xfId="0" applyNumberFormat="1" applyFont="1" applyBorder="1"/>
    <xf numFmtId="9" fontId="3" fillId="0" borderId="4" xfId="0" applyNumberFormat="1" applyFont="1" applyBorder="1" applyAlignment="1">
      <alignment horizontal="right" vertical="center"/>
    </xf>
    <xf numFmtId="9" fontId="3" fillId="0" borderId="3" xfId="0" applyNumberFormat="1" applyFont="1" applyBorder="1" applyAlignment="1">
      <alignment horizontal="right" vertical="center"/>
    </xf>
    <xf numFmtId="9" fontId="3" fillId="0" borderId="5" xfId="0" applyNumberFormat="1" applyFont="1" applyBorder="1" applyAlignment="1">
      <alignment horizontal="right" vertical="center"/>
    </xf>
    <xf numFmtId="0" fontId="3" fillId="9" borderId="8" xfId="0" applyFont="1" applyFill="1" applyBorder="1"/>
    <xf numFmtId="3" fontId="3" fillId="0" borderId="3" xfId="5" applyNumberFormat="1" applyFont="1" applyBorder="1" applyAlignment="1">
      <alignment horizontal="right"/>
    </xf>
    <xf numFmtId="3" fontId="3" fillId="0" borderId="4" xfId="5" applyNumberFormat="1" applyFont="1" applyBorder="1" applyAlignment="1">
      <alignment horizontal="right"/>
    </xf>
    <xf numFmtId="0" fontId="3" fillId="0" borderId="5" xfId="5" applyFont="1" applyBorder="1" applyAlignment="1">
      <alignment horizontal="right"/>
    </xf>
    <xf numFmtId="0" fontId="3" fillId="0" borderId="0" xfId="5" applyFont="1" applyAlignment="1">
      <alignment horizontal="right"/>
    </xf>
    <xf numFmtId="3" fontId="3" fillId="0" borderId="0" xfId="5" applyNumberFormat="1" applyFont="1" applyAlignment="1">
      <alignment horizontal="right"/>
    </xf>
    <xf numFmtId="9" fontId="3" fillId="0" borderId="3" xfId="0" applyNumberFormat="1" applyFont="1" applyBorder="1" applyAlignment="1">
      <alignment vertical="center"/>
    </xf>
    <xf numFmtId="4" fontId="3" fillId="5" borderId="3" xfId="0" applyNumberFormat="1" applyFont="1" applyFill="1" applyBorder="1"/>
    <xf numFmtId="4" fontId="3" fillId="5" borderId="4" xfId="0" applyNumberFormat="1" applyFont="1" applyFill="1" applyBorder="1"/>
    <xf numFmtId="4" fontId="3" fillId="5" borderId="6" xfId="0" applyNumberFormat="1" applyFont="1" applyFill="1" applyBorder="1"/>
    <xf numFmtId="3" fontId="3" fillId="5" borderId="4" xfId="0" applyNumberFormat="1" applyFont="1" applyFill="1" applyBorder="1"/>
    <xf numFmtId="3" fontId="3" fillId="5" borderId="6" xfId="0" applyNumberFormat="1" applyFont="1" applyFill="1" applyBorder="1"/>
    <xf numFmtId="4" fontId="3" fillId="15" borderId="8" xfId="0" applyNumberFormat="1" applyFont="1" applyFill="1" applyBorder="1"/>
    <xf numFmtId="4" fontId="3" fillId="0" borderId="6" xfId="0" applyNumberFormat="1" applyFont="1" applyBorder="1"/>
    <xf numFmtId="4" fontId="3" fillId="0" borderId="8" xfId="0" applyNumberFormat="1" applyFont="1" applyBorder="1"/>
    <xf numFmtId="9" fontId="3" fillId="5" borderId="0" xfId="0" applyNumberFormat="1" applyFont="1" applyFill="1"/>
    <xf numFmtId="3" fontId="3" fillId="0" borderId="4" xfId="0" applyNumberFormat="1" applyFont="1" applyBorder="1" applyAlignment="1">
      <alignment vertical="center"/>
    </xf>
    <xf numFmtId="3" fontId="3" fillId="0" borderId="9" xfId="0" applyNumberFormat="1" applyFont="1" applyBorder="1" applyAlignment="1">
      <alignment vertical="center"/>
    </xf>
    <xf numFmtId="3" fontId="3" fillId="6" borderId="17" xfId="0" applyNumberFormat="1" applyFont="1" applyFill="1" applyBorder="1" applyAlignment="1">
      <alignment vertical="center"/>
    </xf>
    <xf numFmtId="3" fontId="3" fillId="4" borderId="0" xfId="0" applyNumberFormat="1" applyFont="1" applyFill="1" applyAlignment="1">
      <alignment vertical="center"/>
    </xf>
    <xf numFmtId="3" fontId="3" fillId="5" borderId="3" xfId="0" applyNumberFormat="1" applyFont="1" applyFill="1" applyBorder="1" applyAlignment="1">
      <alignment vertical="center"/>
    </xf>
    <xf numFmtId="3" fontId="7" fillId="2" borderId="8" xfId="0" applyNumberFormat="1" applyFont="1" applyFill="1" applyBorder="1" applyAlignment="1">
      <alignment vertical="center"/>
    </xf>
    <xf numFmtId="17" fontId="5" fillId="2" borderId="8" xfId="0" applyNumberFormat="1" applyFont="1" applyFill="1" applyBorder="1" applyAlignment="1">
      <alignment horizontal="right"/>
    </xf>
    <xf numFmtId="0" fontId="5" fillId="2" borderId="8" xfId="0" applyFont="1" applyFill="1" applyBorder="1"/>
    <xf numFmtId="3" fontId="3" fillId="0" borderId="3" xfId="0" applyNumberFormat="1" applyFont="1" applyBorder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5" xfId="0" applyFont="1" applyBorder="1" applyAlignment="1">
      <alignment vertical="top"/>
    </xf>
    <xf numFmtId="0" fontId="13" fillId="6" borderId="8" xfId="0" applyFont="1" applyFill="1" applyBorder="1" applyAlignment="1">
      <alignment horizontal="center"/>
    </xf>
    <xf numFmtId="0" fontId="13" fillId="6" borderId="10" xfId="0" applyFont="1" applyFill="1" applyBorder="1"/>
    <xf numFmtId="3" fontId="13" fillId="6" borderId="10" xfId="0" applyNumberFormat="1" applyFont="1" applyFill="1" applyBorder="1" applyAlignment="1">
      <alignment horizontal="center"/>
    </xf>
    <xf numFmtId="9" fontId="3" fillId="5" borderId="9" xfId="0" applyNumberFormat="1" applyFont="1" applyFill="1" applyBorder="1"/>
    <xf numFmtId="9" fontId="3" fillId="5" borderId="42" xfId="0" applyNumberFormat="1" applyFont="1" applyFill="1" applyBorder="1"/>
    <xf numFmtId="9" fontId="13" fillId="5" borderId="10" xfId="0" applyNumberFormat="1" applyFont="1" applyFill="1" applyBorder="1"/>
    <xf numFmtId="0" fontId="3" fillId="0" borderId="6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9" fontId="3" fillId="5" borderId="5" xfId="0" applyNumberFormat="1" applyFont="1" applyFill="1" applyBorder="1"/>
    <xf numFmtId="0" fontId="3" fillId="4" borderId="2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vertical="top"/>
    </xf>
    <xf numFmtId="0" fontId="3" fillId="0" borderId="0" xfId="0" applyFont="1" applyAlignment="1">
      <alignment vertical="top"/>
    </xf>
    <xf numFmtId="0" fontId="3" fillId="0" borderId="3" xfId="0" applyFont="1" applyBorder="1" applyAlignment="1">
      <alignment vertical="top"/>
    </xf>
    <xf numFmtId="0" fontId="3" fillId="0" borderId="3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6" xfId="0" applyFont="1" applyBorder="1" applyAlignment="1">
      <alignment vertical="top"/>
    </xf>
    <xf numFmtId="0" fontId="3" fillId="0" borderId="6" xfId="0" applyFont="1" applyBorder="1" applyAlignment="1">
      <alignment horizontal="center" vertical="top"/>
    </xf>
    <xf numFmtId="0" fontId="3" fillId="0" borderId="5" xfId="0" applyFont="1" applyBorder="1" applyAlignment="1">
      <alignment horizontal="center" vertical="top"/>
    </xf>
    <xf numFmtId="0" fontId="3" fillId="4" borderId="0" xfId="0" applyFont="1" applyFill="1" applyAlignment="1">
      <alignment horizontal="center" vertical="top"/>
    </xf>
    <xf numFmtId="0" fontId="3" fillId="4" borderId="0" xfId="0" applyFont="1" applyFill="1" applyAlignment="1">
      <alignment vertical="top"/>
    </xf>
    <xf numFmtId="0" fontId="3" fillId="0" borderId="0" xfId="0" applyFont="1" applyAlignment="1">
      <alignment horizontal="center" vertical="top"/>
    </xf>
    <xf numFmtId="0" fontId="8" fillId="10" borderId="2" xfId="0" applyFont="1" applyFill="1" applyBorder="1" applyAlignment="1">
      <alignment vertical="top"/>
    </xf>
    <xf numFmtId="0" fontId="8" fillId="10" borderId="2" xfId="0" applyFont="1" applyFill="1" applyBorder="1" applyAlignment="1">
      <alignment horizontal="center" vertical="top"/>
    </xf>
    <xf numFmtId="0" fontId="8" fillId="10" borderId="0" xfId="0" applyFont="1" applyFill="1" applyAlignment="1">
      <alignment vertical="top"/>
    </xf>
    <xf numFmtId="0" fontId="3" fillId="10" borderId="2" xfId="0" applyFont="1" applyFill="1" applyBorder="1" applyAlignment="1">
      <alignment vertical="top"/>
    </xf>
    <xf numFmtId="0" fontId="3" fillId="10" borderId="0" xfId="0" applyFont="1" applyFill="1" applyAlignment="1">
      <alignment vertical="top"/>
    </xf>
    <xf numFmtId="0" fontId="8" fillId="10" borderId="0" xfId="0" applyFont="1" applyFill="1" applyAlignment="1">
      <alignment horizontal="center" vertical="top"/>
    </xf>
    <xf numFmtId="3" fontId="3" fillId="0" borderId="3" xfId="0" applyNumberFormat="1" applyFont="1" applyBorder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vertical="center"/>
    </xf>
    <xf numFmtId="0" fontId="8" fillId="10" borderId="2" xfId="0" applyFont="1" applyFill="1" applyBorder="1" applyAlignment="1">
      <alignment horizontal="left" vertical="top"/>
    </xf>
    <xf numFmtId="3" fontId="3" fillId="9" borderId="0" xfId="0" applyNumberFormat="1" applyFont="1" applyFill="1" applyAlignment="1">
      <alignment vertical="center"/>
    </xf>
    <xf numFmtId="0" fontId="3" fillId="0" borderId="8" xfId="0" applyFont="1" applyBorder="1" applyAlignment="1">
      <alignment vertical="top"/>
    </xf>
    <xf numFmtId="0" fontId="3" fillId="0" borderId="2" xfId="0" applyFont="1" applyBorder="1" applyAlignment="1">
      <alignment vertical="top"/>
    </xf>
    <xf numFmtId="3" fontId="7" fillId="2" borderId="1" xfId="0" applyNumberFormat="1" applyFont="1" applyFill="1" applyBorder="1" applyAlignment="1">
      <alignment vertical="center"/>
    </xf>
    <xf numFmtId="0" fontId="4" fillId="6" borderId="2" xfId="0" applyFont="1" applyFill="1" applyBorder="1"/>
    <xf numFmtId="3" fontId="7" fillId="16" borderId="2" xfId="0" applyNumberFormat="1" applyFont="1" applyFill="1" applyBorder="1" applyAlignment="1">
      <alignment vertical="center"/>
    </xf>
    <xf numFmtId="0" fontId="5" fillId="16" borderId="2" xfId="0" applyFont="1" applyFill="1" applyBorder="1" applyAlignment="1">
      <alignment horizontal="center" vertical="center"/>
    </xf>
    <xf numFmtId="17" fontId="5" fillId="16" borderId="2" xfId="0" applyNumberFormat="1" applyFont="1" applyFill="1" applyBorder="1" applyAlignment="1">
      <alignment horizontal="right"/>
    </xf>
    <xf numFmtId="0" fontId="3" fillId="16" borderId="2" xfId="0" applyFont="1" applyFill="1" applyBorder="1"/>
    <xf numFmtId="0" fontId="3" fillId="11" borderId="2" xfId="0" applyFont="1" applyFill="1" applyBorder="1" applyAlignment="1">
      <alignment vertical="top"/>
    </xf>
    <xf numFmtId="0" fontId="7" fillId="11" borderId="2" xfId="0" applyFont="1" applyFill="1" applyBorder="1" applyAlignment="1">
      <alignment horizontal="left" vertical="top"/>
    </xf>
    <xf numFmtId="0" fontId="7" fillId="11" borderId="0" xfId="0" applyFont="1" applyFill="1" applyAlignment="1">
      <alignment vertical="top"/>
    </xf>
    <xf numFmtId="0" fontId="5" fillId="11" borderId="0" xfId="0" applyFont="1" applyFill="1" applyAlignment="1">
      <alignment horizontal="center" vertical="top"/>
    </xf>
    <xf numFmtId="0" fontId="5" fillId="11" borderId="0" xfId="0" applyFont="1" applyFill="1" applyAlignment="1">
      <alignment vertical="top"/>
    </xf>
    <xf numFmtId="0" fontId="5" fillId="0" borderId="0" xfId="0" applyFont="1" applyAlignment="1">
      <alignment vertical="top"/>
    </xf>
    <xf numFmtId="0" fontId="7" fillId="11" borderId="8" xfId="0" applyFont="1" applyFill="1" applyBorder="1" applyAlignment="1">
      <alignment vertical="top"/>
    </xf>
    <xf numFmtId="0" fontId="3" fillId="11" borderId="8" xfId="0" applyFont="1" applyFill="1" applyBorder="1" applyAlignment="1">
      <alignment vertical="top"/>
    </xf>
    <xf numFmtId="0" fontId="3" fillId="6" borderId="4" xfId="0" applyFont="1" applyFill="1" applyBorder="1" applyAlignment="1">
      <alignment horizontal="center"/>
    </xf>
    <xf numFmtId="0" fontId="3" fillId="0" borderId="4" xfId="0" applyFont="1" applyBorder="1" applyAlignment="1">
      <alignment horizontal="left" vertical="center" indent="1"/>
    </xf>
    <xf numFmtId="0" fontId="3" fillId="0" borderId="7" xfId="0" applyFont="1" applyBorder="1" applyAlignment="1">
      <alignment horizontal="left" vertical="center" indent="1"/>
    </xf>
    <xf numFmtId="0" fontId="3" fillId="0" borderId="6" xfId="0" applyFont="1" applyBorder="1" applyAlignment="1">
      <alignment horizontal="left" vertical="center" indent="1"/>
    </xf>
    <xf numFmtId="0" fontId="3" fillId="5" borderId="3" xfId="0" applyFont="1" applyFill="1" applyBorder="1" applyAlignment="1">
      <alignment vertical="center"/>
    </xf>
    <xf numFmtId="3" fontId="3" fillId="4" borderId="2" xfId="0" applyNumberFormat="1" applyFont="1" applyFill="1" applyBorder="1" applyAlignment="1">
      <alignment vertical="top"/>
    </xf>
    <xf numFmtId="3" fontId="3" fillId="0" borderId="0" xfId="0" applyNumberFormat="1" applyFont="1" applyAlignment="1">
      <alignment vertical="top"/>
    </xf>
    <xf numFmtId="3" fontId="3" fillId="4" borderId="0" xfId="0" applyNumberFormat="1" applyFont="1" applyFill="1" applyAlignment="1">
      <alignment vertical="top"/>
    </xf>
    <xf numFmtId="3" fontId="5" fillId="11" borderId="0" xfId="0" applyNumberFormat="1" applyFont="1" applyFill="1" applyAlignment="1">
      <alignment vertical="top"/>
    </xf>
    <xf numFmtId="3" fontId="8" fillId="4" borderId="0" xfId="0" applyNumberFormat="1" applyFont="1" applyFill="1" applyAlignment="1">
      <alignment vertical="center"/>
    </xf>
    <xf numFmtId="0" fontId="3" fillId="10" borderId="2" xfId="0" applyFont="1" applyFill="1" applyBorder="1" applyAlignment="1">
      <alignment horizontal="center" vertical="top"/>
    </xf>
    <xf numFmtId="3" fontId="3" fillId="10" borderId="2" xfId="0" applyNumberFormat="1" applyFont="1" applyFill="1" applyBorder="1" applyAlignment="1">
      <alignment vertical="top"/>
    </xf>
    <xf numFmtId="3" fontId="24" fillId="0" borderId="5" xfId="0" applyNumberFormat="1" applyFont="1" applyBorder="1" applyAlignment="1">
      <alignment vertical="top"/>
    </xf>
    <xf numFmtId="3" fontId="24" fillId="0" borderId="6" xfId="0" applyNumberFormat="1" applyFont="1" applyBorder="1" applyAlignment="1">
      <alignment vertical="top"/>
    </xf>
    <xf numFmtId="3" fontId="3" fillId="0" borderId="5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0" fontId="8" fillId="10" borderId="0" xfId="0" applyFont="1" applyFill="1" applyAlignment="1">
      <alignment horizontal="left" vertical="top"/>
    </xf>
    <xf numFmtId="3" fontId="13" fillId="6" borderId="0" xfId="0" applyNumberFormat="1" applyFont="1" applyFill="1" applyAlignment="1">
      <alignment vertical="center"/>
    </xf>
    <xf numFmtId="0" fontId="13" fillId="6" borderId="0" xfId="0" applyFont="1" applyFill="1" applyAlignment="1">
      <alignment horizontal="center" vertical="center"/>
    </xf>
    <xf numFmtId="3" fontId="13" fillId="6" borderId="0" xfId="0" applyNumberFormat="1" applyFont="1" applyFill="1" applyAlignment="1">
      <alignment horizontal="right"/>
    </xf>
    <xf numFmtId="3" fontId="13" fillId="7" borderId="0" xfId="0" applyNumberFormat="1" applyFont="1" applyFill="1" applyAlignment="1">
      <alignment horizontal="right"/>
    </xf>
    <xf numFmtId="17" fontId="5" fillId="2" borderId="8" xfId="0" applyNumberFormat="1" applyFont="1" applyFill="1" applyBorder="1"/>
    <xf numFmtId="3" fontId="3" fillId="5" borderId="5" xfId="0" applyNumberFormat="1" applyFont="1" applyFill="1" applyBorder="1" applyAlignment="1">
      <alignment vertical="top"/>
    </xf>
    <xf numFmtId="3" fontId="3" fillId="0" borderId="5" xfId="0" applyNumberFormat="1" applyFont="1" applyBorder="1" applyAlignment="1">
      <alignment vertical="top"/>
    </xf>
    <xf numFmtId="0" fontId="5" fillId="11" borderId="2" xfId="0" applyFont="1" applyFill="1" applyBorder="1" applyAlignment="1">
      <alignment horizontal="center" vertical="top"/>
    </xf>
    <xf numFmtId="3" fontId="5" fillId="11" borderId="2" xfId="0" applyNumberFormat="1" applyFont="1" applyFill="1" applyBorder="1" applyAlignment="1">
      <alignment vertical="top"/>
    </xf>
    <xf numFmtId="3" fontId="3" fillId="0" borderId="6" xfId="0" applyNumberFormat="1" applyFont="1" applyBorder="1" applyAlignment="1">
      <alignment vertical="center"/>
    </xf>
    <xf numFmtId="3" fontId="3" fillId="5" borderId="10" xfId="0" applyNumberFormat="1" applyFont="1" applyFill="1" applyBorder="1"/>
    <xf numFmtId="3" fontId="3" fillId="15" borderId="8" xfId="0" applyNumberFormat="1" applyFont="1" applyFill="1" applyBorder="1"/>
    <xf numFmtId="3" fontId="3" fillId="5" borderId="2" xfId="0" applyNumberFormat="1" applyFont="1" applyFill="1" applyBorder="1"/>
    <xf numFmtId="0" fontId="3" fillId="0" borderId="5" xfId="0" applyFont="1" applyBorder="1" applyAlignment="1">
      <alignment horizontal="left" vertical="center" indent="1"/>
    </xf>
    <xf numFmtId="3" fontId="3" fillId="0" borderId="4" xfId="0" applyNumberFormat="1" applyFont="1" applyBorder="1" applyAlignment="1">
      <alignment vertical="top"/>
    </xf>
    <xf numFmtId="3" fontId="24" fillId="0" borderId="4" xfId="0" applyNumberFormat="1" applyFont="1" applyBorder="1" applyAlignment="1">
      <alignment vertical="top"/>
    </xf>
    <xf numFmtId="3" fontId="3" fillId="0" borderId="6" xfId="0" applyNumberFormat="1" applyFont="1" applyBorder="1" applyAlignment="1">
      <alignment vertical="top"/>
    </xf>
    <xf numFmtId="0" fontId="5" fillId="11" borderId="8" xfId="0" applyFont="1" applyFill="1" applyBorder="1" applyAlignment="1">
      <alignment horizontal="center" vertical="top"/>
    </xf>
    <xf numFmtId="3" fontId="5" fillId="11" borderId="8" xfId="0" applyNumberFormat="1" applyFont="1" applyFill="1" applyBorder="1" applyAlignment="1">
      <alignment vertical="top"/>
    </xf>
    <xf numFmtId="3" fontId="13" fillId="7" borderId="3" xfId="1" applyNumberFormat="1" applyFont="1" applyFill="1" applyBorder="1" applyAlignment="1">
      <alignment horizontal="right" vertical="center"/>
    </xf>
    <xf numFmtId="3" fontId="13" fillId="6" borderId="3" xfId="1" applyNumberFormat="1" applyFont="1" applyFill="1" applyBorder="1" applyAlignment="1">
      <alignment horizontal="right" vertical="center"/>
    </xf>
    <xf numFmtId="3" fontId="13" fillId="7" borderId="4" xfId="1" applyNumberFormat="1" applyFont="1" applyFill="1" applyBorder="1" applyAlignment="1">
      <alignment horizontal="right" vertical="center"/>
    </xf>
    <xf numFmtId="3" fontId="13" fillId="6" borderId="4" xfId="1" applyNumberFormat="1" applyFont="1" applyFill="1" applyBorder="1" applyAlignment="1">
      <alignment horizontal="right" vertical="center"/>
    </xf>
    <xf numFmtId="3" fontId="13" fillId="7" borderId="5" xfId="1" applyNumberFormat="1" applyFont="1" applyFill="1" applyBorder="1" applyAlignment="1">
      <alignment horizontal="right" vertical="center"/>
    </xf>
    <xf numFmtId="3" fontId="13" fillId="6" borderId="5" xfId="1" applyNumberFormat="1" applyFont="1" applyFill="1" applyBorder="1" applyAlignment="1">
      <alignment horizontal="right" vertical="center"/>
    </xf>
    <xf numFmtId="3" fontId="12" fillId="9" borderId="8" xfId="1" applyNumberFormat="1" applyFont="1" applyFill="1" applyBorder="1" applyAlignment="1">
      <alignment horizontal="right"/>
    </xf>
    <xf numFmtId="9" fontId="14" fillId="4" borderId="2" xfId="1" applyNumberFormat="1" applyFont="1" applyFill="1" applyBorder="1" applyAlignment="1">
      <alignment horizontal="right"/>
    </xf>
    <xf numFmtId="9" fontId="13" fillId="3" borderId="2" xfId="1" applyNumberFormat="1" applyFont="1" applyFill="1" applyBorder="1" applyAlignment="1">
      <alignment horizontal="right"/>
    </xf>
    <xf numFmtId="9" fontId="14" fillId="8" borderId="12" xfId="0" applyNumberFormat="1" applyFont="1" applyFill="1" applyBorder="1" applyAlignment="1">
      <alignment horizontal="right"/>
    </xf>
    <xf numFmtId="0" fontId="12" fillId="4" borderId="1" xfId="1" applyFont="1" applyFill="1" applyBorder="1" applyAlignment="1">
      <alignment horizontal="left"/>
    </xf>
    <xf numFmtId="0" fontId="12" fillId="4" borderId="1" xfId="1" applyFont="1" applyFill="1" applyBorder="1" applyAlignment="1">
      <alignment horizontal="center"/>
    </xf>
    <xf numFmtId="0" fontId="13" fillId="6" borderId="0" xfId="1" applyFont="1" applyFill="1" applyAlignment="1">
      <alignment horizontal="left"/>
    </xf>
    <xf numFmtId="0" fontId="13" fillId="6" borderId="0" xfId="1" applyFont="1" applyFill="1" applyAlignment="1">
      <alignment horizontal="center"/>
    </xf>
    <xf numFmtId="0" fontId="13" fillId="6" borderId="3" xfId="1" applyFont="1" applyFill="1" applyBorder="1" applyAlignment="1">
      <alignment horizontal="left"/>
    </xf>
    <xf numFmtId="0" fontId="13" fillId="6" borderId="3" xfId="1" applyFont="1" applyFill="1" applyBorder="1" applyAlignment="1">
      <alignment horizontal="center"/>
    </xf>
    <xf numFmtId="0" fontId="13" fillId="4" borderId="0" xfId="1" applyFont="1" applyFill="1" applyAlignment="1">
      <alignment horizontal="left"/>
    </xf>
    <xf numFmtId="3" fontId="12" fillId="4" borderId="0" xfId="1" applyNumberFormat="1" applyFont="1" applyFill="1" applyAlignment="1">
      <alignment horizontal="right"/>
    </xf>
    <xf numFmtId="3" fontId="12" fillId="4" borderId="1" xfId="1" applyNumberFormat="1" applyFont="1" applyFill="1" applyBorder="1" applyAlignment="1">
      <alignment horizontal="right"/>
    </xf>
    <xf numFmtId="0" fontId="7" fillId="11" borderId="0" xfId="0" applyFont="1" applyFill="1"/>
    <xf numFmtId="0" fontId="5" fillId="11" borderId="0" xfId="0" applyFont="1" applyFill="1"/>
    <xf numFmtId="0" fontId="3" fillId="11" borderId="2" xfId="0" applyFont="1" applyFill="1" applyBorder="1"/>
    <xf numFmtId="0" fontId="7" fillId="11" borderId="2" xfId="0" applyFont="1" applyFill="1" applyBorder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7" fillId="11" borderId="2" xfId="0" applyFont="1" applyFill="1" applyBorder="1" applyAlignment="1">
      <alignment horizontal="center"/>
    </xf>
    <xf numFmtId="0" fontId="7" fillId="11" borderId="0" xfId="0" applyFont="1" applyFill="1" applyAlignment="1">
      <alignment horizontal="center"/>
    </xf>
    <xf numFmtId="3" fontId="7" fillId="11" borderId="2" xfId="0" applyNumberFormat="1" applyFont="1" applyFill="1" applyBorder="1"/>
    <xf numFmtId="3" fontId="3" fillId="0" borderId="5" xfId="0" applyNumberFormat="1" applyFont="1" applyBorder="1"/>
    <xf numFmtId="3" fontId="7" fillId="11" borderId="0" xfId="0" applyNumberFormat="1" applyFont="1" applyFill="1"/>
    <xf numFmtId="3" fontId="3" fillId="0" borderId="6" xfId="0" applyNumberFormat="1" applyFont="1" applyBorder="1"/>
    <xf numFmtId="3" fontId="3" fillId="4" borderId="2" xfId="0" applyNumberFormat="1" applyFont="1" applyFill="1" applyBorder="1"/>
    <xf numFmtId="0" fontId="3" fillId="16" borderId="0" xfId="0" applyFont="1" applyFill="1"/>
    <xf numFmtId="0" fontId="5" fillId="16" borderId="2" xfId="0" applyFont="1" applyFill="1" applyBorder="1" applyAlignment="1">
      <alignment horizontal="center"/>
    </xf>
    <xf numFmtId="0" fontId="7" fillId="16" borderId="2" xfId="0" applyFont="1" applyFill="1" applyBorder="1" applyAlignment="1">
      <alignment horizontal="left"/>
    </xf>
    <xf numFmtId="0" fontId="7" fillId="16" borderId="0" xfId="0" applyFont="1" applyFill="1"/>
    <xf numFmtId="0" fontId="5" fillId="16" borderId="0" xfId="0" applyFont="1" applyFill="1" applyAlignment="1">
      <alignment horizontal="center"/>
    </xf>
    <xf numFmtId="167" fontId="3" fillId="5" borderId="0" xfId="0" applyNumberFormat="1" applyFont="1" applyFill="1" applyAlignment="1">
      <alignment vertical="center"/>
    </xf>
    <xf numFmtId="0" fontId="8" fillId="4" borderId="8" xfId="0" applyFont="1" applyFill="1" applyBorder="1" applyAlignment="1">
      <alignment horizontal="center" vertical="center"/>
    </xf>
    <xf numFmtId="167" fontId="3" fillId="5" borderId="3" xfId="0" applyNumberFormat="1" applyFont="1" applyFill="1" applyBorder="1" applyAlignment="1">
      <alignment vertical="center"/>
    </xf>
    <xf numFmtId="167" fontId="3" fillId="5" borderId="5" xfId="0" applyNumberFormat="1" applyFont="1" applyFill="1" applyBorder="1" applyAlignment="1">
      <alignment vertical="center"/>
    </xf>
    <xf numFmtId="3" fontId="3" fillId="5" borderId="5" xfId="0" applyNumberFormat="1" applyFont="1" applyFill="1" applyBorder="1"/>
    <xf numFmtId="9" fontId="3" fillId="5" borderId="3" xfId="0" applyNumberFormat="1" applyFont="1" applyFill="1" applyBorder="1" applyAlignment="1">
      <alignment vertical="center"/>
    </xf>
    <xf numFmtId="9" fontId="3" fillId="5" borderId="4" xfId="0" applyNumberFormat="1" applyFont="1" applyFill="1" applyBorder="1" applyAlignment="1">
      <alignment vertical="center"/>
    </xf>
    <xf numFmtId="9" fontId="3" fillId="0" borderId="0" xfId="0" applyNumberFormat="1" applyFont="1"/>
    <xf numFmtId="3" fontId="13" fillId="6" borderId="15" xfId="1" applyNumberFormat="1" applyFont="1" applyFill="1" applyBorder="1" applyAlignment="1">
      <alignment horizontal="right" vertical="center"/>
    </xf>
    <xf numFmtId="3" fontId="12" fillId="4" borderId="8" xfId="1" applyNumberFormat="1" applyFont="1" applyFill="1" applyBorder="1" applyAlignment="1">
      <alignment horizontal="right"/>
    </xf>
    <xf numFmtId="3" fontId="3" fillId="6" borderId="5" xfId="0" applyNumberFormat="1" applyFont="1" applyFill="1" applyBorder="1"/>
    <xf numFmtId="0" fontId="5" fillId="16" borderId="2" xfId="0" applyFont="1" applyFill="1" applyBorder="1"/>
    <xf numFmtId="0" fontId="3" fillId="5" borderId="15" xfId="0" applyFont="1" applyFill="1" applyBorder="1"/>
    <xf numFmtId="3" fontId="3" fillId="6" borderId="3" xfId="0" applyNumberFormat="1" applyFont="1" applyFill="1" applyBorder="1"/>
    <xf numFmtId="0" fontId="3" fillId="17" borderId="0" xfId="0" applyFont="1" applyFill="1"/>
    <xf numFmtId="0" fontId="3" fillId="17" borderId="0" xfId="0" applyFont="1" applyFill="1" applyAlignment="1">
      <alignment horizontal="center"/>
    </xf>
    <xf numFmtId="3" fontId="3" fillId="17" borderId="0" xfId="0" applyNumberFormat="1" applyFont="1" applyFill="1"/>
    <xf numFmtId="3" fontId="3" fillId="5" borderId="3" xfId="0" applyNumberFormat="1" applyFont="1" applyFill="1" applyBorder="1"/>
    <xf numFmtId="0" fontId="8" fillId="4" borderId="0" xfId="0" applyFont="1" applyFill="1" applyAlignment="1">
      <alignment horizontal="center"/>
    </xf>
    <xf numFmtId="3" fontId="3" fillId="5" borderId="0" xfId="0" applyNumberFormat="1" applyFont="1" applyFill="1"/>
    <xf numFmtId="0" fontId="8" fillId="17" borderId="0" xfId="0" applyFont="1" applyFill="1" applyAlignment="1">
      <alignment horizontal="center"/>
    </xf>
    <xf numFmtId="0" fontId="3" fillId="17" borderId="2" xfId="0" applyFont="1" applyFill="1" applyBorder="1"/>
    <xf numFmtId="0" fontId="8" fillId="17" borderId="2" xfId="0" applyFont="1" applyFill="1" applyBorder="1" applyAlignment="1">
      <alignment horizontal="center"/>
    </xf>
    <xf numFmtId="3" fontId="3" fillId="5" borderId="4" xfId="0" applyNumberFormat="1" applyFont="1" applyFill="1" applyBorder="1" applyAlignment="1">
      <alignment vertical="center"/>
    </xf>
    <xf numFmtId="4" fontId="3" fillId="5" borderId="5" xfId="0" applyNumberFormat="1" applyFont="1" applyFill="1" applyBorder="1" applyAlignment="1">
      <alignment vertical="center"/>
    </xf>
    <xf numFmtId="3" fontId="3" fillId="5" borderId="5" xfId="0" applyNumberFormat="1" applyFont="1" applyFill="1" applyBorder="1" applyAlignment="1">
      <alignment vertical="center"/>
    </xf>
    <xf numFmtId="3" fontId="7" fillId="18" borderId="0" xfId="0" applyNumberFormat="1" applyFont="1" applyFill="1"/>
    <xf numFmtId="0" fontId="3" fillId="0" borderId="42" xfId="0" applyFont="1" applyBorder="1" applyAlignment="1">
      <alignment vertical="center"/>
    </xf>
    <xf numFmtId="0" fontId="3" fillId="0" borderId="42" xfId="0" applyFont="1" applyBorder="1" applyAlignment="1">
      <alignment horizontal="center" vertical="center"/>
    </xf>
    <xf numFmtId="9" fontId="3" fillId="5" borderId="42" xfId="0" applyNumberFormat="1" applyFont="1" applyFill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43" xfId="0" applyFont="1" applyBorder="1" applyAlignment="1">
      <alignment horizontal="center" vertical="center"/>
    </xf>
    <xf numFmtId="9" fontId="3" fillId="6" borderId="42" xfId="0" applyNumberFormat="1" applyFont="1" applyFill="1" applyBorder="1" applyAlignment="1">
      <alignment vertical="center"/>
    </xf>
    <xf numFmtId="9" fontId="3" fillId="6" borderId="43" xfId="0" applyNumberFormat="1" applyFont="1" applyFill="1" applyBorder="1" applyAlignment="1">
      <alignment vertical="center"/>
    </xf>
    <xf numFmtId="0" fontId="3" fillId="6" borderId="4" xfId="0" applyFont="1" applyFill="1" applyBorder="1" applyAlignment="1">
      <alignment vertical="center"/>
    </xf>
    <xf numFmtId="3" fontId="3" fillId="5" borderId="43" xfId="0" applyNumberFormat="1" applyFont="1" applyFill="1" applyBorder="1" applyAlignment="1">
      <alignment vertical="center"/>
    </xf>
    <xf numFmtId="0" fontId="3" fillId="6" borderId="9" xfId="0" applyFont="1" applyFill="1" applyBorder="1" applyAlignment="1">
      <alignment vertical="center"/>
    </xf>
    <xf numFmtId="3" fontId="3" fillId="5" borderId="9" xfId="0" applyNumberFormat="1" applyFont="1" applyFill="1" applyBorder="1" applyAlignment="1">
      <alignment vertical="center"/>
    </xf>
    <xf numFmtId="0" fontId="3" fillId="9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3" fontId="7" fillId="18" borderId="2" xfId="0" applyNumberFormat="1" applyFont="1" applyFill="1" applyBorder="1"/>
    <xf numFmtId="0" fontId="5" fillId="16" borderId="0" xfId="0" applyFont="1" applyFill="1"/>
    <xf numFmtId="0" fontId="3" fillId="11" borderId="0" xfId="0" applyFont="1" applyFill="1"/>
    <xf numFmtId="3" fontId="5" fillId="16" borderId="2" xfId="0" applyNumberFormat="1" applyFont="1" applyFill="1" applyBorder="1"/>
    <xf numFmtId="0" fontId="3" fillId="7" borderId="10" xfId="0" applyFont="1" applyFill="1" applyBorder="1" applyAlignment="1">
      <alignment horizontal="center"/>
    </xf>
    <xf numFmtId="0" fontId="3" fillId="4" borderId="1" xfId="0" applyFont="1" applyFill="1" applyBorder="1"/>
    <xf numFmtId="3" fontId="5" fillId="19" borderId="2" xfId="0" applyNumberFormat="1" applyFont="1" applyFill="1" applyBorder="1"/>
    <xf numFmtId="0" fontId="3" fillId="0" borderId="41" xfId="0" applyFont="1" applyBorder="1" applyAlignment="1">
      <alignment horizontal="center"/>
    </xf>
    <xf numFmtId="0" fontId="3" fillId="5" borderId="41" xfId="0" applyFont="1" applyFill="1" applyBorder="1"/>
    <xf numFmtId="0" fontId="3" fillId="9" borderId="1" xfId="0" applyFont="1" applyFill="1" applyBorder="1"/>
    <xf numFmtId="3" fontId="13" fillId="7" borderId="15" xfId="1" applyNumberFormat="1" applyFont="1" applyFill="1" applyBorder="1" applyAlignment="1">
      <alignment horizontal="right" vertical="center"/>
    </xf>
    <xf numFmtId="9" fontId="3" fillId="5" borderId="10" xfId="0" applyNumberFormat="1" applyFont="1" applyFill="1" applyBorder="1" applyAlignment="1">
      <alignment horizontal="center"/>
    </xf>
    <xf numFmtId="0" fontId="13" fillId="6" borderId="3" xfId="1" applyFont="1" applyFill="1" applyBorder="1" applyAlignment="1">
      <alignment horizontal="right"/>
    </xf>
    <xf numFmtId="9" fontId="3" fillId="5" borderId="9" xfId="0" applyNumberFormat="1" applyFont="1" applyFill="1" applyBorder="1" applyAlignment="1">
      <alignment horizontal="center"/>
    </xf>
    <xf numFmtId="9" fontId="3" fillId="5" borderId="43" xfId="0" applyNumberFormat="1" applyFont="1" applyFill="1" applyBorder="1" applyAlignment="1">
      <alignment horizontal="center"/>
    </xf>
    <xf numFmtId="3" fontId="13" fillId="6" borderId="5" xfId="1" applyNumberFormat="1" applyFont="1" applyFill="1" applyBorder="1"/>
    <xf numFmtId="0" fontId="12" fillId="3" borderId="2" xfId="0" applyFont="1" applyFill="1" applyBorder="1" applyAlignment="1">
      <alignment horizontal="center"/>
    </xf>
    <xf numFmtId="3" fontId="8" fillId="4" borderId="2" xfId="0" applyNumberFormat="1" applyFont="1" applyFill="1" applyBorder="1"/>
    <xf numFmtId="17" fontId="13" fillId="6" borderId="0" xfId="0" applyNumberFormat="1" applyFont="1" applyFill="1" applyAlignment="1">
      <alignment horizontal="left"/>
    </xf>
    <xf numFmtId="17" fontId="13" fillId="5" borderId="3" xfId="0" applyNumberFormat="1" applyFont="1" applyFill="1" applyBorder="1" applyAlignment="1">
      <alignment horizontal="right"/>
    </xf>
    <xf numFmtId="17" fontId="13" fillId="5" borderId="4" xfId="0" applyNumberFormat="1" applyFont="1" applyFill="1" applyBorder="1" applyAlignment="1">
      <alignment horizontal="right"/>
    </xf>
    <xf numFmtId="0" fontId="3" fillId="17" borderId="8" xfId="0" applyFont="1" applyFill="1" applyBorder="1"/>
    <xf numFmtId="0" fontId="3" fillId="17" borderId="8" xfId="0" applyFont="1" applyFill="1" applyBorder="1" applyAlignment="1">
      <alignment horizontal="center"/>
    </xf>
    <xf numFmtId="0" fontId="5" fillId="2" borderId="0" xfId="1" applyFont="1" applyFill="1" applyAlignment="1">
      <alignment horizontal="left"/>
    </xf>
    <xf numFmtId="3" fontId="3" fillId="6" borderId="4" xfId="0" applyNumberFormat="1" applyFont="1" applyFill="1" applyBorder="1"/>
    <xf numFmtId="0" fontId="8" fillId="4" borderId="8" xfId="0" applyFont="1" applyFill="1" applyBorder="1" applyAlignment="1">
      <alignment horizontal="left"/>
    </xf>
    <xf numFmtId="0" fontId="3" fillId="0" borderId="20" xfId="0" applyFont="1" applyBorder="1" applyAlignment="1">
      <alignment horizontal="center"/>
    </xf>
    <xf numFmtId="164" fontId="13" fillId="7" borderId="4" xfId="2" applyNumberFormat="1" applyFont="1" applyFill="1" applyBorder="1" applyAlignment="1">
      <alignment horizontal="right"/>
    </xf>
    <xf numFmtId="3" fontId="13" fillId="7" borderId="10" xfId="0" applyNumberFormat="1" applyFont="1" applyFill="1" applyBorder="1" applyAlignment="1">
      <alignment horizontal="right"/>
    </xf>
    <xf numFmtId="3" fontId="13" fillId="7" borderId="4" xfId="0" applyNumberFormat="1" applyFont="1" applyFill="1" applyBorder="1" applyAlignment="1">
      <alignment horizontal="right"/>
    </xf>
    <xf numFmtId="3" fontId="13" fillId="0" borderId="4" xfId="0" applyNumberFormat="1" applyFont="1" applyBorder="1" applyAlignment="1">
      <alignment horizontal="right"/>
    </xf>
    <xf numFmtId="3" fontId="3" fillId="0" borderId="4" xfId="0" applyNumberFormat="1" applyFont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13" fillId="7" borderId="10" xfId="2" applyNumberFormat="1" applyFont="1" applyFill="1" applyBorder="1" applyAlignment="1">
      <alignment horizontal="right"/>
    </xf>
    <xf numFmtId="3" fontId="13" fillId="6" borderId="4" xfId="2" applyNumberFormat="1" applyFont="1" applyFill="1" applyBorder="1" applyAlignment="1">
      <alignment horizontal="right"/>
    </xf>
    <xf numFmtId="3" fontId="13" fillId="7" borderId="4" xfId="2" applyNumberFormat="1" applyFont="1" applyFill="1" applyBorder="1" applyAlignment="1">
      <alignment horizontal="right"/>
    </xf>
    <xf numFmtId="0" fontId="13" fillId="0" borderId="0" xfId="0" applyFont="1"/>
    <xf numFmtId="0" fontId="26" fillId="0" borderId="0" xfId="0" applyFont="1"/>
    <xf numFmtId="0" fontId="12" fillId="6" borderId="0" xfId="0" applyFont="1" applyFill="1" applyAlignment="1">
      <alignment horizontal="center"/>
    </xf>
    <xf numFmtId="3" fontId="13" fillId="7" borderId="10" xfId="0" applyNumberFormat="1" applyFont="1" applyFill="1" applyBorder="1"/>
    <xf numFmtId="3" fontId="13" fillId="7" borderId="4" xfId="0" applyNumberFormat="1" applyFont="1" applyFill="1" applyBorder="1"/>
    <xf numFmtId="3" fontId="13" fillId="6" borderId="4" xfId="2" applyNumberFormat="1" applyFont="1" applyFill="1" applyBorder="1"/>
    <xf numFmtId="3" fontId="13" fillId="7" borderId="4" xfId="2" applyNumberFormat="1" applyFont="1" applyFill="1" applyBorder="1"/>
    <xf numFmtId="3" fontId="13" fillId="0" borderId="4" xfId="0" applyNumberFormat="1" applyFont="1" applyBorder="1"/>
    <xf numFmtId="3" fontId="13" fillId="6" borderId="0" xfId="1" applyNumberFormat="1" applyFont="1" applyFill="1" applyAlignment="1">
      <alignment horizontal="right"/>
    </xf>
    <xf numFmtId="3" fontId="13" fillId="7" borderId="0" xfId="1" applyNumberFormat="1" applyFont="1" applyFill="1" applyAlignment="1">
      <alignment horizontal="right"/>
    </xf>
    <xf numFmtId="9" fontId="3" fillId="5" borderId="3" xfId="0" applyNumberFormat="1" applyFont="1" applyFill="1" applyBorder="1" applyAlignment="1">
      <alignment horizontal="center"/>
    </xf>
    <xf numFmtId="9" fontId="3" fillId="5" borderId="4" xfId="0" applyNumberFormat="1" applyFont="1" applyFill="1" applyBorder="1" applyAlignment="1">
      <alignment horizontal="center"/>
    </xf>
    <xf numFmtId="9" fontId="3" fillId="5" borderId="5" xfId="0" applyNumberFormat="1" applyFont="1" applyFill="1" applyBorder="1" applyAlignment="1">
      <alignment horizontal="center"/>
    </xf>
    <xf numFmtId="0" fontId="3" fillId="0" borderId="4" xfId="0" applyFont="1" applyBorder="1" applyAlignment="1">
      <alignment horizontal="right" vertical="center"/>
    </xf>
    <xf numFmtId="3" fontId="3" fillId="4" borderId="8" xfId="0" applyNumberFormat="1" applyFont="1" applyFill="1" applyBorder="1" applyAlignment="1">
      <alignment horizontal="right" vertical="center"/>
    </xf>
    <xf numFmtId="3" fontId="3" fillId="0" borderId="3" xfId="0" applyNumberFormat="1" applyFont="1" applyBorder="1" applyAlignment="1">
      <alignment horizontal="right" vertical="center"/>
    </xf>
    <xf numFmtId="3" fontId="3" fillId="0" borderId="10" xfId="0" applyNumberFormat="1" applyFont="1" applyBorder="1" applyAlignment="1">
      <alignment horizontal="right" vertical="center"/>
    </xf>
    <xf numFmtId="3" fontId="3" fillId="0" borderId="7" xfId="0" applyNumberFormat="1" applyFont="1" applyBorder="1" applyAlignment="1">
      <alignment horizontal="right" vertical="center"/>
    </xf>
    <xf numFmtId="3" fontId="7" fillId="11" borderId="8" xfId="0" applyNumberFormat="1" applyFont="1" applyFill="1" applyBorder="1" applyAlignment="1">
      <alignment horizontal="right" vertical="center"/>
    </xf>
    <xf numFmtId="3" fontId="3" fillId="5" borderId="3" xfId="0" applyNumberFormat="1" applyFont="1" applyFill="1" applyBorder="1" applyAlignment="1">
      <alignment horizontal="center"/>
    </xf>
    <xf numFmtId="3" fontId="8" fillId="10" borderId="8" xfId="0" applyNumberFormat="1" applyFont="1" applyFill="1" applyBorder="1" applyAlignment="1">
      <alignment horizontal="right" vertical="center"/>
    </xf>
    <xf numFmtId="3" fontId="8" fillId="10" borderId="8" xfId="0" applyNumberFormat="1" applyFont="1" applyFill="1" applyBorder="1" applyAlignment="1">
      <alignment vertical="center"/>
    </xf>
    <xf numFmtId="3" fontId="3" fillId="0" borderId="10" xfId="0" applyNumberFormat="1" applyFont="1" applyBorder="1" applyAlignment="1">
      <alignment vertical="center"/>
    </xf>
    <xf numFmtId="3" fontId="3" fillId="0" borderId="9" xfId="0" applyNumberFormat="1" applyFont="1" applyBorder="1" applyAlignment="1">
      <alignment horizontal="right" vertical="center"/>
    </xf>
    <xf numFmtId="3" fontId="3" fillId="0" borderId="5" xfId="0" applyNumberFormat="1" applyFont="1" applyBorder="1" applyAlignment="1">
      <alignment horizontal="right" vertical="center"/>
    </xf>
    <xf numFmtId="3" fontId="3" fillId="4" borderId="0" xfId="0" applyNumberFormat="1" applyFont="1" applyFill="1" applyAlignment="1">
      <alignment horizontal="right" vertical="center"/>
    </xf>
    <xf numFmtId="3" fontId="3" fillId="0" borderId="0" xfId="0" applyNumberFormat="1" applyFont="1" applyAlignment="1">
      <alignment horizontal="right" vertical="center"/>
    </xf>
    <xf numFmtId="3" fontId="5" fillId="2" borderId="8" xfId="0" applyNumberFormat="1" applyFont="1" applyFill="1" applyBorder="1" applyAlignment="1">
      <alignment horizontal="right" vertical="center"/>
    </xf>
    <xf numFmtId="3" fontId="3" fillId="4" borderId="1" xfId="0" applyNumberFormat="1" applyFont="1" applyFill="1" applyBorder="1" applyAlignment="1">
      <alignment horizontal="right" vertical="center"/>
    </xf>
    <xf numFmtId="3" fontId="3" fillId="9" borderId="0" xfId="0" applyNumberFormat="1" applyFont="1" applyFill="1" applyAlignment="1">
      <alignment horizontal="right" vertical="center"/>
    </xf>
    <xf numFmtId="3" fontId="3" fillId="4" borderId="2" xfId="0" applyNumberFormat="1" applyFont="1" applyFill="1" applyBorder="1" applyAlignment="1">
      <alignment horizontal="right" vertical="center"/>
    </xf>
    <xf numFmtId="0" fontId="3" fillId="6" borderId="0" xfId="0" applyFont="1" applyFill="1" applyAlignment="1">
      <alignment vertical="center"/>
    </xf>
    <xf numFmtId="0" fontId="3" fillId="6" borderId="0" xfId="0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3" fillId="6" borderId="0" xfId="0" applyFont="1" applyFill="1" applyAlignment="1">
      <alignment horizontal="right" vertical="center"/>
    </xf>
    <xf numFmtId="3" fontId="12" fillId="9" borderId="1" xfId="1" applyNumberFormat="1" applyFont="1" applyFill="1" applyBorder="1" applyAlignment="1">
      <alignment horizontal="right"/>
    </xf>
    <xf numFmtId="3" fontId="13" fillId="7" borderId="5" xfId="1" applyNumberFormat="1" applyFont="1" applyFill="1" applyBorder="1"/>
    <xf numFmtId="3" fontId="5" fillId="2" borderId="0" xfId="0" applyNumberFormat="1" applyFont="1" applyFill="1" applyAlignment="1">
      <alignment horizontal="right" vertical="center"/>
    </xf>
    <xf numFmtId="3" fontId="3" fillId="4" borderId="8" xfId="0" applyNumberFormat="1" applyFont="1" applyFill="1" applyBorder="1" applyAlignment="1">
      <alignment vertical="center"/>
    </xf>
    <xf numFmtId="3" fontId="24" fillId="0" borderId="4" xfId="0" applyNumberFormat="1" applyFont="1" applyBorder="1" applyAlignment="1">
      <alignment vertical="center"/>
    </xf>
    <xf numFmtId="0" fontId="7" fillId="2" borderId="1" xfId="1" applyFont="1" applyFill="1" applyBorder="1" applyAlignment="1">
      <alignment horizontal="left"/>
    </xf>
    <xf numFmtId="0" fontId="5" fillId="2" borderId="1" xfId="0" applyFont="1" applyFill="1" applyBorder="1"/>
    <xf numFmtId="0" fontId="13" fillId="4" borderId="2" xfId="0" applyFont="1" applyFill="1" applyBorder="1"/>
    <xf numFmtId="17" fontId="13" fillId="6" borderId="3" xfId="0" applyNumberFormat="1" applyFont="1" applyFill="1" applyBorder="1" applyAlignment="1">
      <alignment horizontal="right"/>
    </xf>
    <xf numFmtId="17" fontId="13" fillId="6" borderId="4" xfId="0" applyNumberFormat="1" applyFont="1" applyFill="1" applyBorder="1" applyAlignment="1">
      <alignment horizontal="right"/>
    </xf>
    <xf numFmtId="17" fontId="13" fillId="6" borderId="6" xfId="0" applyNumberFormat="1" applyFont="1" applyFill="1" applyBorder="1" applyAlignment="1">
      <alignment horizontal="right"/>
    </xf>
    <xf numFmtId="0" fontId="12" fillId="4" borderId="2" xfId="0" applyFont="1" applyFill="1" applyBorder="1" applyAlignment="1">
      <alignment horizontal="center"/>
    </xf>
    <xf numFmtId="0" fontId="12" fillId="4" borderId="2" xfId="0" applyFont="1" applyFill="1" applyBorder="1"/>
    <xf numFmtId="0" fontId="8" fillId="0" borderId="2" xfId="0" applyFont="1" applyBorder="1"/>
    <xf numFmtId="17" fontId="13" fillId="6" borderId="7" xfId="0" applyNumberFormat="1" applyFont="1" applyFill="1" applyBorder="1" applyAlignment="1">
      <alignment horizontal="right"/>
    </xf>
    <xf numFmtId="17" fontId="13" fillId="6" borderId="0" xfId="0" applyNumberFormat="1" applyFont="1" applyFill="1" applyAlignment="1">
      <alignment horizontal="right"/>
    </xf>
    <xf numFmtId="0" fontId="3" fillId="5" borderId="10" xfId="0" applyFont="1" applyFill="1" applyBorder="1" applyAlignment="1">
      <alignment horizontal="center"/>
    </xf>
    <xf numFmtId="3" fontId="12" fillId="4" borderId="2" xfId="0" applyNumberFormat="1" applyFont="1" applyFill="1" applyBorder="1"/>
    <xf numFmtId="3" fontId="12" fillId="9" borderId="2" xfId="0" applyNumberFormat="1" applyFont="1" applyFill="1" applyBorder="1"/>
    <xf numFmtId="3" fontId="12" fillId="4" borderId="0" xfId="0" applyNumberFormat="1" applyFont="1" applyFill="1"/>
    <xf numFmtId="17" fontId="13" fillId="6" borderId="5" xfId="0" applyNumberFormat="1" applyFont="1" applyFill="1" applyBorder="1" applyAlignment="1">
      <alignment horizontal="right"/>
    </xf>
    <xf numFmtId="0" fontId="12" fillId="4" borderId="0" xfId="0" applyFont="1" applyFill="1"/>
    <xf numFmtId="0" fontId="12" fillId="4" borderId="0" xfId="0" applyFont="1" applyFill="1" applyAlignment="1">
      <alignment horizontal="center"/>
    </xf>
    <xf numFmtId="0" fontId="13" fillId="4" borderId="0" xfId="0" applyFont="1" applyFill="1"/>
    <xf numFmtId="0" fontId="27" fillId="2" borderId="0" xfId="0" applyFont="1" applyFill="1"/>
    <xf numFmtId="3" fontId="13" fillId="6" borderId="10" xfId="1" applyNumberFormat="1" applyFont="1" applyFill="1" applyBorder="1" applyAlignment="1">
      <alignment horizontal="right"/>
    </xf>
    <xf numFmtId="3" fontId="13" fillId="7" borderId="10" xfId="1" applyNumberFormat="1" applyFont="1" applyFill="1" applyBorder="1" applyAlignment="1">
      <alignment horizontal="right"/>
    </xf>
    <xf numFmtId="3" fontId="25" fillId="2" borderId="0" xfId="0" applyNumberFormat="1" applyFont="1" applyFill="1"/>
    <xf numFmtId="3" fontId="12" fillId="20" borderId="13" xfId="1" applyNumberFormat="1" applyFont="1" applyFill="1" applyBorder="1" applyAlignment="1">
      <alignment horizontal="right"/>
    </xf>
    <xf numFmtId="3" fontId="13" fillId="9" borderId="13" xfId="1" applyNumberFormat="1" applyFont="1" applyFill="1" applyBorder="1" applyAlignment="1">
      <alignment horizontal="right"/>
    </xf>
    <xf numFmtId="3" fontId="8" fillId="14" borderId="8" xfId="0" applyNumberFormat="1" applyFont="1" applyFill="1" applyBorder="1" applyAlignment="1">
      <alignment vertical="center"/>
    </xf>
    <xf numFmtId="0" fontId="7" fillId="2" borderId="44" xfId="0" applyFont="1" applyFill="1" applyBorder="1"/>
    <xf numFmtId="0" fontId="3" fillId="4" borderId="3" xfId="0" applyFont="1" applyFill="1" applyBorder="1"/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/>
    <xf numFmtId="0" fontId="3" fillId="4" borderId="5" xfId="0" applyFont="1" applyFill="1" applyBorder="1"/>
    <xf numFmtId="0" fontId="3" fillId="4" borderId="5" xfId="0" applyFont="1" applyFill="1" applyBorder="1" applyAlignment="1">
      <alignment horizontal="center"/>
    </xf>
    <xf numFmtId="0" fontId="3" fillId="0" borderId="45" xfId="0" applyFont="1" applyBorder="1"/>
    <xf numFmtId="0" fontId="3" fillId="0" borderId="46" xfId="0" applyFont="1" applyBorder="1"/>
    <xf numFmtId="9" fontId="3" fillId="4" borderId="47" xfId="0" applyNumberFormat="1" applyFont="1" applyFill="1" applyBorder="1" applyAlignment="1">
      <alignment horizontal="center"/>
    </xf>
    <xf numFmtId="10" fontId="8" fillId="4" borderId="0" xfId="0" applyNumberFormat="1" applyFont="1" applyFill="1" applyAlignment="1">
      <alignment horizontal="center"/>
    </xf>
    <xf numFmtId="9" fontId="7" fillId="2" borderId="0" xfId="0" applyNumberFormat="1" applyFont="1" applyFill="1" applyAlignment="1">
      <alignment horizontal="center"/>
    </xf>
    <xf numFmtId="10" fontId="3" fillId="0" borderId="3" xfId="0" applyNumberFormat="1" applyFont="1" applyBorder="1" applyAlignment="1">
      <alignment horizontal="center"/>
    </xf>
    <xf numFmtId="10" fontId="3" fillId="0" borderId="5" xfId="0" applyNumberFormat="1" applyFont="1" applyBorder="1" applyAlignment="1">
      <alignment horizontal="center"/>
    </xf>
    <xf numFmtId="4" fontId="8" fillId="4" borderId="0" xfId="0" applyNumberFormat="1" applyFont="1" applyFill="1" applyAlignment="1">
      <alignment horizontal="center"/>
    </xf>
    <xf numFmtId="167" fontId="3" fillId="5" borderId="3" xfId="0" applyNumberFormat="1" applyFont="1" applyFill="1" applyBorder="1" applyAlignment="1">
      <alignment horizontal="center"/>
    </xf>
    <xf numFmtId="167" fontId="3" fillId="6" borderId="3" xfId="0" applyNumberFormat="1" applyFont="1" applyFill="1" applyBorder="1" applyAlignment="1">
      <alignment horizontal="center"/>
    </xf>
    <xf numFmtId="167" fontId="3" fillId="5" borderId="4" xfId="0" applyNumberFormat="1" applyFont="1" applyFill="1" applyBorder="1" applyAlignment="1">
      <alignment horizontal="center"/>
    </xf>
    <xf numFmtId="9" fontId="27" fillId="0" borderId="0" xfId="0" applyNumberFormat="1" applyFont="1" applyAlignment="1">
      <alignment vertical="center"/>
    </xf>
    <xf numFmtId="4" fontId="3" fillId="5" borderId="4" xfId="0" applyNumberFormat="1" applyFont="1" applyFill="1" applyBorder="1" applyAlignment="1">
      <alignment horizontal="center"/>
    </xf>
    <xf numFmtId="4" fontId="3" fillId="0" borderId="3" xfId="0" applyNumberFormat="1" applyFont="1" applyBorder="1" applyAlignment="1">
      <alignment horizontal="center"/>
    </xf>
    <xf numFmtId="0" fontId="3" fillId="4" borderId="15" xfId="0" applyFont="1" applyFill="1" applyBorder="1" applyAlignment="1">
      <alignment horizontal="center"/>
    </xf>
    <xf numFmtId="0" fontId="3" fillId="9" borderId="9" xfId="0" applyFont="1" applyFill="1" applyBorder="1" applyAlignment="1">
      <alignment horizontal="center"/>
    </xf>
    <xf numFmtId="3" fontId="3" fillId="9" borderId="4" xfId="0" applyNumberFormat="1" applyFont="1" applyFill="1" applyBorder="1" applyAlignment="1">
      <alignment horizontal="center"/>
    </xf>
    <xf numFmtId="9" fontId="3" fillId="4" borderId="3" xfId="0" applyNumberFormat="1" applyFont="1" applyFill="1" applyBorder="1" applyAlignment="1">
      <alignment horizontal="center"/>
    </xf>
    <xf numFmtId="167" fontId="3" fillId="4" borderId="3" xfId="0" applyNumberFormat="1" applyFont="1" applyFill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9" borderId="0" xfId="0" applyNumberFormat="1" applyFont="1" applyFill="1" applyAlignment="1">
      <alignment horizontal="center"/>
    </xf>
    <xf numFmtId="3" fontId="3" fillId="4" borderId="0" xfId="0" applyNumberFormat="1" applyFont="1" applyFill="1" applyAlignment="1">
      <alignment horizontal="center"/>
    </xf>
    <xf numFmtId="3" fontId="3" fillId="0" borderId="4" xfId="0" applyNumberFormat="1" applyFont="1" applyBorder="1" applyAlignment="1">
      <alignment horizontal="center"/>
    </xf>
    <xf numFmtId="3" fontId="3" fillId="4" borderId="5" xfId="0" applyNumberFormat="1" applyFont="1" applyFill="1" applyBorder="1" applyAlignment="1">
      <alignment horizontal="center"/>
    </xf>
    <xf numFmtId="10" fontId="3" fillId="6" borderId="6" xfId="0" applyNumberFormat="1" applyFont="1" applyFill="1" applyBorder="1"/>
    <xf numFmtId="3" fontId="13" fillId="7" borderId="5" xfId="1" applyNumberFormat="1" applyFont="1" applyFill="1" applyBorder="1" applyAlignment="1">
      <alignment horizontal="right"/>
    </xf>
    <xf numFmtId="3" fontId="13" fillId="6" borderId="5" xfId="1" applyNumberFormat="1" applyFont="1" applyFill="1" applyBorder="1" applyAlignment="1">
      <alignment horizontal="right"/>
    </xf>
    <xf numFmtId="3" fontId="3" fillId="0" borderId="16" xfId="0" applyNumberFormat="1" applyFont="1" applyBorder="1" applyAlignment="1">
      <alignment horizontal="right" vertical="center"/>
    </xf>
    <xf numFmtId="3" fontId="24" fillId="0" borderId="16" xfId="0" applyNumberFormat="1" applyFont="1" applyBorder="1" applyAlignment="1">
      <alignment horizontal="right" vertical="center"/>
    </xf>
    <xf numFmtId="3" fontId="28" fillId="5" borderId="16" xfId="0" applyNumberFormat="1" applyFont="1" applyFill="1" applyBorder="1" applyAlignment="1">
      <alignment horizontal="right" vertical="center"/>
    </xf>
    <xf numFmtId="167" fontId="3" fillId="5" borderId="6" xfId="0" applyNumberFormat="1" applyFont="1" applyFill="1" applyBorder="1" applyAlignment="1">
      <alignment horizontal="center"/>
    </xf>
    <xf numFmtId="168" fontId="3" fillId="0" borderId="0" xfId="0" applyNumberFormat="1" applyFont="1"/>
    <xf numFmtId="3" fontId="5" fillId="2" borderId="0" xfId="0" applyNumberFormat="1" applyFont="1" applyFill="1" applyAlignment="1">
      <alignment vertical="center"/>
    </xf>
    <xf numFmtId="3" fontId="7" fillId="10" borderId="8" xfId="0" applyNumberFormat="1" applyFont="1" applyFill="1" applyBorder="1" applyAlignment="1">
      <alignment horizontal="center"/>
    </xf>
    <xf numFmtId="3" fontId="13" fillId="10" borderId="8" xfId="0" applyNumberFormat="1" applyFont="1" applyFill="1" applyBorder="1"/>
    <xf numFmtId="3" fontId="5" fillId="0" borderId="10" xfId="0" applyNumberFormat="1" applyFont="1" applyBorder="1"/>
    <xf numFmtId="3" fontId="5" fillId="0" borderId="4" xfId="0" applyNumberFormat="1" applyFont="1" applyBorder="1"/>
    <xf numFmtId="3" fontId="3" fillId="5" borderId="7" xfId="0" applyNumberFormat="1" applyFont="1" applyFill="1" applyBorder="1"/>
    <xf numFmtId="3" fontId="5" fillId="0" borderId="7" xfId="0" applyNumberFormat="1" applyFont="1" applyBorder="1"/>
    <xf numFmtId="0" fontId="7" fillId="6" borderId="1" xfId="0" applyFont="1" applyFill="1" applyBorder="1" applyAlignment="1">
      <alignment horizontal="center"/>
    </xf>
    <xf numFmtId="166" fontId="3" fillId="0" borderId="4" xfId="0" applyNumberFormat="1" applyFont="1" applyBorder="1" applyAlignment="1">
      <alignment horizontal="right" vertical="center"/>
    </xf>
    <xf numFmtId="166" fontId="3" fillId="0" borderId="4" xfId="0" applyNumberFormat="1" applyFont="1" applyBorder="1" applyAlignment="1">
      <alignment vertical="center"/>
    </xf>
    <xf numFmtId="0" fontId="7" fillId="6" borderId="1" xfId="0" applyFont="1" applyFill="1" applyBorder="1" applyAlignment="1">
      <alignment horizontal="center" vertical="center"/>
    </xf>
    <xf numFmtId="9" fontId="3" fillId="0" borderId="7" xfId="0" applyNumberFormat="1" applyFont="1" applyBorder="1"/>
    <xf numFmtId="0" fontId="8" fillId="6" borderId="0" xfId="0" applyFont="1" applyFill="1"/>
    <xf numFmtId="0" fontId="8" fillId="6" borderId="0" xfId="0" applyFont="1" applyFill="1" applyAlignment="1">
      <alignment horizontal="center"/>
    </xf>
    <xf numFmtId="3" fontId="8" fillId="6" borderId="0" xfId="0" applyNumberFormat="1" applyFont="1" applyFill="1"/>
    <xf numFmtId="3" fontId="8" fillId="9" borderId="0" xfId="0" applyNumberFormat="1" applyFont="1" applyFill="1"/>
    <xf numFmtId="3" fontId="8" fillId="7" borderId="0" xfId="0" applyNumberFormat="1" applyFont="1" applyFill="1"/>
    <xf numFmtId="0" fontId="0" fillId="4" borderId="0" xfId="0" applyFill="1"/>
    <xf numFmtId="17" fontId="5" fillId="21" borderId="8" xfId="0" applyNumberFormat="1" applyFont="1" applyFill="1" applyBorder="1" applyAlignment="1">
      <alignment horizontal="right"/>
    </xf>
    <xf numFmtId="0" fontId="12" fillId="6" borderId="8" xfId="0" applyFont="1" applyFill="1" applyBorder="1" applyAlignment="1">
      <alignment horizontal="center"/>
    </xf>
    <xf numFmtId="17" fontId="13" fillId="6" borderId="10" xfId="0" applyNumberFormat="1" applyFont="1" applyFill="1" applyBorder="1" applyAlignment="1">
      <alignment horizontal="right"/>
    </xf>
    <xf numFmtId="3" fontId="13" fillId="6" borderId="4" xfId="0" applyNumberFormat="1" applyFont="1" applyFill="1" applyBorder="1"/>
    <xf numFmtId="3" fontId="13" fillId="6" borderId="4" xfId="0" applyNumberFormat="1" applyFont="1" applyFill="1" applyBorder="1" applyAlignment="1">
      <alignment horizontal="center"/>
    </xf>
    <xf numFmtId="3" fontId="13" fillId="6" borderId="6" xfId="0" applyNumberFormat="1" applyFont="1" applyFill="1" applyBorder="1"/>
    <xf numFmtId="3" fontId="13" fillId="6" borderId="6" xfId="0" applyNumberFormat="1" applyFont="1" applyFill="1" applyBorder="1" applyAlignment="1">
      <alignment horizontal="center"/>
    </xf>
    <xf numFmtId="0" fontId="13" fillId="6" borderId="4" xfId="0" applyFont="1" applyFill="1" applyBorder="1"/>
    <xf numFmtId="0" fontId="13" fillId="6" borderId="6" xfId="0" applyFont="1" applyFill="1" applyBorder="1"/>
    <xf numFmtId="4" fontId="13" fillId="5" borderId="10" xfId="0" applyNumberFormat="1" applyFont="1" applyFill="1" applyBorder="1" applyAlignment="1">
      <alignment horizontal="right"/>
    </xf>
    <xf numFmtId="4" fontId="13" fillId="5" borderId="4" xfId="0" applyNumberFormat="1" applyFont="1" applyFill="1" applyBorder="1" applyAlignment="1">
      <alignment horizontal="right"/>
    </xf>
    <xf numFmtId="4" fontId="13" fillId="5" borderId="6" xfId="0" applyNumberFormat="1" applyFont="1" applyFill="1" applyBorder="1" applyAlignment="1">
      <alignment horizontal="right"/>
    </xf>
    <xf numFmtId="3" fontId="13" fillId="6" borderId="10" xfId="0" applyNumberFormat="1" applyFont="1" applyFill="1" applyBorder="1" applyAlignment="1">
      <alignment horizontal="right"/>
    </xf>
    <xf numFmtId="3" fontId="3" fillId="14" borderId="2" xfId="0" applyNumberFormat="1" applyFont="1" applyFill="1" applyBorder="1" applyAlignment="1">
      <alignment vertical="top"/>
    </xf>
    <xf numFmtId="3" fontId="13" fillId="0" borderId="10" xfId="0" applyNumberFormat="1" applyFont="1" applyBorder="1" applyAlignment="1">
      <alignment horizontal="center"/>
    </xf>
    <xf numFmtId="9" fontId="13" fillId="0" borderId="4" xfId="0" applyNumberFormat="1" applyFont="1" applyBorder="1" applyAlignment="1">
      <alignment horizontal="center"/>
    </xf>
    <xf numFmtId="3" fontId="13" fillId="0" borderId="4" xfId="0" applyNumberFormat="1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3" fontId="13" fillId="0" borderId="5" xfId="0" applyNumberFormat="1" applyFont="1" applyBorder="1" applyAlignment="1">
      <alignment horizontal="center"/>
    </xf>
    <xf numFmtId="4" fontId="13" fillId="6" borderId="10" xfId="0" applyNumberFormat="1" applyFont="1" applyFill="1" applyBorder="1" applyAlignment="1">
      <alignment horizontal="right"/>
    </xf>
    <xf numFmtId="0" fontId="0" fillId="5" borderId="10" xfId="0" applyFill="1" applyBorder="1"/>
    <xf numFmtId="0" fontId="0" fillId="5" borderId="4" xfId="0" applyFill="1" applyBorder="1"/>
    <xf numFmtId="0" fontId="0" fillId="5" borderId="5" xfId="0" applyFill="1" applyBorder="1"/>
    <xf numFmtId="0" fontId="3" fillId="7" borderId="3" xfId="0" applyFont="1" applyFill="1" applyBorder="1"/>
    <xf numFmtId="0" fontId="3" fillId="15" borderId="0" xfId="0" applyFont="1" applyFill="1"/>
    <xf numFmtId="0" fontId="3" fillId="15" borderId="0" xfId="0" applyFont="1" applyFill="1" applyAlignment="1">
      <alignment horizontal="center"/>
    </xf>
    <xf numFmtId="9" fontId="3" fillId="5" borderId="15" xfId="0" applyNumberFormat="1" applyFont="1" applyFill="1" applyBorder="1"/>
    <xf numFmtId="3" fontId="8" fillId="9" borderId="0" xfId="0" applyNumberFormat="1" applyFont="1" applyFill="1" applyAlignment="1">
      <alignment vertical="center"/>
    </xf>
    <xf numFmtId="3" fontId="8" fillId="9" borderId="2" xfId="0" applyNumberFormat="1" applyFont="1" applyFill="1" applyBorder="1"/>
    <xf numFmtId="3" fontId="3" fillId="0" borderId="7" xfId="0" applyNumberFormat="1" applyFont="1" applyFill="1" applyBorder="1" applyAlignment="1">
      <alignment vertical="center"/>
    </xf>
    <xf numFmtId="3" fontId="3" fillId="0" borderId="5" xfId="0" applyNumberFormat="1" applyFont="1" applyFill="1" applyBorder="1" applyAlignment="1">
      <alignment horizontal="right" vertical="center"/>
    </xf>
    <xf numFmtId="3" fontId="3" fillId="0" borderId="10" xfId="0" applyNumberFormat="1" applyFont="1" applyFill="1" applyBorder="1" applyAlignment="1">
      <alignment horizontal="right" vertical="center"/>
    </xf>
    <xf numFmtId="3" fontId="3" fillId="0" borderId="9" xfId="0" applyNumberFormat="1" applyFont="1" applyFill="1" applyBorder="1" applyAlignment="1">
      <alignment horizontal="right" vertical="center"/>
    </xf>
    <xf numFmtId="3" fontId="3" fillId="0" borderId="16" xfId="0" applyNumberFormat="1" applyFont="1" applyFill="1" applyBorder="1" applyAlignment="1">
      <alignment horizontal="right" vertical="center"/>
    </xf>
    <xf numFmtId="3" fontId="3" fillId="0" borderId="4" xfId="0" applyNumberFormat="1" applyFont="1" applyFill="1" applyBorder="1" applyAlignment="1">
      <alignment vertical="center"/>
    </xf>
    <xf numFmtId="3" fontId="24" fillId="0" borderId="4" xfId="0" applyNumberFormat="1" applyFont="1" applyFill="1" applyBorder="1" applyAlignment="1">
      <alignment vertical="center"/>
    </xf>
    <xf numFmtId="3" fontId="3" fillId="9" borderId="0" xfId="0" applyNumberFormat="1" applyFont="1" applyFill="1"/>
    <xf numFmtId="3" fontId="3" fillId="9" borderId="3" xfId="0" applyNumberFormat="1" applyFont="1" applyFill="1" applyBorder="1" applyAlignment="1">
      <alignment horizontal="center"/>
    </xf>
    <xf numFmtId="0" fontId="3" fillId="0" borderId="0" xfId="0" applyFont="1" applyFill="1" applyAlignment="1">
      <alignment vertical="center"/>
    </xf>
    <xf numFmtId="3" fontId="3" fillId="0" borderId="10" xfId="0" applyNumberFormat="1" applyFont="1" applyFill="1" applyBorder="1" applyAlignment="1">
      <alignment vertical="center"/>
    </xf>
    <xf numFmtId="0" fontId="3" fillId="7" borderId="0" xfId="0" applyFont="1" applyFill="1" applyAlignment="1">
      <alignment horizontal="right" vertical="center"/>
    </xf>
    <xf numFmtId="3" fontId="3" fillId="0" borderId="3" xfId="0" applyNumberFormat="1" applyFont="1" applyFill="1" applyBorder="1" applyAlignment="1">
      <alignment horizontal="right" vertical="center"/>
    </xf>
    <xf numFmtId="3" fontId="3" fillId="0" borderId="4" xfId="0" applyNumberFormat="1" applyFont="1" applyFill="1" applyBorder="1" applyAlignment="1">
      <alignment horizontal="right" vertical="center"/>
    </xf>
    <xf numFmtId="0" fontId="3" fillId="0" borderId="3" xfId="0" applyFont="1" applyFill="1" applyBorder="1" applyAlignment="1">
      <alignment horizontal="right" vertical="center"/>
    </xf>
    <xf numFmtId="0" fontId="3" fillId="0" borderId="4" xfId="0" applyFont="1" applyFill="1" applyBorder="1" applyAlignment="1">
      <alignment horizontal="right" vertical="center"/>
    </xf>
    <xf numFmtId="0" fontId="3" fillId="0" borderId="3" xfId="0" applyFont="1" applyFill="1" applyBorder="1"/>
    <xf numFmtId="3" fontId="3" fillId="0" borderId="4" xfId="0" applyNumberFormat="1" applyFont="1" applyFill="1" applyBorder="1"/>
    <xf numFmtId="3" fontId="3" fillId="0" borderId="5" xfId="0" applyNumberFormat="1" applyFont="1" applyFill="1" applyBorder="1"/>
    <xf numFmtId="3" fontId="3" fillId="0" borderId="3" xfId="0" applyNumberFormat="1" applyFont="1" applyFill="1" applyBorder="1"/>
    <xf numFmtId="0" fontId="5" fillId="22" borderId="3" xfId="0" applyFont="1" applyFill="1" applyBorder="1"/>
    <xf numFmtId="3" fontId="3" fillId="0" borderId="0" xfId="0" applyNumberFormat="1" applyFont="1" applyFill="1"/>
  </cellXfs>
  <cellStyles count="14">
    <cellStyle name="Comma [0] 2" xfId="11" xr:uid="{CEF639BF-6B04-4CF8-83CD-5772AD0F00E2}"/>
    <cellStyle name="Comma 2" xfId="3" xr:uid="{66EA3B6F-30FE-41F5-84C4-3B0C70006C31}"/>
    <cellStyle name="Comma 3" xfId="10" xr:uid="{9DDBF04A-5F2A-456A-A77D-7A88271C4327}"/>
    <cellStyle name="Comma 4" xfId="13" xr:uid="{6D04821C-227C-4123-8EAF-F0D998D9229D}"/>
    <cellStyle name="Currency [0] 2" xfId="9" xr:uid="{9F57C790-EDC1-4CFB-9842-60CC8761B0F0}"/>
    <cellStyle name="Currency 2" xfId="8" xr:uid="{C00E1302-50A9-41D3-AF9F-F7977FD7E176}"/>
    <cellStyle name="Currency 3" xfId="12" xr:uid="{F2642E2D-CD52-44E4-9277-00142672726A}"/>
    <cellStyle name="Hyperlink" xfId="4" builtinId="8"/>
    <cellStyle name="Normal" xfId="0" builtinId="0"/>
    <cellStyle name="Normal 156" xfId="2" xr:uid="{6EA6906B-A641-4241-A8AC-CFE6731C02C7}"/>
    <cellStyle name="Normal 2" xfId="1" xr:uid="{CE51666F-2523-4E6A-8129-BFA885866DB7}"/>
    <cellStyle name="Normal 3" xfId="5" xr:uid="{B1BD88C5-E7F2-401E-9AD2-C4961B1592D4}"/>
    <cellStyle name="Normal 4" xfId="6" xr:uid="{69A7A953-AF47-4A27-B874-0B7B72201D46}"/>
    <cellStyle name="Percent 2" xfId="7" xr:uid="{878BFD84-8F9C-4363-AD7B-FC0C70582C86}"/>
  </cellStyles>
  <dxfs count="0"/>
  <tableStyles count="0" defaultTableStyle="TableStyleMedium2" defaultPivotStyle="PivotStyleLight16"/>
  <colors>
    <mruColors>
      <color rgb="FFFFFFE1"/>
      <color rgb="FFF1F7FD"/>
      <color rgb="FFEEF5FC"/>
      <color rgb="FFE9F2FB"/>
      <color rgb="FFF7F7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0</xdr:colOff>
      <xdr:row>23</xdr:row>
      <xdr:rowOff>0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5DDF72BA-59FE-FFF4-4F54-AFD74185B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7315200" cy="4162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136072</xdr:rowOff>
    </xdr:from>
    <xdr:to>
      <xdr:col>1</xdr:col>
      <xdr:colOff>1543759</xdr:colOff>
      <xdr:row>6</xdr:row>
      <xdr:rowOff>90714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7CA9AEC-9EDE-FC3B-D37E-9689385D70D2}"/>
            </a:ext>
          </a:extLst>
        </xdr:cNvPr>
        <xdr:cNvSpPr/>
      </xdr:nvSpPr>
      <xdr:spPr>
        <a:xfrm>
          <a:off x="235857" y="462643"/>
          <a:ext cx="1543759" cy="535214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GICS Sectors</a:t>
          </a:r>
          <a:endParaRPr lang="en-AE" sz="1100" kern="120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0</xdr:colOff>
      <xdr:row>7</xdr:row>
      <xdr:rowOff>61232</xdr:rowOff>
    </xdr:from>
    <xdr:to>
      <xdr:col>1</xdr:col>
      <xdr:colOff>1543759</xdr:colOff>
      <xdr:row>11</xdr:row>
      <xdr:rowOff>15875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6B667176-35B0-458F-0CE8-06FCEE609A1B}"/>
            </a:ext>
          </a:extLst>
        </xdr:cNvPr>
        <xdr:cNvSpPr/>
      </xdr:nvSpPr>
      <xdr:spPr>
        <a:xfrm>
          <a:off x="235857" y="1113518"/>
          <a:ext cx="1543759" cy="535214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Sectorial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Mapping</a:t>
          </a:r>
          <a:endParaRPr kumimoji="0" lang="en-AE" sz="1100" b="0" i="0" u="none" strike="noStrike" kern="1200" cap="none" spc="0" normalizeH="0" baseline="0" noProof="0">
            <a:ln>
              <a:noFill/>
            </a:ln>
            <a:solidFill>
              <a:srgbClr val="000000"/>
            </a:solidFill>
            <a:effectLst/>
            <a:uLnTx/>
            <a:uFillTx/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0</xdr:colOff>
      <xdr:row>11</xdr:row>
      <xdr:rowOff>131536</xdr:rowOff>
    </xdr:from>
    <xdr:to>
      <xdr:col>1</xdr:col>
      <xdr:colOff>1543759</xdr:colOff>
      <xdr:row>15</xdr:row>
      <xdr:rowOff>86178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9FEE30D7-65C6-AC4F-C619-B2DC29F93BB2}"/>
            </a:ext>
          </a:extLst>
        </xdr:cNvPr>
        <xdr:cNvSpPr/>
      </xdr:nvSpPr>
      <xdr:spPr>
        <a:xfrm>
          <a:off x="235857" y="1764393"/>
          <a:ext cx="1543759" cy="535214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AE" sz="11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Global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AE" sz="11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Enterprise Data</a:t>
          </a:r>
        </a:p>
      </xdr:txBody>
    </xdr:sp>
    <xdr:clientData/>
  </xdr:twoCellAnchor>
  <xdr:twoCellAnchor>
    <xdr:from>
      <xdr:col>1</xdr:col>
      <xdr:colOff>0</xdr:colOff>
      <xdr:row>16</xdr:row>
      <xdr:rowOff>56697</xdr:rowOff>
    </xdr:from>
    <xdr:to>
      <xdr:col>1</xdr:col>
      <xdr:colOff>1543759</xdr:colOff>
      <xdr:row>20</xdr:row>
      <xdr:rowOff>11339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1536D9CC-0CEF-43B1-ACF2-28DA72391383}"/>
            </a:ext>
          </a:extLst>
        </xdr:cNvPr>
        <xdr:cNvSpPr/>
      </xdr:nvSpPr>
      <xdr:spPr>
        <a:xfrm>
          <a:off x="235857" y="2415268"/>
          <a:ext cx="1543759" cy="535214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AE" sz="11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UK and EU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AE" sz="11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SME Data</a:t>
          </a:r>
          <a:endParaRPr lang="en-AE" sz="1100" kern="1200">
            <a:solidFill>
              <a:srgbClr val="000000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0</xdr:colOff>
      <xdr:row>20</xdr:row>
      <xdr:rowOff>127000</xdr:rowOff>
    </xdr:from>
    <xdr:to>
      <xdr:col>1</xdr:col>
      <xdr:colOff>1543759</xdr:colOff>
      <xdr:row>24</xdr:row>
      <xdr:rowOff>81643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27BCFF8F-5B7B-7F49-47B9-C6914BE372C4}"/>
            </a:ext>
          </a:extLst>
        </xdr:cNvPr>
        <xdr:cNvSpPr/>
      </xdr:nvSpPr>
      <xdr:spPr>
        <a:xfrm>
          <a:off x="235857" y="3066143"/>
          <a:ext cx="1543759" cy="535214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AE" sz="1100" kern="1200">
              <a:solidFill>
                <a:sysClr val="windowText" lastClr="000000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USA SME Data</a:t>
          </a:r>
          <a:endParaRPr lang="en-AE" sz="1100">
            <a:solidFill>
              <a:sysClr val="windowText" lastClr="000000"/>
            </a:solidFill>
            <a:effectLst/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1765317</xdr:colOff>
      <xdr:row>2</xdr:row>
      <xdr:rowOff>136071</xdr:rowOff>
    </xdr:from>
    <xdr:to>
      <xdr:col>3</xdr:col>
      <xdr:colOff>188504</xdr:colOff>
      <xdr:row>13</xdr:row>
      <xdr:rowOff>44848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44103C59-50B7-9BC9-6A29-093E2198F38F}"/>
            </a:ext>
          </a:extLst>
        </xdr:cNvPr>
        <xdr:cNvSpPr/>
      </xdr:nvSpPr>
      <xdr:spPr>
        <a:xfrm>
          <a:off x="2001174" y="462642"/>
          <a:ext cx="1543759" cy="1505349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AE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Market </a:t>
          </a:r>
        </a:p>
        <a:p>
          <a:pPr algn="l"/>
          <a:r>
            <a:rPr lang="en-AE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Sizing</a:t>
          </a:r>
        </a:p>
      </xdr:txBody>
    </xdr:sp>
    <xdr:clientData/>
  </xdr:twoCellAnchor>
  <xdr:twoCellAnchor>
    <xdr:from>
      <xdr:col>3</xdr:col>
      <xdr:colOff>410062</xdr:colOff>
      <xdr:row>2</xdr:row>
      <xdr:rowOff>136072</xdr:rowOff>
    </xdr:from>
    <xdr:to>
      <xdr:col>3</xdr:col>
      <xdr:colOff>1953821</xdr:colOff>
      <xdr:row>6</xdr:row>
      <xdr:rowOff>90714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A8DAEECC-9E5C-9E03-E2C7-07B0FC88A796}"/>
            </a:ext>
          </a:extLst>
        </xdr:cNvPr>
        <xdr:cNvSpPr/>
      </xdr:nvSpPr>
      <xdr:spPr>
        <a:xfrm>
          <a:off x="3766491" y="462643"/>
          <a:ext cx="1543759" cy="535214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AE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Doojo Revenue</a:t>
          </a:r>
        </a:p>
      </xdr:txBody>
    </xdr:sp>
    <xdr:clientData/>
  </xdr:twoCellAnchor>
  <xdr:twoCellAnchor>
    <xdr:from>
      <xdr:col>3</xdr:col>
      <xdr:colOff>410062</xdr:colOff>
      <xdr:row>7</xdr:row>
      <xdr:rowOff>61232</xdr:rowOff>
    </xdr:from>
    <xdr:to>
      <xdr:col>3</xdr:col>
      <xdr:colOff>1953821</xdr:colOff>
      <xdr:row>11</xdr:row>
      <xdr:rowOff>15875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C46F27F1-6052-D5CD-66A8-CD4818DFD462}"/>
            </a:ext>
          </a:extLst>
        </xdr:cNvPr>
        <xdr:cNvSpPr/>
      </xdr:nvSpPr>
      <xdr:spPr>
        <a:xfrm>
          <a:off x="3766491" y="1113518"/>
          <a:ext cx="1543759" cy="535214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AE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Doojo Cost</a:t>
          </a:r>
        </a:p>
      </xdr:txBody>
    </xdr:sp>
    <xdr:clientData/>
  </xdr:twoCellAnchor>
  <xdr:twoCellAnchor>
    <xdr:from>
      <xdr:col>3</xdr:col>
      <xdr:colOff>410062</xdr:colOff>
      <xdr:row>11</xdr:row>
      <xdr:rowOff>131536</xdr:rowOff>
    </xdr:from>
    <xdr:to>
      <xdr:col>3</xdr:col>
      <xdr:colOff>1953821</xdr:colOff>
      <xdr:row>15</xdr:row>
      <xdr:rowOff>86178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DF72736D-E866-7FD4-7C3D-36A653F248C0}"/>
            </a:ext>
          </a:extLst>
        </xdr:cNvPr>
        <xdr:cNvSpPr/>
      </xdr:nvSpPr>
      <xdr:spPr>
        <a:xfrm>
          <a:off x="3766491" y="1764393"/>
          <a:ext cx="1543759" cy="535214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AE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Doojo Staff</a:t>
          </a:r>
        </a:p>
      </xdr:txBody>
    </xdr:sp>
    <xdr:clientData/>
  </xdr:twoCellAnchor>
  <xdr:twoCellAnchor>
    <xdr:from>
      <xdr:col>3</xdr:col>
      <xdr:colOff>410062</xdr:colOff>
      <xdr:row>16</xdr:row>
      <xdr:rowOff>56697</xdr:rowOff>
    </xdr:from>
    <xdr:to>
      <xdr:col>3</xdr:col>
      <xdr:colOff>1953821</xdr:colOff>
      <xdr:row>20</xdr:row>
      <xdr:rowOff>11339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9EB07ED2-EB2C-DB40-1B6F-B9CEDC583E3F}"/>
            </a:ext>
          </a:extLst>
        </xdr:cNvPr>
        <xdr:cNvSpPr/>
      </xdr:nvSpPr>
      <xdr:spPr>
        <a:xfrm>
          <a:off x="3766491" y="2415268"/>
          <a:ext cx="1543759" cy="535214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AE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Doojo CapEx</a:t>
          </a:r>
        </a:p>
      </xdr:txBody>
    </xdr:sp>
    <xdr:clientData/>
  </xdr:twoCellAnchor>
  <xdr:twoCellAnchor>
    <xdr:from>
      <xdr:col>3</xdr:col>
      <xdr:colOff>410062</xdr:colOff>
      <xdr:row>20</xdr:row>
      <xdr:rowOff>127000</xdr:rowOff>
    </xdr:from>
    <xdr:to>
      <xdr:col>3</xdr:col>
      <xdr:colOff>1953821</xdr:colOff>
      <xdr:row>24</xdr:row>
      <xdr:rowOff>81643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29BDE8B5-8533-179B-E9B2-67C44EE178C8}"/>
            </a:ext>
          </a:extLst>
        </xdr:cNvPr>
        <xdr:cNvSpPr/>
      </xdr:nvSpPr>
      <xdr:spPr>
        <a:xfrm>
          <a:off x="3766491" y="3066143"/>
          <a:ext cx="1543759" cy="535214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AE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Doojo D&amp;A</a:t>
          </a:r>
        </a:p>
      </xdr:txBody>
    </xdr:sp>
    <xdr:clientData/>
  </xdr:twoCellAnchor>
  <xdr:twoCellAnchor>
    <xdr:from>
      <xdr:col>3</xdr:col>
      <xdr:colOff>2175379</xdr:colOff>
      <xdr:row>2</xdr:row>
      <xdr:rowOff>136071</xdr:rowOff>
    </xdr:from>
    <xdr:to>
      <xdr:col>3</xdr:col>
      <xdr:colOff>3719138</xdr:colOff>
      <xdr:row>9</xdr:row>
      <xdr:rowOff>34560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CC34CD0D-8C96-2EA8-A658-4D4D3E1FE09E}"/>
            </a:ext>
          </a:extLst>
        </xdr:cNvPr>
        <xdr:cNvSpPr/>
      </xdr:nvSpPr>
      <xdr:spPr>
        <a:xfrm>
          <a:off x="5531808" y="462642"/>
          <a:ext cx="1543759" cy="914489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AE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Doojo PnL</a:t>
          </a:r>
        </a:p>
      </xdr:txBody>
    </xdr:sp>
    <xdr:clientData/>
  </xdr:twoCellAnchor>
  <xdr:twoCellAnchor>
    <xdr:from>
      <xdr:col>3</xdr:col>
      <xdr:colOff>2175379</xdr:colOff>
      <xdr:row>10</xdr:row>
      <xdr:rowOff>87040</xdr:rowOff>
    </xdr:from>
    <xdr:to>
      <xdr:col>3</xdr:col>
      <xdr:colOff>3719138</xdr:colOff>
      <xdr:row>16</xdr:row>
      <xdr:rowOff>130672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2DFD6A10-0EA5-A78C-D2A8-3ED3B0F4A1D5}"/>
            </a:ext>
          </a:extLst>
        </xdr:cNvPr>
        <xdr:cNvSpPr/>
      </xdr:nvSpPr>
      <xdr:spPr>
        <a:xfrm>
          <a:off x="5531808" y="1574754"/>
          <a:ext cx="1543759" cy="914489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AE" sz="11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Doojo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AE" sz="11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Balance Sheet</a:t>
          </a:r>
        </a:p>
      </xdr:txBody>
    </xdr:sp>
    <xdr:clientData/>
  </xdr:twoCellAnchor>
  <xdr:twoCellAnchor>
    <xdr:from>
      <xdr:col>3</xdr:col>
      <xdr:colOff>2175379</xdr:colOff>
      <xdr:row>18</xdr:row>
      <xdr:rowOff>38009</xdr:rowOff>
    </xdr:from>
    <xdr:to>
      <xdr:col>3</xdr:col>
      <xdr:colOff>3719138</xdr:colOff>
      <xdr:row>24</xdr:row>
      <xdr:rowOff>81641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45E60A99-2035-42C0-3B29-5777D6998F45}"/>
            </a:ext>
          </a:extLst>
        </xdr:cNvPr>
        <xdr:cNvSpPr/>
      </xdr:nvSpPr>
      <xdr:spPr>
        <a:xfrm>
          <a:off x="5531808" y="2686866"/>
          <a:ext cx="1543759" cy="914489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AE" sz="1100" b="0" i="0" u="none" strike="noStrike" kern="1200" cap="none" spc="0" normalizeH="0" baseline="0" noProof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Doojo Cashflow Statement</a:t>
          </a:r>
        </a:p>
      </xdr:txBody>
    </xdr:sp>
    <xdr:clientData/>
  </xdr:twoCellAnchor>
  <xdr:twoCellAnchor>
    <xdr:from>
      <xdr:col>1</xdr:col>
      <xdr:colOff>1765317</xdr:colOff>
      <xdr:row>14</xdr:row>
      <xdr:rowOff>27724</xdr:rowOff>
    </xdr:from>
    <xdr:to>
      <xdr:col>3</xdr:col>
      <xdr:colOff>188504</xdr:colOff>
      <xdr:row>24</xdr:row>
      <xdr:rowOff>81645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39531DF4-3855-1524-2300-C55A2405AC26}"/>
            </a:ext>
          </a:extLst>
        </xdr:cNvPr>
        <xdr:cNvSpPr/>
      </xdr:nvSpPr>
      <xdr:spPr>
        <a:xfrm>
          <a:off x="2001174" y="2096010"/>
          <a:ext cx="1543759" cy="1505349"/>
        </a:xfrm>
        <a:prstGeom prst="rect">
          <a:avLst/>
        </a:prstGeom>
        <a:solidFill>
          <a:srgbClr val="55ABFF">
            <a:lumMod val="60000"/>
            <a:lumOff val="40000"/>
          </a:srgbClr>
        </a:solidFill>
        <a:ln w="9525" cap="flat" cmpd="sng" algn="ctr">
          <a:noFill/>
          <a:prstDash val="solid"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AE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Doojo </a:t>
          </a:r>
        </a:p>
        <a:p>
          <a:pPr algn="l"/>
          <a:r>
            <a:rPr lang="en-AE" sz="1100" kern="1200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User Base</a:t>
          </a:r>
        </a:p>
      </xdr:txBody>
    </xdr:sp>
    <xdr:clientData/>
  </xdr:twoCellAnchor>
  <xdr:twoCellAnchor>
    <xdr:from>
      <xdr:col>1</xdr:col>
      <xdr:colOff>1543759</xdr:colOff>
      <xdr:row>4</xdr:row>
      <xdr:rowOff>113393</xdr:rowOff>
    </xdr:from>
    <xdr:to>
      <xdr:col>1</xdr:col>
      <xdr:colOff>1765317</xdr:colOff>
      <xdr:row>8</xdr:row>
      <xdr:rowOff>17888</xdr:rowOff>
    </xdr:to>
    <xdr:cxnSp macro="">
      <xdr:nvCxnSpPr>
        <xdr:cNvPr id="61" name="Connector: Elbow 60">
          <a:extLst>
            <a:ext uri="{FF2B5EF4-FFF2-40B4-BE49-F238E27FC236}">
              <a16:creationId xmlns:a16="http://schemas.microsoft.com/office/drawing/2014/main" id="{D493480A-1489-7376-6DBA-E16805D15FB4}"/>
            </a:ext>
          </a:extLst>
        </xdr:cNvPr>
        <xdr:cNvCxnSpPr>
          <a:stCxn id="44" idx="3"/>
          <a:endCxn id="49" idx="1"/>
        </xdr:cNvCxnSpPr>
      </xdr:nvCxnSpPr>
      <xdr:spPr>
        <a:xfrm>
          <a:off x="1779616" y="730250"/>
          <a:ext cx="221558" cy="485067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1543759</xdr:colOff>
      <xdr:row>8</xdr:row>
      <xdr:rowOff>17888</xdr:rowOff>
    </xdr:from>
    <xdr:to>
      <xdr:col>1</xdr:col>
      <xdr:colOff>1765317</xdr:colOff>
      <xdr:row>9</xdr:row>
      <xdr:rowOff>38554</xdr:rowOff>
    </xdr:to>
    <xdr:cxnSp macro="">
      <xdr:nvCxnSpPr>
        <xdr:cNvPr id="62" name="Connector: Elbow 61">
          <a:extLst>
            <a:ext uri="{FF2B5EF4-FFF2-40B4-BE49-F238E27FC236}">
              <a16:creationId xmlns:a16="http://schemas.microsoft.com/office/drawing/2014/main" id="{13CC9C51-503D-38D5-AFBE-56A0BB2B5355}"/>
            </a:ext>
          </a:extLst>
        </xdr:cNvPr>
        <xdr:cNvCxnSpPr>
          <a:stCxn id="45" idx="3"/>
          <a:endCxn id="49" idx="1"/>
        </xdr:cNvCxnSpPr>
      </xdr:nvCxnSpPr>
      <xdr:spPr>
        <a:xfrm flipV="1">
          <a:off x="1779616" y="1215317"/>
          <a:ext cx="221558" cy="165808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1543759</xdr:colOff>
      <xdr:row>8</xdr:row>
      <xdr:rowOff>17888</xdr:rowOff>
    </xdr:from>
    <xdr:to>
      <xdr:col>1</xdr:col>
      <xdr:colOff>1765317</xdr:colOff>
      <xdr:row>13</xdr:row>
      <xdr:rowOff>108857</xdr:rowOff>
    </xdr:to>
    <xdr:cxnSp macro="">
      <xdr:nvCxnSpPr>
        <xdr:cNvPr id="65" name="Connector: Elbow 64">
          <a:extLst>
            <a:ext uri="{FF2B5EF4-FFF2-40B4-BE49-F238E27FC236}">
              <a16:creationId xmlns:a16="http://schemas.microsoft.com/office/drawing/2014/main" id="{35C1B383-4230-A7B9-B7C7-AD2DD0C002FB}"/>
            </a:ext>
          </a:extLst>
        </xdr:cNvPr>
        <xdr:cNvCxnSpPr>
          <a:stCxn id="46" idx="3"/>
          <a:endCxn id="49" idx="1"/>
        </xdr:cNvCxnSpPr>
      </xdr:nvCxnSpPr>
      <xdr:spPr>
        <a:xfrm flipV="1">
          <a:off x="1779616" y="1215317"/>
          <a:ext cx="221558" cy="81668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1543759</xdr:colOff>
      <xdr:row>8</xdr:row>
      <xdr:rowOff>17888</xdr:rowOff>
    </xdr:from>
    <xdr:to>
      <xdr:col>1</xdr:col>
      <xdr:colOff>1765317</xdr:colOff>
      <xdr:row>18</xdr:row>
      <xdr:rowOff>34018</xdr:rowOff>
    </xdr:to>
    <xdr:cxnSp macro="">
      <xdr:nvCxnSpPr>
        <xdr:cNvPr id="68" name="Connector: Elbow 67">
          <a:extLst>
            <a:ext uri="{FF2B5EF4-FFF2-40B4-BE49-F238E27FC236}">
              <a16:creationId xmlns:a16="http://schemas.microsoft.com/office/drawing/2014/main" id="{07D58B81-B417-17F0-2712-449F070F0545}"/>
            </a:ext>
          </a:extLst>
        </xdr:cNvPr>
        <xdr:cNvCxnSpPr>
          <a:stCxn id="47" idx="3"/>
          <a:endCxn id="49" idx="1"/>
        </xdr:cNvCxnSpPr>
      </xdr:nvCxnSpPr>
      <xdr:spPr>
        <a:xfrm flipV="1">
          <a:off x="1779616" y="1215317"/>
          <a:ext cx="221558" cy="146755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1543759</xdr:colOff>
      <xdr:row>8</xdr:row>
      <xdr:rowOff>17888</xdr:rowOff>
    </xdr:from>
    <xdr:to>
      <xdr:col>1</xdr:col>
      <xdr:colOff>1765317</xdr:colOff>
      <xdr:row>22</xdr:row>
      <xdr:rowOff>104321</xdr:rowOff>
    </xdr:to>
    <xdr:cxnSp macro="">
      <xdr:nvCxnSpPr>
        <xdr:cNvPr id="71" name="Connector: Elbow 70">
          <a:extLst>
            <a:ext uri="{FF2B5EF4-FFF2-40B4-BE49-F238E27FC236}">
              <a16:creationId xmlns:a16="http://schemas.microsoft.com/office/drawing/2014/main" id="{AB64EADA-703F-CB08-7BB8-84092ACF4EFC}"/>
            </a:ext>
          </a:extLst>
        </xdr:cNvPr>
        <xdr:cNvCxnSpPr>
          <a:stCxn id="48" idx="3"/>
          <a:endCxn id="49" idx="1"/>
        </xdr:cNvCxnSpPr>
      </xdr:nvCxnSpPr>
      <xdr:spPr>
        <a:xfrm flipV="1">
          <a:off x="1779616" y="1215317"/>
          <a:ext cx="221558" cy="211843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1543759</xdr:colOff>
      <xdr:row>4</xdr:row>
      <xdr:rowOff>113393</xdr:rowOff>
    </xdr:from>
    <xdr:to>
      <xdr:col>1</xdr:col>
      <xdr:colOff>1765317</xdr:colOff>
      <xdr:row>19</xdr:row>
      <xdr:rowOff>54685</xdr:rowOff>
    </xdr:to>
    <xdr:cxnSp macro="">
      <xdr:nvCxnSpPr>
        <xdr:cNvPr id="74" name="Connector: Elbow 73">
          <a:extLst>
            <a:ext uri="{FF2B5EF4-FFF2-40B4-BE49-F238E27FC236}">
              <a16:creationId xmlns:a16="http://schemas.microsoft.com/office/drawing/2014/main" id="{4B53077E-16C1-E5F6-A4AF-28D521DBF162}"/>
            </a:ext>
          </a:extLst>
        </xdr:cNvPr>
        <xdr:cNvCxnSpPr>
          <a:stCxn id="44" idx="3"/>
          <a:endCxn id="56" idx="1"/>
        </xdr:cNvCxnSpPr>
      </xdr:nvCxnSpPr>
      <xdr:spPr>
        <a:xfrm>
          <a:off x="1779616" y="730250"/>
          <a:ext cx="221558" cy="211843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188504</xdr:colOff>
      <xdr:row>4</xdr:row>
      <xdr:rowOff>113393</xdr:rowOff>
    </xdr:from>
    <xdr:to>
      <xdr:col>3</xdr:col>
      <xdr:colOff>410062</xdr:colOff>
      <xdr:row>8</xdr:row>
      <xdr:rowOff>17888</xdr:rowOff>
    </xdr:to>
    <xdr:cxnSp macro="">
      <xdr:nvCxnSpPr>
        <xdr:cNvPr id="78" name="Connector: Elbow 77">
          <a:extLst>
            <a:ext uri="{FF2B5EF4-FFF2-40B4-BE49-F238E27FC236}">
              <a16:creationId xmlns:a16="http://schemas.microsoft.com/office/drawing/2014/main" id="{E201E355-3CE3-A6A8-6092-84301AD4B77D}"/>
            </a:ext>
          </a:extLst>
        </xdr:cNvPr>
        <xdr:cNvCxnSpPr>
          <a:stCxn id="49" idx="3"/>
          <a:endCxn id="50" idx="1"/>
        </xdr:cNvCxnSpPr>
      </xdr:nvCxnSpPr>
      <xdr:spPr>
        <a:xfrm flipV="1">
          <a:off x="3544933" y="730250"/>
          <a:ext cx="221558" cy="485067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188504</xdr:colOff>
      <xdr:row>8</xdr:row>
      <xdr:rowOff>17888</xdr:rowOff>
    </xdr:from>
    <xdr:to>
      <xdr:col>3</xdr:col>
      <xdr:colOff>410062</xdr:colOff>
      <xdr:row>9</xdr:row>
      <xdr:rowOff>38554</xdr:rowOff>
    </xdr:to>
    <xdr:cxnSp macro="">
      <xdr:nvCxnSpPr>
        <xdr:cNvPr id="79" name="Connector: Elbow 78">
          <a:extLst>
            <a:ext uri="{FF2B5EF4-FFF2-40B4-BE49-F238E27FC236}">
              <a16:creationId xmlns:a16="http://schemas.microsoft.com/office/drawing/2014/main" id="{28B89D22-E871-DABC-9B7A-07DB9B5B9D55}"/>
            </a:ext>
          </a:extLst>
        </xdr:cNvPr>
        <xdr:cNvCxnSpPr>
          <a:stCxn id="49" idx="3"/>
          <a:endCxn id="51" idx="1"/>
        </xdr:cNvCxnSpPr>
      </xdr:nvCxnSpPr>
      <xdr:spPr>
        <a:xfrm>
          <a:off x="3544933" y="1215317"/>
          <a:ext cx="221558" cy="165808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1953821</xdr:colOff>
      <xdr:row>4</xdr:row>
      <xdr:rowOff>113393</xdr:rowOff>
    </xdr:from>
    <xdr:to>
      <xdr:col>3</xdr:col>
      <xdr:colOff>2175379</xdr:colOff>
      <xdr:row>13</xdr:row>
      <xdr:rowOff>108856</xdr:rowOff>
    </xdr:to>
    <xdr:cxnSp macro="">
      <xdr:nvCxnSpPr>
        <xdr:cNvPr id="96" name="Connector: Elbow 95">
          <a:extLst>
            <a:ext uri="{FF2B5EF4-FFF2-40B4-BE49-F238E27FC236}">
              <a16:creationId xmlns:a16="http://schemas.microsoft.com/office/drawing/2014/main" id="{375DF83C-BAAA-60F0-3213-B8EA9B3EC4CB}"/>
            </a:ext>
          </a:extLst>
        </xdr:cNvPr>
        <xdr:cNvCxnSpPr>
          <a:stCxn id="50" idx="3"/>
          <a:endCxn id="58" idx="1"/>
        </xdr:cNvCxnSpPr>
      </xdr:nvCxnSpPr>
      <xdr:spPr>
        <a:xfrm>
          <a:off x="5310250" y="730250"/>
          <a:ext cx="221558" cy="1301749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1953821</xdr:colOff>
      <xdr:row>4</xdr:row>
      <xdr:rowOff>113393</xdr:rowOff>
    </xdr:from>
    <xdr:to>
      <xdr:col>3</xdr:col>
      <xdr:colOff>2175379</xdr:colOff>
      <xdr:row>6</xdr:row>
      <xdr:rowOff>12744</xdr:rowOff>
    </xdr:to>
    <xdr:cxnSp macro="">
      <xdr:nvCxnSpPr>
        <xdr:cNvPr id="99" name="Connector: Elbow 98">
          <a:extLst>
            <a:ext uri="{FF2B5EF4-FFF2-40B4-BE49-F238E27FC236}">
              <a16:creationId xmlns:a16="http://schemas.microsoft.com/office/drawing/2014/main" id="{E464AA4E-265F-04E0-0FE8-3D9A2CD43B9B}"/>
            </a:ext>
          </a:extLst>
        </xdr:cNvPr>
        <xdr:cNvCxnSpPr>
          <a:stCxn id="50" idx="3"/>
          <a:endCxn id="57" idx="1"/>
        </xdr:cNvCxnSpPr>
      </xdr:nvCxnSpPr>
      <xdr:spPr>
        <a:xfrm>
          <a:off x="5310250" y="730250"/>
          <a:ext cx="221558" cy="189637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1953821</xdr:colOff>
      <xdr:row>6</xdr:row>
      <xdr:rowOff>12744</xdr:rowOff>
    </xdr:from>
    <xdr:to>
      <xdr:col>3</xdr:col>
      <xdr:colOff>2175379</xdr:colOff>
      <xdr:row>9</xdr:row>
      <xdr:rowOff>38554</xdr:rowOff>
    </xdr:to>
    <xdr:cxnSp macro="">
      <xdr:nvCxnSpPr>
        <xdr:cNvPr id="102" name="Connector: Elbow 101">
          <a:extLst>
            <a:ext uri="{FF2B5EF4-FFF2-40B4-BE49-F238E27FC236}">
              <a16:creationId xmlns:a16="http://schemas.microsoft.com/office/drawing/2014/main" id="{FC381B88-84E7-6AC0-11A8-24B5D113E53E}"/>
            </a:ext>
          </a:extLst>
        </xdr:cNvPr>
        <xdr:cNvCxnSpPr>
          <a:stCxn id="51" idx="3"/>
          <a:endCxn id="57" idx="1"/>
        </xdr:cNvCxnSpPr>
      </xdr:nvCxnSpPr>
      <xdr:spPr>
        <a:xfrm flipV="1">
          <a:off x="5310250" y="919887"/>
          <a:ext cx="221558" cy="46123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1953821</xdr:colOff>
      <xdr:row>6</xdr:row>
      <xdr:rowOff>12744</xdr:rowOff>
    </xdr:from>
    <xdr:to>
      <xdr:col>3</xdr:col>
      <xdr:colOff>2175379</xdr:colOff>
      <xdr:row>13</xdr:row>
      <xdr:rowOff>108857</xdr:rowOff>
    </xdr:to>
    <xdr:cxnSp macro="">
      <xdr:nvCxnSpPr>
        <xdr:cNvPr id="105" name="Connector: Elbow 104">
          <a:extLst>
            <a:ext uri="{FF2B5EF4-FFF2-40B4-BE49-F238E27FC236}">
              <a16:creationId xmlns:a16="http://schemas.microsoft.com/office/drawing/2014/main" id="{3F341605-CCAD-6B1E-27E1-A9DF2B2078A7}"/>
            </a:ext>
          </a:extLst>
        </xdr:cNvPr>
        <xdr:cNvCxnSpPr>
          <a:stCxn id="52" idx="3"/>
          <a:endCxn id="57" idx="1"/>
        </xdr:cNvCxnSpPr>
      </xdr:nvCxnSpPr>
      <xdr:spPr>
        <a:xfrm flipV="1">
          <a:off x="5310250" y="919887"/>
          <a:ext cx="221558" cy="11121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1953821</xdr:colOff>
      <xdr:row>18</xdr:row>
      <xdr:rowOff>34018</xdr:rowOff>
    </xdr:from>
    <xdr:to>
      <xdr:col>3</xdr:col>
      <xdr:colOff>2175379</xdr:colOff>
      <xdr:row>21</xdr:row>
      <xdr:rowOff>59825</xdr:rowOff>
    </xdr:to>
    <xdr:cxnSp macro="">
      <xdr:nvCxnSpPr>
        <xdr:cNvPr id="108" name="Connector: Elbow 107">
          <a:extLst>
            <a:ext uri="{FF2B5EF4-FFF2-40B4-BE49-F238E27FC236}">
              <a16:creationId xmlns:a16="http://schemas.microsoft.com/office/drawing/2014/main" id="{A87BDCAF-E7E3-AD0E-D5CB-59D190C64C4A}"/>
            </a:ext>
          </a:extLst>
        </xdr:cNvPr>
        <xdr:cNvCxnSpPr>
          <a:stCxn id="53" idx="3"/>
          <a:endCxn id="59" idx="1"/>
        </xdr:cNvCxnSpPr>
      </xdr:nvCxnSpPr>
      <xdr:spPr>
        <a:xfrm>
          <a:off x="5310250" y="2682875"/>
          <a:ext cx="221558" cy="46123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1953821</xdr:colOff>
      <xdr:row>26</xdr:row>
      <xdr:rowOff>0</xdr:rowOff>
    </xdr:from>
    <xdr:to>
      <xdr:col>3</xdr:col>
      <xdr:colOff>2175379</xdr:colOff>
      <xdr:row>26</xdr:row>
      <xdr:rowOff>0</xdr:rowOff>
    </xdr:to>
    <xdr:cxnSp macro="">
      <xdr:nvCxnSpPr>
        <xdr:cNvPr id="111" name="Connector: Elbow 110">
          <a:extLst>
            <a:ext uri="{FF2B5EF4-FFF2-40B4-BE49-F238E27FC236}">
              <a16:creationId xmlns:a16="http://schemas.microsoft.com/office/drawing/2014/main" id="{3908EE7F-3A22-B934-2FE7-801723A85CC2}"/>
            </a:ext>
          </a:extLst>
        </xdr:cNvPr>
        <xdr:cNvCxnSpPr/>
      </xdr:nvCxnSpPr>
      <xdr:spPr>
        <a:xfrm>
          <a:off x="5310250" y="3810000"/>
          <a:ext cx="221558" cy="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1953821</xdr:colOff>
      <xdr:row>21</xdr:row>
      <xdr:rowOff>59825</xdr:rowOff>
    </xdr:from>
    <xdr:to>
      <xdr:col>3</xdr:col>
      <xdr:colOff>2175379</xdr:colOff>
      <xdr:row>22</xdr:row>
      <xdr:rowOff>104321</xdr:rowOff>
    </xdr:to>
    <xdr:cxnSp macro="">
      <xdr:nvCxnSpPr>
        <xdr:cNvPr id="112" name="Connector: Elbow 111">
          <a:extLst>
            <a:ext uri="{FF2B5EF4-FFF2-40B4-BE49-F238E27FC236}">
              <a16:creationId xmlns:a16="http://schemas.microsoft.com/office/drawing/2014/main" id="{A4218B26-72F8-3D43-29B9-8EBDFA3F16E6}"/>
            </a:ext>
          </a:extLst>
        </xdr:cNvPr>
        <xdr:cNvCxnSpPr>
          <a:stCxn id="54" idx="3"/>
          <a:endCxn id="59" idx="1"/>
        </xdr:cNvCxnSpPr>
      </xdr:nvCxnSpPr>
      <xdr:spPr>
        <a:xfrm flipV="1">
          <a:off x="5310250" y="3144111"/>
          <a:ext cx="221558" cy="189639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1953821</xdr:colOff>
      <xdr:row>13</xdr:row>
      <xdr:rowOff>108856</xdr:rowOff>
    </xdr:from>
    <xdr:to>
      <xdr:col>3</xdr:col>
      <xdr:colOff>2175379</xdr:colOff>
      <xdr:row>22</xdr:row>
      <xdr:rowOff>104321</xdr:rowOff>
    </xdr:to>
    <xdr:cxnSp macro="">
      <xdr:nvCxnSpPr>
        <xdr:cNvPr id="115" name="Connector: Elbow 114">
          <a:extLst>
            <a:ext uri="{FF2B5EF4-FFF2-40B4-BE49-F238E27FC236}">
              <a16:creationId xmlns:a16="http://schemas.microsoft.com/office/drawing/2014/main" id="{A23B7E47-8525-9345-06FF-75F7BFA4C2F2}"/>
            </a:ext>
          </a:extLst>
        </xdr:cNvPr>
        <xdr:cNvCxnSpPr>
          <a:stCxn id="54" idx="3"/>
          <a:endCxn id="58" idx="1"/>
        </xdr:cNvCxnSpPr>
      </xdr:nvCxnSpPr>
      <xdr:spPr>
        <a:xfrm flipV="1">
          <a:off x="5310250" y="2031999"/>
          <a:ext cx="221558" cy="130175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188504</xdr:colOff>
      <xdr:row>9</xdr:row>
      <xdr:rowOff>38554</xdr:rowOff>
    </xdr:from>
    <xdr:to>
      <xdr:col>3</xdr:col>
      <xdr:colOff>410062</xdr:colOff>
      <xdr:row>19</xdr:row>
      <xdr:rowOff>54685</xdr:rowOff>
    </xdr:to>
    <xdr:cxnSp macro="">
      <xdr:nvCxnSpPr>
        <xdr:cNvPr id="119" name="Connector: Elbow 118">
          <a:extLst>
            <a:ext uri="{FF2B5EF4-FFF2-40B4-BE49-F238E27FC236}">
              <a16:creationId xmlns:a16="http://schemas.microsoft.com/office/drawing/2014/main" id="{89520A93-4BFF-FA50-4D12-F0F94D905817}"/>
            </a:ext>
          </a:extLst>
        </xdr:cNvPr>
        <xdr:cNvCxnSpPr>
          <a:stCxn id="56" idx="3"/>
          <a:endCxn id="51" idx="1"/>
        </xdr:cNvCxnSpPr>
      </xdr:nvCxnSpPr>
      <xdr:spPr>
        <a:xfrm flipV="1">
          <a:off x="3539544" y="1371425"/>
          <a:ext cx="221558" cy="1462171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1181942</xdr:colOff>
      <xdr:row>11</xdr:row>
      <xdr:rowOff>15875</xdr:rowOff>
    </xdr:from>
    <xdr:to>
      <xdr:col>3</xdr:col>
      <xdr:colOff>1181942</xdr:colOff>
      <xdr:row>11</xdr:row>
      <xdr:rowOff>131536</xdr:rowOff>
    </xdr:to>
    <xdr:cxnSp macro="">
      <xdr:nvCxnSpPr>
        <xdr:cNvPr id="126" name="Straight Arrow Connector 125">
          <a:extLst>
            <a:ext uri="{FF2B5EF4-FFF2-40B4-BE49-F238E27FC236}">
              <a16:creationId xmlns:a16="http://schemas.microsoft.com/office/drawing/2014/main" id="{055A88AE-4526-2DA4-3268-C8EEAD0C2384}"/>
            </a:ext>
          </a:extLst>
        </xdr:cNvPr>
        <xdr:cNvCxnSpPr>
          <a:stCxn id="52" idx="0"/>
          <a:endCxn id="51" idx="2"/>
        </xdr:cNvCxnSpPr>
      </xdr:nvCxnSpPr>
      <xdr:spPr>
        <a:xfrm flipV="1">
          <a:off x="4532982" y="1637954"/>
          <a:ext cx="0" cy="11566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1181942</xdr:colOff>
      <xdr:row>20</xdr:row>
      <xdr:rowOff>11339</xdr:rowOff>
    </xdr:from>
    <xdr:to>
      <xdr:col>3</xdr:col>
      <xdr:colOff>1181942</xdr:colOff>
      <xdr:row>20</xdr:row>
      <xdr:rowOff>127000</xdr:rowOff>
    </xdr:to>
    <xdr:cxnSp macro="">
      <xdr:nvCxnSpPr>
        <xdr:cNvPr id="127" name="Straight Arrow Connector 126">
          <a:extLst>
            <a:ext uri="{FF2B5EF4-FFF2-40B4-BE49-F238E27FC236}">
              <a16:creationId xmlns:a16="http://schemas.microsoft.com/office/drawing/2014/main" id="{0BE06575-E6CE-D374-B968-46C8FC858619}"/>
            </a:ext>
          </a:extLst>
        </xdr:cNvPr>
        <xdr:cNvCxnSpPr>
          <a:stCxn id="53" idx="2"/>
          <a:endCxn id="54" idx="0"/>
        </xdr:cNvCxnSpPr>
      </xdr:nvCxnSpPr>
      <xdr:spPr>
        <a:xfrm>
          <a:off x="4532982" y="2934854"/>
          <a:ext cx="0" cy="115661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mailto:4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D99E-6CAB-4E92-8C3A-D843019FA124}">
  <dimension ref="A1:L23"/>
  <sheetViews>
    <sheetView showGridLines="0" showRowColHeaders="0" workbookViewId="0">
      <selection activeCell="C28" sqref="C28"/>
    </sheetView>
  </sheetViews>
  <sheetFormatPr defaultColWidth="0" defaultRowHeight="14.5" zeroHeight="1" x14ac:dyDescent="0.35"/>
  <cols>
    <col min="1" max="12" width="8.7265625" customWidth="1"/>
    <col min="13" max="16384" width="8.7265625" hidden="1"/>
  </cols>
  <sheetData>
    <row r="1" x14ac:dyDescent="0.35"/>
    <row r="2" x14ac:dyDescent="0.35"/>
    <row r="3" x14ac:dyDescent="0.35"/>
    <row r="4" x14ac:dyDescent="0.35"/>
    <row r="5" x14ac:dyDescent="0.35"/>
    <row r="6" x14ac:dyDescent="0.35"/>
    <row r="7" x14ac:dyDescent="0.35"/>
    <row r="8" x14ac:dyDescent="0.35"/>
    <row r="9" x14ac:dyDescent="0.35"/>
    <row r="10" x14ac:dyDescent="0.35"/>
    <row r="11" x14ac:dyDescent="0.35"/>
    <row r="12" x14ac:dyDescent="0.35"/>
    <row r="13" x14ac:dyDescent="0.35"/>
    <row r="14" x14ac:dyDescent="0.35"/>
    <row r="15" x14ac:dyDescent="0.35"/>
    <row r="16" x14ac:dyDescent="0.35"/>
    <row r="17" x14ac:dyDescent="0.35"/>
    <row r="18" x14ac:dyDescent="0.35"/>
    <row r="19" x14ac:dyDescent="0.35"/>
    <row r="20" x14ac:dyDescent="0.35"/>
    <row r="21" x14ac:dyDescent="0.35"/>
    <row r="22" x14ac:dyDescent="0.35"/>
    <row r="23" x14ac:dyDescent="0.3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1B464-1C09-4BD1-BEED-300ED58C94A5}">
  <dimension ref="A1:J46"/>
  <sheetViews>
    <sheetView showGridLines="0" zoomScale="70" zoomScaleNormal="70" workbookViewId="0">
      <selection activeCell="C28" sqref="C28"/>
    </sheetView>
  </sheetViews>
  <sheetFormatPr defaultColWidth="0" defaultRowHeight="11.5" zeroHeight="1" x14ac:dyDescent="0.25"/>
  <cols>
    <col min="1" max="1" width="3.36328125" style="198" customWidth="1"/>
    <col min="2" max="2" width="36.36328125" style="198" customWidth="1"/>
    <col min="3" max="3" width="8.26953125" style="198" customWidth="1"/>
    <col min="4" max="4" width="54.36328125" style="198" customWidth="1"/>
    <col min="5" max="8" width="8.26953125" style="198" customWidth="1"/>
    <col min="9" max="9" width="14" style="3" bestFit="1" customWidth="1"/>
    <col min="10" max="10" width="5.36328125" style="3" customWidth="1"/>
    <col min="11" max="16384" width="0" style="3" hidden="1"/>
  </cols>
  <sheetData>
    <row r="1" spans="1:10" s="100" customFormat="1" ht="14" x14ac:dyDescent="0.3">
      <c r="A1" s="8" t="str">
        <f ca="1">MID(CELL("filename",A1),FIND("]",CELL("filename",A1))+1,255)</f>
        <v>TOC</v>
      </c>
      <c r="B1" s="180"/>
      <c r="C1" s="180"/>
      <c r="D1" s="180"/>
      <c r="E1" s="180"/>
      <c r="F1" s="180"/>
      <c r="G1" s="180"/>
      <c r="H1" s="180"/>
    </row>
    <row r="2" spans="1:10" s="100" customFormat="1" x14ac:dyDescent="0.25">
      <c r="A2" s="7" t="s">
        <v>970</v>
      </c>
      <c r="B2" s="180"/>
      <c r="C2" s="180"/>
      <c r="D2" s="180"/>
      <c r="E2" s="180"/>
      <c r="F2" s="180"/>
      <c r="G2" s="180"/>
      <c r="H2" s="180"/>
    </row>
    <row r="3" spans="1:10" x14ac:dyDescent="0.25">
      <c r="A3" s="3"/>
      <c r="B3" s="3"/>
      <c r="C3" s="3"/>
      <c r="D3" s="3"/>
      <c r="E3" s="3"/>
      <c r="F3" s="3"/>
      <c r="G3" s="3"/>
      <c r="H3" s="3"/>
    </row>
    <row r="4" spans="1:10" x14ac:dyDescent="0.25">
      <c r="A4" s="46"/>
      <c r="B4" s="181" t="s">
        <v>101</v>
      </c>
      <c r="C4" s="44"/>
      <c r="D4" s="44"/>
      <c r="E4" s="44"/>
      <c r="F4" s="44"/>
      <c r="G4" s="44"/>
      <c r="H4" s="44"/>
      <c r="I4" s="182" t="s">
        <v>102</v>
      </c>
      <c r="J4" s="183" t="s">
        <v>103</v>
      </c>
    </row>
    <row r="5" spans="1:10" x14ac:dyDescent="0.25">
      <c r="A5" s="46"/>
      <c r="B5" s="199" t="s">
        <v>104</v>
      </c>
      <c r="C5" s="44"/>
      <c r="D5" s="44"/>
      <c r="E5" s="44"/>
      <c r="F5" s="44"/>
      <c r="G5" s="44"/>
      <c r="H5" s="44"/>
    </row>
    <row r="6" spans="1:10" x14ac:dyDescent="0.25">
      <c r="A6" s="46"/>
      <c r="B6" s="44"/>
      <c r="C6" s="44"/>
      <c r="D6" s="44"/>
      <c r="E6" s="44"/>
      <c r="F6" s="44"/>
      <c r="G6" s="44"/>
      <c r="H6" s="44"/>
    </row>
    <row r="7" spans="1:10" x14ac:dyDescent="0.25">
      <c r="A7" s="46"/>
      <c r="B7" s="184" t="s">
        <v>105</v>
      </c>
      <c r="C7" s="184" t="s">
        <v>106</v>
      </c>
      <c r="D7" s="185"/>
      <c r="E7" s="185"/>
      <c r="F7" s="185"/>
      <c r="G7" s="185"/>
      <c r="H7" s="185"/>
      <c r="I7" s="185"/>
    </row>
    <row r="8" spans="1:10" x14ac:dyDescent="0.25">
      <c r="A8" s="46"/>
      <c r="B8" s="186" t="s">
        <v>107</v>
      </c>
      <c r="C8" s="187" t="s">
        <v>108</v>
      </c>
      <c r="D8" s="187"/>
      <c r="E8" s="187"/>
      <c r="F8" s="187"/>
      <c r="G8" s="187"/>
      <c r="H8" s="187"/>
      <c r="I8" s="187"/>
    </row>
    <row r="9" spans="1:10" x14ac:dyDescent="0.25">
      <c r="A9" s="46"/>
      <c r="B9" s="186" t="s">
        <v>109</v>
      </c>
      <c r="C9" s="44" t="s">
        <v>145</v>
      </c>
      <c r="D9" s="44"/>
      <c r="E9" s="44"/>
      <c r="F9" s="44"/>
      <c r="G9" s="44"/>
      <c r="H9" s="44"/>
      <c r="I9" s="44"/>
    </row>
    <row r="10" spans="1:10" x14ac:dyDescent="0.25">
      <c r="A10" s="46"/>
      <c r="B10" s="186" t="s">
        <v>110</v>
      </c>
      <c r="C10" s="188" t="s">
        <v>146</v>
      </c>
      <c r="D10" s="188"/>
      <c r="E10" s="188"/>
      <c r="F10" s="188"/>
      <c r="G10" s="188"/>
      <c r="H10" s="188"/>
      <c r="I10" s="188"/>
    </row>
    <row r="11" spans="1:10" x14ac:dyDescent="0.25">
      <c r="A11" s="46"/>
      <c r="B11" s="44"/>
      <c r="C11" s="44"/>
      <c r="D11" s="44"/>
      <c r="E11" s="44"/>
      <c r="F11" s="44"/>
      <c r="G11" s="44"/>
      <c r="H11" s="44"/>
      <c r="I11" s="44"/>
    </row>
    <row r="12" spans="1:10" x14ac:dyDescent="0.25">
      <c r="A12" s="46"/>
      <c r="B12" s="181" t="s">
        <v>111</v>
      </c>
      <c r="C12" s="44"/>
      <c r="D12" s="44"/>
      <c r="E12" s="44"/>
      <c r="F12" s="44"/>
      <c r="G12" s="44"/>
      <c r="H12" s="44"/>
      <c r="I12" s="182" t="s">
        <v>102</v>
      </c>
      <c r="J12" s="183" t="s">
        <v>103</v>
      </c>
    </row>
    <row r="13" spans="1:10" x14ac:dyDescent="0.25">
      <c r="A13" s="46"/>
      <c r="B13" s="199" t="s">
        <v>112</v>
      </c>
      <c r="C13" s="44"/>
      <c r="D13" s="44"/>
      <c r="E13" s="44"/>
      <c r="F13" s="44"/>
      <c r="G13" s="44"/>
      <c r="H13" s="44"/>
    </row>
    <row r="14" spans="1:10" x14ac:dyDescent="0.25">
      <c r="A14" s="46"/>
      <c r="B14" s="44"/>
      <c r="C14" s="44"/>
      <c r="D14" s="44"/>
      <c r="E14" s="44"/>
      <c r="F14" s="44"/>
      <c r="G14" s="44"/>
      <c r="H14" s="44"/>
      <c r="I14" s="44"/>
    </row>
    <row r="15" spans="1:10" x14ac:dyDescent="0.25">
      <c r="A15" s="46"/>
      <c r="B15" s="184" t="s">
        <v>105</v>
      </c>
      <c r="C15" s="184" t="s">
        <v>106</v>
      </c>
      <c r="D15" s="189"/>
      <c r="E15" s="189"/>
      <c r="F15" s="189"/>
      <c r="G15" s="189"/>
      <c r="H15" s="189"/>
      <c r="I15" s="189"/>
    </row>
    <row r="16" spans="1:10" x14ac:dyDescent="0.25">
      <c r="A16" s="46"/>
      <c r="B16" s="186" t="s">
        <v>113</v>
      </c>
      <c r="C16" s="187" t="s">
        <v>142</v>
      </c>
      <c r="D16" s="187"/>
      <c r="E16" s="187"/>
      <c r="F16" s="187"/>
      <c r="G16" s="187"/>
      <c r="H16" s="187"/>
      <c r="I16" s="187"/>
    </row>
    <row r="17" spans="1:10" x14ac:dyDescent="0.25">
      <c r="A17" s="46"/>
      <c r="B17" s="186" t="s">
        <v>114</v>
      </c>
      <c r="C17" s="186" t="s">
        <v>143</v>
      </c>
      <c r="D17" s="186"/>
      <c r="E17" s="186"/>
      <c r="F17" s="186"/>
      <c r="G17" s="186"/>
      <c r="H17" s="186"/>
      <c r="I17" s="186"/>
    </row>
    <row r="18" spans="1:10" x14ac:dyDescent="0.25">
      <c r="A18" s="46"/>
      <c r="B18" s="186" t="s">
        <v>115</v>
      </c>
      <c r="C18" s="186" t="s">
        <v>144</v>
      </c>
      <c r="D18" s="186"/>
      <c r="E18" s="186"/>
      <c r="F18" s="186"/>
      <c r="G18" s="186"/>
      <c r="H18" s="186"/>
      <c r="I18" s="186"/>
    </row>
    <row r="19" spans="1:10" x14ac:dyDescent="0.25">
      <c r="A19" s="46"/>
      <c r="B19" s="44"/>
      <c r="C19" s="44"/>
      <c r="D19" s="44"/>
      <c r="E19" s="44"/>
      <c r="F19" s="44"/>
      <c r="G19" s="44"/>
      <c r="H19" s="44"/>
      <c r="I19" s="44"/>
    </row>
    <row r="20" spans="1:10" x14ac:dyDescent="0.25">
      <c r="A20" s="46"/>
      <c r="B20" s="181" t="s">
        <v>116</v>
      </c>
      <c r="C20" s="44"/>
      <c r="D20" s="44"/>
      <c r="E20" s="44"/>
      <c r="F20" s="44"/>
      <c r="G20" s="44"/>
      <c r="H20" s="44"/>
      <c r="I20" s="182" t="s">
        <v>102</v>
      </c>
      <c r="J20" s="183" t="s">
        <v>103</v>
      </c>
    </row>
    <row r="21" spans="1:10" x14ac:dyDescent="0.25">
      <c r="A21" s="46"/>
      <c r="B21" s="199" t="s">
        <v>117</v>
      </c>
      <c r="C21" s="44"/>
      <c r="D21" s="44"/>
      <c r="E21" s="44"/>
      <c r="F21" s="44"/>
      <c r="G21" s="44"/>
      <c r="H21" s="44"/>
    </row>
    <row r="22" spans="1:10" x14ac:dyDescent="0.25">
      <c r="A22" s="46"/>
      <c r="B22" s="44"/>
      <c r="C22" s="44"/>
      <c r="D22" s="44"/>
      <c r="E22" s="44"/>
      <c r="F22" s="44"/>
      <c r="G22" s="44"/>
      <c r="H22" s="44"/>
      <c r="I22" s="44"/>
    </row>
    <row r="23" spans="1:10" x14ac:dyDescent="0.25">
      <c r="A23" s="46"/>
      <c r="B23" s="190" t="s">
        <v>105</v>
      </c>
      <c r="C23" s="190" t="s">
        <v>106</v>
      </c>
      <c r="D23" s="191"/>
      <c r="E23" s="191"/>
      <c r="F23" s="191"/>
      <c r="G23" s="191"/>
      <c r="H23" s="191"/>
      <c r="I23" s="191"/>
    </row>
    <row r="24" spans="1:10" x14ac:dyDescent="0.25">
      <c r="A24" s="46"/>
      <c r="B24" s="192" t="s">
        <v>404</v>
      </c>
      <c r="C24" s="192" t="s">
        <v>414</v>
      </c>
      <c r="D24" s="192"/>
      <c r="E24" s="192"/>
      <c r="F24" s="192"/>
      <c r="G24" s="192"/>
      <c r="H24" s="192"/>
      <c r="I24" s="192"/>
    </row>
    <row r="25" spans="1:10" x14ac:dyDescent="0.25">
      <c r="A25" s="46"/>
      <c r="B25" s="240" t="s">
        <v>403</v>
      </c>
      <c r="C25" s="240" t="s">
        <v>415</v>
      </c>
      <c r="D25" s="240"/>
      <c r="E25" s="240"/>
      <c r="F25" s="240"/>
      <c r="G25" s="240"/>
      <c r="H25" s="240"/>
      <c r="I25" s="240"/>
    </row>
    <row r="26" spans="1:10" x14ac:dyDescent="0.25">
      <c r="A26" s="46"/>
      <c r="B26" s="193" t="s">
        <v>394</v>
      </c>
      <c r="C26" s="193" t="s">
        <v>137</v>
      </c>
      <c r="D26" s="193"/>
      <c r="E26" s="193"/>
      <c r="F26" s="193"/>
      <c r="G26" s="193"/>
      <c r="H26" s="193"/>
      <c r="I26" s="193"/>
    </row>
    <row r="27" spans="1:10" x14ac:dyDescent="0.25">
      <c r="A27" s="46"/>
      <c r="B27" s="194" t="s">
        <v>395</v>
      </c>
      <c r="C27" s="194" t="s">
        <v>138</v>
      </c>
      <c r="D27" s="194"/>
      <c r="E27" s="194"/>
      <c r="F27" s="194"/>
      <c r="G27" s="194"/>
      <c r="H27" s="194"/>
      <c r="I27" s="194"/>
    </row>
    <row r="28" spans="1:10" x14ac:dyDescent="0.25">
      <c r="A28" s="46"/>
      <c r="B28" s="194" t="s">
        <v>396</v>
      </c>
      <c r="C28" s="194" t="s">
        <v>139</v>
      </c>
      <c r="D28" s="194"/>
      <c r="E28" s="194"/>
      <c r="F28" s="194"/>
      <c r="G28" s="194"/>
      <c r="H28" s="194"/>
      <c r="I28" s="194"/>
    </row>
    <row r="29" spans="1:10" x14ac:dyDescent="0.25">
      <c r="A29" s="46"/>
      <c r="B29" s="194" t="s">
        <v>397</v>
      </c>
      <c r="C29" s="194" t="s">
        <v>140</v>
      </c>
      <c r="D29" s="194"/>
      <c r="E29" s="194"/>
      <c r="F29" s="194"/>
      <c r="G29" s="194"/>
      <c r="H29" s="194"/>
      <c r="I29" s="194"/>
    </row>
    <row r="30" spans="1:10" x14ac:dyDescent="0.25">
      <c r="A30" s="46"/>
      <c r="B30" s="194" t="s">
        <v>398</v>
      </c>
      <c r="C30" s="194" t="s">
        <v>141</v>
      </c>
      <c r="D30" s="194"/>
      <c r="E30" s="194"/>
      <c r="F30" s="194"/>
      <c r="G30" s="194"/>
      <c r="H30" s="194"/>
      <c r="I30" s="194"/>
    </row>
    <row r="31" spans="1:10" x14ac:dyDescent="0.25">
      <c r="A31" s="46"/>
      <c r="B31" s="194" t="s">
        <v>969</v>
      </c>
      <c r="C31" s="194" t="s">
        <v>136</v>
      </c>
      <c r="D31" s="194"/>
      <c r="E31" s="194"/>
      <c r="F31" s="194"/>
      <c r="G31" s="194"/>
      <c r="H31" s="194"/>
      <c r="I31" s="194"/>
    </row>
    <row r="32" spans="1:10" x14ac:dyDescent="0.25">
      <c r="A32" s="46"/>
      <c r="B32" s="194" t="s">
        <v>968</v>
      </c>
      <c r="C32" s="194" t="s">
        <v>399</v>
      </c>
      <c r="D32" s="194"/>
      <c r="E32" s="194"/>
      <c r="F32" s="194"/>
      <c r="G32" s="194"/>
      <c r="H32" s="194"/>
      <c r="I32" s="194"/>
    </row>
    <row r="33" spans="1:10" x14ac:dyDescent="0.25">
      <c r="A33" s="46"/>
      <c r="B33" s="194" t="s">
        <v>412</v>
      </c>
      <c r="C33" s="194" t="s">
        <v>413</v>
      </c>
      <c r="D33" s="194"/>
      <c r="E33" s="194"/>
      <c r="F33" s="194"/>
      <c r="G33" s="194"/>
      <c r="H33" s="194"/>
      <c r="I33" s="194"/>
    </row>
    <row r="34" spans="1:10" x14ac:dyDescent="0.25">
      <c r="A34" s="46"/>
      <c r="B34" s="44"/>
      <c r="C34" s="44"/>
      <c r="D34" s="44"/>
      <c r="E34" s="44"/>
      <c r="F34" s="44"/>
      <c r="G34" s="44"/>
      <c r="H34" s="44"/>
      <c r="I34" s="44"/>
    </row>
    <row r="35" spans="1:10" x14ac:dyDescent="0.25">
      <c r="A35" s="46"/>
      <c r="B35" s="181" t="s">
        <v>118</v>
      </c>
      <c r="C35" s="44"/>
      <c r="D35" s="44"/>
      <c r="E35" s="44"/>
      <c r="F35" s="44"/>
      <c r="G35" s="44"/>
      <c r="H35" s="44"/>
      <c r="I35" s="182" t="s">
        <v>102</v>
      </c>
      <c r="J35" s="183" t="s">
        <v>103</v>
      </c>
    </row>
    <row r="36" spans="1:10" x14ac:dyDescent="0.25">
      <c r="A36" s="46"/>
      <c r="B36" s="199" t="s">
        <v>119</v>
      </c>
      <c r="C36" s="44"/>
      <c r="D36" s="44"/>
      <c r="E36" s="44"/>
      <c r="F36" s="44"/>
      <c r="G36" s="44"/>
      <c r="H36" s="44"/>
    </row>
    <row r="37" spans="1:10" x14ac:dyDescent="0.25">
      <c r="A37" s="46"/>
      <c r="B37" s="44"/>
      <c r="C37" s="44"/>
      <c r="D37" s="44"/>
      <c r="E37" s="44"/>
      <c r="F37" s="44"/>
      <c r="G37" s="44"/>
      <c r="H37" s="44"/>
      <c r="I37" s="44"/>
    </row>
    <row r="38" spans="1:10" x14ac:dyDescent="0.25">
      <c r="A38" s="46"/>
      <c r="B38" s="190" t="s">
        <v>105</v>
      </c>
      <c r="C38" s="190" t="s">
        <v>106</v>
      </c>
      <c r="D38" s="191"/>
      <c r="E38" s="191"/>
      <c r="F38" s="191"/>
      <c r="G38" s="191"/>
      <c r="H38" s="191"/>
      <c r="I38" s="191"/>
    </row>
    <row r="39" spans="1:10" x14ac:dyDescent="0.25">
      <c r="A39" s="46"/>
      <c r="B39" s="192" t="s">
        <v>956</v>
      </c>
      <c r="C39" s="192" t="s">
        <v>962</v>
      </c>
      <c r="D39" s="195"/>
      <c r="E39" s="195"/>
      <c r="F39" s="195"/>
      <c r="G39" s="195"/>
      <c r="H39" s="195"/>
      <c r="I39" s="195"/>
    </row>
    <row r="40" spans="1:10" x14ac:dyDescent="0.25">
      <c r="A40" s="46"/>
      <c r="B40" s="196" t="s">
        <v>957</v>
      </c>
      <c r="C40" s="196" t="s">
        <v>963</v>
      </c>
      <c r="D40" s="197"/>
      <c r="E40" s="197"/>
      <c r="F40" s="197"/>
      <c r="G40" s="197"/>
      <c r="H40" s="197"/>
      <c r="I40" s="197"/>
    </row>
    <row r="41" spans="1:10" x14ac:dyDescent="0.25">
      <c r="A41" s="46"/>
      <c r="B41" s="196" t="s">
        <v>958</v>
      </c>
      <c r="C41" s="196" t="s">
        <v>964</v>
      </c>
      <c r="D41" s="197"/>
      <c r="E41" s="197"/>
      <c r="F41" s="197"/>
      <c r="G41" s="197"/>
      <c r="H41" s="197"/>
      <c r="I41" s="197"/>
    </row>
    <row r="42" spans="1:10" x14ac:dyDescent="0.25">
      <c r="A42" s="46"/>
      <c r="B42" s="196" t="s">
        <v>959</v>
      </c>
      <c r="C42" s="196" t="s">
        <v>965</v>
      </c>
      <c r="D42" s="197"/>
      <c r="E42" s="197"/>
      <c r="F42" s="197"/>
      <c r="G42" s="197"/>
      <c r="H42" s="197"/>
      <c r="I42" s="197"/>
    </row>
    <row r="43" spans="1:10" x14ac:dyDescent="0.25">
      <c r="A43" s="46"/>
      <c r="B43" s="196" t="s">
        <v>960</v>
      </c>
      <c r="C43" s="196" t="s">
        <v>966</v>
      </c>
      <c r="D43" s="197"/>
      <c r="E43" s="197"/>
      <c r="F43" s="197"/>
      <c r="G43" s="197"/>
      <c r="H43" s="197"/>
      <c r="I43" s="197"/>
    </row>
    <row r="44" spans="1:10" x14ac:dyDescent="0.25">
      <c r="A44" s="46"/>
      <c r="B44" s="229" t="s">
        <v>961</v>
      </c>
      <c r="C44" s="229" t="s">
        <v>967</v>
      </c>
      <c r="D44" s="230"/>
      <c r="E44" s="230"/>
      <c r="F44" s="230"/>
      <c r="G44" s="230"/>
      <c r="H44" s="230"/>
      <c r="I44" s="230"/>
    </row>
    <row r="45" spans="1:10" x14ac:dyDescent="0.25">
      <c r="A45" s="46"/>
      <c r="B45" s="227"/>
      <c r="C45" s="227"/>
      <c r="D45" s="228"/>
      <c r="E45" s="228"/>
      <c r="F45" s="228"/>
      <c r="G45" s="228"/>
      <c r="H45" s="228"/>
      <c r="I45" s="228"/>
    </row>
    <row r="46" spans="1:10" hidden="1" x14ac:dyDescent="0.25">
      <c r="A46" s="46"/>
      <c r="B46" s="227"/>
      <c r="C46" s="227"/>
      <c r="D46" s="228"/>
      <c r="E46" s="228"/>
      <c r="F46" s="228"/>
      <c r="G46" s="228"/>
      <c r="H46" s="228"/>
      <c r="I46" s="228"/>
    </row>
  </sheetData>
  <hyperlinks>
    <hyperlink ref="I4" location="'1. Output &gt;&gt;'!A1" display="Go to Section" xr:uid="{6C798B63-CA83-4702-B9C9-AE6F62DF76C9}"/>
    <hyperlink ref="I12" location="'2. Financials &gt;&gt;'!A1" display="Go to Section" xr:uid="{8F221FEB-95FE-4407-9D41-176230110394}"/>
    <hyperlink ref="I20" location="'3. Calculations &gt;&gt;'!A1" display="Go to Section" xr:uid="{19AD1AE9-37E5-49D6-B459-86DB69D2C3A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F1CC0-A6B0-465F-9549-04DC66F629FB}">
  <dimension ref="A1:J54"/>
  <sheetViews>
    <sheetView showGridLines="0" zoomScale="73" zoomScaleNormal="70" workbookViewId="0">
      <selection activeCell="C28" sqref="C28"/>
    </sheetView>
  </sheetViews>
  <sheetFormatPr defaultColWidth="0" defaultRowHeight="11.5" zeroHeight="1" x14ac:dyDescent="0.25"/>
  <cols>
    <col min="1" max="1" width="3.36328125" style="198" customWidth="1"/>
    <col min="2" max="2" width="36.36328125" style="198" customWidth="1"/>
    <col min="3" max="3" width="8.26953125" style="198" customWidth="1"/>
    <col min="4" max="4" width="54.36328125" style="198" customWidth="1"/>
    <col min="5" max="5" width="3.6328125" style="3" customWidth="1"/>
    <col min="6" max="10" width="0" style="3" hidden="1" customWidth="1"/>
    <col min="11" max="16384" width="8.7265625" style="3" hidden="1"/>
  </cols>
  <sheetData>
    <row r="1" spans="1:5" s="100" customFormat="1" ht="14" x14ac:dyDescent="0.3">
      <c r="A1" s="8" t="s">
        <v>147</v>
      </c>
      <c r="B1" s="180"/>
      <c r="C1" s="180"/>
      <c r="D1" s="180"/>
    </row>
    <row r="2" spans="1:5" s="100" customFormat="1" x14ac:dyDescent="0.25">
      <c r="A2" s="7" t="s">
        <v>970</v>
      </c>
      <c r="B2" s="180"/>
      <c r="C2" s="180"/>
      <c r="D2" s="180"/>
    </row>
    <row r="3" spans="1:5" x14ac:dyDescent="0.25">
      <c r="A3" s="3"/>
      <c r="B3" s="3"/>
      <c r="C3" s="3"/>
      <c r="D3" s="3"/>
    </row>
    <row r="4" spans="1:5" x14ac:dyDescent="0.25">
      <c r="A4" s="46"/>
      <c r="B4" s="227"/>
      <c r="C4" s="227"/>
      <c r="D4" s="228"/>
    </row>
    <row r="5" spans="1:5" ht="11.5" customHeight="1" x14ac:dyDescent="0.25">
      <c r="A5" s="46"/>
      <c r="B5" s="46"/>
      <c r="C5" s="46"/>
      <c r="D5" s="46"/>
      <c r="E5" s="44"/>
    </row>
    <row r="6" spans="1:5" ht="11.5" customHeight="1" x14ac:dyDescent="0.25">
      <c r="A6" s="46"/>
      <c r="B6" s="46"/>
      <c r="C6" s="46"/>
      <c r="D6" s="46"/>
      <c r="E6" s="44"/>
    </row>
    <row r="7" spans="1:5" ht="11.5" customHeight="1" x14ac:dyDescent="0.25">
      <c r="A7" s="46"/>
      <c r="B7" s="46"/>
      <c r="C7" s="46"/>
      <c r="D7" s="46"/>
      <c r="E7" s="44"/>
    </row>
    <row r="8" spans="1:5" ht="11.5" customHeight="1" x14ac:dyDescent="0.25">
      <c r="A8" s="46"/>
      <c r="B8" s="46"/>
      <c r="C8" s="46"/>
      <c r="D8" s="46"/>
      <c r="E8" s="44"/>
    </row>
    <row r="9" spans="1:5" ht="11.5" customHeight="1" x14ac:dyDescent="0.25">
      <c r="A9" s="46"/>
      <c r="B9" s="46"/>
      <c r="C9" s="46"/>
      <c r="D9" s="46"/>
      <c r="E9" s="44"/>
    </row>
    <row r="10" spans="1:5" ht="11.5" customHeight="1" x14ac:dyDescent="0.25">
      <c r="A10" s="46"/>
      <c r="B10" s="46"/>
      <c r="C10" s="46"/>
      <c r="D10" s="46"/>
      <c r="E10" s="44"/>
    </row>
    <row r="11" spans="1:5" ht="11.5" customHeight="1" x14ac:dyDescent="0.25">
      <c r="A11" s="46"/>
      <c r="B11" s="46"/>
      <c r="C11" s="46"/>
      <c r="D11" s="46"/>
      <c r="E11" s="44"/>
    </row>
    <row r="12" spans="1:5" ht="11.5" customHeight="1" x14ac:dyDescent="0.25">
      <c r="A12" s="46"/>
      <c r="B12" s="46"/>
      <c r="C12" s="46"/>
      <c r="D12" s="46"/>
      <c r="E12" s="44"/>
    </row>
    <row r="13" spans="1:5" ht="11.5" customHeight="1" x14ac:dyDescent="0.25">
      <c r="A13" s="46"/>
      <c r="B13" s="46"/>
      <c r="C13" s="46"/>
      <c r="D13" s="46"/>
      <c r="E13" s="44"/>
    </row>
    <row r="14" spans="1:5" ht="11.5" customHeight="1" x14ac:dyDescent="0.25">
      <c r="A14" s="46"/>
      <c r="B14" s="46"/>
      <c r="C14" s="46"/>
      <c r="D14" s="46"/>
      <c r="E14" s="44"/>
    </row>
    <row r="15" spans="1:5" ht="11.5" customHeight="1" x14ac:dyDescent="0.25">
      <c r="A15" s="46"/>
      <c r="B15" s="46"/>
      <c r="C15" s="46"/>
      <c r="D15" s="46"/>
      <c r="E15" s="44"/>
    </row>
    <row r="16" spans="1:5" ht="11.5" customHeight="1" x14ac:dyDescent="0.25">
      <c r="A16" s="46"/>
      <c r="B16" s="46"/>
      <c r="C16" s="46"/>
      <c r="D16" s="46"/>
      <c r="E16" s="44"/>
    </row>
    <row r="17" spans="1:5" ht="11.5" customHeight="1" x14ac:dyDescent="0.25">
      <c r="A17" s="46"/>
      <c r="B17" s="46"/>
      <c r="C17" s="46"/>
      <c r="D17" s="46"/>
      <c r="E17" s="44"/>
    </row>
    <row r="18" spans="1:5" ht="11.5" customHeight="1" x14ac:dyDescent="0.25">
      <c r="A18" s="46"/>
      <c r="B18" s="46"/>
      <c r="C18" s="46"/>
      <c r="D18" s="46"/>
      <c r="E18" s="44"/>
    </row>
    <row r="19" spans="1:5" s="44" customFormat="1" ht="11.5" customHeight="1" x14ac:dyDescent="0.25">
      <c r="A19" s="46"/>
      <c r="B19" s="46"/>
      <c r="C19" s="46"/>
      <c r="D19" s="46"/>
    </row>
    <row r="20" spans="1:5" s="44" customFormat="1" ht="11.5" customHeight="1" x14ac:dyDescent="0.25">
      <c r="A20" s="46"/>
      <c r="B20" s="46"/>
      <c r="C20" s="46"/>
      <c r="D20" s="46"/>
    </row>
    <row r="21" spans="1:5" s="44" customFormat="1" ht="11.5" customHeight="1" x14ac:dyDescent="0.25">
      <c r="A21" s="46"/>
      <c r="B21" s="46"/>
      <c r="C21" s="46"/>
      <c r="D21" s="46"/>
    </row>
    <row r="22" spans="1:5" s="44" customFormat="1" ht="11.5" customHeight="1" x14ac:dyDescent="0.25">
      <c r="A22" s="46"/>
      <c r="B22" s="46"/>
      <c r="C22" s="46"/>
      <c r="D22" s="46"/>
    </row>
    <row r="23" spans="1:5" s="44" customFormat="1" ht="11.5" customHeight="1" x14ac:dyDescent="0.25">
      <c r="A23" s="46"/>
      <c r="B23" s="46"/>
      <c r="C23" s="46"/>
      <c r="D23" s="46"/>
    </row>
    <row r="24" spans="1:5" s="44" customFormat="1" ht="11.5" customHeight="1" x14ac:dyDescent="0.25">
      <c r="A24" s="46"/>
      <c r="B24" s="46"/>
      <c r="C24" s="46"/>
      <c r="D24" s="46"/>
    </row>
    <row r="25" spans="1:5" s="44" customFormat="1" ht="11.5" customHeight="1" x14ac:dyDescent="0.25">
      <c r="A25" s="46"/>
      <c r="B25" s="46"/>
      <c r="C25" s="46"/>
      <c r="D25" s="46"/>
    </row>
    <row r="26" spans="1:5" s="44" customFormat="1" ht="11.5" customHeight="1" x14ac:dyDescent="0.25">
      <c r="A26" s="46"/>
      <c r="B26" s="46"/>
      <c r="C26" s="46"/>
      <c r="D26" s="46"/>
    </row>
    <row r="27" spans="1:5" s="44" customFormat="1" ht="11.5" hidden="1" customHeight="1" x14ac:dyDescent="0.25">
      <c r="A27" s="46"/>
      <c r="B27" s="46"/>
      <c r="C27" s="46"/>
      <c r="D27" s="46"/>
    </row>
    <row r="28" spans="1:5" s="44" customFormat="1" ht="11.5" hidden="1" customHeight="1" x14ac:dyDescent="0.25">
      <c r="A28" s="46"/>
      <c r="B28" s="46"/>
      <c r="C28" s="46"/>
      <c r="D28" s="46"/>
    </row>
    <row r="29" spans="1:5" s="44" customFormat="1" ht="11.5" hidden="1" customHeight="1" x14ac:dyDescent="0.25">
      <c r="A29" s="46"/>
      <c r="B29" s="46"/>
      <c r="C29" s="46"/>
      <c r="D29" s="46"/>
    </row>
    <row r="30" spans="1:5" s="44" customFormat="1" ht="11.5" hidden="1" customHeight="1" x14ac:dyDescent="0.25">
      <c r="A30" s="46"/>
      <c r="B30" s="46"/>
      <c r="C30" s="46"/>
      <c r="D30" s="46"/>
    </row>
    <row r="31" spans="1:5" s="44" customFormat="1" ht="11.5" hidden="1" customHeight="1" x14ac:dyDescent="0.25">
      <c r="A31" s="46"/>
      <c r="B31" s="46"/>
      <c r="C31" s="46"/>
      <c r="D31" s="46"/>
    </row>
    <row r="32" spans="1:5" s="44" customFormat="1" ht="11.5" hidden="1" customHeight="1" x14ac:dyDescent="0.25">
      <c r="A32" s="46"/>
      <c r="B32" s="46"/>
      <c r="C32" s="46"/>
      <c r="D32" s="46"/>
    </row>
    <row r="33" spans="1:4" s="44" customFormat="1" ht="11.5" hidden="1" customHeight="1" x14ac:dyDescent="0.25">
      <c r="A33" s="46"/>
      <c r="B33" s="46"/>
      <c r="C33" s="46"/>
      <c r="D33" s="46"/>
    </row>
    <row r="34" spans="1:4" s="44" customFormat="1" ht="11.5" hidden="1" customHeight="1" x14ac:dyDescent="0.25">
      <c r="A34" s="46"/>
      <c r="B34" s="46"/>
      <c r="C34" s="46"/>
      <c r="D34" s="46"/>
    </row>
    <row r="35" spans="1:4" s="44" customFormat="1" ht="11.5" hidden="1" customHeight="1" x14ac:dyDescent="0.25">
      <c r="A35" s="46"/>
      <c r="B35" s="46"/>
      <c r="C35" s="46"/>
      <c r="D35" s="46"/>
    </row>
    <row r="36" spans="1:4" s="44" customFormat="1" ht="11.5" hidden="1" customHeight="1" x14ac:dyDescent="0.25">
      <c r="A36" s="46"/>
      <c r="B36" s="46"/>
      <c r="C36" s="46"/>
      <c r="D36" s="46"/>
    </row>
    <row r="37" spans="1:4" s="44" customFormat="1" ht="11.5" hidden="1" customHeight="1" x14ac:dyDescent="0.25">
      <c r="A37" s="46"/>
      <c r="B37" s="46"/>
      <c r="C37" s="46"/>
      <c r="D37" s="46"/>
    </row>
    <row r="38" spans="1:4" s="44" customFormat="1" ht="11.5" hidden="1" customHeight="1" x14ac:dyDescent="0.25">
      <c r="A38" s="46"/>
      <c r="B38" s="46"/>
      <c r="C38" s="46"/>
      <c r="D38" s="46"/>
    </row>
    <row r="39" spans="1:4" s="44" customFormat="1" ht="11.5" hidden="1" customHeight="1" x14ac:dyDescent="0.25">
      <c r="A39" s="46"/>
      <c r="B39" s="46"/>
      <c r="C39" s="46"/>
      <c r="D39" s="46"/>
    </row>
    <row r="40" spans="1:4" s="44" customFormat="1" ht="11.5" hidden="1" customHeight="1" x14ac:dyDescent="0.25">
      <c r="A40" s="46"/>
      <c r="B40" s="46"/>
      <c r="C40" s="46"/>
      <c r="D40" s="46"/>
    </row>
    <row r="41" spans="1:4" s="44" customFormat="1" ht="11.5" hidden="1" customHeight="1" x14ac:dyDescent="0.25">
      <c r="A41" s="46"/>
      <c r="B41" s="46"/>
      <c r="C41" s="46"/>
      <c r="D41" s="46"/>
    </row>
    <row r="42" spans="1:4" s="44" customFormat="1" ht="11.5" hidden="1" customHeight="1" x14ac:dyDescent="0.25">
      <c r="A42" s="46"/>
      <c r="B42" s="46"/>
      <c r="C42" s="46"/>
      <c r="D42" s="46"/>
    </row>
    <row r="43" spans="1:4" s="44" customFormat="1" ht="11.5" hidden="1" customHeight="1" x14ac:dyDescent="0.25">
      <c r="A43" s="46"/>
      <c r="B43" s="46"/>
      <c r="C43" s="46"/>
      <c r="D43" s="46"/>
    </row>
    <row r="44" spans="1:4" s="44" customFormat="1" ht="11.5" hidden="1" customHeight="1" x14ac:dyDescent="0.25">
      <c r="A44" s="46"/>
      <c r="B44" s="46"/>
      <c r="C44" s="46"/>
      <c r="D44" s="46"/>
    </row>
    <row r="45" spans="1:4" s="44" customFormat="1" ht="11.5" hidden="1" customHeight="1" x14ac:dyDescent="0.25">
      <c r="A45" s="46"/>
      <c r="B45" s="46"/>
      <c r="C45" s="46"/>
      <c r="D45" s="46"/>
    </row>
    <row r="46" spans="1:4" s="44" customFormat="1" ht="11.5" hidden="1" customHeight="1" x14ac:dyDescent="0.25">
      <c r="A46" s="46"/>
      <c r="B46" s="46"/>
      <c r="C46" s="46"/>
      <c r="D46" s="46"/>
    </row>
    <row r="47" spans="1:4" s="44" customFormat="1" ht="11.5" hidden="1" customHeight="1" x14ac:dyDescent="0.25">
      <c r="A47" s="46"/>
      <c r="B47" s="46"/>
      <c r="C47" s="46"/>
      <c r="D47" s="46"/>
    </row>
    <row r="48" spans="1:4" s="44" customFormat="1" ht="11.5" hidden="1" customHeight="1" x14ac:dyDescent="0.25">
      <c r="A48" s="46"/>
      <c r="B48" s="46"/>
      <c r="C48" s="46"/>
      <c r="D48" s="46"/>
    </row>
    <row r="49" spans="1:4" s="44" customFormat="1" ht="11.5" hidden="1" customHeight="1" x14ac:dyDescent="0.25">
      <c r="A49" s="46"/>
      <c r="B49" s="46"/>
      <c r="C49" s="46"/>
      <c r="D49" s="46"/>
    </row>
    <row r="50" spans="1:4" s="44" customFormat="1" ht="11.5" hidden="1" customHeight="1" x14ac:dyDescent="0.25">
      <c r="A50" s="46"/>
      <c r="B50" s="46"/>
      <c r="C50" s="46"/>
      <c r="D50" s="46"/>
    </row>
    <row r="51" spans="1:4" s="44" customFormat="1" ht="11.5" hidden="1" customHeight="1" x14ac:dyDescent="0.25">
      <c r="A51" s="46"/>
      <c r="B51" s="46"/>
      <c r="C51" s="46"/>
      <c r="D51" s="46"/>
    </row>
    <row r="52" spans="1:4" s="44" customFormat="1" ht="11.5" hidden="1" customHeight="1" x14ac:dyDescent="0.25">
      <c r="A52" s="46"/>
      <c r="B52" s="46"/>
      <c r="C52" s="46"/>
      <c r="D52" s="46"/>
    </row>
    <row r="53" spans="1:4" s="44" customFormat="1" ht="11.5" hidden="1" customHeight="1" x14ac:dyDescent="0.25">
      <c r="A53" s="46"/>
      <c r="B53" s="46"/>
      <c r="C53" s="46"/>
      <c r="D53" s="46"/>
    </row>
    <row r="54" spans="1:4" s="44" customFormat="1" ht="11.5" hidden="1" customHeight="1" x14ac:dyDescent="0.25">
      <c r="A54" s="46"/>
      <c r="B54" s="46"/>
      <c r="C54" s="46"/>
      <c r="D54" s="4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EE3B2-24DF-4D83-AA39-6DB16AFF0E1C}">
  <sheetPr>
    <tabColor rgb="FF002060"/>
  </sheetPr>
  <dimension ref="A1"/>
  <sheetViews>
    <sheetView topLeftCell="XFD1048576" workbookViewId="0">
      <selection activeCell="C28" sqref="C28"/>
    </sheetView>
  </sheetViews>
  <sheetFormatPr defaultColWidth="0" defaultRowHeight="14.5" zeroHeight="1" x14ac:dyDescent="0.35"/>
  <cols>
    <col min="1" max="16384" width="8.7265625" hidden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815A-6418-405E-B1B0-0CC552F78C06}">
  <dimension ref="A1:C124"/>
  <sheetViews>
    <sheetView showGridLines="0" workbookViewId="0">
      <selection activeCell="B10" sqref="B10"/>
    </sheetView>
  </sheetViews>
  <sheetFormatPr defaultColWidth="0" defaultRowHeight="11.5" zeroHeight="1" x14ac:dyDescent="0.35"/>
  <cols>
    <col min="1" max="1" width="3.6328125" style="136" customWidth="1"/>
    <col min="2" max="2" width="56.453125" style="136" bestFit="1" customWidth="1"/>
    <col min="3" max="3" width="3.6328125" style="136" customWidth="1"/>
    <col min="4" max="16384" width="8.7265625" style="136" hidden="1"/>
  </cols>
  <sheetData>
    <row r="1" spans="1:2" s="5" customFormat="1" ht="14" x14ac:dyDescent="0.3">
      <c r="A1" s="8" t="s">
        <v>151</v>
      </c>
    </row>
    <row r="2" spans="1:2" s="5" customFormat="1" x14ac:dyDescent="0.25"/>
    <row r="3" spans="1:2" x14ac:dyDescent="0.35"/>
    <row r="4" spans="1:2" x14ac:dyDescent="0.35">
      <c r="B4" s="233" t="s">
        <v>97</v>
      </c>
    </row>
    <row r="5" spans="1:2" x14ac:dyDescent="0.35">
      <c r="B5" s="249" t="s">
        <v>149</v>
      </c>
    </row>
    <row r="6" spans="1:2" x14ac:dyDescent="0.35">
      <c r="B6" s="136" t="s">
        <v>148</v>
      </c>
    </row>
    <row r="7" spans="1:2" x14ac:dyDescent="0.35">
      <c r="B7" s="136" t="s">
        <v>150</v>
      </c>
    </row>
    <row r="8" spans="1:2" x14ac:dyDescent="0.35"/>
    <row r="9" spans="1:2" x14ac:dyDescent="0.35">
      <c r="B9" s="233" t="s">
        <v>97</v>
      </c>
    </row>
    <row r="10" spans="1:2" x14ac:dyDescent="0.35">
      <c r="B10" s="775" t="s">
        <v>936</v>
      </c>
    </row>
    <row r="11" spans="1:2" x14ac:dyDescent="0.35">
      <c r="B11" s="136" t="s">
        <v>937</v>
      </c>
    </row>
    <row r="12" spans="1:2" x14ac:dyDescent="0.35"/>
    <row r="13" spans="1:2" x14ac:dyDescent="0.35">
      <c r="B13" s="233" t="s">
        <v>98</v>
      </c>
    </row>
    <row r="14" spans="1:2" x14ac:dyDescent="0.35">
      <c r="B14" s="136" t="s">
        <v>406</v>
      </c>
    </row>
    <row r="15" spans="1:2" x14ac:dyDescent="0.35">
      <c r="B15" s="136" t="s">
        <v>27</v>
      </c>
    </row>
    <row r="16" spans="1:2" x14ac:dyDescent="0.35">
      <c r="B16" s="136" t="s">
        <v>31</v>
      </c>
    </row>
    <row r="17" spans="2:2" x14ac:dyDescent="0.35">
      <c r="B17" s="136" t="s">
        <v>407</v>
      </c>
    </row>
    <row r="18" spans="2:2" x14ac:dyDescent="0.35"/>
    <row r="19" spans="2:2" x14ac:dyDescent="0.35">
      <c r="B19" s="233" t="s">
        <v>422</v>
      </c>
    </row>
    <row r="20" spans="2:2" x14ac:dyDescent="0.35">
      <c r="B20" s="136" t="s">
        <v>423</v>
      </c>
    </row>
    <row r="21" spans="2:2" x14ac:dyDescent="0.35">
      <c r="B21" s="136" t="s">
        <v>425</v>
      </c>
    </row>
    <row r="22" spans="2:2" x14ac:dyDescent="0.35">
      <c r="B22" s="136" t="s">
        <v>426</v>
      </c>
    </row>
    <row r="23" spans="2:2" x14ac:dyDescent="0.35">
      <c r="B23" s="136" t="s">
        <v>424</v>
      </c>
    </row>
    <row r="24" spans="2:2" x14ac:dyDescent="0.35"/>
    <row r="25" spans="2:2" x14ac:dyDescent="0.35">
      <c r="B25" s="233" t="s">
        <v>603</v>
      </c>
    </row>
    <row r="26" spans="2:2" x14ac:dyDescent="0.35">
      <c r="B26" s="136" t="str">
        <f>'4.2 Sector Mapping'!B5</f>
        <v>Agriculture</v>
      </c>
    </row>
    <row r="27" spans="2:2" x14ac:dyDescent="0.35">
      <c r="B27" s="136" t="str">
        <f>'4.2 Sector Mapping'!B6</f>
        <v>Communication, Media and Technology</v>
      </c>
    </row>
    <row r="28" spans="2:2" x14ac:dyDescent="0.35">
      <c r="B28" s="136" t="str">
        <f>'4.2 Sector Mapping'!B7</f>
        <v>Energy and Environment</v>
      </c>
    </row>
    <row r="29" spans="2:2" x14ac:dyDescent="0.35">
      <c r="B29" s="136" t="str">
        <f>'4.2 Sector Mapping'!B8</f>
        <v>Financial Services</v>
      </c>
    </row>
    <row r="30" spans="2:2" x14ac:dyDescent="0.35">
      <c r="B30" s="136" t="str">
        <f>'4.2 Sector Mapping'!B9</f>
        <v>Healthcare</v>
      </c>
    </row>
    <row r="31" spans="2:2" x14ac:dyDescent="0.35">
      <c r="B31" s="136" t="str">
        <f>'4.2 Sector Mapping'!B10</f>
        <v>Industrials and Services</v>
      </c>
    </row>
    <row r="32" spans="2:2" x14ac:dyDescent="0.35">
      <c r="B32" s="136" t="str">
        <f>'4.2 Sector Mapping'!B11</f>
        <v>Professional Services: Human Resources, Education, Consulting, Legal</v>
      </c>
    </row>
    <row r="33" spans="2:2" x14ac:dyDescent="0.35">
      <c r="B33" s="136" t="str">
        <f>'4.2 Sector Mapping'!B12</f>
        <v>Public and Social Services</v>
      </c>
    </row>
    <row r="34" spans="2:2" x14ac:dyDescent="0.35">
      <c r="B34" s="136" t="str">
        <f>'4.2 Sector Mapping'!B13</f>
        <v>Real Estate and Construction</v>
      </c>
    </row>
    <row r="35" spans="2:2" x14ac:dyDescent="0.35">
      <c r="B35" s="136" t="str">
        <f>'4.2 Sector Mapping'!B14</f>
        <v>Retail and Consumer Goods</v>
      </c>
    </row>
    <row r="36" spans="2:2" x14ac:dyDescent="0.35">
      <c r="B36" s="136" t="str">
        <f>'4.2 Sector Mapping'!B15</f>
        <v>Entertainment and Recreation</v>
      </c>
    </row>
    <row r="37" spans="2:2" x14ac:dyDescent="0.35">
      <c r="B37" s="136" t="str">
        <f>'4.2 Sector Mapping'!B16</f>
        <v>Transportation and Services</v>
      </c>
    </row>
    <row r="38" spans="2:2" x14ac:dyDescent="0.35"/>
    <row r="39" spans="2:2" x14ac:dyDescent="0.35">
      <c r="B39" s="233" t="s">
        <v>865</v>
      </c>
    </row>
    <row r="40" spans="2:2" x14ac:dyDescent="0.25">
      <c r="B40" s="597">
        <v>45688</v>
      </c>
    </row>
    <row r="41" spans="2:2" x14ac:dyDescent="0.25">
      <c r="B41" s="597">
        <v>45716</v>
      </c>
    </row>
    <row r="42" spans="2:2" x14ac:dyDescent="0.25">
      <c r="B42" s="597">
        <v>45747</v>
      </c>
    </row>
    <row r="43" spans="2:2" x14ac:dyDescent="0.25">
      <c r="B43" s="597">
        <v>45777</v>
      </c>
    </row>
    <row r="44" spans="2:2" x14ac:dyDescent="0.25">
      <c r="B44" s="597">
        <v>45808</v>
      </c>
    </row>
    <row r="45" spans="2:2" x14ac:dyDescent="0.25">
      <c r="B45" s="597">
        <v>45838</v>
      </c>
    </row>
    <row r="46" spans="2:2" x14ac:dyDescent="0.25">
      <c r="B46" s="597">
        <v>45869</v>
      </c>
    </row>
    <row r="47" spans="2:2" x14ac:dyDescent="0.25">
      <c r="B47" s="597">
        <v>45900</v>
      </c>
    </row>
    <row r="48" spans="2:2" x14ac:dyDescent="0.25">
      <c r="B48" s="597">
        <v>45930</v>
      </c>
    </row>
    <row r="49" spans="2:2" x14ac:dyDescent="0.25">
      <c r="B49" s="597">
        <v>45961</v>
      </c>
    </row>
    <row r="50" spans="2:2" x14ac:dyDescent="0.25">
      <c r="B50" s="597">
        <v>45991</v>
      </c>
    </row>
    <row r="51" spans="2:2" x14ac:dyDescent="0.25">
      <c r="B51" s="597">
        <v>46022</v>
      </c>
    </row>
    <row r="52" spans="2:2" x14ac:dyDescent="0.25">
      <c r="B52" s="597">
        <v>46053.25</v>
      </c>
    </row>
    <row r="53" spans="2:2" x14ac:dyDescent="0.25">
      <c r="B53" s="597">
        <v>46081.25</v>
      </c>
    </row>
    <row r="54" spans="2:2" x14ac:dyDescent="0.25">
      <c r="B54" s="597">
        <v>46112.25</v>
      </c>
    </row>
    <row r="55" spans="2:2" x14ac:dyDescent="0.25">
      <c r="B55" s="597">
        <v>46142.25</v>
      </c>
    </row>
    <row r="56" spans="2:2" x14ac:dyDescent="0.25">
      <c r="B56" s="597">
        <v>46173.25</v>
      </c>
    </row>
    <row r="57" spans="2:2" x14ac:dyDescent="0.25">
      <c r="B57" s="597">
        <v>46203.25</v>
      </c>
    </row>
    <row r="58" spans="2:2" x14ac:dyDescent="0.25">
      <c r="B58" s="597">
        <v>46234.25</v>
      </c>
    </row>
    <row r="59" spans="2:2" x14ac:dyDescent="0.25">
      <c r="B59" s="597">
        <v>46265.25</v>
      </c>
    </row>
    <row r="60" spans="2:2" x14ac:dyDescent="0.25">
      <c r="B60" s="597">
        <v>46295.25</v>
      </c>
    </row>
    <row r="61" spans="2:2" x14ac:dyDescent="0.25">
      <c r="B61" s="597">
        <v>46326.25</v>
      </c>
    </row>
    <row r="62" spans="2:2" x14ac:dyDescent="0.25">
      <c r="B62" s="597">
        <v>46356.25</v>
      </c>
    </row>
    <row r="63" spans="2:2" x14ac:dyDescent="0.25">
      <c r="B63" s="597">
        <v>46387.25</v>
      </c>
    </row>
    <row r="64" spans="2:2" x14ac:dyDescent="0.25">
      <c r="B64" s="597">
        <v>46418.5</v>
      </c>
    </row>
    <row r="65" spans="2:2" x14ac:dyDescent="0.25">
      <c r="B65" s="597">
        <v>46446.5</v>
      </c>
    </row>
    <row r="66" spans="2:2" x14ac:dyDescent="0.25">
      <c r="B66" s="597">
        <v>46477.5</v>
      </c>
    </row>
    <row r="67" spans="2:2" x14ac:dyDescent="0.25">
      <c r="B67" s="597">
        <v>46507.5</v>
      </c>
    </row>
    <row r="68" spans="2:2" x14ac:dyDescent="0.25">
      <c r="B68" s="597">
        <v>46538.5</v>
      </c>
    </row>
    <row r="69" spans="2:2" x14ac:dyDescent="0.25">
      <c r="B69" s="597">
        <v>46568.5</v>
      </c>
    </row>
    <row r="70" spans="2:2" x14ac:dyDescent="0.25">
      <c r="B70" s="597">
        <v>46599.5</v>
      </c>
    </row>
    <row r="71" spans="2:2" x14ac:dyDescent="0.25">
      <c r="B71" s="597">
        <v>46630.5</v>
      </c>
    </row>
    <row r="72" spans="2:2" x14ac:dyDescent="0.25">
      <c r="B72" s="597">
        <v>46660.5</v>
      </c>
    </row>
    <row r="73" spans="2:2" x14ac:dyDescent="0.25">
      <c r="B73" s="597">
        <v>46691.5</v>
      </c>
    </row>
    <row r="74" spans="2:2" x14ac:dyDescent="0.25">
      <c r="B74" s="597">
        <v>46721.5</v>
      </c>
    </row>
    <row r="75" spans="2:2" x14ac:dyDescent="0.25">
      <c r="B75" s="597">
        <v>46752.5</v>
      </c>
    </row>
    <row r="76" spans="2:2" x14ac:dyDescent="0.35"/>
    <row r="77" spans="2:2" x14ac:dyDescent="0.35">
      <c r="B77" s="233" t="s">
        <v>930</v>
      </c>
    </row>
    <row r="78" spans="2:2" x14ac:dyDescent="0.35">
      <c r="B78" s="136">
        <v>1</v>
      </c>
    </row>
    <row r="79" spans="2:2" x14ac:dyDescent="0.35">
      <c r="B79" s="136">
        <f>B78+1</f>
        <v>2</v>
      </c>
    </row>
    <row r="80" spans="2:2" x14ac:dyDescent="0.35">
      <c r="B80" s="136">
        <f t="shared" ref="B80:B113" si="0">B79+1</f>
        <v>3</v>
      </c>
    </row>
    <row r="81" spans="2:2" x14ac:dyDescent="0.35">
      <c r="B81" s="136">
        <f t="shared" si="0"/>
        <v>4</v>
      </c>
    </row>
    <row r="82" spans="2:2" x14ac:dyDescent="0.35">
      <c r="B82" s="136">
        <f t="shared" si="0"/>
        <v>5</v>
      </c>
    </row>
    <row r="83" spans="2:2" x14ac:dyDescent="0.35">
      <c r="B83" s="136">
        <f t="shared" si="0"/>
        <v>6</v>
      </c>
    </row>
    <row r="84" spans="2:2" x14ac:dyDescent="0.35">
      <c r="B84" s="136">
        <f t="shared" si="0"/>
        <v>7</v>
      </c>
    </row>
    <row r="85" spans="2:2" x14ac:dyDescent="0.35">
      <c r="B85" s="136">
        <f t="shared" si="0"/>
        <v>8</v>
      </c>
    </row>
    <row r="86" spans="2:2" x14ac:dyDescent="0.35">
      <c r="B86" s="136">
        <f t="shared" si="0"/>
        <v>9</v>
      </c>
    </row>
    <row r="87" spans="2:2" x14ac:dyDescent="0.35">
      <c r="B87" s="136">
        <f t="shared" si="0"/>
        <v>10</v>
      </c>
    </row>
    <row r="88" spans="2:2" x14ac:dyDescent="0.35">
      <c r="B88" s="136">
        <f t="shared" si="0"/>
        <v>11</v>
      </c>
    </row>
    <row r="89" spans="2:2" x14ac:dyDescent="0.35">
      <c r="B89" s="136">
        <f t="shared" si="0"/>
        <v>12</v>
      </c>
    </row>
    <row r="90" spans="2:2" x14ac:dyDescent="0.35">
      <c r="B90" s="136">
        <f t="shared" si="0"/>
        <v>13</v>
      </c>
    </row>
    <row r="91" spans="2:2" x14ac:dyDescent="0.35">
      <c r="B91" s="136">
        <f t="shared" si="0"/>
        <v>14</v>
      </c>
    </row>
    <row r="92" spans="2:2" x14ac:dyDescent="0.35">
      <c r="B92" s="136">
        <f t="shared" si="0"/>
        <v>15</v>
      </c>
    </row>
    <row r="93" spans="2:2" x14ac:dyDescent="0.35">
      <c r="B93" s="136">
        <f t="shared" si="0"/>
        <v>16</v>
      </c>
    </row>
    <row r="94" spans="2:2" x14ac:dyDescent="0.35">
      <c r="B94" s="136">
        <f t="shared" si="0"/>
        <v>17</v>
      </c>
    </row>
    <row r="95" spans="2:2" x14ac:dyDescent="0.35">
      <c r="B95" s="136">
        <f t="shared" si="0"/>
        <v>18</v>
      </c>
    </row>
    <row r="96" spans="2:2" x14ac:dyDescent="0.35">
      <c r="B96" s="136">
        <f t="shared" si="0"/>
        <v>19</v>
      </c>
    </row>
    <row r="97" spans="2:2" x14ac:dyDescent="0.35">
      <c r="B97" s="136">
        <f t="shared" si="0"/>
        <v>20</v>
      </c>
    </row>
    <row r="98" spans="2:2" x14ac:dyDescent="0.35">
      <c r="B98" s="136">
        <f t="shared" si="0"/>
        <v>21</v>
      </c>
    </row>
    <row r="99" spans="2:2" x14ac:dyDescent="0.35">
      <c r="B99" s="136">
        <f t="shared" si="0"/>
        <v>22</v>
      </c>
    </row>
    <row r="100" spans="2:2" x14ac:dyDescent="0.35">
      <c r="B100" s="136">
        <f t="shared" si="0"/>
        <v>23</v>
      </c>
    </row>
    <row r="101" spans="2:2" x14ac:dyDescent="0.35">
      <c r="B101" s="136">
        <f t="shared" si="0"/>
        <v>24</v>
      </c>
    </row>
    <row r="102" spans="2:2" x14ac:dyDescent="0.35">
      <c r="B102" s="136">
        <f t="shared" si="0"/>
        <v>25</v>
      </c>
    </row>
    <row r="103" spans="2:2" x14ac:dyDescent="0.35">
      <c r="B103" s="136">
        <f t="shared" si="0"/>
        <v>26</v>
      </c>
    </row>
    <row r="104" spans="2:2" x14ac:dyDescent="0.35">
      <c r="B104" s="136">
        <f t="shared" si="0"/>
        <v>27</v>
      </c>
    </row>
    <row r="105" spans="2:2" x14ac:dyDescent="0.35">
      <c r="B105" s="136">
        <f t="shared" si="0"/>
        <v>28</v>
      </c>
    </row>
    <row r="106" spans="2:2" x14ac:dyDescent="0.35">
      <c r="B106" s="136">
        <f t="shared" si="0"/>
        <v>29</v>
      </c>
    </row>
    <row r="107" spans="2:2" x14ac:dyDescent="0.35">
      <c r="B107" s="136">
        <f t="shared" si="0"/>
        <v>30</v>
      </c>
    </row>
    <row r="108" spans="2:2" x14ac:dyDescent="0.35">
      <c r="B108" s="136">
        <f t="shared" si="0"/>
        <v>31</v>
      </c>
    </row>
    <row r="109" spans="2:2" x14ac:dyDescent="0.35">
      <c r="B109" s="136">
        <f t="shared" si="0"/>
        <v>32</v>
      </c>
    </row>
    <row r="110" spans="2:2" x14ac:dyDescent="0.35">
      <c r="B110" s="136">
        <f t="shared" si="0"/>
        <v>33</v>
      </c>
    </row>
    <row r="111" spans="2:2" x14ac:dyDescent="0.35">
      <c r="B111" s="136">
        <f t="shared" si="0"/>
        <v>34</v>
      </c>
    </row>
    <row r="112" spans="2:2" x14ac:dyDescent="0.35">
      <c r="B112" s="136">
        <f t="shared" si="0"/>
        <v>35</v>
      </c>
    </row>
    <row r="113" spans="2:2" x14ac:dyDescent="0.35">
      <c r="B113" s="136">
        <f t="shared" si="0"/>
        <v>36</v>
      </c>
    </row>
    <row r="114" spans="2:2" x14ac:dyDescent="0.35"/>
    <row r="115" spans="2:2" x14ac:dyDescent="0.35">
      <c r="B115" s="233" t="s">
        <v>934</v>
      </c>
    </row>
    <row r="116" spans="2:2" x14ac:dyDescent="0.35">
      <c r="B116" s="136" t="s">
        <v>941</v>
      </c>
    </row>
    <row r="117" spans="2:2" x14ac:dyDescent="0.35">
      <c r="B117" s="136" t="s">
        <v>942</v>
      </c>
    </row>
    <row r="118" spans="2:2" x14ac:dyDescent="0.35">
      <c r="B118" s="136" t="s">
        <v>943</v>
      </c>
    </row>
    <row r="119" spans="2:2" x14ac:dyDescent="0.35">
      <c r="B119" s="136" t="s">
        <v>944</v>
      </c>
    </row>
    <row r="120" spans="2:2" x14ac:dyDescent="0.35">
      <c r="B120" s="136" t="s">
        <v>945</v>
      </c>
    </row>
    <row r="121" spans="2:2" x14ac:dyDescent="0.35">
      <c r="B121" s="136" t="s">
        <v>946</v>
      </c>
    </row>
    <row r="122" spans="2:2" x14ac:dyDescent="0.35">
      <c r="B122" s="136" t="s">
        <v>947</v>
      </c>
    </row>
    <row r="123" spans="2:2" x14ac:dyDescent="0.35">
      <c r="B123" s="136" t="s">
        <v>948</v>
      </c>
    </row>
    <row r="124" spans="2:2" x14ac:dyDescent="0.3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645C7-049F-4B06-8B33-B19D6548D2E9}">
  <dimension ref="A1:AQ46"/>
  <sheetViews>
    <sheetView showGridLines="0" topLeftCell="A5" zoomScale="70" zoomScaleNormal="70" workbookViewId="0">
      <selection activeCell="C28" sqref="C28"/>
    </sheetView>
  </sheetViews>
  <sheetFormatPr defaultColWidth="0" defaultRowHeight="11.5" x14ac:dyDescent="0.25"/>
  <cols>
    <col min="1" max="2" width="3.6328125" style="3" customWidth="1"/>
    <col min="3" max="3" width="41.54296875" style="3" bestFit="1" customWidth="1"/>
    <col min="4" max="4" width="8.7265625" style="3" customWidth="1"/>
    <col min="5" max="40" width="15.6328125" style="3" customWidth="1"/>
    <col min="41" max="41" width="3.6328125" style="3" customWidth="1"/>
    <col min="42" max="43" width="0" style="3" hidden="1" customWidth="1"/>
    <col min="44" max="16384" width="8.7265625" style="3" hidden="1"/>
  </cols>
  <sheetData>
    <row r="1" spans="1:40" s="100" customFormat="1" ht="14" x14ac:dyDescent="0.3">
      <c r="A1" s="8" t="str">
        <f ca="1">MID(CELL("filename",A1),FIND("]",CELL("filename",A1))+1,255)</f>
        <v>1.2 Financial Output</v>
      </c>
    </row>
    <row r="2" spans="1:40" s="100" customFormat="1" x14ac:dyDescent="0.25">
      <c r="A2" s="7" t="s">
        <v>970</v>
      </c>
      <c r="F2" s="9"/>
      <c r="G2" s="9"/>
    </row>
    <row r="4" spans="1:40" x14ac:dyDescent="0.25">
      <c r="B4" s="166" t="s">
        <v>0</v>
      </c>
      <c r="C4" s="167" t="s">
        <v>92</v>
      </c>
      <c r="D4" s="168" t="s">
        <v>14</v>
      </c>
      <c r="E4" s="168" t="s">
        <v>14</v>
      </c>
    </row>
    <row r="5" spans="1:40" x14ac:dyDescent="0.25">
      <c r="C5" s="94" t="s">
        <v>130</v>
      </c>
      <c r="D5" s="95" t="s">
        <v>46</v>
      </c>
      <c r="E5" s="751">
        <f ca="1">SUMPRODUCT(E35:AN36)</f>
        <v>1306036999.9726868</v>
      </c>
    </row>
    <row r="6" spans="1:40" x14ac:dyDescent="0.25">
      <c r="C6" s="21" t="s">
        <v>131</v>
      </c>
      <c r="D6" s="38" t="s">
        <v>29</v>
      </c>
      <c r="E6" s="752">
        <f ca="1">IRR(E36:AN36)</f>
        <v>0.98971815615895675</v>
      </c>
    </row>
    <row r="7" spans="1:40" x14ac:dyDescent="0.25">
      <c r="C7" s="21" t="s">
        <v>132</v>
      </c>
      <c r="D7" s="38" t="s">
        <v>29</v>
      </c>
      <c r="E7" s="752">
        <f ca="1">IRR(E37:AN37)</f>
        <v>1.0751654598835843</v>
      </c>
    </row>
    <row r="8" spans="1:40" x14ac:dyDescent="0.25">
      <c r="C8" s="21" t="s">
        <v>133</v>
      </c>
      <c r="D8" s="38" t="s">
        <v>46</v>
      </c>
      <c r="E8" s="753">
        <f ca="1">SUM('2.3 CF'!E27:AN30)</f>
        <v>181599623.60238293</v>
      </c>
    </row>
    <row r="9" spans="1:40" x14ac:dyDescent="0.25">
      <c r="C9" s="22" t="s">
        <v>932</v>
      </c>
      <c r="D9" s="38" t="s">
        <v>931</v>
      </c>
      <c r="E9" s="754">
        <f ca="1">SUMPRODUCT(E34:AN34,E46:AN46)</f>
        <v>2</v>
      </c>
    </row>
    <row r="10" spans="1:40" x14ac:dyDescent="0.25">
      <c r="C10" s="22" t="s">
        <v>94</v>
      </c>
      <c r="D10" s="96" t="s">
        <v>46</v>
      </c>
      <c r="E10" s="755">
        <f ca="1">SUM(E40:AN40)</f>
        <v>321371427.62664557</v>
      </c>
    </row>
    <row r="11" spans="1:40" ht="3" customHeight="1" x14ac:dyDescent="0.25"/>
    <row r="12" spans="1:40" x14ac:dyDescent="0.25">
      <c r="B12" s="6" t="s">
        <v>0</v>
      </c>
      <c r="C12" s="31" t="s">
        <v>91</v>
      </c>
      <c r="D12" s="32" t="s">
        <v>14</v>
      </c>
      <c r="E12" s="252">
        <v>45688</v>
      </c>
      <c r="F12" s="252">
        <v>45716</v>
      </c>
      <c r="G12" s="252">
        <v>45747</v>
      </c>
      <c r="H12" s="252">
        <v>45777</v>
      </c>
      <c r="I12" s="252">
        <v>45808</v>
      </c>
      <c r="J12" s="252">
        <v>45838</v>
      </c>
      <c r="K12" s="252">
        <v>45869</v>
      </c>
      <c r="L12" s="252">
        <v>45900</v>
      </c>
      <c r="M12" s="252">
        <v>45930</v>
      </c>
      <c r="N12" s="252">
        <v>45961</v>
      </c>
      <c r="O12" s="252">
        <v>45991</v>
      </c>
      <c r="P12" s="252">
        <v>46022</v>
      </c>
      <c r="Q12" s="252">
        <f>E12+365.25</f>
        <v>46053.25</v>
      </c>
      <c r="R12" s="252">
        <f t="shared" ref="R12:AN12" si="0">F12+365.25</f>
        <v>46081.25</v>
      </c>
      <c r="S12" s="252">
        <f t="shared" si="0"/>
        <v>46112.25</v>
      </c>
      <c r="T12" s="252">
        <f t="shared" si="0"/>
        <v>46142.25</v>
      </c>
      <c r="U12" s="252">
        <f t="shared" si="0"/>
        <v>46173.25</v>
      </c>
      <c r="V12" s="252">
        <f t="shared" si="0"/>
        <v>46203.25</v>
      </c>
      <c r="W12" s="252">
        <f t="shared" si="0"/>
        <v>46234.25</v>
      </c>
      <c r="X12" s="252">
        <f t="shared" si="0"/>
        <v>46265.25</v>
      </c>
      <c r="Y12" s="252">
        <f t="shared" si="0"/>
        <v>46295.25</v>
      </c>
      <c r="Z12" s="252">
        <f t="shared" si="0"/>
        <v>46326.25</v>
      </c>
      <c r="AA12" s="252">
        <f t="shared" si="0"/>
        <v>46356.25</v>
      </c>
      <c r="AB12" s="252">
        <f t="shared" si="0"/>
        <v>46387.25</v>
      </c>
      <c r="AC12" s="252">
        <f t="shared" si="0"/>
        <v>46418.5</v>
      </c>
      <c r="AD12" s="252">
        <f t="shared" si="0"/>
        <v>46446.5</v>
      </c>
      <c r="AE12" s="252">
        <f t="shared" si="0"/>
        <v>46477.5</v>
      </c>
      <c r="AF12" s="252">
        <f t="shared" si="0"/>
        <v>46507.5</v>
      </c>
      <c r="AG12" s="252">
        <f t="shared" si="0"/>
        <v>46538.5</v>
      </c>
      <c r="AH12" s="252">
        <f t="shared" si="0"/>
        <v>46568.5</v>
      </c>
      <c r="AI12" s="252">
        <f t="shared" si="0"/>
        <v>46599.5</v>
      </c>
      <c r="AJ12" s="252">
        <f t="shared" si="0"/>
        <v>46630.5</v>
      </c>
      <c r="AK12" s="252">
        <f t="shared" si="0"/>
        <v>46660.5</v>
      </c>
      <c r="AL12" s="252">
        <f t="shared" si="0"/>
        <v>46691.5</v>
      </c>
      <c r="AM12" s="252">
        <f t="shared" si="0"/>
        <v>46721.5</v>
      </c>
      <c r="AN12" s="252">
        <f t="shared" si="0"/>
        <v>46752.5</v>
      </c>
    </row>
    <row r="13" spans="1:40" x14ac:dyDescent="0.25">
      <c r="B13" s="137">
        <v>1</v>
      </c>
      <c r="C13" s="137" t="s">
        <v>895</v>
      </c>
      <c r="D13" s="424" t="s">
        <v>46</v>
      </c>
      <c r="E13" s="630">
        <f>'3.2 Doojo Base'!E10</f>
        <v>2226</v>
      </c>
      <c r="F13" s="630">
        <f>'3.2 Doojo Base'!F10</f>
        <v>2636</v>
      </c>
      <c r="G13" s="630">
        <f>'3.2 Doojo Base'!G10</f>
        <v>2987.6000000000004</v>
      </c>
      <c r="H13" s="630">
        <f>'3.2 Doojo Base'!H10</f>
        <v>3251.48</v>
      </c>
      <c r="I13" s="630">
        <f>'3.2 Doojo Base'!I10</f>
        <v>4797.2640000000001</v>
      </c>
      <c r="J13" s="630">
        <f>'3.2 Doojo Base'!J10</f>
        <v>6749.883200000002</v>
      </c>
      <c r="K13" s="630">
        <f>'3.2 Doojo Base'!K10</f>
        <v>7000.1065600000002</v>
      </c>
      <c r="L13" s="630">
        <f>'3.2 Doojo Base'!L10</f>
        <v>7200.6852480000016</v>
      </c>
      <c r="M13" s="630">
        <f>'3.2 Doojo Base'!M10</f>
        <v>8815.2905984000026</v>
      </c>
      <c r="N13" s="630">
        <f>'3.2 Doojo Base'!N10</f>
        <v>9378.4552627200028</v>
      </c>
      <c r="O13" s="630">
        <f>'3.2 Doojo Base'!O10</f>
        <v>9919.1525027840016</v>
      </c>
      <c r="P13" s="630">
        <f>'3.2 Doojo Base'!P10</f>
        <v>10445.112636313601</v>
      </c>
      <c r="Q13" s="630">
        <f>'3.2 Doojo Base'!Q10</f>
        <v>16187.973430292481</v>
      </c>
      <c r="R13" s="630">
        <f>'3.2 Doojo Base'!R10</f>
        <v>16293.578744233986</v>
      </c>
      <c r="S13" s="630">
        <f>'3.2 Doojo Base'!S10</f>
        <v>16378.06299538719</v>
      </c>
      <c r="T13" s="630">
        <f>'3.2 Doojo Base'!T10</f>
        <v>16445.450396309752</v>
      </c>
      <c r="U13" s="630">
        <f>'3.2 Doojo Base'!U10</f>
        <v>23480.614048778421</v>
      </c>
      <c r="V13" s="630">
        <f>'3.2 Doojo Base'!V10</f>
        <v>23541.091239022739</v>
      </c>
      <c r="W13" s="630">
        <f>'3.2 Doojo Base'!W10</f>
        <v>23589.072991218192</v>
      </c>
      <c r="X13" s="630">
        <f>'3.2 Doojo Base'!X10</f>
        <v>23627.858392974551</v>
      </c>
      <c r="Y13" s="630">
        <f>'3.2 Doojo Base'!Y10</f>
        <v>25301.52210685661</v>
      </c>
      <c r="Z13" s="630">
        <f>'3.2 Doojo Base'!Z10</f>
        <v>25327.217685485288</v>
      </c>
      <c r="AA13" s="630">
        <f>'3.2 Doojo Base'!AA10</f>
        <v>25347.974148388232</v>
      </c>
      <c r="AB13" s="630">
        <f>'3.2 Doojo Base'!AB10</f>
        <v>25364.779318710585</v>
      </c>
      <c r="AC13" s="630">
        <f>'3.2 Doojo Base'!AC10</f>
        <v>41470.186297967666</v>
      </c>
      <c r="AD13" s="630">
        <f>'3.2 Doojo Base'!AD10</f>
        <v>41488.149038374133</v>
      </c>
      <c r="AE13" s="630">
        <f>'3.2 Doojo Base'!AE10</f>
        <v>41501.719230699309</v>
      </c>
      <c r="AF13" s="630">
        <f>'3.2 Doojo Base'!AF10</f>
        <v>41513.575384559459</v>
      </c>
      <c r="AG13" s="630">
        <f>'3.2 Doojo Base'!AG10</f>
        <v>58687.329637080969</v>
      </c>
      <c r="AH13" s="630">
        <f>'3.2 Doojo Base'!AH10</f>
        <v>58696.863709664758</v>
      </c>
      <c r="AI13" s="630">
        <f>'3.2 Doojo Base'!AI10</f>
        <v>58704.490967731814</v>
      </c>
      <c r="AJ13" s="630">
        <f>'3.2 Doojo Base'!AJ10</f>
        <v>58711.592774185468</v>
      </c>
      <c r="AK13" s="630">
        <f>'3.2 Doojo Base'!AK10</f>
        <v>71669.706920220808</v>
      </c>
      <c r="AL13" s="630">
        <f>'3.2 Doojo Base'!AL10</f>
        <v>71674.365536176658</v>
      </c>
      <c r="AM13" s="630">
        <f>'3.2 Doojo Base'!AM10</f>
        <v>71678.092428941323</v>
      </c>
      <c r="AN13" s="630">
        <f>'3.2 Doojo Base'!AN10</f>
        <v>71681.073943153067</v>
      </c>
    </row>
    <row r="14" spans="1:40" x14ac:dyDescent="0.25">
      <c r="B14" s="137">
        <f>B13+1</f>
        <v>2</v>
      </c>
      <c r="C14" s="137" t="s">
        <v>896</v>
      </c>
      <c r="D14" s="159" t="s">
        <v>46</v>
      </c>
      <c r="E14" s="630">
        <f>'3.2 Doojo Base'!E18</f>
        <v>464</v>
      </c>
      <c r="F14" s="630">
        <f>'3.2 Doojo Base'!F18</f>
        <v>549.79999999999995</v>
      </c>
      <c r="G14" s="630">
        <f>'3.2 Doojo Base'!G18</f>
        <v>620.80000000000007</v>
      </c>
      <c r="H14" s="630">
        <f>'3.2 Doojo Base'!H18</f>
        <v>675.83999999999992</v>
      </c>
      <c r="I14" s="630">
        <f>'3.2 Doojo Base'!I18</f>
        <v>997.3728000000001</v>
      </c>
      <c r="J14" s="630">
        <f>'3.2 Doojo Base'!J18</f>
        <v>1408.8560000000004</v>
      </c>
      <c r="K14" s="630">
        <f>'3.2 Doojo Base'!K18</f>
        <v>1461.2847999999999</v>
      </c>
      <c r="L14" s="630">
        <f>'3.2 Doojo Base'!L18</f>
        <v>1503.2278400000002</v>
      </c>
      <c r="M14" s="630">
        <f>'3.2 Doojo Base'!M18</f>
        <v>1848.4420428800004</v>
      </c>
      <c r="N14" s="630">
        <f>'3.2 Doojo Base'!N18</f>
        <v>1978.6480542720005</v>
      </c>
      <c r="O14" s="630">
        <f>'3.2 Doojo Base'!O18</f>
        <v>2104.9349859328004</v>
      </c>
      <c r="P14" s="630">
        <f>'3.2 Doojo Base'!P18</f>
        <v>2228.0812227584001</v>
      </c>
      <c r="Q14" s="630">
        <f>'3.2 Doojo Base'!Q18</f>
        <v>3438.1389622231045</v>
      </c>
      <c r="R14" s="630">
        <f>'3.2 Doojo Base'!R18</f>
        <v>3461.3111697784834</v>
      </c>
      <c r="S14" s="630">
        <f>'3.2 Doojo Base'!S18</f>
        <v>3479.8489358227876</v>
      </c>
      <c r="T14" s="630">
        <f>'3.2 Doojo Base'!T18</f>
        <v>3494.6791486582301</v>
      </c>
      <c r="U14" s="630">
        <f>'3.2 Doojo Base'!U18</f>
        <v>5023.5023005847852</v>
      </c>
      <c r="V14" s="630">
        <f>'3.2 Doojo Base'!V18</f>
        <v>5037.0018404678294</v>
      </c>
      <c r="W14" s="630">
        <f>'3.2 Doojo Base'!W18</f>
        <v>5047.8014723742626</v>
      </c>
      <c r="X14" s="630">
        <f>'3.2 Doojo Base'!X18</f>
        <v>5056.4411778994108</v>
      </c>
      <c r="Y14" s="630">
        <f>'3.2 Doojo Base'!Y18</f>
        <v>5452.5313263422495</v>
      </c>
      <c r="Z14" s="630">
        <f>'3.2 Doojo Base'!Z18</f>
        <v>5458.4250610738</v>
      </c>
      <c r="AA14" s="630">
        <f>'3.2 Doojo Base'!AA18</f>
        <v>5463.1400488590398</v>
      </c>
      <c r="AB14" s="630">
        <f>'3.2 Doojo Base'!AB18</f>
        <v>5466.9120390872322</v>
      </c>
      <c r="AC14" s="630">
        <f>'3.2 Doojo Base'!AC18</f>
        <v>9067.7882714533189</v>
      </c>
      <c r="AD14" s="630">
        <f>'3.2 Doojo Base'!AD18</f>
        <v>9071.8306171626555</v>
      </c>
      <c r="AE14" s="630">
        <f>'3.2 Doojo Base'!AE18</f>
        <v>9075.0644937301258</v>
      </c>
      <c r="AF14" s="630">
        <f>'3.2 Doojo Base'!AF18</f>
        <v>9077.6515949841014</v>
      </c>
      <c r="AG14" s="630">
        <f>'3.2 Doojo Base'!AG18</f>
        <v>12971.313072316625</v>
      </c>
      <c r="AH14" s="630">
        <f>'3.2 Doojo Base'!AH18</f>
        <v>12973.650457853299</v>
      </c>
      <c r="AI14" s="630">
        <f>'3.2 Doojo Base'!AI18</f>
        <v>12975.520366282639</v>
      </c>
      <c r="AJ14" s="630">
        <f>'3.2 Doojo Base'!AJ18</f>
        <v>12977.016293026116</v>
      </c>
      <c r="AK14" s="630">
        <f>'3.2 Doojo Base'!AK18</f>
        <v>15966.169599520577</v>
      </c>
      <c r="AL14" s="630">
        <f>'3.2 Doojo Base'!AL18</f>
        <v>15967.335679616464</v>
      </c>
      <c r="AM14" s="630">
        <f>'3.2 Doojo Base'!AM18</f>
        <v>15968.268543693172</v>
      </c>
      <c r="AN14" s="630">
        <f>'3.2 Doojo Base'!AN18</f>
        <v>15969.014834954536</v>
      </c>
    </row>
    <row r="15" spans="1:40" x14ac:dyDescent="0.25">
      <c r="B15" s="132">
        <f>B14+1</f>
        <v>3</v>
      </c>
      <c r="C15" s="132" t="s">
        <v>13</v>
      </c>
      <c r="D15" s="159" t="s">
        <v>46</v>
      </c>
      <c r="E15" s="360">
        <f>'2.1 PnL'!E5</f>
        <v>377514.28</v>
      </c>
      <c r="F15" s="360">
        <f ca="1">'2.1 PnL'!F5</f>
        <v>663179.93999999994</v>
      </c>
      <c r="G15" s="360">
        <f ca="1">'2.1 PnL'!G5</f>
        <v>928249.58</v>
      </c>
      <c r="H15" s="360">
        <f ca="1">'2.1 PnL'!H5</f>
        <v>1167513.04</v>
      </c>
      <c r="I15" s="360">
        <f ca="1">'2.1 PnL'!I5</f>
        <v>1615095.06</v>
      </c>
      <c r="J15" s="360">
        <f ca="1">'2.1 PnL'!J5</f>
        <v>2803440.28</v>
      </c>
      <c r="K15" s="360">
        <f ca="1">'2.1 PnL'!K5</f>
        <v>4129993</v>
      </c>
      <c r="L15" s="360">
        <f ca="1">'2.1 PnL'!L5</f>
        <v>5332811.32</v>
      </c>
      <c r="M15" s="360">
        <f ca="1">'2.1 PnL'!M5</f>
        <v>6679867.2800000003</v>
      </c>
      <c r="N15" s="360">
        <f ca="1">'2.1 PnL'!N5</f>
        <v>8228788.9400000004</v>
      </c>
      <c r="O15" s="360">
        <f ca="1">'2.1 PnL'!O5</f>
        <v>10280200.66</v>
      </c>
      <c r="P15" s="360">
        <f ca="1">'2.1 PnL'!P5</f>
        <v>12275043.66</v>
      </c>
      <c r="Q15" s="360">
        <f ca="1">'2.1 PnL'!Q5</f>
        <v>15394615.74</v>
      </c>
      <c r="R15" s="360">
        <f ca="1">'2.1 PnL'!R5</f>
        <v>17710274.010000002</v>
      </c>
      <c r="S15" s="360">
        <f ca="1">'2.1 PnL'!S5</f>
        <v>19973300.504999999</v>
      </c>
      <c r="T15" s="360">
        <f ca="1">'2.1 PnL'!T5</f>
        <v>22043684.684999999</v>
      </c>
      <c r="U15" s="360">
        <f ca="1">'2.1 PnL'!U5</f>
        <v>25108864.065000001</v>
      </c>
      <c r="V15" s="360">
        <f ca="1">'2.1 PnL'!V5</f>
        <v>27951882.149999999</v>
      </c>
      <c r="W15" s="360">
        <f ca="1">'2.1 PnL'!W5</f>
        <v>31199360.370000001</v>
      </c>
      <c r="X15" s="360">
        <f ca="1">'2.1 PnL'!X5</f>
        <v>33902414.009999998</v>
      </c>
      <c r="Y15" s="360">
        <f ca="1">'2.1 PnL'!Y5</f>
        <v>36384042.960000001</v>
      </c>
      <c r="Z15" s="360">
        <f ca="1">'2.1 PnL'!Z5</f>
        <v>39879502.905000001</v>
      </c>
      <c r="AA15" s="360">
        <f ca="1">'2.1 PnL'!AA5</f>
        <v>43238066.895000003</v>
      </c>
      <c r="AB15" s="360">
        <f ca="1">'2.1 PnL'!AB5</f>
        <v>46227233.579999998</v>
      </c>
      <c r="AC15" s="360">
        <f ca="1">'2.1 PnL'!AC5</f>
        <v>53698885.706249997</v>
      </c>
      <c r="AD15" s="360">
        <f ca="1">'2.1 PnL'!AD5</f>
        <v>57585325.173749998</v>
      </c>
      <c r="AE15" s="360">
        <f ca="1">'2.1 PnL'!AE5</f>
        <v>61136355.213749997</v>
      </c>
      <c r="AF15" s="360">
        <f ca="1">'2.1 PnL'!AF5</f>
        <v>64137437.159999996</v>
      </c>
      <c r="AG15" s="360">
        <f ca="1">'2.1 PnL'!AG5</f>
        <v>69224899.436250001</v>
      </c>
      <c r="AH15" s="360">
        <f ca="1">'2.1 PnL'!AH5</f>
        <v>75580558.754999995</v>
      </c>
      <c r="AI15" s="360">
        <f ca="1">'2.1 PnL'!AI5</f>
        <v>83837636.366249993</v>
      </c>
      <c r="AJ15" s="360">
        <f ca="1">'2.1 PnL'!AJ5</f>
        <v>90940787.962500006</v>
      </c>
      <c r="AK15" s="360">
        <f ca="1">'2.1 PnL'!AK5</f>
        <v>99375568.844999999</v>
      </c>
      <c r="AL15" s="360">
        <f ca="1">'2.1 PnL'!AL5</f>
        <v>108443806.63875</v>
      </c>
      <c r="AM15" s="360">
        <f ca="1">'2.1 PnL'!AM5</f>
        <v>119118562.21875</v>
      </c>
      <c r="AN15" s="360">
        <f ca="1">'2.1 PnL'!AN5</f>
        <v>128283447.78749999</v>
      </c>
    </row>
    <row r="16" spans="1:40" x14ac:dyDescent="0.25">
      <c r="B16" s="132">
        <f t="shared" ref="B16:B29" si="1">B15+1</f>
        <v>4</v>
      </c>
      <c r="C16" s="132" t="s">
        <v>27</v>
      </c>
      <c r="D16" s="159" t="s">
        <v>46</v>
      </c>
      <c r="E16" s="360">
        <f>'2.1 PnL'!E7</f>
        <v>-87744.945221647329</v>
      </c>
      <c r="F16" s="360">
        <f ca="1">'2.1 PnL'!F7</f>
        <v>363782.05229999998</v>
      </c>
      <c r="G16" s="360">
        <f ca="1">'2.1 PnL'!G7</f>
        <v>564910.81609999994</v>
      </c>
      <c r="H16" s="360">
        <f ca="1">'2.1 PnL'!H7</f>
        <v>754861.38679999998</v>
      </c>
      <c r="I16" s="360">
        <f ca="1">'2.1 PnL'!I7</f>
        <v>976573.30869999994</v>
      </c>
      <c r="J16" s="360">
        <f ca="1">'2.1 PnL'!J7</f>
        <v>1836415.1393999998</v>
      </c>
      <c r="K16" s="360">
        <f ca="1">'2.1 PnL'!K7</f>
        <v>3032284.3284399998</v>
      </c>
      <c r="L16" s="360">
        <f ca="1">'2.1 PnL'!L7</f>
        <v>4027824.3141520005</v>
      </c>
      <c r="M16" s="360">
        <f ca="1">'2.1 PnL'!M7</f>
        <v>4948189.5986353643</v>
      </c>
      <c r="N16" s="360">
        <f ca="1">'2.1 PnL'!N7</f>
        <v>6283258.7520372802</v>
      </c>
      <c r="O16" s="360">
        <f ca="1">'2.1 PnL'!O7</f>
        <v>7975590.3721972164</v>
      </c>
      <c r="P16" s="360">
        <f ca="1">'2.1 PnL'!P7</f>
        <v>9600714.5970636867</v>
      </c>
      <c r="Q16" s="360">
        <f ca="1">'2.1 PnL'!Q7</f>
        <v>11494802.744771</v>
      </c>
      <c r="R16" s="360">
        <f ca="1">'2.1 PnL'!R7</f>
        <v>13748889.259205766</v>
      </c>
      <c r="S16" s="360">
        <f ca="1">'2.1 PnL'!S7</f>
        <v>15641098.338479612</v>
      </c>
      <c r="T16" s="360">
        <f ca="1">'2.1 PnL'!T7</f>
        <v>17362036.374178689</v>
      </c>
      <c r="U16" s="360">
        <f ca="1">'2.1 PnL'!U7</f>
        <v>19110589.620893754</v>
      </c>
      <c r="V16" s="360">
        <f ca="1">'2.1 PnL'!V7</f>
        <v>21856970.218010977</v>
      </c>
      <c r="W16" s="360">
        <f ca="1">'2.1 PnL'!W7</f>
        <v>24572017.421158783</v>
      </c>
      <c r="X16" s="360">
        <f ca="1">'2.1 PnL'!X7</f>
        <v>26832206.279557023</v>
      </c>
      <c r="Y16" s="360">
        <f ca="1">'2.1 PnL'!Y7</f>
        <v>28599673.434360676</v>
      </c>
      <c r="Z16" s="360">
        <f ca="1">'2.1 PnL'!Z7</f>
        <v>31644530.091789514</v>
      </c>
      <c r="AA16" s="360">
        <f ca="1">'2.1 PnL'!AA7</f>
        <v>34450542.707376614</v>
      </c>
      <c r="AB16" s="360">
        <f ca="1">'2.1 PnL'!AB7</f>
        <v>36927925.916781291</v>
      </c>
      <c r="AC16" s="360">
        <f ca="1">'2.1 PnL'!AC7</f>
        <v>41273726.285517953</v>
      </c>
      <c r="AD16" s="360">
        <f ca="1">'2.1 PnL'!AD7</f>
        <v>45467572.239092872</v>
      </c>
      <c r="AE16" s="360">
        <f ca="1">'2.1 PnL'!AE7</f>
        <v>48440567.550700545</v>
      </c>
      <c r="AF16" s="360">
        <f ca="1">'2.1 PnL'!AF7</f>
        <v>50953478.966815442</v>
      </c>
      <c r="AG16" s="360">
        <f ca="1">'2.1 PnL'!AG7</f>
        <v>53002279.060251787</v>
      </c>
      <c r="AH16" s="360">
        <f ca="1">'2.1 PnL'!AH7</f>
        <v>59351704.846515328</v>
      </c>
      <c r="AI16" s="360">
        <f ca="1">'2.1 PnL'!AI7</f>
        <v>66255919.545201011</v>
      </c>
      <c r="AJ16" s="360">
        <f ca="1">'2.1 PnL'!AJ7</f>
        <v>72195356.087413311</v>
      </c>
      <c r="AK16" s="360">
        <f ca="1">'2.1 PnL'!AK7</f>
        <v>77621802.434657365</v>
      </c>
      <c r="AL16" s="360">
        <f ca="1">'2.1 PnL'!AL7</f>
        <v>86011141.287270069</v>
      </c>
      <c r="AM16" s="360">
        <f ca="1">'2.1 PnL'!AM7</f>
        <v>94934158.246477306</v>
      </c>
      <c r="AN16" s="360">
        <f ca="1">'2.1 PnL'!AN7</f>
        <v>102574813.66711934</v>
      </c>
    </row>
    <row r="17" spans="2:40" x14ac:dyDescent="0.25">
      <c r="B17" s="132">
        <f t="shared" si="1"/>
        <v>5</v>
      </c>
      <c r="C17" s="132" t="s">
        <v>31</v>
      </c>
      <c r="D17" s="159" t="s">
        <v>46</v>
      </c>
      <c r="E17" s="360">
        <f>'2.1 PnL'!E10</f>
        <v>-88613.201390941249</v>
      </c>
      <c r="F17" s="360">
        <f ca="1">'2.1 PnL'!F10</f>
        <v>361762.26934811007</v>
      </c>
      <c r="G17" s="360">
        <f ca="1">'2.1 PnL'!G10</f>
        <v>561796.99808023497</v>
      </c>
      <c r="H17" s="360">
        <f ca="1">'2.1 PnL'!H10</f>
        <v>749600.06977845379</v>
      </c>
      <c r="I17" s="360">
        <f ca="1">'2.1 PnL'!I10</f>
        <v>969135.82778215164</v>
      </c>
      <c r="J17" s="360">
        <f ca="1">'2.1 PnL'!J10</f>
        <v>1827264.5806809119</v>
      </c>
      <c r="K17" s="360">
        <f ca="1">'2.1 PnL'!K10</f>
        <v>3021372.8599488121</v>
      </c>
      <c r="L17" s="360">
        <f ca="1">'2.1 PnL'!L10</f>
        <v>4014595.898194416</v>
      </c>
      <c r="M17" s="360">
        <f ca="1">'2.1 PnL'!M10</f>
        <v>4932869.8634395283</v>
      </c>
      <c r="N17" s="360">
        <f ca="1">'2.1 PnL'!N10</f>
        <v>6266093.474355056</v>
      </c>
      <c r="O17" s="360">
        <f ca="1">'2.1 PnL'!O10</f>
        <v>7956540.7048821002</v>
      </c>
      <c r="P17" s="360">
        <f ca="1">'2.1 PnL'!P10</f>
        <v>9580225.4568995349</v>
      </c>
      <c r="Q17" s="360">
        <f ca="1">'2.1 PnL'!Q10</f>
        <v>11472495.464809123</v>
      </c>
      <c r="R17" s="360">
        <f ca="1">'2.1 PnL'!R10</f>
        <v>13722963.104478678</v>
      </c>
      <c r="S17" s="360">
        <f ca="1">'2.1 PnL'!S10</f>
        <v>15611595.768448638</v>
      </c>
      <c r="T17" s="360">
        <f ca="1">'2.1 PnL'!T10</f>
        <v>17329924.028056324</v>
      </c>
      <c r="U17" s="360">
        <f ca="1">'2.1 PnL'!U10</f>
        <v>19075235.616151083</v>
      </c>
      <c r="V17" s="360">
        <f ca="1">'2.1 PnL'!V10</f>
        <v>21817810.673020799</v>
      </c>
      <c r="W17" s="360">
        <f ca="1">'2.1 PnL'!W10</f>
        <v>24529028.474618517</v>
      </c>
      <c r="X17" s="360">
        <f ca="1">'2.1 PnL'!X10</f>
        <v>26785286.338154331</v>
      </c>
      <c r="Y17" s="360">
        <f ca="1">'2.1 PnL'!Y10</f>
        <v>28548639.474493809</v>
      </c>
      <c r="Z17" s="360">
        <f ca="1">'2.1 PnL'!Z10</f>
        <v>31588844.117095683</v>
      </c>
      <c r="AA17" s="360">
        <f ca="1">'2.1 PnL'!AA10</f>
        <v>34390162.722578533</v>
      </c>
      <c r="AB17" s="360">
        <f ca="1">'2.1 PnL'!AB10</f>
        <v>36862741.053665414</v>
      </c>
      <c r="AC17" s="360">
        <f ca="1">'2.1 PnL'!AC10</f>
        <v>41203374.290414162</v>
      </c>
      <c r="AD17" s="360">
        <f ca="1">'2.1 PnL'!AD10</f>
        <v>45390717.857285395</v>
      </c>
      <c r="AE17" s="360">
        <f ca="1">'2.1 PnL'!AE10</f>
        <v>48357434.470365018</v>
      </c>
      <c r="AF17" s="360">
        <f ca="1">'2.1 PnL'!AF10</f>
        <v>50863835.701002344</v>
      </c>
      <c r="AG17" s="360">
        <f ca="1">'2.1 PnL'!AG10</f>
        <v>52904776.775837734</v>
      </c>
      <c r="AH17" s="360">
        <f ca="1">'2.1 PnL'!AH10</f>
        <v>59244359.700196639</v>
      </c>
      <c r="AI17" s="360">
        <f ca="1">'2.1 PnL'!AI10</f>
        <v>66138798.297764666</v>
      </c>
      <c r="AJ17" s="360">
        <f ca="1">'2.1 PnL'!AJ10</f>
        <v>72068196.595321119</v>
      </c>
      <c r="AK17" s="360">
        <f ca="1">'2.1 PnL'!AK10</f>
        <v>77483795.109410435</v>
      </c>
      <c r="AL17" s="360">
        <f ca="1">'2.1 PnL'!AL10</f>
        <v>85860860.375381291</v>
      </c>
      <c r="AM17" s="360">
        <f ca="1">'2.1 PnL'!AM10</f>
        <v>94771517.223200634</v>
      </c>
      <c r="AN17" s="360">
        <f ca="1">'2.1 PnL'!AN10</f>
        <v>102391124.55298714</v>
      </c>
    </row>
    <row r="18" spans="2:40" x14ac:dyDescent="0.25">
      <c r="B18" s="133">
        <f t="shared" si="1"/>
        <v>6</v>
      </c>
      <c r="C18" s="132" t="s">
        <v>897</v>
      </c>
      <c r="D18" s="159" t="s">
        <v>46</v>
      </c>
      <c r="E18" s="360">
        <f ca="1">'2.1 PnL'!E18</f>
        <v>-92835.379146129126</v>
      </c>
      <c r="F18" s="360">
        <f ca="1">'2.1 PnL'!F18</f>
        <v>322135.53002088028</v>
      </c>
      <c r="G18" s="360">
        <f ca="1">'2.1 PnL'!G18</f>
        <v>501527.22519697942</v>
      </c>
      <c r="H18" s="360">
        <f ca="1">'2.1 PnL'!H18</f>
        <v>670046.26417580608</v>
      </c>
      <c r="I18" s="360">
        <f ca="1">'2.1 PnL'!I18</f>
        <v>865358.95274539758</v>
      </c>
      <c r="J18" s="360">
        <f ca="1">'2.1 PnL'!J18</f>
        <v>1634383.7260777142</v>
      </c>
      <c r="K18" s="360">
        <f ca="1">'2.1 PnL'!K18</f>
        <v>2707767.8855759017</v>
      </c>
      <c r="L18" s="360">
        <f ca="1">'2.1 PnL'!L18</f>
        <v>3599583.9126818371</v>
      </c>
      <c r="M18" s="360">
        <f ca="1">'2.1 PnL'!M18</f>
        <v>4421754.0006698444</v>
      </c>
      <c r="N18" s="360">
        <f ca="1">'2.1 PnL'!N18</f>
        <v>5619509.7037113886</v>
      </c>
      <c r="O18" s="360">
        <f ca="1">'2.1 PnL'!O18</f>
        <v>7137314.0952803148</v>
      </c>
      <c r="P18" s="360">
        <f ca="1">'2.1 PnL'!P18</f>
        <v>8588597.0813470762</v>
      </c>
      <c r="Q18" s="360">
        <f ca="1">'2.1 PnL'!Q18</f>
        <v>10285712.123017898</v>
      </c>
      <c r="R18" s="360">
        <f ca="1">'2.1 PnL'!R18</f>
        <v>12310492.912039787</v>
      </c>
      <c r="S18" s="360">
        <f ca="1">'2.1 PnL'!S18</f>
        <v>14006530.289421901</v>
      </c>
      <c r="T18" s="360">
        <f ca="1">'2.1 PnL'!T18</f>
        <v>15549517.181302004</v>
      </c>
      <c r="U18" s="360">
        <f ca="1">'2.1 PnL'!U18</f>
        <v>17107111.050250657</v>
      </c>
      <c r="V18" s="360">
        <f ca="1">'2.1 PnL'!V18</f>
        <v>19574436.389714375</v>
      </c>
      <c r="W18" s="360">
        <f ca="1">'2.1 PnL'!W18</f>
        <v>22009182.127351921</v>
      </c>
      <c r="X18" s="360">
        <f ca="1">'2.1 PnL'!X18</f>
        <v>24035358.669823002</v>
      </c>
      <c r="Y18" s="360">
        <f ca="1">'2.1 PnL'!Y18</f>
        <v>25615206.260970864</v>
      </c>
      <c r="Z18" s="360">
        <f ca="1">'2.1 PnL'!Z18</f>
        <v>28346850.517255664</v>
      </c>
      <c r="AA18" s="360">
        <f ca="1">'2.1 PnL'!AA18</f>
        <v>30862477.544570211</v>
      </c>
      <c r="AB18" s="360">
        <f ca="1">'2.1 PnL'!AB18</f>
        <v>33058311.668036301</v>
      </c>
      <c r="AC18" s="360">
        <f ca="1">'2.1 PnL'!AC18</f>
        <v>36957917.674928531</v>
      </c>
      <c r="AD18" s="360">
        <f ca="1">'2.1 PnL'!AD18</f>
        <v>40729548.983397879</v>
      </c>
      <c r="AE18" s="360">
        <f ca="1">'2.1 PnL'!AE18</f>
        <v>43393763.96700263</v>
      </c>
      <c r="AF18" s="360">
        <f ca="1">'2.1 PnL'!AF18</f>
        <v>45644591.543239914</v>
      </c>
      <c r="AG18" s="360">
        <f ca="1">'2.1 PnL'!AG18</f>
        <v>47450986.685029268</v>
      </c>
      <c r="AH18" s="360">
        <f ca="1">'2.1 PnL'!AH18</f>
        <v>53156464.051013775</v>
      </c>
      <c r="AI18" s="360">
        <f ca="1">'2.1 PnL'!AI18</f>
        <v>59347846.00917697</v>
      </c>
      <c r="AJ18" s="360">
        <f ca="1">'2.1 PnL'!AJ18</f>
        <v>64672580.667900376</v>
      </c>
      <c r="AK18" s="360">
        <f ca="1">'2.1 PnL'!AK18</f>
        <v>69516441.345172092</v>
      </c>
      <c r="AL18" s="360">
        <f ca="1">'2.1 PnL'!AL18</f>
        <v>77048902.312862471</v>
      </c>
      <c r="AM18" s="360">
        <f ca="1">'2.1 PnL'!AM18</f>
        <v>85050866.558452427</v>
      </c>
      <c r="AN18" s="360">
        <f ca="1">'2.1 PnL'!AN18</f>
        <v>91820407.893327296</v>
      </c>
    </row>
    <row r="19" spans="2:40" x14ac:dyDescent="0.25">
      <c r="B19" s="133">
        <f t="shared" si="1"/>
        <v>7</v>
      </c>
      <c r="C19" s="133" t="s">
        <v>899</v>
      </c>
      <c r="D19" s="159" t="s">
        <v>46</v>
      </c>
      <c r="E19" s="387">
        <f ca="1">'2.2 BS'!E10/'2.2 BS'!E20</f>
        <v>6.3213580562431044</v>
      </c>
      <c r="F19" s="387">
        <f ca="1">'2.2 BS'!F10/'2.2 BS'!F20</f>
        <v>12.39768978732571</v>
      </c>
      <c r="G19" s="387">
        <f ca="1">'2.2 BS'!G10/'2.2 BS'!G20</f>
        <v>21.197553000833054</v>
      </c>
      <c r="H19" s="387">
        <f ca="1">'2.2 BS'!H10/'2.2 BS'!H20</f>
        <v>86.045961612114127</v>
      </c>
      <c r="I19" s="387">
        <f ca="1">'2.2 BS'!I10/'2.2 BS'!I20</f>
        <v>95.965433260461936</v>
      </c>
      <c r="J19" s="387">
        <f ca="1">'2.2 BS'!J10/'2.2 BS'!J20</f>
        <v>113.43419677913911</v>
      </c>
      <c r="K19" s="387">
        <f ca="1">'2.2 BS'!K10/'2.2 BS'!K20</f>
        <v>152.0829712928344</v>
      </c>
      <c r="L19" s="387">
        <f ca="1">'2.2 BS'!L10/'2.2 BS'!L20</f>
        <v>306.47282071824196</v>
      </c>
      <c r="M19" s="387">
        <f ca="1">'2.2 BS'!M10/'2.2 BS'!M20</f>
        <v>335.74093049557871</v>
      </c>
      <c r="N19" s="387">
        <f ca="1">'2.2 BS'!N10/'2.2 BS'!N20</f>
        <v>394.44726951011</v>
      </c>
      <c r="O19" s="387">
        <f ca="1">'2.2 BS'!O10/'2.2 BS'!O20</f>
        <v>451.62404267090244</v>
      </c>
      <c r="P19" s="387">
        <f ca="1">'2.2 BS'!P10/'2.2 BS'!P20</f>
        <v>482.8209203488189</v>
      </c>
      <c r="Q19" s="387">
        <f ca="1">'2.2 BS'!Q10/'2.2 BS'!Q20</f>
        <v>475.84405219825322</v>
      </c>
      <c r="R19" s="387">
        <f ca="1">'2.2 BS'!R10/'2.2 BS'!R20</f>
        <v>579.02564382014168</v>
      </c>
      <c r="S19" s="387">
        <f ca="1">'2.2 BS'!S10/'2.2 BS'!S20</f>
        <v>662.65033458093842</v>
      </c>
      <c r="T19" s="387">
        <f ca="1">'2.2 BS'!T10/'2.2 BS'!T20</f>
        <v>752.88919366210894</v>
      </c>
      <c r="U19" s="387">
        <f ca="1">'2.2 BS'!U10/'2.2 BS'!U20</f>
        <v>742.73850373140317</v>
      </c>
      <c r="V19" s="387">
        <f ca="1">'2.2 BS'!V10/'2.2 BS'!V20</f>
        <v>865.22854374190661</v>
      </c>
      <c r="W19" s="387">
        <f ca="1">'2.2 BS'!W10/'2.2 BS'!W20</f>
        <v>950.02854204036123</v>
      </c>
      <c r="X19" s="387">
        <f ca="1">'2.2 BS'!X10/'2.2 BS'!X20</f>
        <v>1048.2976574272498</v>
      </c>
      <c r="Y19" s="387">
        <f ca="1">'2.2 BS'!Y10/'2.2 BS'!Y20</f>
        <v>1254.8840562146729</v>
      </c>
      <c r="Z19" s="387">
        <f ca="1">'2.2 BS'!Z10/'2.2 BS'!Z20</f>
        <v>1352.7247332622619</v>
      </c>
      <c r="AA19" s="387">
        <f ca="1">'2.2 BS'!AA10/'2.2 BS'!AA20</f>
        <v>1441.2899623323731</v>
      </c>
      <c r="AB19" s="387">
        <f ca="1">'2.2 BS'!AB10/'2.2 BS'!AB20</f>
        <v>1379.9677948673898</v>
      </c>
      <c r="AC19" s="387">
        <f ca="1">'2.2 BS'!AC10/'2.2 BS'!AC20</f>
        <v>1221.5698392252871</v>
      </c>
      <c r="AD19" s="387">
        <f ca="1">'2.2 BS'!AD10/'2.2 BS'!AD20</f>
        <v>1394.8035940495688</v>
      </c>
      <c r="AE19" s="387">
        <f ca="1">'2.2 BS'!AE10/'2.2 BS'!AE20</f>
        <v>1493.2938137547615</v>
      </c>
      <c r="AF19" s="387">
        <f ca="1">'2.2 BS'!AF10/'2.2 BS'!AF20</f>
        <v>1602.0789210735036</v>
      </c>
      <c r="AG19" s="387">
        <f ca="1">'2.2 BS'!AG10/'2.2 BS'!AG20</f>
        <v>1473.2538528374578</v>
      </c>
      <c r="AH19" s="387">
        <f ca="1">'2.2 BS'!AH10/'2.2 BS'!AH20</f>
        <v>1768.5391216713995</v>
      </c>
      <c r="AI19" s="387">
        <f ca="1">'2.2 BS'!AI10/'2.2 BS'!AI20</f>
        <v>1805.4789270106035</v>
      </c>
      <c r="AJ19" s="387">
        <f ca="1">'2.2 BS'!AJ10/'2.2 BS'!AJ20</f>
        <v>1867.7334454965815</v>
      </c>
      <c r="AK19" s="387">
        <f ca="1">'2.2 BS'!AK10/'2.2 BS'!AK20</f>
        <v>1783.4750624781714</v>
      </c>
      <c r="AL19" s="387">
        <f ca="1">'2.2 BS'!AL10/'2.2 BS'!AL20</f>
        <v>1899.1814577265268</v>
      </c>
      <c r="AM19" s="387">
        <f ca="1">'2.2 BS'!AM10/'2.2 BS'!AM20</f>
        <v>1941.3850749325077</v>
      </c>
      <c r="AN19" s="387">
        <f ca="1">'2.2 BS'!AN10/'2.2 BS'!AN20</f>
        <v>1920.1272580711382</v>
      </c>
    </row>
    <row r="20" spans="2:40" x14ac:dyDescent="0.25">
      <c r="B20" s="133">
        <f t="shared" si="1"/>
        <v>8</v>
      </c>
      <c r="C20" s="133" t="s">
        <v>900</v>
      </c>
      <c r="D20" s="159" t="s">
        <v>46</v>
      </c>
      <c r="E20" s="349">
        <f ca="1">IFERROR('2.2 BS'!E11/'2.2 BS'!E21,"N/A")</f>
        <v>9.4479362868086483</v>
      </c>
      <c r="F20" s="349">
        <f ca="1">IFERROR('2.2 BS'!F11/'2.2 BS'!F21,"N/A")</f>
        <v>64.377269584252048</v>
      </c>
      <c r="G20" s="349">
        <f ca="1">IFERROR('2.2 BS'!G11/'2.2 BS'!G21,"N/A")</f>
        <v>84.622940657337452</v>
      </c>
      <c r="H20" s="349">
        <f ca="1">IFERROR('2.2 BS'!H11/'2.2 BS'!H21,"N/A")</f>
        <v>455.86644836160707</v>
      </c>
      <c r="I20" s="349">
        <f ca="1">IFERROR('2.2 BS'!I11/'2.2 BS'!I21,"N/A")</f>
        <v>340.57895153676407</v>
      </c>
      <c r="J20" s="349">
        <f ca="1">IFERROR('2.2 BS'!J11/'2.2 BS'!J21,"N/A")</f>
        <v>294.34375181374776</v>
      </c>
      <c r="K20" s="349">
        <f ca="1">IFERROR('2.2 BS'!K11/'2.2 BS'!K21,"N/A")</f>
        <v>368.98744176595</v>
      </c>
      <c r="L20" s="349">
        <f ca="1">IFERROR('2.2 BS'!L11/'2.2 BS'!L21,"N/A")</f>
        <v>714.34282663938632</v>
      </c>
      <c r="M20" s="349">
        <f ca="1">IFERROR('2.2 BS'!M11/'2.2 BS'!M21,"N/A")</f>
        <v>663.51301969462588</v>
      </c>
      <c r="N20" s="349">
        <f ca="1">IFERROR('2.2 BS'!N11/'2.2 BS'!N21,"N/A")</f>
        <v>726.28289111779316</v>
      </c>
      <c r="O20" s="349">
        <f ca="1">IFERROR('2.2 BS'!O11/'2.2 BS'!O21,"N/A")</f>
        <v>765.74824434970265</v>
      </c>
      <c r="P20" s="349">
        <f ca="1">IFERROR('2.2 BS'!P11/'2.2 BS'!P21,"N/A")</f>
        <v>818.34948972724987</v>
      </c>
      <c r="Q20" s="349">
        <f ca="1">IFERROR('2.2 BS'!Q11/'2.2 BS'!Q21,"N/A")</f>
        <v>690.26177182535878</v>
      </c>
      <c r="R20" s="349">
        <f ca="1">IFERROR('2.2 BS'!R11/'2.2 BS'!R21,"N/A")</f>
        <v>826.08723672156498</v>
      </c>
      <c r="S20" s="349">
        <f ca="1">IFERROR('2.2 BS'!S11/'2.2 BS'!S21,"N/A")</f>
        <v>914.63165393006523</v>
      </c>
      <c r="T20" s="349">
        <f ca="1">IFERROR('2.2 BS'!T11/'2.2 BS'!T21,"N/A")</f>
        <v>1010.0445430806687</v>
      </c>
      <c r="U20" s="349">
        <f ca="1">IFERROR('2.2 BS'!U11/'2.2 BS'!U21,"N/A")</f>
        <v>928.46605507340223</v>
      </c>
      <c r="V20" s="349">
        <f ca="1">IFERROR('2.2 BS'!V11/'2.2 BS'!V21,"N/A")</f>
        <v>1071.8464048956955</v>
      </c>
      <c r="W20" s="349">
        <f ca="1">IFERROR('2.2 BS'!W11/'2.2 BS'!W21,"N/A")</f>
        <v>1149.398422607454</v>
      </c>
      <c r="X20" s="349">
        <f ca="1">IFERROR('2.2 BS'!X11/'2.2 BS'!X21,"N/A")</f>
        <v>1245.0007105333507</v>
      </c>
      <c r="Y20" s="349">
        <f ca="1">IFERROR('2.2 BS'!Y11/'2.2 BS'!Y21,"N/A")</f>
        <v>1461.3326196518206</v>
      </c>
      <c r="Z20" s="349">
        <f ca="1">IFERROR('2.2 BS'!Z11/'2.2 BS'!Z21,"N/A")</f>
        <v>1551.0818286188967</v>
      </c>
      <c r="AA20" s="349">
        <f ca="1">IFERROR('2.2 BS'!AA11/'2.2 BS'!AA21,"N/A")</f>
        <v>1626.7854230304258</v>
      </c>
      <c r="AB20" s="349">
        <f ca="1">IFERROR('2.2 BS'!AB11/'2.2 BS'!AB21,"N/A")</f>
        <v>1712.7773530079885</v>
      </c>
      <c r="AC20" s="349">
        <f ca="1">IFERROR('2.2 BS'!AC11/'2.2 BS'!AC21,"N/A")</f>
        <v>1427.9769825381777</v>
      </c>
      <c r="AD20" s="349">
        <f ca="1">IFERROR('2.2 BS'!AD11/'2.2 BS'!AD21,"N/A")</f>
        <v>1629.7477879346889</v>
      </c>
      <c r="AE20" s="349">
        <f ca="1">IFERROR('2.2 BS'!AE11/'2.2 BS'!AE21,"N/A")</f>
        <v>1724.0273218115547</v>
      </c>
      <c r="AF20" s="349">
        <f ca="1">IFERROR('2.2 BS'!AF11/'2.2 BS'!AF21,"N/A")</f>
        <v>1830.8951034359034</v>
      </c>
      <c r="AG20" s="349">
        <f ca="1">IFERROR('2.2 BS'!AG11/'2.2 BS'!AG21,"N/A")</f>
        <v>1631.5286592446801</v>
      </c>
      <c r="AH20" s="349">
        <f ca="1">IFERROR('2.2 BS'!AH11/'2.2 BS'!AH21,"N/A")</f>
        <v>1953.9034084597151</v>
      </c>
      <c r="AI20" s="349">
        <f ca="1">IFERROR('2.2 BS'!AI11/'2.2 BS'!AI21,"N/A")</f>
        <v>1969.9201113256236</v>
      </c>
      <c r="AJ20" s="349">
        <f ca="1">IFERROR('2.2 BS'!AJ11/'2.2 BS'!AJ21,"N/A")</f>
        <v>2017.7279415684193</v>
      </c>
      <c r="AK20" s="349">
        <f ca="1">IFERROR('2.2 BS'!AK11/'2.2 BS'!AK21,"N/A")</f>
        <v>1895.9288945009878</v>
      </c>
      <c r="AL20" s="349">
        <f ca="1">IFERROR('2.2 BS'!AL11/'2.2 BS'!AL21,"N/A")</f>
        <v>2007.8406009019359</v>
      </c>
      <c r="AM20" s="349">
        <f ca="1">IFERROR('2.2 BS'!AM11/'2.2 BS'!AM21,"N/A")</f>
        <v>2035.867715434845</v>
      </c>
      <c r="AN20" s="349">
        <f ca="1">IFERROR('2.2 BS'!AN11/'2.2 BS'!AN21,"N/A")</f>
        <v>2270.2159899803141</v>
      </c>
    </row>
    <row r="21" spans="2:40" x14ac:dyDescent="0.25">
      <c r="B21" s="132">
        <f t="shared" si="1"/>
        <v>9</v>
      </c>
      <c r="C21" s="132" t="s">
        <v>901</v>
      </c>
      <c r="D21" s="159" t="s">
        <v>46</v>
      </c>
      <c r="E21" s="349">
        <f ca="1">IFERROR(('2.2 BS'!E11-'2.2 BS'!E15)/'2.2 BS'!E21,"N/A")</f>
        <v>8.9479362868086483</v>
      </c>
      <c r="F21" s="349">
        <f ca="1">IFERROR(('2.2 BS'!F11-'2.2 BS'!F15)/'2.2 BS'!F21,"N/A")</f>
        <v>63.877269584252055</v>
      </c>
      <c r="G21" s="349">
        <f ca="1">IFERROR(('2.2 BS'!G11-'2.2 BS'!G15)/'2.2 BS'!G21,"N/A")</f>
        <v>84.122940657337466</v>
      </c>
      <c r="H21" s="349">
        <f ca="1">IFERROR(('2.2 BS'!H11-'2.2 BS'!H15)/'2.2 BS'!H21,"N/A")</f>
        <v>455.36644836160707</v>
      </c>
      <c r="I21" s="349">
        <f ca="1">IFERROR(('2.2 BS'!I11-'2.2 BS'!I15)/'2.2 BS'!I21,"N/A")</f>
        <v>340.07895153676412</v>
      </c>
      <c r="J21" s="349">
        <f ca="1">IFERROR(('2.2 BS'!J11-'2.2 BS'!J15)/'2.2 BS'!J21,"N/A")</f>
        <v>293.84375181374776</v>
      </c>
      <c r="K21" s="349">
        <f ca="1">IFERROR(('2.2 BS'!K11-'2.2 BS'!K15)/'2.2 BS'!K21,"N/A")</f>
        <v>368.48744176594994</v>
      </c>
      <c r="L21" s="349">
        <f ca="1">IFERROR(('2.2 BS'!L11-'2.2 BS'!L15)/'2.2 BS'!L21,"N/A")</f>
        <v>713.84282663938632</v>
      </c>
      <c r="M21" s="349">
        <f ca="1">IFERROR(('2.2 BS'!M11-'2.2 BS'!M15)/'2.2 BS'!M21,"N/A")</f>
        <v>663.013019694626</v>
      </c>
      <c r="N21" s="349">
        <f ca="1">IFERROR(('2.2 BS'!N11-'2.2 BS'!N15)/'2.2 BS'!N21,"N/A")</f>
        <v>725.78289111779316</v>
      </c>
      <c r="O21" s="349">
        <f ca="1">IFERROR(('2.2 BS'!O11-'2.2 BS'!O15)/'2.2 BS'!O21,"N/A")</f>
        <v>765.24824434970265</v>
      </c>
      <c r="P21" s="349">
        <f ca="1">IFERROR(('2.2 BS'!P11-'2.2 BS'!P15)/'2.2 BS'!P21,"N/A")</f>
        <v>817.84948972724987</v>
      </c>
      <c r="Q21" s="349">
        <f ca="1">IFERROR(('2.2 BS'!Q11-'2.2 BS'!Q15)/'2.2 BS'!Q21,"N/A")</f>
        <v>689.76177182535878</v>
      </c>
      <c r="R21" s="349">
        <f ca="1">IFERROR(('2.2 BS'!R11-'2.2 BS'!R15)/'2.2 BS'!R21,"N/A")</f>
        <v>825.58723672156509</v>
      </c>
      <c r="S21" s="349">
        <f ca="1">IFERROR(('2.2 BS'!S11-'2.2 BS'!S15)/'2.2 BS'!S21,"N/A")</f>
        <v>914.13165393006523</v>
      </c>
      <c r="T21" s="349">
        <f ca="1">IFERROR(('2.2 BS'!T11-'2.2 BS'!T15)/'2.2 BS'!T21,"N/A")</f>
        <v>1009.5445430806689</v>
      </c>
      <c r="U21" s="349">
        <f ca="1">IFERROR(('2.2 BS'!U11-'2.2 BS'!U15)/'2.2 BS'!U21,"N/A")</f>
        <v>927.96605507340223</v>
      </c>
      <c r="V21" s="349">
        <f ca="1">IFERROR(('2.2 BS'!V11-'2.2 BS'!V15)/'2.2 BS'!V21,"N/A")</f>
        <v>1071.3464048956957</v>
      </c>
      <c r="W21" s="349">
        <f ca="1">IFERROR(('2.2 BS'!W11-'2.2 BS'!W15)/'2.2 BS'!W21,"N/A")</f>
        <v>1148.898422607454</v>
      </c>
      <c r="X21" s="349">
        <f ca="1">IFERROR(('2.2 BS'!X11-'2.2 BS'!X15)/'2.2 BS'!X21,"N/A")</f>
        <v>1244.5007105333509</v>
      </c>
      <c r="Y21" s="349">
        <f ca="1">IFERROR(('2.2 BS'!Y11-'2.2 BS'!Y15)/'2.2 BS'!Y21,"N/A")</f>
        <v>1460.8326196518206</v>
      </c>
      <c r="Z21" s="349">
        <f ca="1">IFERROR(('2.2 BS'!Z11-'2.2 BS'!Z15)/'2.2 BS'!Z21,"N/A")</f>
        <v>1550.5818286188967</v>
      </c>
      <c r="AA21" s="349">
        <f ca="1">IFERROR(('2.2 BS'!AA11-'2.2 BS'!AA15)/'2.2 BS'!AA21,"N/A")</f>
        <v>1626.2854230304256</v>
      </c>
      <c r="AB21" s="349">
        <f ca="1">IFERROR(('2.2 BS'!AB11-'2.2 BS'!AB15)/'2.2 BS'!AB21,"N/A")</f>
        <v>1712.2773530079885</v>
      </c>
      <c r="AC21" s="349">
        <f ca="1">IFERROR(('2.2 BS'!AC11-'2.2 BS'!AC15)/'2.2 BS'!AC21,"N/A")</f>
        <v>1427.4769825381777</v>
      </c>
      <c r="AD21" s="349">
        <f ca="1">IFERROR(('2.2 BS'!AD11-'2.2 BS'!AD15)/'2.2 BS'!AD21,"N/A")</f>
        <v>1629.2477879346889</v>
      </c>
      <c r="AE21" s="349">
        <f ca="1">IFERROR(('2.2 BS'!AE11-'2.2 BS'!AE15)/'2.2 BS'!AE21,"N/A")</f>
        <v>1723.5273218115547</v>
      </c>
      <c r="AF21" s="349">
        <f ca="1">IFERROR(('2.2 BS'!AF11-'2.2 BS'!AF15)/'2.2 BS'!AF21,"N/A")</f>
        <v>1830.3951034359034</v>
      </c>
      <c r="AG21" s="349">
        <f ca="1">IFERROR(('2.2 BS'!AG11-'2.2 BS'!AG15)/'2.2 BS'!AG21,"N/A")</f>
        <v>1631.0286592446801</v>
      </c>
      <c r="AH21" s="349">
        <f ca="1">IFERROR(('2.2 BS'!AH11-'2.2 BS'!AH15)/'2.2 BS'!AH21,"N/A")</f>
        <v>1953.4034084597154</v>
      </c>
      <c r="AI21" s="349">
        <f ca="1">IFERROR(('2.2 BS'!AI11-'2.2 BS'!AI15)/'2.2 BS'!AI21,"N/A")</f>
        <v>1969.4201113256233</v>
      </c>
      <c r="AJ21" s="349">
        <f ca="1">IFERROR(('2.2 BS'!AJ11-'2.2 BS'!AJ15)/'2.2 BS'!AJ21,"N/A")</f>
        <v>2017.2279415684193</v>
      </c>
      <c r="AK21" s="349">
        <f ca="1">IFERROR(('2.2 BS'!AK11-'2.2 BS'!AK15)/'2.2 BS'!AK21,"N/A")</f>
        <v>1895.428894500988</v>
      </c>
      <c r="AL21" s="349">
        <f ca="1">IFERROR(('2.2 BS'!AL11-'2.2 BS'!AL15)/'2.2 BS'!AL21,"N/A")</f>
        <v>2007.3406009019359</v>
      </c>
      <c r="AM21" s="349">
        <f ca="1">IFERROR(('2.2 BS'!AM11-'2.2 BS'!AM15)/'2.2 BS'!AM21,"N/A")</f>
        <v>2035.3677154348452</v>
      </c>
      <c r="AN21" s="349">
        <f ca="1">IFERROR(('2.2 BS'!AN11-'2.2 BS'!AN15)/'2.2 BS'!AN21,"N/A")</f>
        <v>2269.7159899803141</v>
      </c>
    </row>
    <row r="22" spans="2:40" x14ac:dyDescent="0.25">
      <c r="B22" s="132">
        <f t="shared" si="1"/>
        <v>10</v>
      </c>
      <c r="C22" s="132" t="s">
        <v>902</v>
      </c>
      <c r="D22" s="159" t="s">
        <v>46</v>
      </c>
      <c r="E22" s="727">
        <f ca="1">'2.2 BS'!E25/'2.2 BS'!E5</f>
        <v>0.13432274719391718</v>
      </c>
      <c r="F22" s="727">
        <f ca="1">'2.2 BS'!F25/'2.2 BS'!F5</f>
        <v>7.219464837008864E-2</v>
      </c>
      <c r="G22" s="727">
        <f ca="1">'2.2 BS'!G25/'2.2 BS'!G5</f>
        <v>4.1163863454921845E-2</v>
      </c>
      <c r="H22" s="727">
        <f ca="1">'2.2 BS'!H25/'2.2 BS'!H5</f>
        <v>9.9299979776880549E-3</v>
      </c>
      <c r="I22" s="727">
        <f ca="1">'2.2 BS'!I25/'2.2 BS'!I5</f>
        <v>8.1983525162061689E-3</v>
      </c>
      <c r="J22" s="727">
        <f ca="1">'2.2 BS'!J25/'2.2 BS'!J5</f>
        <v>6.1974016008626122E-3</v>
      </c>
      <c r="K22" s="727">
        <f ca="1">'2.2 BS'!K25/'2.2 BS'!K5</f>
        <v>4.400761831042232E-3</v>
      </c>
      <c r="L22" s="727">
        <f ca="1">'2.2 BS'!L25/'2.2 BS'!L5</f>
        <v>2.031702824769797E-3</v>
      </c>
      <c r="M22" s="727">
        <f ca="1">'2.2 BS'!M25/'2.2 BS'!M5</f>
        <v>1.6270408268640622E-3</v>
      </c>
      <c r="N22" s="727">
        <f ca="1">'2.2 BS'!N25/'2.2 BS'!N5</f>
        <v>1.2900312606731463E-3</v>
      </c>
      <c r="O22" s="727">
        <f ca="1">'2.2 BS'!O25/'2.2 BS'!O5</f>
        <v>1.0136798600599939E-3</v>
      </c>
      <c r="P22" s="727">
        <f ca="1">'2.2 BS'!P25/'2.2 BS'!P5</f>
        <v>7.9821984281842027E-4</v>
      </c>
      <c r="Q22" s="727">
        <f ca="1">'2.2 BS'!Q25/'2.2 BS'!Q5</f>
        <v>6.2986615651389774E-4</v>
      </c>
      <c r="R22" s="727">
        <f ca="1">'2.2 BS'!R25/'2.2 BS'!R5</f>
        <v>4.9793575212656808E-4</v>
      </c>
      <c r="S22" s="727">
        <f ca="1">'2.2 BS'!S25/'2.2 BS'!S5</f>
        <v>3.9725516801643844E-4</v>
      </c>
      <c r="T22" s="727">
        <f ca="1">'2.2 BS'!T25/'2.2 BS'!T5</f>
        <v>3.202897878639848E-4</v>
      </c>
      <c r="U22" s="727">
        <f ca="1">'2.2 BS'!U25/'2.2 BS'!U5</f>
        <v>2.6050730811032354E-4</v>
      </c>
      <c r="V22" s="727">
        <f ca="1">'2.2 BS'!V25/'2.2 BS'!V5</f>
        <v>2.1210054884589547E-4</v>
      </c>
      <c r="W22" s="727">
        <f ca="1">'2.2 BS'!W25/'2.2 BS'!W5</f>
        <v>1.7308432960189206E-4</v>
      </c>
      <c r="X22" s="727">
        <f ca="1">'2.2 BS'!X25/'2.2 BS'!X5</f>
        <v>1.419512288736805E-4</v>
      </c>
      <c r="Y22" s="727">
        <f ca="1">'2.2 BS'!Y25/'2.2 BS'!Y5</f>
        <v>1.0397487851601851E-4</v>
      </c>
      <c r="Z22" s="727">
        <f ca="1">'2.2 BS'!Z25/'2.2 BS'!Z5</f>
        <v>8.6900808288642979E-5</v>
      </c>
      <c r="AA22" s="727">
        <f ca="1">'2.2 BS'!AA25/'2.2 BS'!AA5</f>
        <v>7.2487396193158954E-5</v>
      </c>
      <c r="AB22" s="727">
        <f ca="1">'2.2 BS'!AB25/'2.2 BS'!AB5</f>
        <v>6.0368105480266782E-5</v>
      </c>
      <c r="AC22" s="727">
        <f ca="1">'2.2 BS'!AC25/'2.2 BS'!AC5</f>
        <v>4.9899971494022203E-5</v>
      </c>
      <c r="AD22" s="727">
        <f ca="1">'2.2 BS'!AD25/'2.2 BS'!AD5</f>
        <v>4.0956940961980851E-5</v>
      </c>
      <c r="AE22" s="727">
        <f ca="1">'2.2 BS'!AE25/'2.2 BS'!AE5</f>
        <v>3.3420897262689747E-5</v>
      </c>
      <c r="AF22" s="727">
        <f ca="1">'2.2 BS'!AF25/'2.2 BS'!AF5</f>
        <v>2.7066929618998613E-5</v>
      </c>
      <c r="AG22" s="727">
        <f ca="1">'2.2 BS'!AG25/'2.2 BS'!AG5</f>
        <v>2.1690467208980113E-5</v>
      </c>
      <c r="AH22" s="727">
        <f ca="1">'2.2 BS'!AH25/'2.2 BS'!AH5</f>
        <v>1.5615667536973301E-5</v>
      </c>
      <c r="AI22" s="727">
        <f ca="1">'2.2 BS'!AI25/'2.2 BS'!AI5</f>
        <v>1.1967052128278049E-5</v>
      </c>
      <c r="AJ22" s="727">
        <f ca="1">'2.2 BS'!AJ25/'2.2 BS'!AJ5</f>
        <v>8.8056965724044287E-6</v>
      </c>
      <c r="AK22" s="727">
        <f ca="1">'2.2 BS'!AK25/'2.2 BS'!AK5</f>
        <v>6.082157764461409E-6</v>
      </c>
      <c r="AL22" s="727">
        <f ca="1">'2.2 BS'!AL25/'2.2 BS'!AL5</f>
        <v>3.7293442543271871E-6</v>
      </c>
      <c r="AM22" s="727">
        <f ca="1">'2.2 BS'!AM25/'2.2 BS'!AM5</f>
        <v>1.713397960628023E-6</v>
      </c>
      <c r="AN22" s="727">
        <f ca="1">'2.2 BS'!AN25/'2.2 BS'!AN5</f>
        <v>9.204712191598015E-21</v>
      </c>
    </row>
    <row r="23" spans="2:40" x14ac:dyDescent="0.25">
      <c r="B23" s="132">
        <f t="shared" si="1"/>
        <v>11</v>
      </c>
      <c r="C23" s="132" t="s">
        <v>898</v>
      </c>
      <c r="D23" s="159" t="s">
        <v>46</v>
      </c>
      <c r="E23" s="728">
        <f ca="1">'2.2 BS'!E25/'2.2 BS'!E27</f>
        <v>0.15956494021573936</v>
      </c>
      <c r="F23" s="727">
        <f ca="1">'2.2 BS'!F25/'2.2 BS'!F27</f>
        <v>7.8528795878680197E-2</v>
      </c>
      <c r="G23" s="727">
        <f ca="1">'2.2 BS'!G25/'2.2 BS'!G27</f>
        <v>4.3201925365353465E-2</v>
      </c>
      <c r="H23" s="727">
        <f ca="1">'2.2 BS'!H25/'2.2 BS'!H27</f>
        <v>1.0046758348074336E-2</v>
      </c>
      <c r="I23" s="727">
        <f ca="1">'2.2 BS'!I25/'2.2 BS'!I27</f>
        <v>8.2846823757638105E-3</v>
      </c>
      <c r="J23" s="727">
        <f ca="1">'2.2 BS'!J25/'2.2 BS'!J27</f>
        <v>6.2525218558953091E-3</v>
      </c>
      <c r="K23" s="727">
        <f ca="1">'2.2 BS'!K25/'2.2 BS'!K27</f>
        <v>4.4298899438492837E-3</v>
      </c>
      <c r="L23" s="727">
        <f ca="1">'2.2 BS'!L25/'2.2 BS'!L27</f>
        <v>2.0383538348989236E-3</v>
      </c>
      <c r="M23" s="727">
        <f ca="1">'2.2 BS'!M25/'2.2 BS'!M27</f>
        <v>1.631901424056211E-3</v>
      </c>
      <c r="N23" s="727">
        <f ca="1">'2.2 BS'!N25/'2.2 BS'!N27</f>
        <v>1.2933100514048229E-3</v>
      </c>
      <c r="O23" s="727">
        <f ca="1">'2.2 BS'!O25/'2.2 BS'!O27</f>
        <v>1.0159293624479532E-3</v>
      </c>
      <c r="P23" s="727">
        <f ca="1">'2.2 BS'!P25/'2.2 BS'!P27</f>
        <v>7.9987651609495761E-4</v>
      </c>
      <c r="Q23" s="727">
        <f ca="1">'2.2 BS'!Q25/'2.2 BS'!Q27</f>
        <v>6.3119262602235639E-4</v>
      </c>
      <c r="R23" s="727">
        <f ca="1">'2.2 BS'!R25/'2.2 BS'!R27</f>
        <v>4.9879719444742381E-4</v>
      </c>
      <c r="S23" s="727">
        <f ca="1">'2.2 BS'!S25/'2.2 BS'!S27</f>
        <v>3.9785556848063222E-4</v>
      </c>
      <c r="T23" s="727">
        <f ca="1">'2.2 BS'!T25/'2.2 BS'!T27</f>
        <v>3.2071576790275089E-4</v>
      </c>
      <c r="U23" s="727">
        <f ca="1">'2.2 BS'!U25/'2.2 BS'!U27</f>
        <v>2.6085851990100152E-4</v>
      </c>
      <c r="V23" s="727">
        <f ca="1">'2.2 BS'!V25/'2.2 BS'!V27</f>
        <v>2.1234597067369985E-4</v>
      </c>
      <c r="W23" s="727">
        <f ca="1">'2.2 BS'!W25/'2.2 BS'!W27</f>
        <v>1.7326671013307161E-4</v>
      </c>
      <c r="X23" s="727">
        <f ca="1">'2.2 BS'!X25/'2.2 BS'!X27</f>
        <v>1.420867693552876E-4</v>
      </c>
      <c r="Y23" s="727">
        <f ca="1">'2.2 BS'!Y25/'2.2 BS'!Y27</f>
        <v>1.0405780075910846E-4</v>
      </c>
      <c r="Z23" s="727">
        <f ca="1">'2.2 BS'!Z25/'2.2 BS'!Z27</f>
        <v>8.6965097123603422E-5</v>
      </c>
      <c r="AA23" s="727">
        <f ca="1">'2.2 BS'!AA25/'2.2 BS'!AA27</f>
        <v>7.253772452848651E-5</v>
      </c>
      <c r="AB23" s="727">
        <f ca="1">'2.2 BS'!AB25/'2.2 BS'!AB27</f>
        <v>6.0411883228887876E-5</v>
      </c>
      <c r="AC23" s="727">
        <f ca="1">'2.2 BS'!AC25/'2.2 BS'!AC27</f>
        <v>4.9940854014538781E-5</v>
      </c>
      <c r="AD23" s="727">
        <f ca="1">'2.2 BS'!AD25/'2.2 BS'!AD27</f>
        <v>4.0986325978016712E-5</v>
      </c>
      <c r="AE23" s="727">
        <f ca="1">'2.2 BS'!AE25/'2.2 BS'!AE27</f>
        <v>3.3443292917590036E-5</v>
      </c>
      <c r="AF23" s="727">
        <f ca="1">'2.2 BS'!AF25/'2.2 BS'!AF27</f>
        <v>2.7083835050244221E-5</v>
      </c>
      <c r="AG23" s="727">
        <f ca="1">'2.2 BS'!AG25/'2.2 BS'!AG27</f>
        <v>2.1705200039984207E-5</v>
      </c>
      <c r="AH23" s="727">
        <f ca="1">'2.2 BS'!AH25/'2.2 BS'!AH27</f>
        <v>1.5624502231122648E-5</v>
      </c>
      <c r="AI23" s="727">
        <f ca="1">'2.2 BS'!AI25/'2.2 BS'!AI27</f>
        <v>1.1973683988561448E-5</v>
      </c>
      <c r="AJ23" s="727">
        <f ca="1">'2.2 BS'!AJ25/'2.2 BS'!AJ27</f>
        <v>8.8104137411001762E-6</v>
      </c>
      <c r="AK23" s="727">
        <f ca="1">'2.2 BS'!AK25/'2.2 BS'!AK27</f>
        <v>6.0855699624172136E-6</v>
      </c>
      <c r="AL23" s="727">
        <f ca="1">'2.2 BS'!AL25/'2.2 BS'!AL27</f>
        <v>3.7313089475545628E-6</v>
      </c>
      <c r="AM23" s="727">
        <f ca="1">'2.2 BS'!AM25/'2.2 BS'!AM27</f>
        <v>1.7142809801805657E-6</v>
      </c>
      <c r="AN23" s="727">
        <f ca="1">'2.2 BS'!AN25/'2.2 BS'!AN27</f>
        <v>9.2095084927046173E-21</v>
      </c>
    </row>
    <row r="24" spans="2:40" x14ac:dyDescent="0.25">
      <c r="B24" s="132">
        <f t="shared" si="1"/>
        <v>12</v>
      </c>
      <c r="C24" s="133" t="s">
        <v>903</v>
      </c>
      <c r="D24" s="159" t="s">
        <v>46</v>
      </c>
      <c r="E24" s="360">
        <f ca="1">IF(AND('2.2 BS'!E27&lt;0,'2.1 PnL'!E18&lt;0),"N/A",'2.1 PnL'!E18/'2.2 BS'!E27)</f>
        <v>-0.28291046324436164</v>
      </c>
      <c r="F24" s="360">
        <f ca="1">IF(AND('2.2 BS'!F27&lt;0,'2.1 PnL'!F18&lt;0),"N/A",'2.1 PnL'!F18/'2.2 BS'!F27)</f>
        <v>0.49538006499390586</v>
      </c>
      <c r="G24" s="387">
        <f ca="1">IF(AND('2.2 BS'!G27&lt;0,'2.1 PnL'!G18&lt;0),"N/A",'2.1 PnL'!G18/'2.2 BS'!G27)</f>
        <v>0.43542652486242206</v>
      </c>
      <c r="H24" s="387">
        <f ca="1">IF(AND('2.2 BS'!H27&lt;0,'2.1 PnL'!H18&lt;0),"N/A",'2.1 PnL'!H18/'2.2 BS'!H27)</f>
        <v>0.13896032448616955</v>
      </c>
      <c r="I24" s="387">
        <f ca="1">IF(AND('2.2 BS'!I27&lt;0,'2.1 PnL'!I18&lt;0),"N/A",'2.1 PnL'!I18/'2.2 BS'!I27)</f>
        <v>0.15215872955514478</v>
      </c>
      <c r="J24" s="387">
        <f ca="1">IF(AND('2.2 BS'!J27&lt;0,'2.1 PnL'!J18&lt;0),"N/A",'2.1 PnL'!J18/'2.2 BS'!J27)</f>
        <v>0.22322780266169059</v>
      </c>
      <c r="K24" s="387">
        <f ca="1">IF(AND('2.2 BS'!K27&lt;0,'2.1 PnL'!K18&lt;0),"N/A",'2.1 PnL'!K18/'2.2 BS'!K27)</f>
        <v>0.26998401795167026</v>
      </c>
      <c r="L24" s="387">
        <f ca="1">IF(AND('2.2 BS'!L27&lt;0,'2.1 PnL'!L18&lt;0),"N/A",'2.1 PnL'!L18/'2.2 BS'!L27)</f>
        <v>0.17036266990618665</v>
      </c>
      <c r="M24" s="387">
        <f ca="1">IF(AND('2.2 BS'!M27&lt;0,'2.1 PnL'!M18&lt;0),"N/A",'2.1 PnL'!M18/'2.2 BS'!M27)</f>
        <v>0.17305802724093935</v>
      </c>
      <c r="N24" s="387">
        <f ca="1">IF(AND('2.2 BS'!N27&lt;0,'2.1 PnL'!N18&lt;0),"N/A",'2.1 PnL'!N18/'2.2 BS'!N27)</f>
        <v>0.18028462054175626</v>
      </c>
      <c r="O24" s="387">
        <f ca="1">IF(AND('2.2 BS'!O27&lt;0,'2.1 PnL'!O18&lt;0),"N/A",'2.1 PnL'!O18/'2.2 BS'!O27)</f>
        <v>0.1863162403411355</v>
      </c>
      <c r="P24" s="387">
        <f ca="1">IF(AND('2.2 BS'!P27&lt;0,'2.1 PnL'!P18&lt;0),"N/A",'2.1 PnL'!P18/'2.2 BS'!P27)</f>
        <v>0.18314087904697202</v>
      </c>
      <c r="Q24" s="387">
        <f ca="1">IF(AND('2.2 BS'!Q27&lt;0,'2.1 PnL'!Q18&lt;0),"N/A",'2.1 PnL'!Q18/'2.2 BS'!Q27)</f>
        <v>0.17987726710273205</v>
      </c>
      <c r="R24" s="387">
        <f ca="1">IF(AND('2.2 BS'!R27&lt;0,'2.1 PnL'!R18&lt;0),"N/A",'2.1 PnL'!R18/'2.2 BS'!R27)</f>
        <v>0.17714895104735273</v>
      </c>
      <c r="S24" s="387">
        <f ca="1">IF(AND('2.2 BS'!S27&lt;0,'2.1 PnL'!S18&lt;0),"N/A",'2.1 PnL'!S18/'2.2 BS'!S27)</f>
        <v>0.16774517245033832</v>
      </c>
      <c r="T24" s="387">
        <f ca="1">IF(AND('2.2 BS'!T27&lt;0,'2.1 PnL'!T18&lt;0),"N/A",'2.1 PnL'!T18/'2.2 BS'!T27)</f>
        <v>0.15698911966133766</v>
      </c>
      <c r="U24" s="387">
        <f ca="1">IF(AND('2.2 BS'!U27&lt;0,'2.1 PnL'!U18&lt;0),"N/A",'2.1 PnL'!U18/'2.2 BS'!U27)</f>
        <v>0.14727768480800052</v>
      </c>
      <c r="V24" s="387">
        <f ca="1">IF(AND('2.2 BS'!V27&lt;0,'2.1 PnL'!V18&lt;0),"N/A",'2.1 PnL'!V18/'2.2 BS'!V27)</f>
        <v>0.14421607299658518</v>
      </c>
      <c r="W24" s="387">
        <f ca="1">IF(AND('2.2 BS'!W27&lt;0,'2.1 PnL'!W18&lt;0),"N/A",'2.1 PnL'!W18/'2.2 BS'!W27)</f>
        <v>0.13952901660003206</v>
      </c>
      <c r="X24" s="387">
        <f ca="1">IF(AND('2.2 BS'!X27&lt;0,'2.1 PnL'!X18&lt;0),"N/A",'2.1 PnL'!X18/'2.2 BS'!X27)</f>
        <v>0.13222626684430797</v>
      </c>
      <c r="Y24" s="387">
        <f ca="1">IF(AND('2.2 BS'!Y27&lt;0,'2.1 PnL'!Y18&lt;0),"N/A",'2.1 PnL'!Y18/'2.2 BS'!Y27)</f>
        <v>0.10963551834179933</v>
      </c>
      <c r="Z24" s="387">
        <f ca="1">IF(AND('2.2 BS'!Z27&lt;0,'2.1 PnL'!Z18&lt;0),"N/A",'2.1 PnL'!Z18/'2.2 BS'!Z27)</f>
        <v>0.1081996528872084</v>
      </c>
      <c r="AA24" s="387">
        <f ca="1">IF(AND('2.2 BS'!AA27&lt;0,'2.1 PnL'!AA18&lt;0),"N/A",'2.1 PnL'!AA18/'2.2 BS'!AA27)</f>
        <v>0.10538700084688006</v>
      </c>
      <c r="AB24" s="387">
        <f ca="1">IF(AND('2.2 BS'!AB27&lt;0,'2.1 PnL'!AB18&lt;0),"N/A",'2.1 PnL'!AB18/'2.2 BS'!AB27)</f>
        <v>0.10143470471799226</v>
      </c>
      <c r="AC24" s="387">
        <f ca="1">IF(AND('2.2 BS'!AC27&lt;0,'2.1 PnL'!AC18&lt;0),"N/A",'2.1 PnL'!AC18/'2.2 BS'!AC27)</f>
        <v>0.10185025994180806</v>
      </c>
      <c r="AD24" s="387">
        <f ca="1">IF(AND('2.2 BS'!AD27&lt;0,'2.1 PnL'!AD18&lt;0),"N/A",'2.1 PnL'!AD18/'2.2 BS'!AD27)</f>
        <v>0.10091693804224339</v>
      </c>
      <c r="AE24" s="387">
        <f ca="1">IF(AND('2.2 BS'!AE27&lt;0,'2.1 PnL'!AE18&lt;0),"N/A",'2.1 PnL'!AE18/'2.2 BS'!AE27)</f>
        <v>9.7080260692587156E-2</v>
      </c>
      <c r="AF24" s="387">
        <f ca="1">IF(AND('2.2 BS'!AF27&lt;0,'2.1 PnL'!AF18&lt;0),"N/A",'2.1 PnL'!AF18/'2.2 BS'!AF27)</f>
        <v>9.2654327617001833E-2</v>
      </c>
      <c r="AG24" s="387">
        <f ca="1">IF(AND('2.2 BS'!AG27&lt;0,'2.1 PnL'!AG18&lt;0),"N/A",'2.1 PnL'!AG18/'2.2 BS'!AG27)</f>
        <v>8.7858511487658164E-2</v>
      </c>
      <c r="AH24" s="387">
        <f ca="1">IF(AND('2.2 BS'!AH27&lt;0,'2.1 PnL'!AH18&lt;0),"N/A",'2.1 PnL'!AH18/'2.2 BS'!AH27)</f>
        <v>8.231860522489752E-2</v>
      </c>
      <c r="AI24" s="387">
        <f ca="1">IF(AND('2.2 BS'!AI27&lt;0,'2.1 PnL'!AI18&lt;0),"N/A",'2.1 PnL'!AI18/'2.2 BS'!AI27)</f>
        <v>8.4170784327014886E-2</v>
      </c>
      <c r="AJ24" s="387">
        <f ca="1">IF(AND('2.2 BS'!AJ27&lt;0,'2.1 PnL'!AJ18&lt;0),"N/A",'2.1 PnL'!AJ18/'2.2 BS'!AJ27)</f>
        <v>8.4016441382646703E-2</v>
      </c>
      <c r="AK24" s="387">
        <f ca="1">IF(AND('2.2 BS'!AK27&lt;0,'2.1 PnL'!AK18&lt;0),"N/A",'2.1 PnL'!AK18/'2.2 BS'!AK27)</f>
        <v>8.2828915920052773E-2</v>
      </c>
      <c r="AL24" s="387">
        <f ca="1">IF(AND('2.2 BS'!AL27&lt;0,'2.1 PnL'!AL18&lt;0),"N/A",'2.1 PnL'!AL18/'2.2 BS'!AL27)</f>
        <v>8.4084564536179573E-2</v>
      </c>
      <c r="AM24" s="387">
        <f ca="1">IF(AND('2.2 BS'!AM27&lt;0,'2.1 PnL'!AM18&lt;0),"N/A",'2.1 PnL'!AM18/'2.2 BS'!AM27)</f>
        <v>8.4933893991167297E-2</v>
      </c>
      <c r="AN24" s="387">
        <f ca="1">IF(AND('2.2 BS'!AN27&lt;0,'2.1 PnL'!AN18&lt;0),"N/A",'2.1 PnL'!AN18/'2.2 BS'!AN27)</f>
        <v>7.7480827600276692E-2</v>
      </c>
    </row>
    <row r="25" spans="2:40" x14ac:dyDescent="0.25">
      <c r="B25" s="132">
        <f t="shared" si="1"/>
        <v>13</v>
      </c>
      <c r="C25" s="348" t="s">
        <v>904</v>
      </c>
      <c r="D25" s="159" t="s">
        <v>46</v>
      </c>
      <c r="E25" s="360">
        <f>365*'2.2 BS'!E13/'2.1 PnL'!E5</f>
        <v>0</v>
      </c>
      <c r="F25" s="360">
        <f ca="1">365*'2.2 BS'!F13/'2.1 PnL'!F5</f>
        <v>0</v>
      </c>
      <c r="G25" s="360">
        <f ca="1">365*'2.2 BS'!G13/'2.1 PnL'!G5</f>
        <v>0</v>
      </c>
      <c r="H25" s="360">
        <f ca="1">365*'2.2 BS'!H13/'2.1 PnL'!H5</f>
        <v>0</v>
      </c>
      <c r="I25" s="360">
        <f ca="1">365*'2.2 BS'!I13/'2.1 PnL'!I5</f>
        <v>0</v>
      </c>
      <c r="J25" s="360">
        <f ca="1">365*'2.2 BS'!J13/'2.1 PnL'!J5</f>
        <v>0</v>
      </c>
      <c r="K25" s="360">
        <f ca="1">365*'2.2 BS'!K13/'2.1 PnL'!K5</f>
        <v>0</v>
      </c>
      <c r="L25" s="360">
        <f ca="1">365*'2.2 BS'!L13/'2.1 PnL'!L5</f>
        <v>0</v>
      </c>
      <c r="M25" s="360">
        <f ca="1">365*'2.2 BS'!M13/'2.1 PnL'!M5</f>
        <v>0</v>
      </c>
      <c r="N25" s="360">
        <f ca="1">365*'2.2 BS'!N13/'2.1 PnL'!N5</f>
        <v>0</v>
      </c>
      <c r="O25" s="360">
        <f ca="1">365*'2.2 BS'!O13/'2.1 PnL'!O5</f>
        <v>0</v>
      </c>
      <c r="P25" s="360">
        <f ca="1">365*'2.2 BS'!P13/'2.1 PnL'!P5</f>
        <v>0</v>
      </c>
      <c r="Q25" s="360">
        <f ca="1">365*'2.2 BS'!Q13/'2.1 PnL'!Q5</f>
        <v>0</v>
      </c>
      <c r="R25" s="360">
        <f ca="1">365*'2.2 BS'!R13/'2.1 PnL'!R5</f>
        <v>0</v>
      </c>
      <c r="S25" s="360">
        <f ca="1">365*'2.2 BS'!S13/'2.1 PnL'!S5</f>
        <v>0</v>
      </c>
      <c r="T25" s="360">
        <f ca="1">365*'2.2 BS'!T13/'2.1 PnL'!T5</f>
        <v>0</v>
      </c>
      <c r="U25" s="360">
        <f ca="1">365*'2.2 BS'!U13/'2.1 PnL'!U5</f>
        <v>0</v>
      </c>
      <c r="V25" s="360">
        <f ca="1">365*'2.2 BS'!V13/'2.1 PnL'!V5</f>
        <v>0</v>
      </c>
      <c r="W25" s="360">
        <f ca="1">365*'2.2 BS'!W13/'2.1 PnL'!W5</f>
        <v>0</v>
      </c>
      <c r="X25" s="360">
        <f ca="1">365*'2.2 BS'!X13/'2.1 PnL'!X5</f>
        <v>0</v>
      </c>
      <c r="Y25" s="360">
        <f ca="1">365*'2.2 BS'!Y13/'2.1 PnL'!Y5</f>
        <v>0</v>
      </c>
      <c r="Z25" s="360">
        <f ca="1">365*'2.2 BS'!Z13/'2.1 PnL'!Z5</f>
        <v>0</v>
      </c>
      <c r="AA25" s="360">
        <f ca="1">365*'2.2 BS'!AA13/'2.1 PnL'!AA5</f>
        <v>0</v>
      </c>
      <c r="AB25" s="360">
        <f ca="1">365*'2.2 BS'!AB13/'2.1 PnL'!AB5</f>
        <v>0</v>
      </c>
      <c r="AC25" s="360">
        <f ca="1">365*'2.2 BS'!AC13/'2.1 PnL'!AC5</f>
        <v>0</v>
      </c>
      <c r="AD25" s="360">
        <f ca="1">365*'2.2 BS'!AD13/'2.1 PnL'!AD5</f>
        <v>0</v>
      </c>
      <c r="AE25" s="360">
        <f ca="1">365*'2.2 BS'!AE13/'2.1 PnL'!AE5</f>
        <v>0</v>
      </c>
      <c r="AF25" s="360">
        <f ca="1">365*'2.2 BS'!AF13/'2.1 PnL'!AF5</f>
        <v>0</v>
      </c>
      <c r="AG25" s="360">
        <f ca="1">365*'2.2 BS'!AG13/'2.1 PnL'!AG5</f>
        <v>0</v>
      </c>
      <c r="AH25" s="360">
        <f ca="1">365*'2.2 BS'!AH13/'2.1 PnL'!AH5</f>
        <v>0</v>
      </c>
      <c r="AI25" s="360">
        <f ca="1">365*'2.2 BS'!AI13/'2.1 PnL'!AI5</f>
        <v>0</v>
      </c>
      <c r="AJ25" s="360">
        <f ca="1">365*'2.2 BS'!AJ13/'2.1 PnL'!AJ5</f>
        <v>0</v>
      </c>
      <c r="AK25" s="360">
        <f ca="1">365*'2.2 BS'!AK13/'2.1 PnL'!AK5</f>
        <v>0</v>
      </c>
      <c r="AL25" s="360">
        <f ca="1">365*'2.2 BS'!AL13/'2.1 PnL'!AL5</f>
        <v>0</v>
      </c>
      <c r="AM25" s="360">
        <f ca="1">365*'2.2 BS'!AM13/'2.1 PnL'!AM5</f>
        <v>0</v>
      </c>
      <c r="AN25" s="360">
        <f ca="1">365*'2.2 BS'!AN13/'2.1 PnL'!AN5</f>
        <v>0</v>
      </c>
    </row>
    <row r="26" spans="2:40" x14ac:dyDescent="0.25">
      <c r="B26" s="132">
        <f t="shared" si="1"/>
        <v>14</v>
      </c>
      <c r="C26" s="348" t="s">
        <v>905</v>
      </c>
      <c r="D26" s="159" t="s">
        <v>46</v>
      </c>
      <c r="E26" s="360">
        <f>365*'2.2 BS'!E22/'2.1 PnL'!E6</f>
        <v>7.3</v>
      </c>
      <c r="F26" s="360">
        <f ca="1">365*'2.2 BS'!F22/'2.1 PnL'!F6</f>
        <v>7.3000000000000007</v>
      </c>
      <c r="G26" s="360">
        <f ca="1">365*'2.2 BS'!G22/'2.1 PnL'!G6</f>
        <v>7.3</v>
      </c>
      <c r="H26" s="360">
        <f ca="1">365*'2.2 BS'!H22/'2.1 PnL'!H6</f>
        <v>7.3</v>
      </c>
      <c r="I26" s="360">
        <f ca="1">365*'2.2 BS'!I22/'2.1 PnL'!I6</f>
        <v>7.3000000000000007</v>
      </c>
      <c r="J26" s="360">
        <f ca="1">365*'2.2 BS'!J22/'2.1 PnL'!J6</f>
        <v>7.3</v>
      </c>
      <c r="K26" s="360">
        <f ca="1">365*'2.2 BS'!K22/'2.1 PnL'!K6</f>
        <v>7.3</v>
      </c>
      <c r="L26" s="360">
        <f ca="1">365*'2.2 BS'!L22/'2.1 PnL'!L6</f>
        <v>7.3</v>
      </c>
      <c r="M26" s="360">
        <f ca="1">365*'2.2 BS'!M22/'2.1 PnL'!M6</f>
        <v>7.3</v>
      </c>
      <c r="N26" s="360">
        <f ca="1">365*'2.2 BS'!N22/'2.1 PnL'!N6</f>
        <v>7.3</v>
      </c>
      <c r="O26" s="360">
        <f ca="1">365*'2.2 BS'!O22/'2.1 PnL'!O6</f>
        <v>7.3</v>
      </c>
      <c r="P26" s="360">
        <f ca="1">365*'2.2 BS'!P22/'2.1 PnL'!P6</f>
        <v>7.2999999999999989</v>
      </c>
      <c r="Q26" s="360">
        <f ca="1">365*'2.2 BS'!Q22/'2.1 PnL'!Q6</f>
        <v>7.3000000000000007</v>
      </c>
      <c r="R26" s="360">
        <f ca="1">365*'2.2 BS'!R22/'2.1 PnL'!R6</f>
        <v>7.3</v>
      </c>
      <c r="S26" s="360">
        <f ca="1">365*'2.2 BS'!S22/'2.1 PnL'!S6</f>
        <v>7.3000000000000007</v>
      </c>
      <c r="T26" s="360">
        <f ca="1">365*'2.2 BS'!T22/'2.1 PnL'!T6</f>
        <v>7.3</v>
      </c>
      <c r="U26" s="360">
        <f ca="1">365*'2.2 BS'!U22/'2.1 PnL'!U6</f>
        <v>7.3000000000000007</v>
      </c>
      <c r="V26" s="360">
        <f ca="1">365*'2.2 BS'!V22/'2.1 PnL'!V6</f>
        <v>7.3</v>
      </c>
      <c r="W26" s="360">
        <f ca="1">365*'2.2 BS'!W22/'2.1 PnL'!W6</f>
        <v>7.3</v>
      </c>
      <c r="X26" s="360">
        <f ca="1">365*'2.2 BS'!X22/'2.1 PnL'!X6</f>
        <v>7.3</v>
      </c>
      <c r="Y26" s="360">
        <f ca="1">365*'2.2 BS'!Y22/'2.1 PnL'!Y6</f>
        <v>7.3</v>
      </c>
      <c r="Z26" s="360">
        <f ca="1">365*'2.2 BS'!Z22/'2.1 PnL'!Z6</f>
        <v>7.3</v>
      </c>
      <c r="AA26" s="360">
        <f ca="1">365*'2.2 BS'!AA22/'2.1 PnL'!AA6</f>
        <v>7.3</v>
      </c>
      <c r="AB26" s="360">
        <f ca="1">365*'2.2 BS'!AB22/'2.1 PnL'!AB6</f>
        <v>7.2999999999999989</v>
      </c>
      <c r="AC26" s="360">
        <f ca="1">365*'2.2 BS'!AC22/'2.1 PnL'!AC6</f>
        <v>7.3</v>
      </c>
      <c r="AD26" s="360">
        <f ca="1">365*'2.2 BS'!AD22/'2.1 PnL'!AD6</f>
        <v>7.3</v>
      </c>
      <c r="AE26" s="360">
        <f ca="1">365*'2.2 BS'!AE22/'2.1 PnL'!AE6</f>
        <v>7.3000000000000007</v>
      </c>
      <c r="AF26" s="360">
        <f ca="1">365*'2.2 BS'!AF22/'2.1 PnL'!AF6</f>
        <v>7.3</v>
      </c>
      <c r="AG26" s="360">
        <f ca="1">365*'2.2 BS'!AG22/'2.1 PnL'!AG6</f>
        <v>7.3</v>
      </c>
      <c r="AH26" s="360">
        <f ca="1">365*'2.2 BS'!AH22/'2.1 PnL'!AH6</f>
        <v>7.2999999999999989</v>
      </c>
      <c r="AI26" s="360">
        <f ca="1">365*'2.2 BS'!AI22/'2.1 PnL'!AI6</f>
        <v>7.3</v>
      </c>
      <c r="AJ26" s="360">
        <f ca="1">365*'2.2 BS'!AJ22/'2.1 PnL'!AJ6</f>
        <v>7.3</v>
      </c>
      <c r="AK26" s="360">
        <f ca="1">365*'2.2 BS'!AK22/'2.1 PnL'!AK6</f>
        <v>7.3000000000000007</v>
      </c>
      <c r="AL26" s="360">
        <f ca="1">365*'2.2 BS'!AL22/'2.1 PnL'!AL6</f>
        <v>7.3000000000000007</v>
      </c>
      <c r="AM26" s="360">
        <f ca="1">365*'2.2 BS'!AM22/'2.1 PnL'!AM6</f>
        <v>7.3</v>
      </c>
      <c r="AN26" s="360">
        <f ca="1">365*'2.2 BS'!AN22/'2.1 PnL'!AN6</f>
        <v>7.3</v>
      </c>
    </row>
    <row r="27" spans="2:40" x14ac:dyDescent="0.25">
      <c r="B27" s="132">
        <f t="shared" si="1"/>
        <v>15</v>
      </c>
      <c r="C27" s="348" t="s">
        <v>906</v>
      </c>
      <c r="D27" s="159" t="s">
        <v>46</v>
      </c>
      <c r="E27" s="727">
        <f ca="1">'2.1 PnL'!E10/ABS('2.1 PnL'!E12)</f>
        <v>-198.2243230928085</v>
      </c>
      <c r="F27" s="727">
        <f ca="1">'2.1 PnL'!F10/ABS('2.1 PnL'!F12)</f>
        <v>829.0916398507062</v>
      </c>
      <c r="G27" s="727">
        <f ca="1">'2.1 PnL'!G10/ABS('2.1 PnL'!G12)</f>
        <v>1320.1753509479256</v>
      </c>
      <c r="H27" s="727">
        <f ca="1">'2.1 PnL'!H10/ABS('2.1 PnL'!H12)</f>
        <v>1807.7073755664528</v>
      </c>
      <c r="I27" s="727">
        <f ca="1">'2.1 PnL'!I10/ABS('2.1 PnL'!I12)</f>
        <v>2400.6340860968044</v>
      </c>
      <c r="J27" s="727">
        <f ca="1">'2.1 PnL'!J10/ABS('2.1 PnL'!J12)</f>
        <v>4653.7966394470723</v>
      </c>
      <c r="K27" s="727">
        <f ca="1">'2.1 PnL'!K10/ABS('2.1 PnL'!K12)</f>
        <v>7919.9895095085531</v>
      </c>
      <c r="L27" s="727">
        <f ca="1">'2.1 PnL'!L10/ABS('2.1 PnL'!L12)</f>
        <v>10843.182540011328</v>
      </c>
      <c r="M27" s="727">
        <f ca="1">'2.1 PnL'!M10/ABS('2.1 PnL'!M12)</f>
        <v>13744.326552039905</v>
      </c>
      <c r="N27" s="727">
        <f ca="1">'2.1 PnL'!N10/ABS('2.1 PnL'!N12)</f>
        <v>18033.555679987396</v>
      </c>
      <c r="O27" s="727">
        <f ca="1">'2.1 PnL'!O10/ABS('2.1 PnL'!O12)</f>
        <v>23684.44088020203</v>
      </c>
      <c r="P27" s="727">
        <f ca="1">'2.1 PnL'!P10/ABS('2.1 PnL'!P12)</f>
        <v>29539.923472504204</v>
      </c>
      <c r="Q27" s="727">
        <f ca="1">'2.1 PnL'!Q10/ABS('2.1 PnL'!Q12)</f>
        <v>36701.115098075672</v>
      </c>
      <c r="R27" s="727">
        <f ca="1">'2.1 PnL'!R10/ABS('2.1 PnL'!R12)</f>
        <v>45625.657998512412</v>
      </c>
      <c r="S27" s="727">
        <f ca="1">'2.1 PnL'!S10/ABS('2.1 PnL'!S12)</f>
        <v>54046.513626279389</v>
      </c>
      <c r="T27" s="727">
        <f ca="1">'2.1 PnL'!T10/ABS('2.1 PnL'!T12)</f>
        <v>62599.653540528212</v>
      </c>
      <c r="U27" s="727">
        <f ca="1">'2.1 PnL'!U10/ABS('2.1 PnL'!U12)</f>
        <v>72058.21341926833</v>
      </c>
      <c r="V27" s="727">
        <f ca="1">'2.1 PnL'!V10/ABS('2.1 PnL'!V12)</f>
        <v>86406.748511826765</v>
      </c>
      <c r="W27" s="727">
        <f ca="1">'2.1 PnL'!W10/ABS('2.1 PnL'!W12)</f>
        <v>102127.32771960157</v>
      </c>
      <c r="X27" s="727">
        <f ca="1">'2.1 PnL'!X10/ABS('2.1 PnL'!X12)</f>
        <v>117604.25609821944</v>
      </c>
      <c r="Y27" s="727">
        <f ca="1">'2.1 PnL'!Y10/ABS('2.1 PnL'!Y12)</f>
        <v>132641.7221131126</v>
      </c>
      <c r="Z27" s="727">
        <f ca="1">'2.1 PnL'!Z10/ABS('2.1 PnL'!Z12)</f>
        <v>155917.10226249506</v>
      </c>
      <c r="AA27" s="727">
        <f ca="1">'2.1 PnL'!AA10/ABS('2.1 PnL'!AA12)</f>
        <v>181130.48269854506</v>
      </c>
      <c r="AB27" s="727">
        <f ca="1">'2.1 PnL'!AB10/ABS('2.1 PnL'!AB12)</f>
        <v>208238.58406196945</v>
      </c>
      <c r="AC27" s="727">
        <f ca="1">'2.1 PnL'!AC10/ABS('2.1 PnL'!AC12)</f>
        <v>251129.39747531092</v>
      </c>
      <c r="AD27" s="727">
        <f ca="1">'2.1 PnL'!AD10/ABS('2.1 PnL'!AD12)</f>
        <v>300570.93376320461</v>
      </c>
      <c r="AE27" s="727">
        <f ca="1">'2.1 PnL'!AE10/ABS('2.1 PnL'!AE12)</f>
        <v>350800.31299052463</v>
      </c>
      <c r="AF27" s="727">
        <f ca="1">'2.1 PnL'!AF10/ABS('2.1 PnL'!AF12)</f>
        <v>408305.22034447617</v>
      </c>
      <c r="AG27" s="727">
        <f ca="1">'2.1 PnL'!AG10/ABS('2.1 PnL'!AG12)</f>
        <v>475819.63102807442</v>
      </c>
      <c r="AH27" s="727">
        <f ca="1">'2.1 PnL'!AH10/ABS('2.1 PnL'!AH12)</f>
        <v>606461.25039051031</v>
      </c>
      <c r="AI27" s="727">
        <f ca="1">'2.1 PnL'!AI10/ABS('2.1 PnL'!AI12)</f>
        <v>786635.01614631736</v>
      </c>
      <c r="AJ27" s="727">
        <f ca="1">'2.1 PnL'!AJ10/ABS('2.1 PnL'!AJ12)</f>
        <v>1024362.1466669689</v>
      </c>
      <c r="AK27" s="727">
        <f ca="1">'2.1 PnL'!AK10/ABS('2.1 PnL'!AK12)</f>
        <v>1371007.7755604112</v>
      </c>
      <c r="AL27" s="727">
        <f ca="1">'2.1 PnL'!AL10/ABS('2.1 PnL'!AL12)</f>
        <v>2017296.1883659444</v>
      </c>
      <c r="AM27" s="727">
        <f ca="1">'2.1 PnL'!AM10/ABS('2.1 PnL'!AM12)</f>
        <v>3326194.9006968001</v>
      </c>
      <c r="AN27" s="727">
        <f ca="1">'2.1 PnL'!AN10/ABS('2.1 PnL'!AN12)</f>
        <v>7157541.0108897649</v>
      </c>
    </row>
    <row r="28" spans="2:40" x14ac:dyDescent="0.25">
      <c r="B28" s="133">
        <f t="shared" si="1"/>
        <v>16</v>
      </c>
      <c r="C28" s="348" t="s">
        <v>907</v>
      </c>
      <c r="D28" s="159" t="s">
        <v>46</v>
      </c>
      <c r="E28" s="387">
        <f ca="1">'2.3 CF'!E5/'2.1 PnL'!E5</f>
        <v>-0.31230682476889277</v>
      </c>
      <c r="F28" s="387">
        <f ca="1">'2.3 CF'!F5/'2.1 PnL'!F5</f>
        <v>0.50362799950816894</v>
      </c>
      <c r="G28" s="387">
        <f ca="1">'2.3 CF'!G5/'2.1 PnL'!G5</f>
        <v>0.54020077530467492</v>
      </c>
      <c r="H28" s="387">
        <f ca="1">'2.3 CF'!H5/'2.1 PnL'!H5</f>
        <v>0.57637575448119105</v>
      </c>
      <c r="I28" s="387">
        <f ca="1">'2.3 CF'!I5/'2.1 PnL'!I5</f>
        <v>0.53271991249687578</v>
      </c>
      <c r="J28" s="387">
        <f ca="1">'2.3 CF'!J5/'2.1 PnL'!J5</f>
        <v>0.57975224004607928</v>
      </c>
      <c r="K28" s="387">
        <f ca="1">'2.3 CF'!K5/'2.1 PnL'!K5</f>
        <v>0.65657522539122326</v>
      </c>
      <c r="L28" s="387">
        <f ca="1">'2.3 CF'!L5/'2.1 PnL'!L5</f>
        <v>0.67941472695547922</v>
      </c>
      <c r="M28" s="387">
        <f ca="1">'2.3 CF'!M5/'2.1 PnL'!M5</f>
        <v>0.66174283987244931</v>
      </c>
      <c r="N28" s="387">
        <f ca="1">'2.3 CF'!N5/'2.1 PnL'!N5</f>
        <v>0.68399652055831384</v>
      </c>
      <c r="O28" s="387">
        <f ca="1">'2.3 CF'!O5/'2.1 PnL'!O5</f>
        <v>0.69476538030549773</v>
      </c>
      <c r="P28" s="387">
        <f ca="1">'2.3 CF'!P5/'2.1 PnL'!P5</f>
        <v>0.70068556280540428</v>
      </c>
      <c r="Q28" s="387">
        <f ca="1">'2.3 CF'!Q5/'2.1 PnL'!Q5</f>
        <v>0.66642014158829299</v>
      </c>
      <c r="R28" s="387">
        <f ca="1">'2.3 CF'!R5/'2.1 PnL'!R5</f>
        <v>0.69644633523014499</v>
      </c>
      <c r="S28" s="387">
        <f ca="1">'2.3 CF'!S5/'2.1 PnL'!S5</f>
        <v>0.70201115452575003</v>
      </c>
      <c r="T28" s="387">
        <f ca="1">'2.3 CF'!T5/'2.1 PnL'!T5</f>
        <v>0.70835524538477324</v>
      </c>
      <c r="U28" s="387">
        <f ca="1">'2.3 CF'!U5/'2.1 PnL'!U5</f>
        <v>0.68116202365799627</v>
      </c>
      <c r="V28" s="387">
        <f ca="1">'2.3 CF'!V5/'2.1 PnL'!V5</f>
        <v>0.70159666792072772</v>
      </c>
      <c r="W28" s="387">
        <f ca="1">'2.3 CF'!W5/'2.1 PnL'!W5</f>
        <v>0.70631023887292643</v>
      </c>
      <c r="X28" s="387">
        <f ca="1">'2.3 CF'!X5/'2.1 PnL'!X5</f>
        <v>0.70995568519633723</v>
      </c>
      <c r="Y28" s="387">
        <f ca="1">'2.3 CF'!Y5/'2.1 PnL'!Y5</f>
        <v>0.70484240421434574</v>
      </c>
      <c r="Z28" s="387">
        <f ca="1">'2.3 CF'!Z5/'2.1 PnL'!Z5</f>
        <v>0.71187477058418003</v>
      </c>
      <c r="AA28" s="387">
        <f ca="1">'2.3 CF'!AA5/'2.1 PnL'!AA5</f>
        <v>0.71479744633793196</v>
      </c>
      <c r="AB28" s="387">
        <f ca="1">'2.3 CF'!AB5/'2.1 PnL'!AB5</f>
        <v>0.71673428367447711</v>
      </c>
      <c r="AC28" s="387">
        <f ca="1">'2.3 CF'!AC5/'2.1 PnL'!AC5</f>
        <v>0.68966136189769744</v>
      </c>
      <c r="AD28" s="387">
        <f ca="1">'2.3 CF'!AD5/'2.1 PnL'!AD5</f>
        <v>0.70874519017219473</v>
      </c>
      <c r="AE28" s="387">
        <f ca="1">'2.3 CF'!AE5/'2.1 PnL'!AE5</f>
        <v>0.71094046630170193</v>
      </c>
      <c r="AF28" s="387">
        <f ca="1">'2.3 CF'!AF5/'2.1 PnL'!AF5</f>
        <v>0.71290051246777597</v>
      </c>
      <c r="AG28" s="387">
        <f ca="1">'2.3 CF'!AG5/'2.1 PnL'!AG5</f>
        <v>0.68590494686342596</v>
      </c>
      <c r="AH28" s="387">
        <f ca="1">'2.3 CF'!AH5/'2.1 PnL'!AH5</f>
        <v>0.70472844506422461</v>
      </c>
      <c r="AI28" s="387">
        <f ca="1">'2.3 CF'!AI5/'2.1 PnL'!AI5</f>
        <v>0.70893299573964574</v>
      </c>
      <c r="AJ28" s="387">
        <f ca="1">'2.3 CF'!AJ5/'2.1 PnL'!AJ5</f>
        <v>0.71226774712233365</v>
      </c>
      <c r="AK28" s="387">
        <f ca="1">'2.3 CF'!AK5/'2.1 PnL'!AK5</f>
        <v>0.70025534949914925</v>
      </c>
      <c r="AL28" s="387">
        <f ca="1">'2.3 CF'!AL5/'2.1 PnL'!AL5</f>
        <v>0.71174446508621603</v>
      </c>
      <c r="AM28" s="387">
        <f ca="1">'2.3 CF'!AM5/'2.1 PnL'!AM5</f>
        <v>0.71504363560324524</v>
      </c>
      <c r="AN28" s="387">
        <f ca="1">'2.3 CF'!AN5/'2.1 PnL'!AN5</f>
        <v>0.71749880530965504</v>
      </c>
    </row>
    <row r="29" spans="2:40" x14ac:dyDescent="0.25">
      <c r="B29" s="133">
        <f t="shared" si="1"/>
        <v>17</v>
      </c>
      <c r="C29" s="348" t="s">
        <v>908</v>
      </c>
      <c r="D29" s="159" t="s">
        <v>46</v>
      </c>
      <c r="E29" s="360">
        <f ca="1">'2.3 CF'!E5/'2.2 BS'!E25</f>
        <v>-2.2517121928071577</v>
      </c>
      <c r="F29" s="360">
        <f ca="1">'2.3 CF'!F5/'2.2 BS'!F25</f>
        <v>6.5405189388471472</v>
      </c>
      <c r="G29" s="360">
        <f ca="1">'2.3 CF'!G5/'2.2 BS'!G25</f>
        <v>10.077138561209791</v>
      </c>
      <c r="H29" s="360">
        <f ca="1">'2.3 CF'!H5/'2.2 BS'!H25</f>
        <v>13.890808260612314</v>
      </c>
      <c r="I29" s="360">
        <f ca="1">'2.3 CF'!I5/'2.2 BS'!I25</f>
        <v>18.260881529312378</v>
      </c>
      <c r="J29" s="360">
        <f ca="1">'2.3 CF'!J5/'2.2 BS'!J25</f>
        <v>35.503631795945005</v>
      </c>
      <c r="K29" s="360">
        <f ca="1">'2.3 CF'!K5/'2.2 BS'!K25</f>
        <v>61.033390083243958</v>
      </c>
      <c r="L29" s="360">
        <f ca="1">'2.3 CF'!L5/'2.2 BS'!L25</f>
        <v>84.12667712580425</v>
      </c>
      <c r="M29" s="360">
        <f ca="1">'2.3 CF'!M5/'2.2 BS'!M25</f>
        <v>106.01329535316528</v>
      </c>
      <c r="N29" s="360">
        <f ca="1">'2.3 CF'!N5/'2.2 BS'!N25</f>
        <v>139.61993052237571</v>
      </c>
      <c r="O29" s="360">
        <f ca="1">'2.3 CF'!O5/'2.2 BS'!O25</f>
        <v>183.52369797199532</v>
      </c>
      <c r="P29" s="360">
        <f ca="1">'2.3 CF'!P5/'2.2 BS'!P25</f>
        <v>229.29064379270784</v>
      </c>
      <c r="Q29" s="360">
        <f ca="1">'2.3 CF'!Q5/'2.2 BS'!Q25</f>
        <v>284.24770482083034</v>
      </c>
      <c r="R29" s="360">
        <f ca="1">'2.3 CF'!R5/'2.2 BS'!R25</f>
        <v>355.83779842503787</v>
      </c>
      <c r="S29" s="360">
        <f ca="1">'2.3 CF'!S5/'2.2 BS'!S25</f>
        <v>422.07329399306371</v>
      </c>
      <c r="T29" s="360">
        <f ca="1">'2.3 CF'!T5/'2.2 BS'!T25</f>
        <v>491.549928809005</v>
      </c>
      <c r="U29" s="360">
        <f ca="1">'2.3 CF'!U5/'2.2 BS'!U25</f>
        <v>564.45944011879715</v>
      </c>
      <c r="V29" s="360">
        <f ca="1">'2.3 CF'!V5/'2.2 BS'!V25</f>
        <v>680.422943198962</v>
      </c>
      <c r="W29" s="360">
        <f ca="1">'2.3 CF'!W5/'2.2 BS'!W25</f>
        <v>806.28149447905457</v>
      </c>
      <c r="X29" s="360">
        <f ca="1">'2.3 CF'!X5/'2.2 BS'!X25</f>
        <v>931.91296534865933</v>
      </c>
      <c r="Y29" s="360">
        <f ca="1">'2.3 CF'!Y5/'2.2 BS'!Y25</f>
        <v>1054.8282532069879</v>
      </c>
      <c r="Z29" s="360">
        <f ca="1">'2.3 CF'!Z5/'2.2 BS'!Z25</f>
        <v>1246.0326012225764</v>
      </c>
      <c r="AA29" s="360">
        <f ca="1">'2.3 CF'!AA5/'2.2 BS'!AA25</f>
        <v>1454.9283014491839</v>
      </c>
      <c r="AB29" s="360">
        <f ca="1">'2.3 CF'!AB5/'2.2 BS'!AB25</f>
        <v>1682.827529979136</v>
      </c>
      <c r="AC29" s="360">
        <f ca="1">'2.3 CF'!AC5/'2.2 BS'!AC25</f>
        <v>2043.6186272684308</v>
      </c>
      <c r="AD29" s="360">
        <f ca="1">'2.3 CF'!AD5/'2.2 BS'!AD25</f>
        <v>2467.2742280609336</v>
      </c>
      <c r="AE29" s="360">
        <f ca="1">'2.3 CF'!AE5/'2.2 BS'!AE25</f>
        <v>2907.5511070021603</v>
      </c>
      <c r="AF29" s="360">
        <f ca="1">'2.3 CF'!AF5/'2.2 BS'!AF25</f>
        <v>3426.9419876015404</v>
      </c>
      <c r="AG29" s="360">
        <f ca="1">'2.3 CF'!AG5/'2.2 BS'!AG25</f>
        <v>4050.4294257319812</v>
      </c>
      <c r="AH29" s="360">
        <f ca="1">'2.3 CF'!AH5/'2.2 BS'!AH25</f>
        <v>5279.1940807098581</v>
      </c>
      <c r="AI29" s="360">
        <f ca="1">'2.3 CF'!AI5/'2.2 BS'!AI25</f>
        <v>7040.0028798860767</v>
      </c>
      <c r="AJ29" s="360">
        <f ca="1">'2.3 CF'!AJ5/'2.2 BS'!AJ25</f>
        <v>9551.020554738654</v>
      </c>
      <c r="AK29" s="360">
        <f ca="1">'2.3 CF'!AK5/'2.2 BS'!AK25</f>
        <v>13624.772166520874</v>
      </c>
      <c r="AL29" s="360">
        <f ca="1">'2.3 CF'!AL5/'2.2 BS'!AL25</f>
        <v>22574.464990312263</v>
      </c>
      <c r="AM29" s="360">
        <f ca="1">'2.3 CF'!AM5/'2.2 BS'!AM25</f>
        <v>49617.202506801957</v>
      </c>
      <c r="AN29" s="360">
        <f ca="1">'2.3 CF'!AN5/'2.2 BS'!AN25</f>
        <v>8.4335492690895493E+18</v>
      </c>
    </row>
    <row r="30" spans="2:40" x14ac:dyDescent="0.25">
      <c r="B30" s="133">
        <f>B29+1</f>
        <v>18</v>
      </c>
      <c r="C30" s="350" t="s">
        <v>909</v>
      </c>
      <c r="D30" s="159" t="s">
        <v>46</v>
      </c>
      <c r="E30" s="639">
        <f>'2.2 BS'!E28</f>
        <v>393750</v>
      </c>
      <c r="F30" s="639">
        <f ca="1">'2.2 BS'!F28</f>
        <v>393750</v>
      </c>
      <c r="G30" s="639">
        <f ca="1">'2.2 BS'!G28</f>
        <v>393750</v>
      </c>
      <c r="H30" s="639">
        <f ca="1">'2.2 BS'!H28</f>
        <v>3393750</v>
      </c>
      <c r="I30" s="639">
        <f ca="1">'2.2 BS'!I28</f>
        <v>3393750</v>
      </c>
      <c r="J30" s="639">
        <f ca="1">'2.2 BS'!J28</f>
        <v>3393750</v>
      </c>
      <c r="K30" s="639">
        <f ca="1">'2.2 BS'!K28</f>
        <v>3393750</v>
      </c>
      <c r="L30" s="639">
        <f ca="1">'2.2 BS'!L28</f>
        <v>10893750</v>
      </c>
      <c r="M30" s="639">
        <f ca="1">'2.2 BS'!M28</f>
        <v>10893750</v>
      </c>
      <c r="N30" s="639">
        <f ca="1">'2.2 BS'!N28</f>
        <v>10893750</v>
      </c>
      <c r="O30" s="639">
        <f ca="1">'2.2 BS'!O28</f>
        <v>10893750</v>
      </c>
      <c r="P30" s="639">
        <f ca="1">'2.2 BS'!P28</f>
        <v>10893750</v>
      </c>
      <c r="Q30" s="639">
        <f ca="1">'2.2 BS'!Q28</f>
        <v>10893750</v>
      </c>
      <c r="R30" s="639">
        <f ca="1">'2.2 BS'!R28</f>
        <v>10893750</v>
      </c>
      <c r="S30" s="639">
        <f ca="1">'2.2 BS'!S28</f>
        <v>10893750</v>
      </c>
      <c r="T30" s="639">
        <f ca="1">'2.2 BS'!T28</f>
        <v>10893750</v>
      </c>
      <c r="U30" s="639">
        <f ca="1">'2.2 BS'!U28</f>
        <v>10893750</v>
      </c>
      <c r="V30" s="639">
        <f ca="1">'2.2 BS'!V28</f>
        <v>10893750</v>
      </c>
      <c r="W30" s="639">
        <f ca="1">'2.2 BS'!W28</f>
        <v>10893750</v>
      </c>
      <c r="X30" s="639">
        <f ca="1">'2.2 BS'!X28</f>
        <v>10893750</v>
      </c>
      <c r="Y30" s="639">
        <f ca="1">'2.2 BS'!Y28</f>
        <v>37143750</v>
      </c>
      <c r="Z30" s="639">
        <f ca="1">'2.2 BS'!Z28</f>
        <v>37143750</v>
      </c>
      <c r="AA30" s="639">
        <f ca="1">'2.2 BS'!AA28</f>
        <v>37143750</v>
      </c>
      <c r="AB30" s="639">
        <f ca="1">'2.2 BS'!AB28</f>
        <v>37143750</v>
      </c>
      <c r="AC30" s="639">
        <f ca="1">'2.2 BS'!AC28</f>
        <v>37143750</v>
      </c>
      <c r="AD30" s="639">
        <f ca="1">'2.2 BS'!AD28</f>
        <v>37143750</v>
      </c>
      <c r="AE30" s="639">
        <f ca="1">'2.2 BS'!AE28</f>
        <v>37143750</v>
      </c>
      <c r="AF30" s="639">
        <f ca="1">'2.2 BS'!AF28</f>
        <v>37143750</v>
      </c>
      <c r="AG30" s="639">
        <f ca="1">'2.2 BS'!AG28</f>
        <v>37143750</v>
      </c>
      <c r="AH30" s="639">
        <f ca="1">'2.2 BS'!AH28</f>
        <v>89643750</v>
      </c>
      <c r="AI30" s="639">
        <f ca="1">'2.2 BS'!AI28</f>
        <v>89643750</v>
      </c>
      <c r="AJ30" s="639">
        <f ca="1">'2.2 BS'!AJ28</f>
        <v>89643750</v>
      </c>
      <c r="AK30" s="639">
        <f ca="1">'2.2 BS'!AK28</f>
        <v>89643750</v>
      </c>
      <c r="AL30" s="639">
        <f ca="1">'2.2 BS'!AL28</f>
        <v>89643750</v>
      </c>
      <c r="AM30" s="639">
        <f ca="1">'2.2 BS'!AM28</f>
        <v>89643750</v>
      </c>
      <c r="AN30" s="639">
        <f ca="1">'2.2 BS'!AN28</f>
        <v>181518750</v>
      </c>
    </row>
    <row r="31" spans="2:40" x14ac:dyDescent="0.25">
      <c r="B31" s="133">
        <f>B30+1</f>
        <v>19</v>
      </c>
      <c r="C31" s="350" t="s">
        <v>954</v>
      </c>
      <c r="D31" s="159" t="s">
        <v>29</v>
      </c>
      <c r="E31" s="389">
        <f>'3.9 Equity Financing'!E28</f>
        <v>0.85</v>
      </c>
      <c r="F31" s="389">
        <f ca="1">'3.9 Equity Financing'!F28</f>
        <v>0.85</v>
      </c>
      <c r="G31" s="389">
        <f ca="1">'3.9 Equity Financing'!G28</f>
        <v>0.85</v>
      </c>
      <c r="H31" s="389">
        <f ca="1">'3.9 Equity Financing'!H28</f>
        <v>0.64999999999999991</v>
      </c>
      <c r="I31" s="389">
        <f ca="1">'3.9 Equity Financing'!I28</f>
        <v>0.64999999999999991</v>
      </c>
      <c r="J31" s="389">
        <f ca="1">'3.9 Equity Financing'!J28</f>
        <v>0.64999999999999991</v>
      </c>
      <c r="K31" s="389">
        <f ca="1">'3.9 Equity Financing'!K28</f>
        <v>0.64999999999999991</v>
      </c>
      <c r="L31" s="389">
        <f ca="1">'3.9 Equity Financing'!L28</f>
        <v>0.54999999999999993</v>
      </c>
      <c r="M31" s="389">
        <f ca="1">'3.9 Equity Financing'!M28</f>
        <v>0.54999999999999993</v>
      </c>
      <c r="N31" s="389">
        <f ca="1">'3.9 Equity Financing'!N28</f>
        <v>0.54999999999999993</v>
      </c>
      <c r="O31" s="389">
        <f ca="1">'3.9 Equity Financing'!O28</f>
        <v>0.54999999999999993</v>
      </c>
      <c r="P31" s="389">
        <f ca="1">'3.9 Equity Financing'!P28</f>
        <v>0.54999999999999993</v>
      </c>
      <c r="Q31" s="389">
        <f ca="1">'3.9 Equity Financing'!R28</f>
        <v>0.47999999999999993</v>
      </c>
      <c r="R31" s="389">
        <f ca="1">'3.9 Equity Financing'!S28</f>
        <v>0.47999999999999993</v>
      </c>
      <c r="S31" s="389">
        <f ca="1">'3.9 Equity Financing'!T28</f>
        <v>0.47999999999999993</v>
      </c>
      <c r="T31" s="389">
        <f ca="1">'3.9 Equity Financing'!U28</f>
        <v>0.47999999999999993</v>
      </c>
      <c r="U31" s="389">
        <f ca="1">'3.9 Equity Financing'!V28</f>
        <v>0.47999999999999993</v>
      </c>
      <c r="V31" s="389">
        <f ca="1">'3.9 Equity Financing'!W28</f>
        <v>0.47999999999999993</v>
      </c>
      <c r="W31" s="389">
        <f ca="1">'3.9 Equity Financing'!X28</f>
        <v>0.47999999999999993</v>
      </c>
      <c r="X31" s="389">
        <f ca="1">'3.9 Equity Financing'!Y28</f>
        <v>0.42999999999999994</v>
      </c>
      <c r="Y31" s="389">
        <f ca="1">'3.9 Equity Financing'!Z28</f>
        <v>0.42999999999999994</v>
      </c>
      <c r="Z31" s="389">
        <f ca="1">'3.9 Equity Financing'!AA28</f>
        <v>0.42999999999999994</v>
      </c>
      <c r="AA31" s="389">
        <f ca="1">'3.9 Equity Financing'!AB28</f>
        <v>0.42999999999999994</v>
      </c>
      <c r="AB31" s="389">
        <f ca="1">'3.9 Equity Financing'!AC28</f>
        <v>0.42999999999999994</v>
      </c>
      <c r="AC31" s="389">
        <f ca="1">'3.9 Equity Financing'!AD28</f>
        <v>0.42999999999999994</v>
      </c>
      <c r="AD31" s="389">
        <f ca="1">'3.9 Equity Financing'!AE28</f>
        <v>0.42999999999999994</v>
      </c>
      <c r="AE31" s="389">
        <f ca="1">'3.9 Equity Financing'!AF28</f>
        <v>0.42999999999999994</v>
      </c>
      <c r="AF31" s="389">
        <f ca="1">'3.9 Equity Financing'!AG28</f>
        <v>0.42999999999999994</v>
      </c>
      <c r="AG31" s="389">
        <f ca="1">'3.9 Equity Financing'!AH28</f>
        <v>0.37999999999999995</v>
      </c>
      <c r="AH31" s="389">
        <f ca="1">'3.9 Equity Financing'!AI28</f>
        <v>0.37999999999999995</v>
      </c>
      <c r="AI31" s="389">
        <f ca="1">'3.9 Equity Financing'!AJ28</f>
        <v>0.37999999999999995</v>
      </c>
      <c r="AJ31" s="389">
        <f ca="1">'3.9 Equity Financing'!AK28</f>
        <v>0.37999999999999995</v>
      </c>
      <c r="AK31" s="389">
        <f ca="1">'3.9 Equity Financing'!AL28</f>
        <v>0.37999999999999995</v>
      </c>
      <c r="AL31" s="389">
        <f ca="1">'3.9 Equity Financing'!AM28</f>
        <v>0.37999999999999995</v>
      </c>
      <c r="AM31" s="389">
        <f ca="1">'3.9 Equity Financing'!AN28</f>
        <v>0.32999999999999996</v>
      </c>
      <c r="AN31" s="389">
        <f>'3.9 Equity Financing'!AO28</f>
        <v>0</v>
      </c>
    </row>
    <row r="32" spans="2:40" x14ac:dyDescent="0.25">
      <c r="B32" s="134">
        <f>B31+1</f>
        <v>20</v>
      </c>
      <c r="C32" s="134" t="s">
        <v>891</v>
      </c>
      <c r="D32" s="153" t="s">
        <v>46</v>
      </c>
      <c r="E32" s="632">
        <f ca="1">'2.2 BS'!E25</f>
        <v>52360.282307985006</v>
      </c>
      <c r="F32" s="632">
        <f ca="1">'2.2 BS'!F25</f>
        <v>51065.670724136558</v>
      </c>
      <c r="G32" s="632">
        <f ca="1">'2.2 BS'!G25</f>
        <v>49760.270710422708</v>
      </c>
      <c r="H32" s="632">
        <f ca="1">'2.2 BS'!H25</f>
        <v>48443.992363261241</v>
      </c>
      <c r="I32" s="632">
        <f ca="1">'2.2 BS'!I25</f>
        <v>47116.745029873426</v>
      </c>
      <c r="J32" s="632">
        <f ca="1">'2.2 BS'!J25</f>
        <v>45778.437302040715</v>
      </c>
      <c r="K32" s="632">
        <f ca="1">'2.2 BS'!K25</f>
        <v>44428.977009809394</v>
      </c>
      <c r="L32" s="632">
        <f ca="1">'2.2 BS'!L25</f>
        <v>43068.271215142813</v>
      </c>
      <c r="M32" s="632">
        <f ca="1">'2.2 BS'!M25</f>
        <v>41696.226205520681</v>
      </c>
      <c r="N32" s="632">
        <f ca="1">'2.2 BS'!N25</f>
        <v>40312.74748748503</v>
      </c>
      <c r="O32" s="632">
        <f ca="1">'2.2 BS'!O25</f>
        <v>38917.739780132411</v>
      </c>
      <c r="P32" s="632">
        <f ca="1">'2.2 BS'!P25</f>
        <v>37511.107008551859</v>
      </c>
      <c r="Q32" s="632">
        <f ca="1">'2.2 BS'!Q25</f>
        <v>36092.752297208135</v>
      </c>
      <c r="R32" s="632">
        <f ca="1">'2.2 BS'!R25</f>
        <v>34662.577963269876</v>
      </c>
      <c r="S32" s="632">
        <f ca="1">'2.2 BS'!S25</f>
        <v>33220.485509882135</v>
      </c>
      <c r="T32" s="632">
        <f ca="1">'2.2 BS'!T25</f>
        <v>31766.37561938283</v>
      </c>
      <c r="U32" s="632">
        <f ca="1">'2.2 BS'!U25</f>
        <v>30300.148146462696</v>
      </c>
      <c r="V32" s="632">
        <f ca="1">'2.2 BS'!V25</f>
        <v>28821.702111268227</v>
      </c>
      <c r="W32" s="632">
        <f ca="1">'2.2 BS'!W25</f>
        <v>27330.935692447139</v>
      </c>
      <c r="X32" s="632">
        <f ca="1">'2.2 BS'!X25</f>
        <v>25827.746220135876</v>
      </c>
      <c r="Y32" s="632">
        <f ca="1">'2.2 BS'!Y25</f>
        <v>24312.030168888683</v>
      </c>
      <c r="Z32" s="632">
        <f ca="1">'2.2 BS'!Z25</f>
        <v>22783.683150547764</v>
      </c>
      <c r="AA32" s="632">
        <f ca="1">'2.2 BS'!AA25</f>
        <v>21242.599907054006</v>
      </c>
      <c r="AB32" s="632">
        <f ca="1">'2.2 BS'!AB25</f>
        <v>19688.674303197797</v>
      </c>
      <c r="AC32" s="632">
        <f ca="1">'2.2 BS'!AC25</f>
        <v>18121.799319309455</v>
      </c>
      <c r="AD32" s="632">
        <f ca="1">'2.2 BS'!AD25</f>
        <v>16541.867043888709</v>
      </c>
      <c r="AE32" s="632">
        <f ca="1">'2.2 BS'!AE25</f>
        <v>14948.768666172791</v>
      </c>
      <c r="AF32" s="632">
        <f ca="1">'2.2 BS'!AF25</f>
        <v>13342.394468642573</v>
      </c>
      <c r="AG32" s="632">
        <f ca="1">'2.2 BS'!AG25</f>
        <v>11722.633819466269</v>
      </c>
      <c r="AH32" s="632">
        <f ca="1">'2.2 BS'!AH25</f>
        <v>10089.375164880164</v>
      </c>
      <c r="AI32" s="632">
        <f ca="1">'2.2 BS'!AI25</f>
        <v>8442.506021505842</v>
      </c>
      <c r="AJ32" s="632">
        <f ca="1">'2.2 BS'!AJ25</f>
        <v>6781.9129686033993</v>
      </c>
      <c r="AK32" s="632">
        <f ca="1">'2.2 BS'!AK25</f>
        <v>5107.4816402601036</v>
      </c>
      <c r="AL32" s="632">
        <f ca="1">'2.2 BS'!AL25</f>
        <v>3419.0967175139467</v>
      </c>
      <c r="AM32" s="632">
        <f ca="1">'2.2 BS'!AM25</f>
        <v>1716.6419204115721</v>
      </c>
      <c r="AN32" s="632">
        <f ca="1">'2.2 BS'!AN25</f>
        <v>1.0913936421275139E-11</v>
      </c>
    </row>
    <row r="34" spans="3:40" x14ac:dyDescent="0.25">
      <c r="C34" s="681" t="s">
        <v>910</v>
      </c>
      <c r="D34" s="32" t="s">
        <v>14</v>
      </c>
      <c r="E34" s="32">
        <v>1</v>
      </c>
      <c r="F34" s="32">
        <f>E34+1</f>
        <v>2</v>
      </c>
      <c r="G34" s="32">
        <f t="shared" ref="G34:AN34" si="2">F34+1</f>
        <v>3</v>
      </c>
      <c r="H34" s="32">
        <f>G34+1</f>
        <v>4</v>
      </c>
      <c r="I34" s="32">
        <f t="shared" si="2"/>
        <v>5</v>
      </c>
      <c r="J34" s="32">
        <f t="shared" si="2"/>
        <v>6</v>
      </c>
      <c r="K34" s="32">
        <f t="shared" si="2"/>
        <v>7</v>
      </c>
      <c r="L34" s="32">
        <f t="shared" si="2"/>
        <v>8</v>
      </c>
      <c r="M34" s="32">
        <f t="shared" si="2"/>
        <v>9</v>
      </c>
      <c r="N34" s="32">
        <f t="shared" si="2"/>
        <v>10</v>
      </c>
      <c r="O34" s="32">
        <f t="shared" si="2"/>
        <v>11</v>
      </c>
      <c r="P34" s="32">
        <f t="shared" si="2"/>
        <v>12</v>
      </c>
      <c r="Q34" s="32">
        <f t="shared" si="2"/>
        <v>13</v>
      </c>
      <c r="R34" s="32">
        <f t="shared" si="2"/>
        <v>14</v>
      </c>
      <c r="S34" s="32">
        <f t="shared" si="2"/>
        <v>15</v>
      </c>
      <c r="T34" s="32">
        <f t="shared" si="2"/>
        <v>16</v>
      </c>
      <c r="U34" s="32">
        <f t="shared" si="2"/>
        <v>17</v>
      </c>
      <c r="V34" s="32">
        <f t="shared" si="2"/>
        <v>18</v>
      </c>
      <c r="W34" s="32">
        <f t="shared" si="2"/>
        <v>19</v>
      </c>
      <c r="X34" s="32">
        <f t="shared" si="2"/>
        <v>20</v>
      </c>
      <c r="Y34" s="32">
        <f t="shared" si="2"/>
        <v>21</v>
      </c>
      <c r="Z34" s="32">
        <f t="shared" si="2"/>
        <v>22</v>
      </c>
      <c r="AA34" s="32">
        <f t="shared" si="2"/>
        <v>23</v>
      </c>
      <c r="AB34" s="32">
        <f t="shared" si="2"/>
        <v>24</v>
      </c>
      <c r="AC34" s="32">
        <f t="shared" si="2"/>
        <v>25</v>
      </c>
      <c r="AD34" s="32">
        <f t="shared" si="2"/>
        <v>26</v>
      </c>
      <c r="AE34" s="32">
        <f t="shared" si="2"/>
        <v>27</v>
      </c>
      <c r="AF34" s="32">
        <f t="shared" si="2"/>
        <v>28</v>
      </c>
      <c r="AG34" s="32">
        <f t="shared" si="2"/>
        <v>29</v>
      </c>
      <c r="AH34" s="32">
        <f t="shared" si="2"/>
        <v>30</v>
      </c>
      <c r="AI34" s="32">
        <f t="shared" si="2"/>
        <v>31</v>
      </c>
      <c r="AJ34" s="32">
        <f t="shared" si="2"/>
        <v>32</v>
      </c>
      <c r="AK34" s="32">
        <f t="shared" si="2"/>
        <v>33</v>
      </c>
      <c r="AL34" s="32">
        <f t="shared" si="2"/>
        <v>34</v>
      </c>
      <c r="AM34" s="32">
        <f t="shared" si="2"/>
        <v>35</v>
      </c>
      <c r="AN34" s="32">
        <f t="shared" si="2"/>
        <v>36</v>
      </c>
    </row>
    <row r="35" spans="3:40" x14ac:dyDescent="0.25">
      <c r="C35" s="682" t="s">
        <v>911</v>
      </c>
      <c r="D35" s="683" t="s">
        <v>29</v>
      </c>
      <c r="E35" s="704">
        <f ca="1">1/POWER(1+'3.10 WACC'!$D$4,E34-1)</f>
        <v>1</v>
      </c>
      <c r="F35" s="704">
        <f ca="1">1/POWER(1+'3.10 WACC'!$D$4,F34-1)</f>
        <v>0.90871029251802782</v>
      </c>
      <c r="G35" s="704">
        <f ca="1">1/POWER(1+'3.10 WACC'!$D$4,G34-1)</f>
        <v>0.82575439572819975</v>
      </c>
      <c r="H35" s="704">
        <f ca="1">1/POWER(1+'3.10 WACC'!$D$4,H34-1)</f>
        <v>0.75037151849021966</v>
      </c>
      <c r="I35" s="704">
        <f ca="1">1/POWER(1+'3.10 WACC'!$D$4,I34-1)</f>
        <v>0.6818703220644442</v>
      </c>
      <c r="J35" s="704">
        <f ca="1">1/POWER(1+'3.10 WACC'!$D$4,J34-1)</f>
        <v>0.61962257982254298</v>
      </c>
      <c r="K35" s="704">
        <f ca="1">1/POWER(1+'3.10 WACC'!$D$4,K34-1)</f>
        <v>0.56305741576131807</v>
      </c>
      <c r="L35" s="704">
        <f ca="1">1/POWER(1+'3.10 WACC'!$D$4,L34-1)</f>
        <v>0.5116560689809122</v>
      </c>
      <c r="M35" s="704">
        <f ca="1">1/POWER(1+'3.10 WACC'!$D$4,M34-1)</f>
        <v>0.4649471361122689</v>
      </c>
      <c r="N35" s="704">
        <f ca="1">1/POWER(1+'3.10 WACC'!$D$4,N34-1)</f>
        <v>0.42250224806199921</v>
      </c>
      <c r="O35" s="704">
        <f ca="1">1/POWER(1+'3.10 WACC'!$D$4,O34-1)</f>
        <v>0.38393214142594367</v>
      </c>
      <c r="P35" s="704">
        <f ca="1">1/POWER(1+'3.10 WACC'!$D$4,P34-1)</f>
        <v>0.34888308854224209</v>
      </c>
      <c r="Q35" s="704">
        <f ca="1">1/POWER(1+'3.10 WACC'!$D$4,Q34-1)</f>
        <v>0.31703365344381385</v>
      </c>
      <c r="R35" s="704">
        <f ca="1">1/POWER(1+'3.10 WACC'!$D$4,R34-1)</f>
        <v>0.28809174395898707</v>
      </c>
      <c r="S35" s="704">
        <f ca="1">1/POWER(1+'3.10 WACC'!$D$4,S34-1)</f>
        <v>0.26179193292499991</v>
      </c>
      <c r="T35" s="704">
        <f ca="1">1/POWER(1+'3.10 WACC'!$D$4,T34-1)</f>
        <v>0.2378930239471366</v>
      </c>
      <c r="U35" s="704">
        <f ca="1">1/POWER(1+'3.10 WACC'!$D$4,U34-1)</f>
        <v>0.21617583937900073</v>
      </c>
      <c r="V35" s="704">
        <f ca="1">1/POWER(1+'3.10 WACC'!$D$4,V34-1)</f>
        <v>0.19644121023742192</v>
      </c>
      <c r="W35" s="704">
        <f ca="1">1/POWER(1+'3.10 WACC'!$D$4,W34-1)</f>
        <v>0.1785081496174431</v>
      </c>
      <c r="X35" s="704">
        <f ca="1">1/POWER(1+'3.10 WACC'!$D$4,X34-1)</f>
        <v>0.16221219285571858</v>
      </c>
      <c r="Y35" s="704">
        <f ca="1">1/POWER(1+'3.10 WACC'!$D$4,Y34-1)</f>
        <v>0.14740388921991079</v>
      </c>
      <c r="Z35" s="704">
        <f ca="1">1/POWER(1+'3.10 WACC'!$D$4,Z34-1)</f>
        <v>0.13394743129132008</v>
      </c>
      <c r="AA35" s="704">
        <f ca="1">1/POWER(1+'3.10 WACC'!$D$4,AA34-1)</f>
        <v>0.12171940947077392</v>
      </c>
      <c r="AB35" s="704">
        <f ca="1">1/POWER(1+'3.10 WACC'!$D$4,AB34-1)</f>
        <v>0.11060768018530859</v>
      </c>
      <c r="AC35" s="704">
        <f ca="1">1/POWER(1+'3.10 WACC'!$D$4,AC34-1)</f>
        <v>0.10051033741593222</v>
      </c>
      <c r="AD35" s="704">
        <f ca="1">1/POWER(1+'3.10 WACC'!$D$4,AD34-1)</f>
        <v>9.133477811431745E-2</v>
      </c>
      <c r="AE35" s="704">
        <f ca="1">1/POWER(1+'3.10 WACC'!$D$4,AE34-1)</f>
        <v>8.2996852937330598E-2</v>
      </c>
      <c r="AF35" s="704">
        <f ca="1">1/POWER(1+'3.10 WACC'!$D$4,AF34-1)</f>
        <v>7.5420094510757416E-2</v>
      </c>
      <c r="AG35" s="704">
        <f ca="1">1/POWER(1+'3.10 WACC'!$D$4,AG34-1)</f>
        <v>6.8535016144607677E-2</v>
      </c>
      <c r="AH35" s="704">
        <f ca="1">1/POWER(1+'3.10 WACC'!$D$4,AH34-1)</f>
        <v>6.2278474568494196E-2</v>
      </c>
      <c r="AI35" s="704">
        <f ca="1">1/POWER(1+'3.10 WACC'!$D$4,AI34-1)</f>
        <v>5.6593090842712912E-2</v>
      </c>
      <c r="AJ35" s="704">
        <f ca="1">1/POWER(1+'3.10 WACC'!$D$4,AJ34-1)</f>
        <v>5.1426724134180979E-2</v>
      </c>
      <c r="AK35" s="704">
        <f ca="1">1/POWER(1+'3.10 WACC'!$D$4,AK34-1)</f>
        <v>4.6731993531215515E-2</v>
      </c>
      <c r="AL35" s="705">
        <f ca="1">1/POWER(1+'3.10 WACC'!$D$4,AL34-1)</f>
        <v>4.2465843511701427E-2</v>
      </c>
      <c r="AM35" s="705">
        <f ca="1">1/POWER(1+'3.10 WACC'!$D$4,AM34-1)</f>
        <v>3.8589149079543007E-2</v>
      </c>
      <c r="AN35" s="705">
        <f ca="1">1/POWER(1+'3.10 WACC'!$D$4,AN34-1)</f>
        <v>3.5066356948093305E-2</v>
      </c>
    </row>
    <row r="36" spans="3:40" x14ac:dyDescent="0.25">
      <c r="C36" s="684" t="s">
        <v>913</v>
      </c>
      <c r="D36" s="215" t="s">
        <v>46</v>
      </c>
      <c r="E36" s="232">
        <f ca="1">'2.3 CF'!E5+'2.3 CF'!E6+E40</f>
        <v>-420663.24735279713</v>
      </c>
      <c r="F36" s="232">
        <f ca="1">'2.3 CF'!F5+'2.3 CF'!F6+F40</f>
        <v>312026.09211114747</v>
      </c>
      <c r="G36" s="232">
        <f ca="1">'2.3 CF'!G5+'2.3 CF'!G6+G40</f>
        <v>226274.2045972388</v>
      </c>
      <c r="H36" s="232">
        <f ca="1">'2.3 CF'!H5+'2.3 CF'!H6+H40</f>
        <v>145293.62663662911</v>
      </c>
      <c r="I36" s="232">
        <f ca="1">'2.3 CF'!I5+'2.3 CF'!I6+I40</f>
        <v>571467.21147233644</v>
      </c>
      <c r="J36" s="232">
        <f ca="1">'2.3 CF'!J5+'2.3 CF'!J6+J40</f>
        <v>1319949.5251354077</v>
      </c>
      <c r="K36" s="232">
        <f ca="1">'2.3 CF'!K5+'2.3 CF'!K6+K40</f>
        <v>2399765.6512611746</v>
      </c>
      <c r="L36" s="232">
        <f ca="1">'2.3 CF'!L5+'2.3 CF'!L6+L40</f>
        <v>3050941.1965904888</v>
      </c>
      <c r="M36" s="232">
        <f ca="1">'2.3 CF'!M5+'2.3 CF'!M6+M40</f>
        <v>4311770.459770022</v>
      </c>
      <c r="N36" s="232">
        <f ca="1">'2.3 CF'!N5+'2.3 CF'!N6+N40</f>
        <v>5269186.4939706</v>
      </c>
      <c r="O36" s="232">
        <f ca="1">'2.3 CF'!O5+'2.3 CF'!O6+O40</f>
        <v>7015097.0067715896</v>
      </c>
      <c r="P36" s="232">
        <f ca="1">'2.3 CF'!P5+'2.3 CF'!P6+P40</f>
        <v>8455229.422221195</v>
      </c>
      <c r="Q36" s="232">
        <f ca="1">'2.3 CF'!Q5+'2.3 CF'!Q6+Q40</f>
        <v>9995291.3513867147</v>
      </c>
      <c r="R36" s="232">
        <f ca="1">'2.3 CF'!R5+'2.3 CF'!R6+R40</f>
        <v>11609186.192646474</v>
      </c>
      <c r="S36" s="232">
        <f ca="1">'2.3 CF'!S5+'2.3 CF'!S6+S40</f>
        <v>13777869.638878776</v>
      </c>
      <c r="T36" s="232">
        <f ca="1">'2.3 CF'!T5+'2.3 CF'!T6+T40</f>
        <v>15353677.258686677</v>
      </c>
      <c r="U36" s="232">
        <f ca="1">'2.3 CF'!U5+'2.3 CF'!U6+U40</f>
        <v>16746290.936063631</v>
      </c>
      <c r="V36" s="232">
        <f ca="1">'2.3 CF'!V5+'2.3 CF'!V6+V40</f>
        <v>19269201.781953413</v>
      </c>
      <c r="W36" s="232">
        <f ca="1">'2.3 CF'!W5+'2.3 CF'!W6+W40</f>
        <v>21668060.528175153</v>
      </c>
      <c r="X36" s="232">
        <f ca="1">'2.3 CF'!X5+'2.3 CF'!X6+X40</f>
        <v>23678701.181757305</v>
      </c>
      <c r="Y36" s="232">
        <f ca="1">'2.3 CF'!Y5+'2.3 CF'!Y6+Y40</f>
        <v>25178797.838682473</v>
      </c>
      <c r="Z36" s="232">
        <f ca="1">'2.3 CF'!Z5+'2.3 CF'!Z6+Z40</f>
        <v>27930463.340847492</v>
      </c>
      <c r="AA36" s="232">
        <f ca="1">'2.3 CF'!AA5+'2.3 CF'!AA6+AA40</f>
        <v>30420083.591753505</v>
      </c>
      <c r="AB36" s="232">
        <f ca="1">'2.3 CF'!AB5+'2.3 CF'!AB6+AB40</f>
        <v>32620677.763053101</v>
      </c>
      <c r="AC36" s="232">
        <f ca="1">'2.3 CF'!AC5+'2.3 CF'!AC6+AC40</f>
        <v>36248788.677524567</v>
      </c>
      <c r="AD36" s="232">
        <f ca="1">'2.3 CF'!AD5+'2.3 CF'!AD6+AD40</f>
        <v>40135434.594664253</v>
      </c>
      <c r="AE36" s="232">
        <f ca="1">'2.3 CF'!AE5+'2.3 CF'!AE6+AE40</f>
        <v>42757519.500497438</v>
      </c>
      <c r="AF36" s="232">
        <f ca="1">'2.3 CF'!AF5+'2.3 CF'!AF6+AF40</f>
        <v>44992413.910074547</v>
      </c>
      <c r="AG36" s="232">
        <f ca="1">'2.3 CF'!AG5+'2.3 CF'!AG6+AG40</f>
        <v>46458569.950647153</v>
      </c>
      <c r="AH36" s="232">
        <f ca="1">'2.3 CF'!AH5+'2.3 CF'!AH6+AH40</f>
        <v>52340326.953072175</v>
      </c>
      <c r="AI36" s="232">
        <f ca="1">'2.3 CF'!AI5+'2.3 CF'!AI6+AI40</f>
        <v>58444180.863804221</v>
      </c>
      <c r="AJ36" s="232">
        <f ca="1">'2.3 CF'!AJ5+'2.3 CF'!AJ6+AJ40</f>
        <v>63724918.569825381</v>
      </c>
      <c r="AK36" s="232">
        <f ca="1">'2.3 CF'!AK5+'2.3 CF'!AK6+AK40</f>
        <v>68283585.372715101</v>
      </c>
      <c r="AL36" s="232">
        <f ca="1">'2.3 CF'!AL5+'2.3 CF'!AL6+AL40</f>
        <v>75925645.880436167</v>
      </c>
      <c r="AM36" s="232">
        <f ca="1">'2.3 CF'!AM5+'2.3 CF'!AM6+AM40</f>
        <v>83828749.598112747</v>
      </c>
      <c r="AN36" s="232">
        <f ca="1">'2.3 CF'!AN5+'2.3 CF'!AN6+AN40</f>
        <v>411992216.44916129</v>
      </c>
    </row>
    <row r="37" spans="3:40" x14ac:dyDescent="0.25">
      <c r="C37" s="685" t="s">
        <v>912</v>
      </c>
      <c r="D37" s="686" t="s">
        <v>46</v>
      </c>
      <c r="E37" s="710">
        <f ca="1">E38+E39</f>
        <v>-365288.10546050337</v>
      </c>
      <c r="F37" s="686">
        <f t="shared" ref="F37:AN37" ca="1" si="3">F38+F39</f>
        <v>313757.03938089579</v>
      </c>
      <c r="G37" s="686">
        <f t="shared" ca="1" si="3"/>
        <v>228005.15186698711</v>
      </c>
      <c r="H37" s="686">
        <f t="shared" ca="1" si="3"/>
        <v>147024.57390637742</v>
      </c>
      <c r="I37" s="686">
        <f t="shared" ca="1" si="3"/>
        <v>573198.15874208475</v>
      </c>
      <c r="J37" s="686">
        <f t="shared" ca="1" si="3"/>
        <v>1321680.4724051561</v>
      </c>
      <c r="K37" s="686">
        <f t="shared" ca="1" si="3"/>
        <v>2401496.598530923</v>
      </c>
      <c r="L37" s="686">
        <f t="shared" ca="1" si="3"/>
        <v>3052672.1438602372</v>
      </c>
      <c r="M37" s="686">
        <f t="shared" ca="1" si="3"/>
        <v>4313501.4070397699</v>
      </c>
      <c r="N37" s="686">
        <f t="shared" ca="1" si="3"/>
        <v>5270917.4412403479</v>
      </c>
      <c r="O37" s="686">
        <f t="shared" ca="1" si="3"/>
        <v>7016827.9540413376</v>
      </c>
      <c r="P37" s="686">
        <f t="shared" ca="1" si="3"/>
        <v>8456960.3694909438</v>
      </c>
      <c r="Q37" s="686">
        <f t="shared" ca="1" si="3"/>
        <v>9997022.2986564636</v>
      </c>
      <c r="R37" s="686">
        <f t="shared" ca="1" si="3"/>
        <v>11610917.139916223</v>
      </c>
      <c r="S37" s="686">
        <f t="shared" ca="1" si="3"/>
        <v>13779600.586148525</v>
      </c>
      <c r="T37" s="686">
        <f t="shared" ca="1" si="3"/>
        <v>15355408.205956426</v>
      </c>
      <c r="U37" s="686">
        <f t="shared" ca="1" si="3"/>
        <v>16748021.883333379</v>
      </c>
      <c r="V37" s="686">
        <f t="shared" ca="1" si="3"/>
        <v>19270932.729223162</v>
      </c>
      <c r="W37" s="686">
        <f t="shared" ca="1" si="3"/>
        <v>21669791.475444902</v>
      </c>
      <c r="X37" s="686">
        <f t="shared" ca="1" si="3"/>
        <v>23680432.129027054</v>
      </c>
      <c r="Y37" s="686">
        <f t="shared" ca="1" si="3"/>
        <v>25180528.785952222</v>
      </c>
      <c r="Z37" s="686">
        <f t="shared" ca="1" si="3"/>
        <v>27932194.288117241</v>
      </c>
      <c r="AA37" s="686">
        <f t="shared" ca="1" si="3"/>
        <v>30421814.539023254</v>
      </c>
      <c r="AB37" s="686">
        <f t="shared" ca="1" si="3"/>
        <v>32622408.710322849</v>
      </c>
      <c r="AC37" s="686">
        <f t="shared" ca="1" si="3"/>
        <v>36250519.624794312</v>
      </c>
      <c r="AD37" s="686">
        <f t="shared" ca="1" si="3"/>
        <v>40137165.541933998</v>
      </c>
      <c r="AE37" s="686">
        <f t="shared" ca="1" si="3"/>
        <v>42759250.447767183</v>
      </c>
      <c r="AF37" s="686">
        <f t="shared" ca="1" si="3"/>
        <v>44994144.857344292</v>
      </c>
      <c r="AG37" s="686">
        <f t="shared" ca="1" si="3"/>
        <v>46460300.897916898</v>
      </c>
      <c r="AH37" s="686">
        <f t="shared" ca="1" si="3"/>
        <v>52342057.900341921</v>
      </c>
      <c r="AI37" s="686">
        <f t="shared" ca="1" si="3"/>
        <v>58445911.811073966</v>
      </c>
      <c r="AJ37" s="686">
        <f t="shared" ca="1" si="3"/>
        <v>63726649.517095126</v>
      </c>
      <c r="AK37" s="686">
        <f t="shared" ca="1" si="3"/>
        <v>68285316.319984853</v>
      </c>
      <c r="AL37" s="686">
        <f t="shared" ca="1" si="3"/>
        <v>75927376.82770592</v>
      </c>
      <c r="AM37" s="686">
        <f t="shared" ca="1" si="3"/>
        <v>83830480.5453825</v>
      </c>
      <c r="AN37" s="686">
        <f t="shared" ca="1" si="3"/>
        <v>411993947.39643103</v>
      </c>
    </row>
    <row r="38" spans="3:40" x14ac:dyDescent="0.25">
      <c r="C38" s="20" t="s">
        <v>913</v>
      </c>
      <c r="D38" s="34" t="s">
        <v>46</v>
      </c>
      <c r="E38" s="270">
        <f ca="1">E36</f>
        <v>-420663.24735279713</v>
      </c>
      <c r="F38" s="270">
        <f t="shared" ref="F38:AN38" ca="1" si="4">F36</f>
        <v>312026.09211114747</v>
      </c>
      <c r="G38" s="270">
        <f t="shared" ca="1" si="4"/>
        <v>226274.2045972388</v>
      </c>
      <c r="H38" s="270">
        <f t="shared" ca="1" si="4"/>
        <v>145293.62663662911</v>
      </c>
      <c r="I38" s="270">
        <f t="shared" ca="1" si="4"/>
        <v>571467.21147233644</v>
      </c>
      <c r="J38" s="270">
        <f t="shared" ca="1" si="4"/>
        <v>1319949.5251354077</v>
      </c>
      <c r="K38" s="270">
        <f t="shared" ca="1" si="4"/>
        <v>2399765.6512611746</v>
      </c>
      <c r="L38" s="270">
        <f t="shared" ca="1" si="4"/>
        <v>3050941.1965904888</v>
      </c>
      <c r="M38" s="270">
        <f t="shared" ca="1" si="4"/>
        <v>4311770.459770022</v>
      </c>
      <c r="N38" s="270">
        <f t="shared" ca="1" si="4"/>
        <v>5269186.4939706</v>
      </c>
      <c r="O38" s="270">
        <f t="shared" ca="1" si="4"/>
        <v>7015097.0067715896</v>
      </c>
      <c r="P38" s="270">
        <f t="shared" ca="1" si="4"/>
        <v>8455229.422221195</v>
      </c>
      <c r="Q38" s="270">
        <f t="shared" ca="1" si="4"/>
        <v>9995291.3513867147</v>
      </c>
      <c r="R38" s="270">
        <f t="shared" ca="1" si="4"/>
        <v>11609186.192646474</v>
      </c>
      <c r="S38" s="270">
        <f t="shared" ca="1" si="4"/>
        <v>13777869.638878776</v>
      </c>
      <c r="T38" s="270">
        <f t="shared" ca="1" si="4"/>
        <v>15353677.258686677</v>
      </c>
      <c r="U38" s="270">
        <f t="shared" ca="1" si="4"/>
        <v>16746290.936063631</v>
      </c>
      <c r="V38" s="270">
        <f t="shared" ca="1" si="4"/>
        <v>19269201.781953413</v>
      </c>
      <c r="W38" s="270">
        <f t="shared" ca="1" si="4"/>
        <v>21668060.528175153</v>
      </c>
      <c r="X38" s="270">
        <f t="shared" ca="1" si="4"/>
        <v>23678701.181757305</v>
      </c>
      <c r="Y38" s="270">
        <f t="shared" ca="1" si="4"/>
        <v>25178797.838682473</v>
      </c>
      <c r="Z38" s="270">
        <f t="shared" ca="1" si="4"/>
        <v>27930463.340847492</v>
      </c>
      <c r="AA38" s="270">
        <f t="shared" ca="1" si="4"/>
        <v>30420083.591753505</v>
      </c>
      <c r="AB38" s="270">
        <f t="shared" ca="1" si="4"/>
        <v>32620677.763053101</v>
      </c>
      <c r="AC38" s="270">
        <f t="shared" ca="1" si="4"/>
        <v>36248788.677524567</v>
      </c>
      <c r="AD38" s="270">
        <f t="shared" ca="1" si="4"/>
        <v>40135434.594664253</v>
      </c>
      <c r="AE38" s="270">
        <f t="shared" ca="1" si="4"/>
        <v>42757519.500497438</v>
      </c>
      <c r="AF38" s="270">
        <f t="shared" ca="1" si="4"/>
        <v>44992413.910074547</v>
      </c>
      <c r="AG38" s="270">
        <f t="shared" ca="1" si="4"/>
        <v>46458569.950647153</v>
      </c>
      <c r="AH38" s="270">
        <f t="shared" ca="1" si="4"/>
        <v>52340326.953072175</v>
      </c>
      <c r="AI38" s="270">
        <f t="shared" ca="1" si="4"/>
        <v>58444180.863804221</v>
      </c>
      <c r="AJ38" s="270">
        <f t="shared" ca="1" si="4"/>
        <v>63724918.569825381</v>
      </c>
      <c r="AK38" s="270">
        <f t="shared" ca="1" si="4"/>
        <v>68283585.372715101</v>
      </c>
      <c r="AL38" s="270">
        <f t="shared" ca="1" si="4"/>
        <v>75925645.880436167</v>
      </c>
      <c r="AM38" s="270">
        <f t="shared" ca="1" si="4"/>
        <v>83828749.598112747</v>
      </c>
      <c r="AN38" s="270">
        <f t="shared" ca="1" si="4"/>
        <v>411992216.44916129</v>
      </c>
    </row>
    <row r="39" spans="3:40" x14ac:dyDescent="0.25">
      <c r="C39" s="22" t="s">
        <v>928</v>
      </c>
      <c r="D39" s="96" t="s">
        <v>46</v>
      </c>
      <c r="E39" s="706">
        <f ca="1">'2.3 CF'!E30-SUM('2.3 CF'!E31:E32)</f>
        <v>55375.141892293774</v>
      </c>
      <c r="F39" s="96">
        <f ca="1">'2.3 CF'!F30-SUM('2.3 CF'!F31:F32)</f>
        <v>1730.9472697483243</v>
      </c>
      <c r="G39" s="96">
        <f ca="1">'2.3 CF'!G30-SUM('2.3 CF'!G31:G32)</f>
        <v>1730.9472697483243</v>
      </c>
      <c r="H39" s="96">
        <f ca="1">'2.3 CF'!H30-SUM('2.3 CF'!H31:H32)</f>
        <v>1730.9472697483243</v>
      </c>
      <c r="I39" s="96">
        <f ca="1">'2.3 CF'!I30-SUM('2.3 CF'!I31:I32)</f>
        <v>1730.9472697483243</v>
      </c>
      <c r="J39" s="96">
        <f ca="1">'2.3 CF'!J30-SUM('2.3 CF'!J31:J32)</f>
        <v>1730.9472697483243</v>
      </c>
      <c r="K39" s="96">
        <f ca="1">'2.3 CF'!K30-SUM('2.3 CF'!K31:K32)</f>
        <v>1730.9472697483243</v>
      </c>
      <c r="L39" s="96">
        <f ca="1">'2.3 CF'!L30-SUM('2.3 CF'!L31:L32)</f>
        <v>1730.9472697483243</v>
      </c>
      <c r="M39" s="96">
        <f ca="1">'2.3 CF'!M30-SUM('2.3 CF'!M31:M32)</f>
        <v>1730.9472697483243</v>
      </c>
      <c r="N39" s="96">
        <f ca="1">'2.3 CF'!N30-SUM('2.3 CF'!N31:N32)</f>
        <v>1730.9472697483243</v>
      </c>
      <c r="O39" s="96">
        <f ca="1">'2.3 CF'!O30-SUM('2.3 CF'!O31:O32)</f>
        <v>1730.9472697483243</v>
      </c>
      <c r="P39" s="96">
        <f ca="1">'2.3 CF'!P30-SUM('2.3 CF'!P31:P32)</f>
        <v>1730.9472697483243</v>
      </c>
      <c r="Q39" s="96">
        <f ca="1">'2.3 CF'!Q30-SUM('2.3 CF'!Q31:Q32)</f>
        <v>1730.9472697483243</v>
      </c>
      <c r="R39" s="96">
        <f ca="1">'2.3 CF'!R30-SUM('2.3 CF'!R31:R32)</f>
        <v>1730.9472697483243</v>
      </c>
      <c r="S39" s="96">
        <f ca="1">'2.3 CF'!S30-SUM('2.3 CF'!S31:S32)</f>
        <v>1730.9472697483243</v>
      </c>
      <c r="T39" s="96">
        <f ca="1">'2.3 CF'!T30-SUM('2.3 CF'!T31:T32)</f>
        <v>1730.9472697483243</v>
      </c>
      <c r="U39" s="96">
        <f ca="1">'2.3 CF'!U30-SUM('2.3 CF'!U31:U32)</f>
        <v>1730.9472697483243</v>
      </c>
      <c r="V39" s="96">
        <f ca="1">'2.3 CF'!V30-SUM('2.3 CF'!V31:V32)</f>
        <v>1730.9472697483243</v>
      </c>
      <c r="W39" s="96">
        <f ca="1">'2.3 CF'!W30-SUM('2.3 CF'!W31:W32)</f>
        <v>1730.9472697483243</v>
      </c>
      <c r="X39" s="96">
        <f ca="1">'2.3 CF'!X30-SUM('2.3 CF'!X31:X32)</f>
        <v>1730.9472697483243</v>
      </c>
      <c r="Y39" s="96">
        <f ca="1">'2.3 CF'!Y30-SUM('2.3 CF'!Y31:Y32)</f>
        <v>1730.9472697483243</v>
      </c>
      <c r="Z39" s="96">
        <f ca="1">'2.3 CF'!Z30-SUM('2.3 CF'!Z31:Z32)</f>
        <v>1730.9472697483243</v>
      </c>
      <c r="AA39" s="96">
        <f ca="1">'2.3 CF'!AA30-SUM('2.3 CF'!AA31:AA32)</f>
        <v>1730.9472697483243</v>
      </c>
      <c r="AB39" s="96">
        <f ca="1">'2.3 CF'!AB30-SUM('2.3 CF'!AB31:AB32)</f>
        <v>1730.9472697483243</v>
      </c>
      <c r="AC39" s="96">
        <f ca="1">'2.3 CF'!AC30-SUM('2.3 CF'!AC31:AC32)</f>
        <v>1730.9472697483243</v>
      </c>
      <c r="AD39" s="96">
        <f ca="1">'2.3 CF'!AD30-SUM('2.3 CF'!AD31:AD32)</f>
        <v>1730.9472697483243</v>
      </c>
      <c r="AE39" s="96">
        <f ca="1">'2.3 CF'!AE30-SUM('2.3 CF'!AE31:AE32)</f>
        <v>1730.9472697483243</v>
      </c>
      <c r="AF39" s="96">
        <f ca="1">'2.3 CF'!AF30-SUM('2.3 CF'!AF31:AF32)</f>
        <v>1730.9472697483243</v>
      </c>
      <c r="AG39" s="96">
        <f ca="1">'2.3 CF'!AG30-SUM('2.3 CF'!AG31:AG32)</f>
        <v>1730.9472697483243</v>
      </c>
      <c r="AH39" s="96">
        <f ca="1">'2.3 CF'!AH30-SUM('2.3 CF'!AH31:AH32)</f>
        <v>1730.9472697483243</v>
      </c>
      <c r="AI39" s="96">
        <f ca="1">'2.3 CF'!AI30-SUM('2.3 CF'!AI31:AI32)</f>
        <v>1730.9472697483243</v>
      </c>
      <c r="AJ39" s="96">
        <f ca="1">'2.3 CF'!AJ30-SUM('2.3 CF'!AJ31:AJ32)</f>
        <v>1730.9472697483243</v>
      </c>
      <c r="AK39" s="96">
        <f ca="1">'2.3 CF'!AK30-SUM('2.3 CF'!AK31:AK32)</f>
        <v>1730.9472697483243</v>
      </c>
      <c r="AL39" s="96">
        <f ca="1">'2.3 CF'!AL30-SUM('2.3 CF'!AL31:AL32)</f>
        <v>1730.9472697483243</v>
      </c>
      <c r="AM39" s="96">
        <f ca="1">'2.3 CF'!AM30-SUM('2.3 CF'!AM31:AM32)</f>
        <v>1730.9472697483243</v>
      </c>
      <c r="AN39" s="96">
        <f ca="1">'2.3 CF'!AN30-SUM('2.3 CF'!AN31:AN32)</f>
        <v>1730.9472697483243</v>
      </c>
    </row>
    <row r="40" spans="3:40" x14ac:dyDescent="0.25">
      <c r="C40" s="11" t="s">
        <v>94</v>
      </c>
      <c r="D40" s="104" t="s">
        <v>46</v>
      </c>
      <c r="E40" s="707" cm="1">
        <f t="array" ref="E40">IF(E$41&lt;0,0,IF(E$34='1.1 Control Panel'!$D$8,_xlfn.IFS('1.1 Control Panel'!$D$7=EBITDAR,E$41*'1.1 Control Panel'!$E$21,'1.1 Control Panel'!$D$7=EBITDA,E$42*'1.1 Control Panel'!$E$22,'1.1 Control Panel'!$D$7=EBIT,E$43*'1.1 Control Panel'!$E$23,'1.1 Control Panel'!$D$7=NOPLAT,E$44*'1.1 Control Panel'!$E$24),0))</f>
        <v>0</v>
      </c>
      <c r="F40" s="708" cm="1">
        <f t="array" aca="1" ref="F40" ca="1">IF(F$41&lt;0,0,IF(F$34='1.1 Control Panel'!$D$8,_xlfn.IFS('1.1 Control Panel'!$D$7=EBITDAR,F$41*'1.1 Control Panel'!$E$21,'1.1 Control Panel'!$D$7=EBITDA,F$42*'1.1 Control Panel'!$E$22,'1.1 Control Panel'!$D$7=EBIT,F$43*'1.1 Control Panel'!$E$23,'1.1 Control Panel'!$D$7=NOPLAT,F$44*'1.1 Control Panel'!$E$24),0))</f>
        <v>0</v>
      </c>
      <c r="G40" s="708" cm="1">
        <f t="array" aca="1" ref="G40" ca="1">IF(G$41&lt;0,0,IF(G$34='1.1 Control Panel'!$D$8,_xlfn.IFS('1.1 Control Panel'!$D$7=EBITDAR,G$41*'1.1 Control Panel'!$E$21,'1.1 Control Panel'!$D$7=EBITDA,G$42*'1.1 Control Panel'!$E$22,'1.1 Control Panel'!$D$7=EBIT,G$43*'1.1 Control Panel'!$E$23,'1.1 Control Panel'!$D$7=NOPLAT,G$44*'1.1 Control Panel'!$E$24),0))</f>
        <v>0</v>
      </c>
      <c r="H40" s="708" cm="1">
        <f t="array" aca="1" ref="H40" ca="1">IF(H$41&lt;0,0,IF(H$34='1.1 Control Panel'!$D$8,_xlfn.IFS('1.1 Control Panel'!$D$7=EBITDAR,H$41*'1.1 Control Panel'!$E$21,'1.1 Control Panel'!$D$7=EBITDA,H$42*'1.1 Control Panel'!$E$22,'1.1 Control Panel'!$D$7=EBIT,H$43*'1.1 Control Panel'!$E$23,'1.1 Control Panel'!$D$7=NOPLAT,H$44*'1.1 Control Panel'!$E$24),0))</f>
        <v>0</v>
      </c>
      <c r="I40" s="708" cm="1">
        <f t="array" aca="1" ref="I40" ca="1">IF(I$41&lt;0,0,IF(I$34='1.1 Control Panel'!$D$8,_xlfn.IFS('1.1 Control Panel'!$D$7=EBITDAR,I$41*'1.1 Control Panel'!$E$21,'1.1 Control Panel'!$D$7=EBITDA,I$42*'1.1 Control Panel'!$E$22,'1.1 Control Panel'!$D$7=EBIT,I$43*'1.1 Control Panel'!$E$23,'1.1 Control Panel'!$D$7=NOPLAT,I$44*'1.1 Control Panel'!$E$24),0))</f>
        <v>0</v>
      </c>
      <c r="J40" s="708" cm="1">
        <f t="array" aca="1" ref="J40" ca="1">IF(J$41&lt;0,0,IF(J$34='1.1 Control Panel'!$D$8,_xlfn.IFS('1.1 Control Panel'!$D$7=EBITDAR,J$41*'1.1 Control Panel'!$E$21,'1.1 Control Panel'!$D$7=EBITDA,J$42*'1.1 Control Panel'!$E$22,'1.1 Control Panel'!$D$7=EBIT,J$43*'1.1 Control Panel'!$E$23,'1.1 Control Panel'!$D$7=NOPLAT,J$44*'1.1 Control Panel'!$E$24),0))</f>
        <v>0</v>
      </c>
      <c r="K40" s="708" cm="1">
        <f t="array" aca="1" ref="K40" ca="1">IF(K$41&lt;0,0,IF(K$34='1.1 Control Panel'!$D$8,_xlfn.IFS('1.1 Control Panel'!$D$7=EBITDAR,K$41*'1.1 Control Panel'!$E$21,'1.1 Control Panel'!$D$7=EBITDA,K$42*'1.1 Control Panel'!$E$22,'1.1 Control Panel'!$D$7=EBIT,K$43*'1.1 Control Panel'!$E$23,'1.1 Control Panel'!$D$7=NOPLAT,K$44*'1.1 Control Panel'!$E$24),0))</f>
        <v>0</v>
      </c>
      <c r="L40" s="708" cm="1">
        <f t="array" aca="1" ref="L40" ca="1">IF(L$41&lt;0,0,IF(L$34='1.1 Control Panel'!$D$8,_xlfn.IFS('1.1 Control Panel'!$D$7=EBITDAR,L$41*'1.1 Control Panel'!$E$21,'1.1 Control Panel'!$D$7=EBITDA,L$42*'1.1 Control Panel'!$E$22,'1.1 Control Panel'!$D$7=EBIT,L$43*'1.1 Control Panel'!$E$23,'1.1 Control Panel'!$D$7=NOPLAT,L$44*'1.1 Control Panel'!$E$24),0))</f>
        <v>0</v>
      </c>
      <c r="M40" s="708" cm="1">
        <f t="array" aca="1" ref="M40" ca="1">IF(M$41&lt;0,0,IF(M$34='1.1 Control Panel'!$D$8,_xlfn.IFS('1.1 Control Panel'!$D$7=EBITDAR,M$41*'1.1 Control Panel'!$E$21,'1.1 Control Panel'!$D$7=EBITDA,M$42*'1.1 Control Panel'!$E$22,'1.1 Control Panel'!$D$7=EBIT,M$43*'1.1 Control Panel'!$E$23,'1.1 Control Panel'!$D$7=NOPLAT,M$44*'1.1 Control Panel'!$E$24),0))</f>
        <v>0</v>
      </c>
      <c r="N40" s="708" cm="1">
        <f t="array" aca="1" ref="N40" ca="1">IF(N$41&lt;0,0,IF(N$34='1.1 Control Panel'!$D$8,_xlfn.IFS('1.1 Control Panel'!$D$7=EBITDAR,N$41*'1.1 Control Panel'!$E$21,'1.1 Control Panel'!$D$7=EBITDA,N$42*'1.1 Control Panel'!$E$22,'1.1 Control Panel'!$D$7=EBIT,N$43*'1.1 Control Panel'!$E$23,'1.1 Control Panel'!$D$7=NOPLAT,N$44*'1.1 Control Panel'!$E$24),0))</f>
        <v>0</v>
      </c>
      <c r="O40" s="708" cm="1">
        <f t="array" aca="1" ref="O40" ca="1">IF(O$41&lt;0,0,IF(O$34='1.1 Control Panel'!$D$8,_xlfn.IFS('1.1 Control Panel'!$D$7=EBITDAR,O$41*'1.1 Control Panel'!$E$21,'1.1 Control Panel'!$D$7=EBITDA,O$42*'1.1 Control Panel'!$E$22,'1.1 Control Panel'!$D$7=EBIT,O$43*'1.1 Control Panel'!$E$23,'1.1 Control Panel'!$D$7=NOPLAT,O$44*'1.1 Control Panel'!$E$24),0))</f>
        <v>0</v>
      </c>
      <c r="P40" s="708" cm="1">
        <f t="array" aca="1" ref="P40" ca="1">IF(P$41&lt;0,0,IF(P$34='1.1 Control Panel'!$D$8,_xlfn.IFS('1.1 Control Panel'!$D$7=EBITDAR,P$41*'1.1 Control Panel'!$E$21,'1.1 Control Panel'!$D$7=EBITDA,P$42*'1.1 Control Panel'!$E$22,'1.1 Control Panel'!$D$7=EBIT,P$43*'1.1 Control Panel'!$E$23,'1.1 Control Panel'!$D$7=NOPLAT,P$44*'1.1 Control Panel'!$E$24),0))</f>
        <v>0</v>
      </c>
      <c r="Q40" s="708" cm="1">
        <f t="array" aca="1" ref="Q40" ca="1">IF(Q$41&lt;0,0,IF(Q$34='1.1 Control Panel'!$D$8,_xlfn.IFS('1.1 Control Panel'!$D$7=EBITDAR,Q$41*'1.1 Control Panel'!$E$21,'1.1 Control Panel'!$D$7=EBITDA,Q$42*'1.1 Control Panel'!$E$22,'1.1 Control Panel'!$D$7=EBIT,Q$43*'1.1 Control Panel'!$E$23,'1.1 Control Panel'!$D$7=NOPLAT,Q$44*'1.1 Control Panel'!$E$24),0))</f>
        <v>0</v>
      </c>
      <c r="R40" s="708" cm="1">
        <f t="array" aca="1" ref="R40" ca="1">IF(R$41&lt;0,0,IF(R$34='1.1 Control Panel'!$D$8,_xlfn.IFS('1.1 Control Panel'!$D$7=EBITDAR,R$41*'1.1 Control Panel'!$E$21,'1.1 Control Panel'!$D$7=EBITDA,R$42*'1.1 Control Panel'!$E$22,'1.1 Control Panel'!$D$7=EBIT,R$43*'1.1 Control Panel'!$E$23,'1.1 Control Panel'!$D$7=NOPLAT,R$44*'1.1 Control Panel'!$E$24),0))</f>
        <v>0</v>
      </c>
      <c r="S40" s="708" cm="1">
        <f t="array" aca="1" ref="S40" ca="1">IF(S$41&lt;0,0,IF(S$34='1.1 Control Panel'!$D$8,_xlfn.IFS('1.1 Control Panel'!$D$7=EBITDAR,S$41*'1.1 Control Panel'!$E$21,'1.1 Control Panel'!$D$7=EBITDA,S$42*'1.1 Control Panel'!$E$22,'1.1 Control Panel'!$D$7=EBIT,S$43*'1.1 Control Panel'!$E$23,'1.1 Control Panel'!$D$7=NOPLAT,S$44*'1.1 Control Panel'!$E$24),0))</f>
        <v>0</v>
      </c>
      <c r="T40" s="708" cm="1">
        <f t="array" aca="1" ref="T40" ca="1">IF(T$41&lt;0,0,IF(T$34='1.1 Control Panel'!$D$8,_xlfn.IFS('1.1 Control Panel'!$D$7=EBITDAR,T$41*'1.1 Control Panel'!$E$21,'1.1 Control Panel'!$D$7=EBITDA,T$42*'1.1 Control Panel'!$E$22,'1.1 Control Panel'!$D$7=EBIT,T$43*'1.1 Control Panel'!$E$23,'1.1 Control Panel'!$D$7=NOPLAT,T$44*'1.1 Control Panel'!$E$24),0))</f>
        <v>0</v>
      </c>
      <c r="U40" s="708" cm="1">
        <f t="array" aca="1" ref="U40" ca="1">IF(U$41&lt;0,0,IF(U$34='1.1 Control Panel'!$D$8,_xlfn.IFS('1.1 Control Panel'!$D$7=EBITDAR,U$41*'1.1 Control Panel'!$E$21,'1.1 Control Panel'!$D$7=EBITDA,U$42*'1.1 Control Panel'!$E$22,'1.1 Control Panel'!$D$7=EBIT,U$43*'1.1 Control Panel'!$E$23,'1.1 Control Panel'!$D$7=NOPLAT,U$44*'1.1 Control Panel'!$E$24),0))</f>
        <v>0</v>
      </c>
      <c r="V40" s="708" cm="1">
        <f t="array" aca="1" ref="V40" ca="1">IF(V$41&lt;0,0,IF(V$34='1.1 Control Panel'!$D$8,_xlfn.IFS('1.1 Control Panel'!$D$7=EBITDAR,V$41*'1.1 Control Panel'!$E$21,'1.1 Control Panel'!$D$7=EBITDA,V$42*'1.1 Control Panel'!$E$22,'1.1 Control Panel'!$D$7=EBIT,V$43*'1.1 Control Panel'!$E$23,'1.1 Control Panel'!$D$7=NOPLAT,V$44*'1.1 Control Panel'!$E$24),0))</f>
        <v>0</v>
      </c>
      <c r="W40" s="708" cm="1">
        <f t="array" aca="1" ref="W40" ca="1">IF(W$41&lt;0,0,IF(W$34='1.1 Control Panel'!$D$8,_xlfn.IFS('1.1 Control Panel'!$D$7=EBITDAR,W$41*'1.1 Control Panel'!$E$21,'1.1 Control Panel'!$D$7=EBITDA,W$42*'1.1 Control Panel'!$E$22,'1.1 Control Panel'!$D$7=EBIT,W$43*'1.1 Control Panel'!$E$23,'1.1 Control Panel'!$D$7=NOPLAT,W$44*'1.1 Control Panel'!$E$24),0))</f>
        <v>0</v>
      </c>
      <c r="X40" s="708" cm="1">
        <f t="array" aca="1" ref="X40" ca="1">IF(X$41&lt;0,0,IF(X$34='1.1 Control Panel'!$D$8,_xlfn.IFS('1.1 Control Panel'!$D$7=EBITDAR,X$41*'1.1 Control Panel'!$E$21,'1.1 Control Panel'!$D$7=EBITDA,X$42*'1.1 Control Panel'!$E$22,'1.1 Control Panel'!$D$7=EBIT,X$43*'1.1 Control Panel'!$E$23,'1.1 Control Panel'!$D$7=NOPLAT,X$44*'1.1 Control Panel'!$E$24),0))</f>
        <v>0</v>
      </c>
      <c r="Y40" s="708" cm="1">
        <f t="array" aca="1" ref="Y40" ca="1">IF(Y$41&lt;0,0,IF(Y$34='1.1 Control Panel'!$D$8,_xlfn.IFS('1.1 Control Panel'!$D$7=EBITDAR,Y$41*'1.1 Control Panel'!$E$21,'1.1 Control Panel'!$D$7=EBITDA,Y$42*'1.1 Control Panel'!$E$22,'1.1 Control Panel'!$D$7=EBIT,Y$43*'1.1 Control Panel'!$E$23,'1.1 Control Panel'!$D$7=NOPLAT,Y$44*'1.1 Control Panel'!$E$24),0))</f>
        <v>0</v>
      </c>
      <c r="Z40" s="708" cm="1">
        <f t="array" aca="1" ref="Z40" ca="1">IF(Z$41&lt;0,0,IF(Z$34='1.1 Control Panel'!$D$8,_xlfn.IFS('1.1 Control Panel'!$D$7=EBITDAR,Z$41*'1.1 Control Panel'!$E$21,'1.1 Control Panel'!$D$7=EBITDA,Z$42*'1.1 Control Panel'!$E$22,'1.1 Control Panel'!$D$7=EBIT,Z$43*'1.1 Control Panel'!$E$23,'1.1 Control Panel'!$D$7=NOPLAT,Z$44*'1.1 Control Panel'!$E$24),0))</f>
        <v>0</v>
      </c>
      <c r="AA40" s="708" cm="1">
        <f t="array" aca="1" ref="AA40" ca="1">IF(AA$41&lt;0,0,IF(AA$34='1.1 Control Panel'!$D$8,_xlfn.IFS('1.1 Control Panel'!$D$7=EBITDAR,AA$41*'1.1 Control Panel'!$E$21,'1.1 Control Panel'!$D$7=EBITDA,AA$42*'1.1 Control Panel'!$E$22,'1.1 Control Panel'!$D$7=EBIT,AA$43*'1.1 Control Panel'!$E$23,'1.1 Control Panel'!$D$7=NOPLAT,AA$44*'1.1 Control Panel'!$E$24),0))</f>
        <v>0</v>
      </c>
      <c r="AB40" s="708" cm="1">
        <f t="array" aca="1" ref="AB40" ca="1">IF(AB$41&lt;0,0,IF(AB$34='1.1 Control Panel'!$D$8,_xlfn.IFS('1.1 Control Panel'!$D$7=EBITDAR,AB$41*'1.1 Control Panel'!$E$21,'1.1 Control Panel'!$D$7=EBITDA,AB$42*'1.1 Control Panel'!$E$22,'1.1 Control Panel'!$D$7=EBIT,AB$43*'1.1 Control Panel'!$E$23,'1.1 Control Panel'!$D$7=NOPLAT,AB$44*'1.1 Control Panel'!$E$24),0))</f>
        <v>0</v>
      </c>
      <c r="AC40" s="708" cm="1">
        <f t="array" aca="1" ref="AC40" ca="1">IF(AC$41&lt;0,0,IF(AC$34='1.1 Control Panel'!$D$8,_xlfn.IFS('1.1 Control Panel'!$D$7=EBITDAR,AC$41*'1.1 Control Panel'!$E$21,'1.1 Control Panel'!$D$7=EBITDA,AC$42*'1.1 Control Panel'!$E$22,'1.1 Control Panel'!$D$7=EBIT,AC$43*'1.1 Control Panel'!$E$23,'1.1 Control Panel'!$D$7=NOPLAT,AC$44*'1.1 Control Panel'!$E$24),0))</f>
        <v>0</v>
      </c>
      <c r="AD40" s="708" cm="1">
        <f t="array" aca="1" ref="AD40" ca="1">IF(AD$41&lt;0,0,IF(AD$34='1.1 Control Panel'!$D$8,_xlfn.IFS('1.1 Control Panel'!$D$7=EBITDAR,AD$41*'1.1 Control Panel'!$E$21,'1.1 Control Panel'!$D$7=EBITDA,AD$42*'1.1 Control Panel'!$E$22,'1.1 Control Panel'!$D$7=EBIT,AD$43*'1.1 Control Panel'!$E$23,'1.1 Control Panel'!$D$7=NOPLAT,AD$44*'1.1 Control Panel'!$E$24),0))</f>
        <v>0</v>
      </c>
      <c r="AE40" s="708" cm="1">
        <f t="array" aca="1" ref="AE40" ca="1">IF(AE$41&lt;0,0,IF(AE$34='1.1 Control Panel'!$D$8,_xlfn.IFS('1.1 Control Panel'!$D$7=EBITDAR,AE$41*'1.1 Control Panel'!$E$21,'1.1 Control Panel'!$D$7=EBITDA,AE$42*'1.1 Control Panel'!$E$22,'1.1 Control Panel'!$D$7=EBIT,AE$43*'1.1 Control Panel'!$E$23,'1.1 Control Panel'!$D$7=NOPLAT,AE$44*'1.1 Control Panel'!$E$24),0))</f>
        <v>0</v>
      </c>
      <c r="AF40" s="708" cm="1">
        <f t="array" aca="1" ref="AF40" ca="1">IF(AF$41&lt;0,0,IF(AF$34='1.1 Control Panel'!$D$8,_xlfn.IFS('1.1 Control Panel'!$D$7=EBITDAR,AF$41*'1.1 Control Panel'!$E$21,'1.1 Control Panel'!$D$7=EBITDA,AF$42*'1.1 Control Panel'!$E$22,'1.1 Control Panel'!$D$7=EBIT,AF$43*'1.1 Control Panel'!$E$23,'1.1 Control Panel'!$D$7=NOPLAT,AF$44*'1.1 Control Panel'!$E$24),0))</f>
        <v>0</v>
      </c>
      <c r="AG40" s="708" cm="1">
        <f t="array" aca="1" ref="AG40" ca="1">IF(AG$41&lt;0,0,IF(AG$34='1.1 Control Panel'!$D$8,_xlfn.IFS('1.1 Control Panel'!$D$7=EBITDAR,AG$41*'1.1 Control Panel'!$E$21,'1.1 Control Panel'!$D$7=EBITDA,AG$42*'1.1 Control Panel'!$E$22,'1.1 Control Panel'!$D$7=EBIT,AG$43*'1.1 Control Panel'!$E$23,'1.1 Control Panel'!$D$7=NOPLAT,AG$44*'1.1 Control Panel'!$E$24),0))</f>
        <v>0</v>
      </c>
      <c r="AH40" s="708" cm="1">
        <f t="array" aca="1" ref="AH40" ca="1">IF(AH$41&lt;0,0,IF(AH$34='1.1 Control Panel'!$D$8,_xlfn.IFS('1.1 Control Panel'!$D$7=EBITDAR,AH$41*'1.1 Control Panel'!$E$21,'1.1 Control Panel'!$D$7=EBITDA,AH$42*'1.1 Control Panel'!$E$22,'1.1 Control Panel'!$D$7=EBIT,AH$43*'1.1 Control Panel'!$E$23,'1.1 Control Panel'!$D$7=NOPLAT,AH$44*'1.1 Control Panel'!$E$24),0))</f>
        <v>0</v>
      </c>
      <c r="AI40" s="708" cm="1">
        <f t="array" aca="1" ref="AI40" ca="1">IF(AI$41&lt;0,0,IF(AI$34='1.1 Control Panel'!$D$8,_xlfn.IFS('1.1 Control Panel'!$D$7=EBITDAR,AI$41*'1.1 Control Panel'!$E$21,'1.1 Control Panel'!$D$7=EBITDA,AI$42*'1.1 Control Panel'!$E$22,'1.1 Control Panel'!$D$7=EBIT,AI$43*'1.1 Control Panel'!$E$23,'1.1 Control Panel'!$D$7=NOPLAT,AI$44*'1.1 Control Panel'!$E$24),0))</f>
        <v>0</v>
      </c>
      <c r="AJ40" s="708" cm="1">
        <f t="array" aca="1" ref="AJ40" ca="1">IF(AJ$41&lt;0,0,IF(AJ$34='1.1 Control Panel'!$D$8,_xlfn.IFS('1.1 Control Panel'!$D$7=EBITDAR,AJ$41*'1.1 Control Panel'!$E$21,'1.1 Control Panel'!$D$7=EBITDA,AJ$42*'1.1 Control Panel'!$E$22,'1.1 Control Panel'!$D$7=EBIT,AJ$43*'1.1 Control Panel'!$E$23,'1.1 Control Panel'!$D$7=NOPLAT,AJ$44*'1.1 Control Panel'!$E$24),0))</f>
        <v>0</v>
      </c>
      <c r="AK40" s="708" cm="1">
        <f t="array" aca="1" ref="AK40" ca="1">IF(AK$41&lt;0,0,IF(AK$34='1.1 Control Panel'!$D$8,_xlfn.IFS('1.1 Control Panel'!$D$7=EBITDAR,AK$41*'1.1 Control Panel'!$E$21,'1.1 Control Panel'!$D$7=EBITDA,AK$42*'1.1 Control Panel'!$E$22,'1.1 Control Panel'!$D$7=EBIT,AK$43*'1.1 Control Panel'!$E$23,'1.1 Control Panel'!$D$7=NOPLAT,AK$44*'1.1 Control Panel'!$E$24),0))</f>
        <v>0</v>
      </c>
      <c r="AL40" s="708" cm="1">
        <f t="array" aca="1" ref="AL40" ca="1">IF(AL$41&lt;0,0,IF(AL$34='1.1 Control Panel'!$D$8,_xlfn.IFS('1.1 Control Panel'!$D$7=EBITDAR,AL$41*'1.1 Control Panel'!$E$21,'1.1 Control Panel'!$D$7=EBITDA,AL$42*'1.1 Control Panel'!$E$22,'1.1 Control Panel'!$D$7=EBIT,AL$43*'1.1 Control Panel'!$E$23,'1.1 Control Panel'!$D$7=NOPLAT,AL$44*'1.1 Control Panel'!$E$24),0))</f>
        <v>0</v>
      </c>
      <c r="AM40" s="708" cm="1">
        <f t="array" aca="1" ref="AM40" ca="1">IF(AM$41&lt;0,0,IF(AM$34='1.1 Control Panel'!$D$8,_xlfn.IFS('1.1 Control Panel'!$D$7=EBITDAR,AM$41*'1.1 Control Panel'!$E$21,'1.1 Control Panel'!$D$7=EBITDA,AM$42*'1.1 Control Panel'!$E$22,'1.1 Control Panel'!$D$7=EBIT,AM$43*'1.1 Control Panel'!$E$23,'1.1 Control Panel'!$D$7=NOPLAT,AM$44*'1.1 Control Panel'!$E$24),0))</f>
        <v>0</v>
      </c>
      <c r="AN40" s="708" cm="1">
        <f t="array" aca="1" ref="AN40" ca="1">IF(AN$41&lt;0,0,IF(AN$34='1.1 Control Panel'!$D$8,_xlfn.IFS('1.1 Control Panel'!$D$7=EBITDAR,AN$41*'1.1 Control Panel'!$E$21,'1.1 Control Panel'!$D$7=EBITDA,AN$42*'1.1 Control Panel'!$E$22,'1.1 Control Panel'!$D$7=EBIT,AN$43*'1.1 Control Panel'!$E$23,'1.1 Control Panel'!$D$7=NOPLAT,AN$44*'1.1 Control Panel'!$E$24),0))</f>
        <v>321371427.62664557</v>
      </c>
    </row>
    <row r="41" spans="3:40" x14ac:dyDescent="0.25">
      <c r="C41" s="20" t="s">
        <v>406</v>
      </c>
      <c r="D41" s="34" t="s">
        <v>46</v>
      </c>
      <c r="E41" s="270">
        <f>'2.1 PnL'!E7+'3.4 OpEx'!E70</f>
        <v>-87744.945221647329</v>
      </c>
      <c r="F41" s="270">
        <f ca="1">'2.1 PnL'!F7+'3.4 OpEx'!F70</f>
        <v>363782.05229999998</v>
      </c>
      <c r="G41" s="270">
        <f ca="1">'2.1 PnL'!G7+'3.4 OpEx'!G70</f>
        <v>564910.81609999994</v>
      </c>
      <c r="H41" s="270">
        <f ca="1">'2.1 PnL'!H7+'3.4 OpEx'!H70</f>
        <v>754861.38679999998</v>
      </c>
      <c r="I41" s="270">
        <f ca="1">'2.1 PnL'!I7+'3.4 OpEx'!I70</f>
        <v>976573.30869999994</v>
      </c>
      <c r="J41" s="270">
        <f ca="1">'2.1 PnL'!J7+'3.4 OpEx'!J70</f>
        <v>1836415.1393999998</v>
      </c>
      <c r="K41" s="270">
        <f ca="1">'2.1 PnL'!K7+'3.4 OpEx'!K70</f>
        <v>3037284.3284399998</v>
      </c>
      <c r="L41" s="270">
        <f ca="1">'2.1 PnL'!L7+'3.4 OpEx'!L70</f>
        <v>4032824.3141520005</v>
      </c>
      <c r="M41" s="270">
        <f ca="1">'2.1 PnL'!M7+'3.4 OpEx'!M70</f>
        <v>4953189.5986353643</v>
      </c>
      <c r="N41" s="270">
        <f ca="1">'2.1 PnL'!N7+'3.4 OpEx'!N70</f>
        <v>6288258.7520372802</v>
      </c>
      <c r="O41" s="270">
        <f ca="1">'2.1 PnL'!O7+'3.4 OpEx'!O70</f>
        <v>7980590.3721972164</v>
      </c>
      <c r="P41" s="270">
        <f ca="1">'2.1 PnL'!P7+'3.4 OpEx'!P70</f>
        <v>9605714.5970636867</v>
      </c>
      <c r="Q41" s="270">
        <f ca="1">'2.1 PnL'!Q7+'3.4 OpEx'!Q70</f>
        <v>11499802.744771</v>
      </c>
      <c r="R41" s="270">
        <f ca="1">'2.1 PnL'!R7+'3.4 OpEx'!R70</f>
        <v>13753889.259205766</v>
      </c>
      <c r="S41" s="270">
        <f ca="1">'2.1 PnL'!S7+'3.4 OpEx'!S70</f>
        <v>15646098.338479612</v>
      </c>
      <c r="T41" s="270">
        <f ca="1">'2.1 PnL'!T7+'3.4 OpEx'!T70</f>
        <v>17367036.374178689</v>
      </c>
      <c r="U41" s="270">
        <f ca="1">'2.1 PnL'!U7+'3.4 OpEx'!U70</f>
        <v>19115589.620893754</v>
      </c>
      <c r="V41" s="270">
        <f ca="1">'2.1 PnL'!V7+'3.4 OpEx'!V70</f>
        <v>21861970.218010977</v>
      </c>
      <c r="W41" s="270">
        <f ca="1">'2.1 PnL'!W7+'3.4 OpEx'!W70</f>
        <v>24577017.421158783</v>
      </c>
      <c r="X41" s="270">
        <f ca="1">'2.1 PnL'!X7+'3.4 OpEx'!X70</f>
        <v>26837206.279557023</v>
      </c>
      <c r="Y41" s="270">
        <f ca="1">'2.1 PnL'!Y7+'3.4 OpEx'!Y70</f>
        <v>28604673.434360676</v>
      </c>
      <c r="Z41" s="270">
        <f ca="1">'2.1 PnL'!Z7+'3.4 OpEx'!Z70</f>
        <v>31649530.091789514</v>
      </c>
      <c r="AA41" s="270">
        <f ca="1">'2.1 PnL'!AA7+'3.4 OpEx'!AA70</f>
        <v>34455542.707376614</v>
      </c>
      <c r="AB41" s="270">
        <f ca="1">'2.1 PnL'!AB7+'3.4 OpEx'!AB70</f>
        <v>36932925.916781291</v>
      </c>
      <c r="AC41" s="270">
        <f ca="1">'2.1 PnL'!AC7+'3.4 OpEx'!AC70</f>
        <v>41278726.285517953</v>
      </c>
      <c r="AD41" s="270">
        <f ca="1">'2.1 PnL'!AD7+'3.4 OpEx'!AD70</f>
        <v>45472572.239092872</v>
      </c>
      <c r="AE41" s="270">
        <f ca="1">'2.1 PnL'!AE7+'3.4 OpEx'!AE70</f>
        <v>48445567.550700545</v>
      </c>
      <c r="AF41" s="270">
        <f ca="1">'2.1 PnL'!AF7+'3.4 OpEx'!AF70</f>
        <v>50958478.966815442</v>
      </c>
      <c r="AG41" s="270">
        <f ca="1">'2.1 PnL'!AG7+'3.4 OpEx'!AG70</f>
        <v>53007279.060251787</v>
      </c>
      <c r="AH41" s="270">
        <f ca="1">'2.1 PnL'!AH7+'3.4 OpEx'!AH70</f>
        <v>59356704.846515328</v>
      </c>
      <c r="AI41" s="270">
        <f ca="1">'2.1 PnL'!AI7+'3.4 OpEx'!AI70</f>
        <v>66260919.545201011</v>
      </c>
      <c r="AJ41" s="270">
        <f ca="1">'2.1 PnL'!AJ7+'3.4 OpEx'!AJ70</f>
        <v>72200356.087413311</v>
      </c>
      <c r="AK41" s="270">
        <f ca="1">'2.1 PnL'!AK7+'3.4 OpEx'!AK70</f>
        <v>77626802.434657365</v>
      </c>
      <c r="AL41" s="270">
        <f ca="1">'2.1 PnL'!AL7+'3.4 OpEx'!AL70</f>
        <v>86016141.287270069</v>
      </c>
      <c r="AM41" s="270">
        <f ca="1">'2.1 PnL'!AM7+'3.4 OpEx'!AM70</f>
        <v>94939158.246477306</v>
      </c>
      <c r="AN41" s="270">
        <f ca="1">'2.1 PnL'!AN7+'3.4 OpEx'!AN70</f>
        <v>102579813.66711934</v>
      </c>
    </row>
    <row r="42" spans="3:40" x14ac:dyDescent="0.25">
      <c r="C42" s="21" t="s">
        <v>27</v>
      </c>
      <c r="D42" s="38" t="s">
        <v>46</v>
      </c>
      <c r="E42" s="709">
        <f>'2.1 PnL'!E7</f>
        <v>-87744.945221647329</v>
      </c>
      <c r="F42" s="709">
        <f ca="1">'2.1 PnL'!F7</f>
        <v>363782.05229999998</v>
      </c>
      <c r="G42" s="709">
        <f ca="1">'2.1 PnL'!G7</f>
        <v>564910.81609999994</v>
      </c>
      <c r="H42" s="709">
        <f ca="1">'2.1 PnL'!H7</f>
        <v>754861.38679999998</v>
      </c>
      <c r="I42" s="709">
        <f ca="1">'2.1 PnL'!I7</f>
        <v>976573.30869999994</v>
      </c>
      <c r="J42" s="709">
        <f ca="1">'2.1 PnL'!J7</f>
        <v>1836415.1393999998</v>
      </c>
      <c r="K42" s="709">
        <f ca="1">'2.1 PnL'!K7</f>
        <v>3032284.3284399998</v>
      </c>
      <c r="L42" s="709">
        <f ca="1">'2.1 PnL'!L7</f>
        <v>4027824.3141520005</v>
      </c>
      <c r="M42" s="709">
        <f ca="1">'2.1 PnL'!M7</f>
        <v>4948189.5986353643</v>
      </c>
      <c r="N42" s="709">
        <f ca="1">'2.1 PnL'!N7</f>
        <v>6283258.7520372802</v>
      </c>
      <c r="O42" s="709">
        <f ca="1">'2.1 PnL'!O7</f>
        <v>7975590.3721972164</v>
      </c>
      <c r="P42" s="709">
        <f ca="1">'2.1 PnL'!P7</f>
        <v>9600714.5970636867</v>
      </c>
      <c r="Q42" s="709">
        <f ca="1">'2.1 PnL'!Q7</f>
        <v>11494802.744771</v>
      </c>
      <c r="R42" s="709">
        <f ca="1">'2.1 PnL'!R7</f>
        <v>13748889.259205766</v>
      </c>
      <c r="S42" s="709">
        <f ca="1">'2.1 PnL'!S7</f>
        <v>15641098.338479612</v>
      </c>
      <c r="T42" s="709">
        <f ca="1">'2.1 PnL'!T7</f>
        <v>17362036.374178689</v>
      </c>
      <c r="U42" s="709">
        <f ca="1">'2.1 PnL'!U7</f>
        <v>19110589.620893754</v>
      </c>
      <c r="V42" s="709">
        <f ca="1">'2.1 PnL'!V7</f>
        <v>21856970.218010977</v>
      </c>
      <c r="W42" s="709">
        <f ca="1">'2.1 PnL'!W7</f>
        <v>24572017.421158783</v>
      </c>
      <c r="X42" s="709">
        <f ca="1">'2.1 PnL'!X7</f>
        <v>26832206.279557023</v>
      </c>
      <c r="Y42" s="709">
        <f ca="1">'2.1 PnL'!Y7</f>
        <v>28599673.434360676</v>
      </c>
      <c r="Z42" s="709">
        <f ca="1">'2.1 PnL'!Z7</f>
        <v>31644530.091789514</v>
      </c>
      <c r="AA42" s="709">
        <f ca="1">'2.1 PnL'!AA7</f>
        <v>34450542.707376614</v>
      </c>
      <c r="AB42" s="709">
        <f ca="1">'2.1 PnL'!AB7</f>
        <v>36927925.916781291</v>
      </c>
      <c r="AC42" s="709">
        <f ca="1">'2.1 PnL'!AC7</f>
        <v>41273726.285517953</v>
      </c>
      <c r="AD42" s="709">
        <f ca="1">'2.1 PnL'!AD7</f>
        <v>45467572.239092872</v>
      </c>
      <c r="AE42" s="709">
        <f ca="1">'2.1 PnL'!AE7</f>
        <v>48440567.550700545</v>
      </c>
      <c r="AF42" s="709">
        <f ca="1">'2.1 PnL'!AF7</f>
        <v>50953478.966815442</v>
      </c>
      <c r="AG42" s="709">
        <f ca="1">'2.1 PnL'!AG7</f>
        <v>53002279.060251787</v>
      </c>
      <c r="AH42" s="709">
        <f ca="1">'2.1 PnL'!AH7</f>
        <v>59351704.846515328</v>
      </c>
      <c r="AI42" s="709">
        <f ca="1">'2.1 PnL'!AI7</f>
        <v>66255919.545201011</v>
      </c>
      <c r="AJ42" s="709">
        <f ca="1">'2.1 PnL'!AJ7</f>
        <v>72195356.087413311</v>
      </c>
      <c r="AK42" s="709">
        <f ca="1">'2.1 PnL'!AK7</f>
        <v>77621802.434657365</v>
      </c>
      <c r="AL42" s="709">
        <f ca="1">'2.1 PnL'!AL7</f>
        <v>86011141.287270069</v>
      </c>
      <c r="AM42" s="709">
        <f ca="1">'2.1 PnL'!AM7</f>
        <v>94934158.246477306</v>
      </c>
      <c r="AN42" s="709">
        <f ca="1">'2.1 PnL'!AN7</f>
        <v>102574813.66711934</v>
      </c>
    </row>
    <row r="43" spans="3:40" x14ac:dyDescent="0.25">
      <c r="C43" s="22" t="s">
        <v>31</v>
      </c>
      <c r="D43" s="96" t="s">
        <v>46</v>
      </c>
      <c r="E43" s="706">
        <f>'2.1 PnL'!E10</f>
        <v>-88613.201390941249</v>
      </c>
      <c r="F43" s="706">
        <f ca="1">'2.1 PnL'!F10</f>
        <v>361762.26934811007</v>
      </c>
      <c r="G43" s="706">
        <f ca="1">'2.1 PnL'!G10</f>
        <v>561796.99808023497</v>
      </c>
      <c r="H43" s="706">
        <f ca="1">'2.1 PnL'!H10</f>
        <v>749600.06977845379</v>
      </c>
      <c r="I43" s="706">
        <f ca="1">'2.1 PnL'!I10</f>
        <v>969135.82778215164</v>
      </c>
      <c r="J43" s="706">
        <f ca="1">'2.1 PnL'!J10</f>
        <v>1827264.5806809119</v>
      </c>
      <c r="K43" s="706">
        <f ca="1">'2.1 PnL'!K10</f>
        <v>3021372.8599488121</v>
      </c>
      <c r="L43" s="706">
        <f ca="1">'2.1 PnL'!L10</f>
        <v>4014595.898194416</v>
      </c>
      <c r="M43" s="706">
        <f ca="1">'2.1 PnL'!M10</f>
        <v>4932869.8634395283</v>
      </c>
      <c r="N43" s="706">
        <f ca="1">'2.1 PnL'!N10</f>
        <v>6266093.474355056</v>
      </c>
      <c r="O43" s="706">
        <f ca="1">'2.1 PnL'!O10</f>
        <v>7956540.7048821002</v>
      </c>
      <c r="P43" s="706">
        <f ca="1">'2.1 PnL'!P10</f>
        <v>9580225.4568995349</v>
      </c>
      <c r="Q43" s="706">
        <f ca="1">'2.1 PnL'!Q10</f>
        <v>11472495.464809123</v>
      </c>
      <c r="R43" s="706">
        <f ca="1">'2.1 PnL'!R10</f>
        <v>13722963.104478678</v>
      </c>
      <c r="S43" s="706">
        <f ca="1">'2.1 PnL'!S10</f>
        <v>15611595.768448638</v>
      </c>
      <c r="T43" s="706">
        <f ca="1">'2.1 PnL'!T10</f>
        <v>17329924.028056324</v>
      </c>
      <c r="U43" s="706">
        <f ca="1">'2.1 PnL'!U10</f>
        <v>19075235.616151083</v>
      </c>
      <c r="V43" s="706">
        <f ca="1">'2.1 PnL'!V10</f>
        <v>21817810.673020799</v>
      </c>
      <c r="W43" s="706">
        <f ca="1">'2.1 PnL'!W10</f>
        <v>24529028.474618517</v>
      </c>
      <c r="X43" s="706">
        <f ca="1">'2.1 PnL'!X10</f>
        <v>26785286.338154331</v>
      </c>
      <c r="Y43" s="706">
        <f ca="1">'2.1 PnL'!Y10</f>
        <v>28548639.474493809</v>
      </c>
      <c r="Z43" s="706">
        <f ca="1">'2.1 PnL'!Z10</f>
        <v>31588844.117095683</v>
      </c>
      <c r="AA43" s="706">
        <f ca="1">'2.1 PnL'!AA10</f>
        <v>34390162.722578533</v>
      </c>
      <c r="AB43" s="706">
        <f ca="1">'2.1 PnL'!AB10</f>
        <v>36862741.053665414</v>
      </c>
      <c r="AC43" s="706">
        <f ca="1">'2.1 PnL'!AC10</f>
        <v>41203374.290414162</v>
      </c>
      <c r="AD43" s="706">
        <f ca="1">'2.1 PnL'!AD10</f>
        <v>45390717.857285395</v>
      </c>
      <c r="AE43" s="706">
        <f ca="1">'2.1 PnL'!AE10</f>
        <v>48357434.470365018</v>
      </c>
      <c r="AF43" s="706">
        <f ca="1">'2.1 PnL'!AF10</f>
        <v>50863835.701002344</v>
      </c>
      <c r="AG43" s="706">
        <f ca="1">'2.1 PnL'!AG10</f>
        <v>52904776.775837734</v>
      </c>
      <c r="AH43" s="706">
        <f ca="1">'2.1 PnL'!AH10</f>
        <v>59244359.700196639</v>
      </c>
      <c r="AI43" s="706">
        <f ca="1">'2.1 PnL'!AI10</f>
        <v>66138798.297764666</v>
      </c>
      <c r="AJ43" s="706">
        <f ca="1">'2.1 PnL'!AJ10</f>
        <v>72068196.595321119</v>
      </c>
      <c r="AK43" s="706">
        <f ca="1">'2.1 PnL'!AK10</f>
        <v>77483795.109410435</v>
      </c>
      <c r="AL43" s="706">
        <f ca="1">'2.1 PnL'!AL10</f>
        <v>85860860.375381291</v>
      </c>
      <c r="AM43" s="706">
        <f ca="1">'2.1 PnL'!AM10</f>
        <v>94771517.223200634</v>
      </c>
      <c r="AN43" s="706">
        <f ca="1">'2.1 PnL'!AN10</f>
        <v>102391124.55298714</v>
      </c>
    </row>
    <row r="44" spans="3:40" x14ac:dyDescent="0.25">
      <c r="C44" s="22" t="s">
        <v>407</v>
      </c>
      <c r="D44" s="96" t="s">
        <v>46</v>
      </c>
      <c r="E44" s="706">
        <f ca="1">'2.1 PnL'!E18</f>
        <v>-92835.379146129126</v>
      </c>
      <c r="F44" s="706">
        <f ca="1">'2.1 PnL'!F18</f>
        <v>322135.53002088028</v>
      </c>
      <c r="G44" s="706">
        <f ca="1">'2.1 PnL'!G18</f>
        <v>501527.22519697942</v>
      </c>
      <c r="H44" s="706">
        <f ca="1">'2.1 PnL'!H18</f>
        <v>670046.26417580608</v>
      </c>
      <c r="I44" s="706">
        <f ca="1">'2.1 PnL'!I18</f>
        <v>865358.95274539758</v>
      </c>
      <c r="J44" s="706">
        <f ca="1">'2.1 PnL'!J18</f>
        <v>1634383.7260777142</v>
      </c>
      <c r="K44" s="706">
        <f ca="1">'2.1 PnL'!K18</f>
        <v>2707767.8855759017</v>
      </c>
      <c r="L44" s="706">
        <f ca="1">'2.1 PnL'!L18</f>
        <v>3599583.9126818371</v>
      </c>
      <c r="M44" s="706">
        <f ca="1">'2.1 PnL'!M18</f>
        <v>4421754.0006698444</v>
      </c>
      <c r="N44" s="706">
        <f ca="1">'2.1 PnL'!N18</f>
        <v>5619509.7037113886</v>
      </c>
      <c r="O44" s="706">
        <f ca="1">'2.1 PnL'!O18</f>
        <v>7137314.0952803148</v>
      </c>
      <c r="P44" s="706">
        <f ca="1">'2.1 PnL'!P18</f>
        <v>8588597.0813470762</v>
      </c>
      <c r="Q44" s="706">
        <f ca="1">'2.1 PnL'!Q18</f>
        <v>10285712.123017898</v>
      </c>
      <c r="R44" s="706">
        <f ca="1">'2.1 PnL'!R18</f>
        <v>12310492.912039787</v>
      </c>
      <c r="S44" s="706">
        <f ca="1">'2.1 PnL'!S18</f>
        <v>14006530.289421901</v>
      </c>
      <c r="T44" s="706">
        <f ca="1">'2.1 PnL'!T18</f>
        <v>15549517.181302004</v>
      </c>
      <c r="U44" s="706">
        <f ca="1">'2.1 PnL'!U18</f>
        <v>17107111.050250657</v>
      </c>
      <c r="V44" s="706">
        <f ca="1">'2.1 PnL'!V18</f>
        <v>19574436.389714375</v>
      </c>
      <c r="W44" s="706">
        <f ca="1">'2.1 PnL'!W18</f>
        <v>22009182.127351921</v>
      </c>
      <c r="X44" s="706">
        <f ca="1">'2.1 PnL'!X18</f>
        <v>24035358.669823002</v>
      </c>
      <c r="Y44" s="706">
        <f ca="1">'2.1 PnL'!Y18</f>
        <v>25615206.260970864</v>
      </c>
      <c r="Z44" s="706">
        <f ca="1">'2.1 PnL'!Z18</f>
        <v>28346850.517255664</v>
      </c>
      <c r="AA44" s="706">
        <f ca="1">'2.1 PnL'!AA18</f>
        <v>30862477.544570211</v>
      </c>
      <c r="AB44" s="706">
        <f ca="1">'2.1 PnL'!AB18</f>
        <v>33058311.668036301</v>
      </c>
      <c r="AC44" s="706">
        <f ca="1">'2.1 PnL'!AC18</f>
        <v>36957917.674928531</v>
      </c>
      <c r="AD44" s="706">
        <f ca="1">'2.1 PnL'!AD18</f>
        <v>40729548.983397879</v>
      </c>
      <c r="AE44" s="706">
        <f ca="1">'2.1 PnL'!AE18</f>
        <v>43393763.96700263</v>
      </c>
      <c r="AF44" s="706">
        <f ca="1">'2.1 PnL'!AF18</f>
        <v>45644591.543239914</v>
      </c>
      <c r="AG44" s="706">
        <f ca="1">'2.1 PnL'!AG18</f>
        <v>47450986.685029268</v>
      </c>
      <c r="AH44" s="706">
        <f ca="1">'2.1 PnL'!AH18</f>
        <v>53156464.051013775</v>
      </c>
      <c r="AI44" s="706">
        <f ca="1">'2.1 PnL'!AI18</f>
        <v>59347846.00917697</v>
      </c>
      <c r="AJ44" s="706">
        <f ca="1">'2.1 PnL'!AJ18</f>
        <v>64672580.667900376</v>
      </c>
      <c r="AK44" s="706">
        <f ca="1">'2.1 PnL'!AK18</f>
        <v>69516441.345172092</v>
      </c>
      <c r="AL44" s="706">
        <f ca="1">'2.1 PnL'!AL18</f>
        <v>77048902.312862471</v>
      </c>
      <c r="AM44" s="706">
        <f ca="1">'2.1 PnL'!AM18</f>
        <v>85050866.558452427</v>
      </c>
      <c r="AN44" s="706">
        <f ca="1">'2.1 PnL'!AN18</f>
        <v>91820407.893327296</v>
      </c>
    </row>
    <row r="45" spans="3:40" x14ac:dyDescent="0.25">
      <c r="C45" s="11" t="s">
        <v>933</v>
      </c>
      <c r="D45" s="104" t="s">
        <v>162</v>
      </c>
      <c r="E45" s="707">
        <f>IF(E43&gt;0,1+SUM($D$45:D45),0)</f>
        <v>0</v>
      </c>
      <c r="F45" s="707">
        <f ca="1">IF(F43&gt;0,1+SUM($D$45:E45),0)</f>
        <v>1</v>
      </c>
      <c r="G45" s="707">
        <f ca="1">IF(G43&gt;0,1+SUM($D$45:F45),0)</f>
        <v>2</v>
      </c>
      <c r="H45" s="708">
        <f ca="1">IF(H43&gt;0,1+SUM($D$45:G45),0)</f>
        <v>4</v>
      </c>
      <c r="I45" s="708">
        <f ca="1">IF(I43&gt;0,1+SUM($D$45:H45),0)</f>
        <v>8</v>
      </c>
      <c r="J45" s="708">
        <f ca="1">IF(J43&gt;0,1+SUM($D$45:I45),0)</f>
        <v>16</v>
      </c>
      <c r="K45" s="708">
        <f ca="1">IF(K43&gt;0,1+SUM($D$45:J45),0)</f>
        <v>32</v>
      </c>
      <c r="L45" s="708">
        <f ca="1">IF(L43&gt;0,1+SUM($D$45:K45),0)</f>
        <v>64</v>
      </c>
      <c r="M45" s="708">
        <f ca="1">IF(M43&gt;0,1+SUM($D$45:L45),0)</f>
        <v>128</v>
      </c>
      <c r="N45" s="708">
        <f ca="1">IF(N43&gt;0,1+SUM($D$45:M45),0)</f>
        <v>256</v>
      </c>
      <c r="O45" s="708">
        <f ca="1">IF(O43&gt;0,1+SUM($D$45:N45),0)</f>
        <v>512</v>
      </c>
      <c r="P45" s="708">
        <f ca="1">IF(P43&gt;0,1+SUM($D$45:O45),0)</f>
        <v>1024</v>
      </c>
      <c r="Q45" s="708">
        <f ca="1">IF(Q43&gt;0,1+SUM($D$45:P45),0)</f>
        <v>2048</v>
      </c>
      <c r="R45" s="708">
        <f ca="1">IF(R43&gt;0,1+SUM($D$45:Q45),0)</f>
        <v>4096</v>
      </c>
      <c r="S45" s="708">
        <f ca="1">IF(S43&gt;0,1+SUM($D$45:R45),0)</f>
        <v>8192</v>
      </c>
      <c r="T45" s="708">
        <f ca="1">IF(T43&gt;0,1+SUM($D$45:S45),0)</f>
        <v>16384</v>
      </c>
      <c r="U45" s="708">
        <f ca="1">IF(U43&gt;0,1+SUM($D$45:T45),0)</f>
        <v>32768</v>
      </c>
      <c r="V45" s="708">
        <f ca="1">IF(V43&gt;0,1+SUM($D$45:U45),0)</f>
        <v>65536</v>
      </c>
      <c r="W45" s="708">
        <f ca="1">IF(W43&gt;0,1+SUM($D$45:V45),0)</f>
        <v>131072</v>
      </c>
      <c r="X45" s="708">
        <f ca="1">IF(X43&gt;0,1+SUM($D$45:W45),0)</f>
        <v>262144</v>
      </c>
      <c r="Y45" s="708">
        <f ca="1">IF(Y43&gt;0,1+SUM($D$45:X45),0)</f>
        <v>524288</v>
      </c>
      <c r="Z45" s="708">
        <f ca="1">IF(Z43&gt;0,1+SUM($D$45:Y45),0)</f>
        <v>1048576</v>
      </c>
      <c r="AA45" s="708">
        <f ca="1">IF(AA43&gt;0,1+SUM($D$45:Z45),0)</f>
        <v>2097152</v>
      </c>
      <c r="AB45" s="708">
        <f ca="1">IF(AB43&gt;0,1+SUM($D$45:AA45),0)</f>
        <v>4194304</v>
      </c>
      <c r="AC45" s="708">
        <f ca="1">IF(AC43&gt;0,1+SUM($D$45:AB45),0)</f>
        <v>8388608</v>
      </c>
      <c r="AD45" s="708">
        <f ca="1">IF(AD43&gt;0,1+SUM($D$45:AC45),0)</f>
        <v>16777216</v>
      </c>
      <c r="AE45" s="708">
        <f ca="1">IF(AE43&gt;0,1+SUM($D$45:AD45),0)</f>
        <v>33554432</v>
      </c>
      <c r="AF45" s="708">
        <f ca="1">IF(AF43&gt;0,1+SUM($D$45:AE45),0)</f>
        <v>67108864</v>
      </c>
      <c r="AG45" s="708">
        <f ca="1">IF(AG43&gt;0,1+SUM($D$45:AF45),0)</f>
        <v>134217728</v>
      </c>
      <c r="AH45" s="708">
        <f ca="1">IF(AH43&gt;0,1+SUM($D$45:AG45),0)</f>
        <v>268435456</v>
      </c>
      <c r="AI45" s="708">
        <f ca="1">IF(AI43&gt;0,1+SUM($D$45:AH45),0)</f>
        <v>536870912</v>
      </c>
      <c r="AJ45" s="708">
        <f ca="1">IF(AJ43&gt;0,1+SUM($D$45:AI45),0)</f>
        <v>1073741824</v>
      </c>
      <c r="AK45" s="708">
        <f ca="1">IF(AK43&gt;0,1+SUM($D$45:AJ45),0)</f>
        <v>2147483648</v>
      </c>
      <c r="AL45" s="708">
        <f ca="1">IF(AL43&gt;0,1+SUM($D$45:AK45),0)</f>
        <v>4294967296</v>
      </c>
      <c r="AM45" s="708">
        <f ca="1">IF(AM43&gt;0,1+SUM($D$45:AL45),0)</f>
        <v>8589934592</v>
      </c>
      <c r="AN45" s="708">
        <f ca="1">IF(AN43&gt;0,1+SUM($D$45:AM45),0)</f>
        <v>17179869184</v>
      </c>
    </row>
    <row r="46" spans="3:40" x14ac:dyDescent="0.25">
      <c r="E46" s="236">
        <f>IF(1=E45,1,0)</f>
        <v>0</v>
      </c>
      <c r="F46" s="236">
        <f t="shared" ref="F46:AN46" ca="1" si="5">IF(1=F45,1,0)</f>
        <v>1</v>
      </c>
      <c r="G46" s="236">
        <f t="shared" ca="1" si="5"/>
        <v>0</v>
      </c>
      <c r="H46" s="236">
        <f t="shared" ca="1" si="5"/>
        <v>0</v>
      </c>
      <c r="I46" s="236">
        <f t="shared" ca="1" si="5"/>
        <v>0</v>
      </c>
      <c r="J46" s="236">
        <f t="shared" ca="1" si="5"/>
        <v>0</v>
      </c>
      <c r="K46" s="236">
        <f t="shared" ca="1" si="5"/>
        <v>0</v>
      </c>
      <c r="L46" s="236">
        <f t="shared" ca="1" si="5"/>
        <v>0</v>
      </c>
      <c r="M46" s="236">
        <f t="shared" ca="1" si="5"/>
        <v>0</v>
      </c>
      <c r="N46" s="236">
        <f t="shared" ca="1" si="5"/>
        <v>0</v>
      </c>
      <c r="O46" s="236">
        <f t="shared" ca="1" si="5"/>
        <v>0</v>
      </c>
      <c r="P46" s="236">
        <f t="shared" ca="1" si="5"/>
        <v>0</v>
      </c>
      <c r="Q46" s="236">
        <f t="shared" ca="1" si="5"/>
        <v>0</v>
      </c>
      <c r="R46" s="236">
        <f t="shared" ca="1" si="5"/>
        <v>0</v>
      </c>
      <c r="S46" s="236">
        <f t="shared" ca="1" si="5"/>
        <v>0</v>
      </c>
      <c r="T46" s="236">
        <f t="shared" ca="1" si="5"/>
        <v>0</v>
      </c>
      <c r="U46" s="236">
        <f t="shared" ca="1" si="5"/>
        <v>0</v>
      </c>
      <c r="V46" s="236">
        <f t="shared" ca="1" si="5"/>
        <v>0</v>
      </c>
      <c r="W46" s="236">
        <f t="shared" ca="1" si="5"/>
        <v>0</v>
      </c>
      <c r="X46" s="236">
        <f t="shared" ca="1" si="5"/>
        <v>0</v>
      </c>
      <c r="Y46" s="236">
        <f t="shared" ca="1" si="5"/>
        <v>0</v>
      </c>
      <c r="Z46" s="236">
        <f t="shared" ca="1" si="5"/>
        <v>0</v>
      </c>
      <c r="AA46" s="236">
        <f t="shared" ca="1" si="5"/>
        <v>0</v>
      </c>
      <c r="AB46" s="236">
        <f t="shared" ca="1" si="5"/>
        <v>0</v>
      </c>
      <c r="AC46" s="236">
        <f t="shared" ca="1" si="5"/>
        <v>0</v>
      </c>
      <c r="AD46" s="236">
        <f t="shared" ca="1" si="5"/>
        <v>0</v>
      </c>
      <c r="AE46" s="236">
        <f t="shared" ca="1" si="5"/>
        <v>0</v>
      </c>
      <c r="AF46" s="236">
        <f t="shared" ca="1" si="5"/>
        <v>0</v>
      </c>
      <c r="AG46" s="236">
        <f t="shared" ca="1" si="5"/>
        <v>0</v>
      </c>
      <c r="AH46" s="236">
        <f t="shared" ca="1" si="5"/>
        <v>0</v>
      </c>
      <c r="AI46" s="236">
        <f t="shared" ca="1" si="5"/>
        <v>0</v>
      </c>
      <c r="AJ46" s="236">
        <f t="shared" ca="1" si="5"/>
        <v>0</v>
      </c>
      <c r="AK46" s="236">
        <f t="shared" ca="1" si="5"/>
        <v>0</v>
      </c>
      <c r="AL46" s="236">
        <f t="shared" ca="1" si="5"/>
        <v>0</v>
      </c>
      <c r="AM46" s="236">
        <f t="shared" ca="1" si="5"/>
        <v>0</v>
      </c>
      <c r="AN46" s="236">
        <f t="shared" ca="1" si="5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2A-2B56-4A23-80F4-7C94BAE4A740}">
  <dimension ref="A1:S26"/>
  <sheetViews>
    <sheetView showGridLines="0" zoomScale="70" zoomScaleNormal="70" workbookViewId="0"/>
  </sheetViews>
  <sheetFormatPr defaultColWidth="0" defaultRowHeight="14.5" zeroHeight="1" x14ac:dyDescent="0.35"/>
  <cols>
    <col min="1" max="2" width="3.6328125" customWidth="1"/>
    <col min="3" max="3" width="41.54296875" bestFit="1" customWidth="1"/>
    <col min="4" max="4" width="8.7265625" customWidth="1"/>
    <col min="5" max="10" width="20.6328125" customWidth="1"/>
    <col min="11" max="11" width="3.6328125" customWidth="1"/>
    <col min="12" max="19" width="0" hidden="1" customWidth="1"/>
    <col min="20" max="16384" width="8.7265625" hidden="1"/>
  </cols>
  <sheetData>
    <row r="1" spans="1:10" s="100" customFormat="1" ht="14" x14ac:dyDescent="0.3">
      <c r="A1" s="8" t="str">
        <f ca="1">MID(CELL("filename",A1),FIND("]",CELL("filename",A1))+1,255)</f>
        <v>1.3 Sensitivity Analysis</v>
      </c>
    </row>
    <row r="2" spans="1:10" s="100" customFormat="1" ht="11.5" x14ac:dyDescent="0.25">
      <c r="A2" s="7" t="s">
        <v>970</v>
      </c>
      <c r="F2" s="9"/>
      <c r="G2" s="9"/>
    </row>
    <row r="3" spans="1:10" s="3" customFormat="1" ht="11.5" x14ac:dyDescent="0.25"/>
    <row r="4" spans="1:10" s="3" customFormat="1" ht="12" thickBot="1" x14ac:dyDescent="0.3">
      <c r="E4" s="200" t="s">
        <v>121</v>
      </c>
      <c r="F4" s="201"/>
      <c r="G4" s="202" t="s">
        <v>122</v>
      </c>
      <c r="H4" s="201"/>
      <c r="I4" s="202" t="s">
        <v>123</v>
      </c>
      <c r="J4" s="200"/>
    </row>
    <row r="5" spans="1:10" s="203" customFormat="1" ht="15" thickBot="1" x14ac:dyDescent="0.4">
      <c r="B5" s="204" t="s">
        <v>0</v>
      </c>
      <c r="C5" s="205" t="s">
        <v>120</v>
      </c>
      <c r="D5" s="206" t="s">
        <v>14</v>
      </c>
      <c r="E5" s="207" t="s">
        <v>128</v>
      </c>
      <c r="F5" s="208" t="s">
        <v>124</v>
      </c>
      <c r="G5" s="209" t="s">
        <v>129</v>
      </c>
      <c r="H5" s="208" t="s">
        <v>125</v>
      </c>
      <c r="I5" s="210" t="s">
        <v>126</v>
      </c>
      <c r="J5" s="209" t="s">
        <v>127</v>
      </c>
    </row>
    <row r="6" spans="1:10" x14ac:dyDescent="0.35">
      <c r="B6" s="20">
        <v>1</v>
      </c>
      <c r="C6" s="20"/>
      <c r="D6" s="34"/>
      <c r="E6" s="211"/>
      <c r="F6" s="34"/>
      <c r="G6" s="211"/>
      <c r="H6" s="34"/>
      <c r="I6" s="220"/>
      <c r="J6" s="216"/>
    </row>
    <row r="7" spans="1:10" x14ac:dyDescent="0.35">
      <c r="B7" s="20">
        <f>B6+1</f>
        <v>2</v>
      </c>
      <c r="C7" s="20"/>
      <c r="D7" s="34"/>
      <c r="E7" s="211"/>
      <c r="F7" s="34"/>
      <c r="G7" s="211"/>
      <c r="H7" s="34"/>
      <c r="I7" s="221"/>
      <c r="J7" s="216"/>
    </row>
    <row r="8" spans="1:10" x14ac:dyDescent="0.35">
      <c r="B8" s="20">
        <f>B7+1</f>
        <v>3</v>
      </c>
      <c r="C8" s="21"/>
      <c r="D8" s="38"/>
      <c r="E8" s="212"/>
      <c r="F8" s="38"/>
      <c r="G8" s="212"/>
      <c r="H8" s="38"/>
      <c r="I8" s="222"/>
      <c r="J8" s="217"/>
    </row>
    <row r="9" spans="1:10" x14ac:dyDescent="0.35">
      <c r="B9" s="21">
        <f t="shared" ref="B9:B25" si="0">B8+1</f>
        <v>4</v>
      </c>
      <c r="C9" s="21"/>
      <c r="D9" s="38"/>
      <c r="E9" s="212"/>
      <c r="F9" s="38"/>
      <c r="G9" s="212"/>
      <c r="H9" s="38"/>
      <c r="I9" s="222"/>
      <c r="J9" s="217"/>
    </row>
    <row r="10" spans="1:10" x14ac:dyDescent="0.35">
      <c r="B10" s="21">
        <f t="shared" si="0"/>
        <v>5</v>
      </c>
      <c r="C10" s="21"/>
      <c r="D10" s="38"/>
      <c r="E10" s="212"/>
      <c r="F10" s="38"/>
      <c r="G10" s="212"/>
      <c r="H10" s="38"/>
      <c r="I10" s="222"/>
      <c r="J10" s="217"/>
    </row>
    <row r="11" spans="1:10" x14ac:dyDescent="0.35">
      <c r="B11" s="21">
        <f t="shared" si="0"/>
        <v>6</v>
      </c>
      <c r="C11" s="21"/>
      <c r="D11" s="38"/>
      <c r="E11" s="212"/>
      <c r="F11" s="38"/>
      <c r="G11" s="212"/>
      <c r="H11" s="38"/>
      <c r="I11" s="222"/>
      <c r="J11" s="217"/>
    </row>
    <row r="12" spans="1:10" x14ac:dyDescent="0.35">
      <c r="B12" s="21">
        <f t="shared" si="0"/>
        <v>7</v>
      </c>
      <c r="C12" s="21"/>
      <c r="D12" s="38"/>
      <c r="E12" s="212"/>
      <c r="F12" s="38"/>
      <c r="G12" s="212"/>
      <c r="H12" s="38"/>
      <c r="I12" s="222"/>
      <c r="J12" s="217"/>
    </row>
    <row r="13" spans="1:10" x14ac:dyDescent="0.35">
      <c r="B13" s="22">
        <f t="shared" si="0"/>
        <v>8</v>
      </c>
      <c r="C13" s="21"/>
      <c r="D13" s="38"/>
      <c r="E13" s="212"/>
      <c r="F13" s="38"/>
      <c r="G13" s="212"/>
      <c r="H13" s="38"/>
      <c r="I13" s="222"/>
      <c r="J13" s="217"/>
    </row>
    <row r="14" spans="1:10" x14ac:dyDescent="0.35">
      <c r="B14" s="22">
        <f t="shared" si="0"/>
        <v>9</v>
      </c>
      <c r="C14" s="22"/>
      <c r="D14" s="38"/>
      <c r="E14" s="212"/>
      <c r="F14" s="38"/>
      <c r="G14" s="212"/>
      <c r="H14" s="38"/>
      <c r="I14" s="222"/>
      <c r="J14" s="217"/>
    </row>
    <row r="15" spans="1:10" x14ac:dyDescent="0.35">
      <c r="B15" s="22">
        <f>B14+1</f>
        <v>10</v>
      </c>
      <c r="C15" s="22"/>
      <c r="D15" s="38"/>
      <c r="E15" s="212"/>
      <c r="F15" s="38"/>
      <c r="G15" s="212"/>
      <c r="H15" s="38"/>
      <c r="I15" s="222"/>
      <c r="J15" s="217"/>
    </row>
    <row r="16" spans="1:10" x14ac:dyDescent="0.35">
      <c r="B16" s="22">
        <f t="shared" si="0"/>
        <v>11</v>
      </c>
      <c r="C16" s="22"/>
      <c r="D16" s="38"/>
      <c r="E16" s="212"/>
      <c r="F16" s="38"/>
      <c r="G16" s="212"/>
      <c r="H16" s="38"/>
      <c r="I16" s="222"/>
      <c r="J16" s="217"/>
    </row>
    <row r="17" spans="2:10" x14ac:dyDescent="0.35">
      <c r="B17" s="22">
        <f t="shared" si="0"/>
        <v>12</v>
      </c>
      <c r="C17" s="22"/>
      <c r="D17" s="38"/>
      <c r="E17" s="212"/>
      <c r="F17" s="38"/>
      <c r="G17" s="212"/>
      <c r="H17" s="38"/>
      <c r="I17" s="222"/>
      <c r="J17" s="217"/>
    </row>
    <row r="18" spans="2:10" x14ac:dyDescent="0.35">
      <c r="B18" s="22">
        <f t="shared" si="0"/>
        <v>13</v>
      </c>
      <c r="C18" s="22"/>
      <c r="D18" s="38"/>
      <c r="E18" s="212"/>
      <c r="F18" s="38"/>
      <c r="G18" s="212"/>
      <c r="H18" s="38"/>
      <c r="I18" s="222"/>
      <c r="J18" s="217"/>
    </row>
    <row r="19" spans="2:10" x14ac:dyDescent="0.35">
      <c r="B19" s="22">
        <f t="shared" si="0"/>
        <v>14</v>
      </c>
      <c r="C19" s="22"/>
      <c r="D19" s="38"/>
      <c r="E19" s="212"/>
      <c r="F19" s="38"/>
      <c r="G19" s="212"/>
      <c r="H19" s="38"/>
      <c r="I19" s="222"/>
      <c r="J19" s="217"/>
    </row>
    <row r="20" spans="2:10" x14ac:dyDescent="0.35">
      <c r="B20" s="22">
        <f t="shared" si="0"/>
        <v>15</v>
      </c>
      <c r="C20" s="22"/>
      <c r="D20" s="38"/>
      <c r="E20" s="212"/>
      <c r="F20" s="38"/>
      <c r="G20" s="212"/>
      <c r="H20" s="38"/>
      <c r="I20" s="222"/>
      <c r="J20" s="217"/>
    </row>
    <row r="21" spans="2:10" x14ac:dyDescent="0.35">
      <c r="B21" s="22">
        <f t="shared" si="0"/>
        <v>16</v>
      </c>
      <c r="C21" s="22"/>
      <c r="D21" s="38"/>
      <c r="E21" s="212"/>
      <c r="F21" s="38"/>
      <c r="G21" s="212"/>
      <c r="H21" s="38"/>
      <c r="I21" s="222"/>
      <c r="J21" s="217"/>
    </row>
    <row r="22" spans="2:10" x14ac:dyDescent="0.35">
      <c r="B22" s="22">
        <f t="shared" si="0"/>
        <v>17</v>
      </c>
      <c r="C22" s="22"/>
      <c r="D22" s="38"/>
      <c r="E22" s="212"/>
      <c r="F22" s="38"/>
      <c r="G22" s="212"/>
      <c r="H22" s="38"/>
      <c r="I22" s="222"/>
      <c r="J22" s="217"/>
    </row>
    <row r="23" spans="2:10" x14ac:dyDescent="0.35">
      <c r="B23" s="22">
        <f t="shared" si="0"/>
        <v>18</v>
      </c>
      <c r="C23" s="22"/>
      <c r="D23" s="38"/>
      <c r="E23" s="212"/>
      <c r="F23" s="38"/>
      <c r="G23" s="212"/>
      <c r="H23" s="38"/>
      <c r="I23" s="222"/>
      <c r="J23" s="217"/>
    </row>
    <row r="24" spans="2:10" x14ac:dyDescent="0.35">
      <c r="B24" s="22">
        <f t="shared" si="0"/>
        <v>19</v>
      </c>
      <c r="C24" s="22"/>
      <c r="D24" s="96"/>
      <c r="E24" s="213"/>
      <c r="F24" s="96"/>
      <c r="G24" s="213"/>
      <c r="H24" s="96"/>
      <c r="I24" s="223"/>
      <c r="J24" s="218"/>
    </row>
    <row r="25" spans="2:10" x14ac:dyDescent="0.35">
      <c r="B25" s="27">
        <f t="shared" si="0"/>
        <v>20</v>
      </c>
      <c r="C25" s="27"/>
      <c r="D25" s="40"/>
      <c r="E25" s="214"/>
      <c r="F25" s="40"/>
      <c r="G25" s="214"/>
      <c r="H25" s="40"/>
      <c r="I25" s="224"/>
      <c r="J25" s="219"/>
    </row>
    <row r="26" spans="2:10" x14ac:dyDescent="0.3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F36C-1E24-4B99-9DDA-DB49C27D523F}">
  <sheetPr>
    <tabColor rgb="FF002060"/>
  </sheetPr>
  <dimension ref="A1"/>
  <sheetViews>
    <sheetView tabSelected="1" topLeftCell="XFD1048576" workbookViewId="0">
      <selection sqref="A1:XFD1048576"/>
    </sheetView>
  </sheetViews>
  <sheetFormatPr defaultColWidth="0" defaultRowHeight="14.5" zeroHeight="1" x14ac:dyDescent="0.35"/>
  <cols>
    <col min="1" max="16384" width="8.7265625" hidden="1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81C0-15E3-49DF-A366-68762AA42132}">
  <dimension ref="A1:AQ1040"/>
  <sheetViews>
    <sheetView showGridLines="0" zoomScale="58" zoomScaleNormal="70" workbookViewId="0">
      <selection activeCell="E41" sqref="E41"/>
    </sheetView>
  </sheetViews>
  <sheetFormatPr defaultColWidth="0" defaultRowHeight="11.5" zeroHeight="1" x14ac:dyDescent="0.25"/>
  <cols>
    <col min="1" max="1" width="3.6328125" style="3" customWidth="1"/>
    <col min="2" max="2" width="5.6328125" style="3" customWidth="1"/>
    <col min="3" max="3" width="56.453125" style="3" bestFit="1" customWidth="1"/>
    <col min="4" max="40" width="15.6328125" style="3" customWidth="1"/>
    <col min="41" max="41" width="0.453125" style="3" customWidth="1"/>
    <col min="42" max="42" width="50.6328125" style="3" customWidth="1"/>
    <col min="43" max="43" width="3.6328125" style="3" customWidth="1"/>
    <col min="44" max="16384" width="8.7265625" style="3" hidden="1"/>
  </cols>
  <sheetData>
    <row r="1" spans="1:42" s="4" customFormat="1" ht="14" x14ac:dyDescent="0.3">
      <c r="A1" s="8" t="str">
        <f ca="1">MID(CELL("filename",A1),FIND("]",CELL("filename",A1))+1,255)</f>
        <v>1.1 Control Panel</v>
      </c>
      <c r="AO1" s="5"/>
    </row>
    <row r="2" spans="1:42" s="5" customFormat="1" x14ac:dyDescent="0.25">
      <c r="A2" s="7" t="s">
        <v>970</v>
      </c>
    </row>
    <row r="3" spans="1:42" x14ac:dyDescent="0.25">
      <c r="C3" s="2"/>
      <c r="D3" s="2"/>
    </row>
    <row r="4" spans="1:42" s="12" customFormat="1" x14ac:dyDescent="0.25">
      <c r="B4" s="13" t="s">
        <v>0</v>
      </c>
      <c r="C4" s="14" t="s">
        <v>1</v>
      </c>
      <c r="D4" s="14"/>
      <c r="E4" s="173"/>
      <c r="F4" s="173"/>
      <c r="G4" s="173"/>
      <c r="H4" s="173"/>
      <c r="I4" s="173"/>
      <c r="J4" s="173"/>
      <c r="K4" s="173"/>
      <c r="L4" s="173"/>
      <c r="M4" s="173"/>
      <c r="N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74"/>
      <c r="AP4" s="15"/>
    </row>
    <row r="5" spans="1:42" x14ac:dyDescent="0.25">
      <c r="C5" s="28" t="s">
        <v>97</v>
      </c>
      <c r="D5" s="231" t="s">
        <v>148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P5" s="20"/>
    </row>
    <row r="6" spans="1:42" x14ac:dyDescent="0.25">
      <c r="C6" s="28" t="s">
        <v>935</v>
      </c>
      <c r="D6" s="774" t="s">
        <v>937</v>
      </c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P6" s="20"/>
    </row>
    <row r="7" spans="1:42" x14ac:dyDescent="0.25">
      <c r="C7" s="21" t="s">
        <v>98</v>
      </c>
      <c r="D7" s="703" t="s">
        <v>407</v>
      </c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P7" s="21"/>
    </row>
    <row r="8" spans="1:42" s="22" customFormat="1" x14ac:dyDescent="0.25">
      <c r="A8" s="3"/>
      <c r="B8" s="3"/>
      <c r="C8" s="35" t="s">
        <v>929</v>
      </c>
      <c r="D8" s="702">
        <v>36</v>
      </c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P8" s="35"/>
    </row>
    <row r="9" spans="1:42" x14ac:dyDescent="0.25">
      <c r="C9" s="289" t="s">
        <v>422</v>
      </c>
      <c r="D9" s="701" t="s">
        <v>423</v>
      </c>
      <c r="E9" s="289"/>
      <c r="F9" s="289"/>
      <c r="G9" s="289"/>
      <c r="H9" s="289"/>
      <c r="I9" s="289"/>
      <c r="J9" s="289"/>
      <c r="K9" s="289"/>
      <c r="L9" s="289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B9" s="289"/>
      <c r="AC9" s="289"/>
      <c r="AD9" s="289"/>
      <c r="AE9" s="289"/>
      <c r="AF9" s="289"/>
      <c r="AG9" s="289"/>
      <c r="AH9" s="289"/>
      <c r="AI9" s="289"/>
      <c r="AJ9" s="289"/>
      <c r="AK9" s="289"/>
      <c r="AL9" s="289"/>
      <c r="AM9" s="289"/>
      <c r="AN9" s="289"/>
      <c r="AP9" s="289"/>
    </row>
    <row r="10" spans="1:42" x14ac:dyDescent="0.25">
      <c r="B10" s="6" t="s">
        <v>0</v>
      </c>
      <c r="C10" s="10" t="s">
        <v>2</v>
      </c>
      <c r="D10" s="313" t="s">
        <v>14</v>
      </c>
      <c r="E10" s="248">
        <v>45688</v>
      </c>
      <c r="F10" s="248">
        <v>45716</v>
      </c>
      <c r="G10" s="248">
        <v>45747</v>
      </c>
      <c r="H10" s="248">
        <v>45777</v>
      </c>
      <c r="I10" s="248">
        <v>45808</v>
      </c>
      <c r="J10" s="248">
        <v>45838</v>
      </c>
      <c r="K10" s="248">
        <v>45869</v>
      </c>
      <c r="L10" s="248">
        <v>45900</v>
      </c>
      <c r="M10" s="248">
        <v>45930</v>
      </c>
      <c r="N10" s="248">
        <v>45961</v>
      </c>
      <c r="O10" s="248">
        <v>45991</v>
      </c>
      <c r="P10" s="248">
        <v>46022</v>
      </c>
      <c r="Q10" s="248">
        <f>E10+365.25</f>
        <v>46053.25</v>
      </c>
      <c r="R10" s="248">
        <f t="shared" ref="R10:AB10" si="0">F10+365.25</f>
        <v>46081.25</v>
      </c>
      <c r="S10" s="248">
        <f t="shared" si="0"/>
        <v>46112.25</v>
      </c>
      <c r="T10" s="248">
        <f t="shared" si="0"/>
        <v>46142.25</v>
      </c>
      <c r="U10" s="248">
        <f t="shared" si="0"/>
        <v>46173.25</v>
      </c>
      <c r="V10" s="248">
        <f t="shared" si="0"/>
        <v>46203.25</v>
      </c>
      <c r="W10" s="248">
        <f t="shared" si="0"/>
        <v>46234.25</v>
      </c>
      <c r="X10" s="248">
        <f t="shared" si="0"/>
        <v>46265.25</v>
      </c>
      <c r="Y10" s="248">
        <f t="shared" si="0"/>
        <v>46295.25</v>
      </c>
      <c r="Z10" s="248">
        <f t="shared" si="0"/>
        <v>46326.25</v>
      </c>
      <c r="AA10" s="248">
        <f t="shared" si="0"/>
        <v>46356.25</v>
      </c>
      <c r="AB10" s="248">
        <f t="shared" si="0"/>
        <v>46387.25</v>
      </c>
      <c r="AC10" s="248">
        <f t="shared" ref="AC10" si="1">Q10+365.25</f>
        <v>46418.5</v>
      </c>
      <c r="AD10" s="248">
        <f t="shared" ref="AD10" si="2">R10+365.25</f>
        <v>46446.5</v>
      </c>
      <c r="AE10" s="248">
        <f t="shared" ref="AE10" si="3">S10+365.25</f>
        <v>46477.5</v>
      </c>
      <c r="AF10" s="248">
        <f t="shared" ref="AF10" si="4">T10+365.25</f>
        <v>46507.5</v>
      </c>
      <c r="AG10" s="248">
        <f t="shared" ref="AG10" si="5">U10+365.25</f>
        <v>46538.5</v>
      </c>
      <c r="AH10" s="248">
        <f t="shared" ref="AH10" si="6">V10+365.25</f>
        <v>46568.5</v>
      </c>
      <c r="AI10" s="248">
        <f t="shared" ref="AI10" si="7">W10+365.25</f>
        <v>46599.5</v>
      </c>
      <c r="AJ10" s="248">
        <f t="shared" ref="AJ10" si="8">X10+365.25</f>
        <v>46630.5</v>
      </c>
      <c r="AK10" s="248">
        <f t="shared" ref="AK10" si="9">Y10+365.25</f>
        <v>46660.5</v>
      </c>
      <c r="AL10" s="248">
        <f t="shared" ref="AL10" si="10">Z10+365.25</f>
        <v>46691.5</v>
      </c>
      <c r="AM10" s="248">
        <f t="shared" ref="AM10" si="11">AA10+365.25</f>
        <v>46721.5</v>
      </c>
      <c r="AN10" s="248">
        <f t="shared" ref="AN10" si="12">AB10+365.25</f>
        <v>46752.5</v>
      </c>
      <c r="AP10" s="5"/>
    </row>
    <row r="11" spans="1:42" x14ac:dyDescent="0.25">
      <c r="C11" s="94" t="s">
        <v>99</v>
      </c>
      <c r="D11" s="95" t="s">
        <v>29</v>
      </c>
      <c r="E11" s="174">
        <f t="shared" ref="E11:AN11" si="13">IF(Forecasting_Scenario=Base,5%,IF(Forecasting_Scenario=Conservative,6%,4%))</f>
        <v>0.05</v>
      </c>
      <c r="F11" s="174">
        <f t="shared" si="13"/>
        <v>0.05</v>
      </c>
      <c r="G11" s="174">
        <f t="shared" si="13"/>
        <v>0.05</v>
      </c>
      <c r="H11" s="174">
        <f t="shared" si="13"/>
        <v>0.05</v>
      </c>
      <c r="I11" s="174">
        <f t="shared" si="13"/>
        <v>0.05</v>
      </c>
      <c r="J11" s="174">
        <f t="shared" si="13"/>
        <v>0.05</v>
      </c>
      <c r="K11" s="174">
        <f t="shared" si="13"/>
        <v>0.05</v>
      </c>
      <c r="L11" s="174">
        <f t="shared" si="13"/>
        <v>0.05</v>
      </c>
      <c r="M11" s="174">
        <f t="shared" si="13"/>
        <v>0.05</v>
      </c>
      <c r="N11" s="174">
        <f t="shared" si="13"/>
        <v>0.05</v>
      </c>
      <c r="O11" s="174">
        <f t="shared" si="13"/>
        <v>0.05</v>
      </c>
      <c r="P11" s="174">
        <f t="shared" si="13"/>
        <v>0.05</v>
      </c>
      <c r="Q11" s="174">
        <f t="shared" si="13"/>
        <v>0.05</v>
      </c>
      <c r="R11" s="174">
        <f t="shared" si="13"/>
        <v>0.05</v>
      </c>
      <c r="S11" s="174">
        <f t="shared" si="13"/>
        <v>0.05</v>
      </c>
      <c r="T11" s="174">
        <f t="shared" si="13"/>
        <v>0.05</v>
      </c>
      <c r="U11" s="174">
        <f t="shared" si="13"/>
        <v>0.05</v>
      </c>
      <c r="V11" s="174">
        <f t="shared" si="13"/>
        <v>0.05</v>
      </c>
      <c r="W11" s="174">
        <f t="shared" si="13"/>
        <v>0.05</v>
      </c>
      <c r="X11" s="174">
        <f t="shared" si="13"/>
        <v>0.05</v>
      </c>
      <c r="Y11" s="174">
        <f t="shared" si="13"/>
        <v>0.05</v>
      </c>
      <c r="Z11" s="174">
        <f t="shared" si="13"/>
        <v>0.05</v>
      </c>
      <c r="AA11" s="174">
        <f t="shared" si="13"/>
        <v>0.05</v>
      </c>
      <c r="AB11" s="174">
        <f t="shared" si="13"/>
        <v>0.05</v>
      </c>
      <c r="AC11" s="174">
        <f t="shared" si="13"/>
        <v>0.05</v>
      </c>
      <c r="AD11" s="174">
        <f t="shared" si="13"/>
        <v>0.05</v>
      </c>
      <c r="AE11" s="174">
        <f t="shared" si="13"/>
        <v>0.05</v>
      </c>
      <c r="AF11" s="174">
        <f t="shared" si="13"/>
        <v>0.05</v>
      </c>
      <c r="AG11" s="174">
        <f t="shared" si="13"/>
        <v>0.05</v>
      </c>
      <c r="AH11" s="174">
        <f t="shared" si="13"/>
        <v>0.05</v>
      </c>
      <c r="AI11" s="174">
        <f t="shared" si="13"/>
        <v>0.05</v>
      </c>
      <c r="AJ11" s="174">
        <f t="shared" si="13"/>
        <v>0.05</v>
      </c>
      <c r="AK11" s="174">
        <f t="shared" si="13"/>
        <v>0.05</v>
      </c>
      <c r="AL11" s="174">
        <f t="shared" si="13"/>
        <v>0.05</v>
      </c>
      <c r="AM11" s="174">
        <f t="shared" si="13"/>
        <v>0.05</v>
      </c>
      <c r="AN11" s="174">
        <f t="shared" si="13"/>
        <v>0.05</v>
      </c>
      <c r="AP11" s="3" t="s">
        <v>411</v>
      </c>
    </row>
    <row r="12" spans="1:42" x14ac:dyDescent="0.25">
      <c r="C12" s="22" t="s">
        <v>100</v>
      </c>
      <c r="D12" s="96" t="s">
        <v>29</v>
      </c>
      <c r="E12" s="175">
        <f t="shared" ref="E12:AN12" si="14">IF(Forecasting_Scenario=Base,10%,IF(Forecasting_Scenario=Conservative,12%,9%))</f>
        <v>0.1</v>
      </c>
      <c r="F12" s="175">
        <f t="shared" si="14"/>
        <v>0.1</v>
      </c>
      <c r="G12" s="175">
        <f t="shared" si="14"/>
        <v>0.1</v>
      </c>
      <c r="H12" s="175">
        <f t="shared" si="14"/>
        <v>0.1</v>
      </c>
      <c r="I12" s="175">
        <f t="shared" si="14"/>
        <v>0.1</v>
      </c>
      <c r="J12" s="175">
        <f t="shared" si="14"/>
        <v>0.1</v>
      </c>
      <c r="K12" s="175">
        <f t="shared" si="14"/>
        <v>0.1</v>
      </c>
      <c r="L12" s="175">
        <f t="shared" si="14"/>
        <v>0.1</v>
      </c>
      <c r="M12" s="175">
        <f t="shared" si="14"/>
        <v>0.1</v>
      </c>
      <c r="N12" s="175">
        <f t="shared" si="14"/>
        <v>0.1</v>
      </c>
      <c r="O12" s="175">
        <f t="shared" si="14"/>
        <v>0.1</v>
      </c>
      <c r="P12" s="175">
        <f t="shared" si="14"/>
        <v>0.1</v>
      </c>
      <c r="Q12" s="175">
        <f t="shared" si="14"/>
        <v>0.1</v>
      </c>
      <c r="R12" s="175">
        <f t="shared" si="14"/>
        <v>0.1</v>
      </c>
      <c r="S12" s="175">
        <f t="shared" si="14"/>
        <v>0.1</v>
      </c>
      <c r="T12" s="175">
        <f t="shared" si="14"/>
        <v>0.1</v>
      </c>
      <c r="U12" s="175">
        <f t="shared" si="14"/>
        <v>0.1</v>
      </c>
      <c r="V12" s="175">
        <f t="shared" si="14"/>
        <v>0.1</v>
      </c>
      <c r="W12" s="175">
        <f t="shared" si="14"/>
        <v>0.1</v>
      </c>
      <c r="X12" s="175">
        <f t="shared" si="14"/>
        <v>0.1</v>
      </c>
      <c r="Y12" s="175">
        <f t="shared" si="14"/>
        <v>0.1</v>
      </c>
      <c r="Z12" s="175">
        <f t="shared" si="14"/>
        <v>0.1</v>
      </c>
      <c r="AA12" s="175">
        <f t="shared" si="14"/>
        <v>0.1</v>
      </c>
      <c r="AB12" s="175">
        <f t="shared" si="14"/>
        <v>0.1</v>
      </c>
      <c r="AC12" s="175">
        <f t="shared" si="14"/>
        <v>0.1</v>
      </c>
      <c r="AD12" s="175">
        <f t="shared" si="14"/>
        <v>0.1</v>
      </c>
      <c r="AE12" s="175">
        <f t="shared" si="14"/>
        <v>0.1</v>
      </c>
      <c r="AF12" s="175">
        <f t="shared" si="14"/>
        <v>0.1</v>
      </c>
      <c r="AG12" s="175">
        <f t="shared" si="14"/>
        <v>0.1</v>
      </c>
      <c r="AH12" s="175">
        <f t="shared" si="14"/>
        <v>0.1</v>
      </c>
      <c r="AI12" s="175">
        <f t="shared" si="14"/>
        <v>0.1</v>
      </c>
      <c r="AJ12" s="175">
        <f t="shared" si="14"/>
        <v>0.1</v>
      </c>
      <c r="AK12" s="175">
        <f t="shared" si="14"/>
        <v>0.1</v>
      </c>
      <c r="AL12" s="175">
        <f t="shared" si="14"/>
        <v>0.1</v>
      </c>
      <c r="AM12" s="175">
        <f t="shared" si="14"/>
        <v>0.1</v>
      </c>
      <c r="AN12" s="175">
        <f t="shared" si="14"/>
        <v>0.1</v>
      </c>
      <c r="AP12" s="22" t="s">
        <v>405</v>
      </c>
    </row>
    <row r="13" spans="1:42" s="74" customFormat="1" x14ac:dyDescent="0.25">
      <c r="B13" s="45" t="s">
        <v>0</v>
      </c>
      <c r="C13" s="176" t="s">
        <v>420</v>
      </c>
      <c r="D13" s="314"/>
      <c r="E13" s="242"/>
      <c r="F13" s="242"/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2"/>
      <c r="R13" s="242"/>
      <c r="S13" s="242"/>
      <c r="T13" s="242"/>
      <c r="U13" s="242"/>
      <c r="V13" s="242"/>
      <c r="W13" s="242"/>
      <c r="X13" s="242"/>
      <c r="Y13" s="242"/>
      <c r="Z13" s="242"/>
      <c r="AA13" s="242"/>
      <c r="AB13" s="242"/>
      <c r="AC13" s="242"/>
      <c r="AD13" s="242"/>
      <c r="AE13" s="242"/>
      <c r="AF13" s="242"/>
      <c r="AG13" s="242"/>
      <c r="AH13" s="242"/>
      <c r="AI13" s="242"/>
      <c r="AJ13" s="242"/>
      <c r="AK13" s="242"/>
      <c r="AL13" s="242"/>
      <c r="AM13" s="242"/>
      <c r="AN13" s="242"/>
      <c r="AP13" s="177"/>
    </row>
    <row r="14" spans="1:42" x14ac:dyDescent="0.25">
      <c r="C14" s="243" t="s">
        <v>927</v>
      </c>
      <c r="D14" s="36" t="s">
        <v>29</v>
      </c>
      <c r="E14" s="174">
        <v>0.05</v>
      </c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P14" s="94" t="s">
        <v>419</v>
      </c>
    </row>
    <row r="15" spans="1:42" x14ac:dyDescent="0.25">
      <c r="C15" s="234" t="s">
        <v>914</v>
      </c>
      <c r="D15" s="465" t="s">
        <v>29</v>
      </c>
      <c r="E15" s="695">
        <v>0.05</v>
      </c>
      <c r="F15" s="696"/>
      <c r="G15" s="696"/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96"/>
      <c r="U15" s="696"/>
      <c r="V15" s="696"/>
      <c r="W15" s="696"/>
      <c r="X15" s="696"/>
      <c r="Y15" s="696"/>
      <c r="Z15" s="696"/>
      <c r="AA15" s="696"/>
      <c r="AB15" s="696"/>
      <c r="AC15" s="696"/>
      <c r="AD15" s="696"/>
      <c r="AE15" s="696"/>
      <c r="AF15" s="696"/>
      <c r="AG15" s="696"/>
      <c r="AH15" s="696"/>
      <c r="AI15" s="696"/>
      <c r="AJ15" s="696"/>
      <c r="AK15" s="696"/>
      <c r="AL15" s="696"/>
      <c r="AM15" s="696"/>
      <c r="AN15" s="696"/>
      <c r="AP15" s="20"/>
    </row>
    <row r="16" spans="1:42" x14ac:dyDescent="0.25">
      <c r="C16" s="234" t="s">
        <v>922</v>
      </c>
      <c r="D16" s="465" t="s">
        <v>29</v>
      </c>
      <c r="E16" s="695">
        <v>-0.02</v>
      </c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696"/>
      <c r="R16" s="696"/>
      <c r="S16" s="696"/>
      <c r="T16" s="696"/>
      <c r="U16" s="696"/>
      <c r="V16" s="696"/>
      <c r="W16" s="696"/>
      <c r="X16" s="696"/>
      <c r="Y16" s="696"/>
      <c r="Z16" s="696"/>
      <c r="AA16" s="696"/>
      <c r="AB16" s="696"/>
      <c r="AC16" s="696"/>
      <c r="AD16" s="696"/>
      <c r="AE16" s="696"/>
      <c r="AF16" s="696"/>
      <c r="AG16" s="696"/>
      <c r="AH16" s="696"/>
      <c r="AI16" s="696"/>
      <c r="AJ16" s="696"/>
      <c r="AK16" s="696"/>
      <c r="AL16" s="696"/>
      <c r="AM16" s="696"/>
      <c r="AN16" s="696"/>
      <c r="AP16" s="20"/>
    </row>
    <row r="17" spans="2:42" x14ac:dyDescent="0.25">
      <c r="C17" s="235" t="s">
        <v>919</v>
      </c>
      <c r="D17" s="465" t="s">
        <v>29</v>
      </c>
      <c r="E17" s="697">
        <v>0.05</v>
      </c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696"/>
      <c r="R17" s="696"/>
      <c r="S17" s="696"/>
      <c r="T17" s="696"/>
      <c r="U17" s="696"/>
      <c r="V17" s="696"/>
      <c r="W17" s="696"/>
      <c r="X17" s="696"/>
      <c r="Y17" s="696"/>
      <c r="Z17" s="696"/>
      <c r="AA17" s="696"/>
      <c r="AB17" s="696"/>
      <c r="AC17" s="696"/>
      <c r="AD17" s="696"/>
      <c r="AE17" s="696"/>
      <c r="AF17" s="696"/>
      <c r="AG17" s="696"/>
      <c r="AH17" s="696"/>
      <c r="AI17" s="696"/>
      <c r="AJ17" s="696"/>
      <c r="AK17" s="696"/>
      <c r="AL17" s="696"/>
      <c r="AM17" s="696"/>
      <c r="AN17" s="696"/>
      <c r="AP17" s="20"/>
    </row>
    <row r="18" spans="2:42" x14ac:dyDescent="0.25">
      <c r="C18" s="235" t="s">
        <v>924</v>
      </c>
      <c r="D18" s="465" t="s">
        <v>29</v>
      </c>
      <c r="E18" s="697">
        <v>5.0000000000000001E-3</v>
      </c>
      <c r="F18" s="696"/>
      <c r="G18" s="696"/>
      <c r="H18" s="696"/>
      <c r="I18" s="696"/>
      <c r="J18" s="696"/>
      <c r="K18" s="696"/>
      <c r="L18" s="696"/>
      <c r="M18" s="696"/>
      <c r="N18" s="696"/>
      <c r="O18" s="696"/>
      <c r="P18" s="696"/>
      <c r="Q18" s="696"/>
      <c r="R18" s="696"/>
      <c r="S18" s="696"/>
      <c r="T18" s="696"/>
      <c r="U18" s="696"/>
      <c r="V18" s="696"/>
      <c r="W18" s="696"/>
      <c r="X18" s="696"/>
      <c r="Y18" s="696"/>
      <c r="Z18" s="696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P18" s="20"/>
    </row>
    <row r="19" spans="2:42" x14ac:dyDescent="0.25">
      <c r="C19" s="235" t="s">
        <v>920</v>
      </c>
      <c r="D19" s="465" t="s">
        <v>29</v>
      </c>
      <c r="E19" s="697">
        <v>0.01</v>
      </c>
      <c r="F19" s="696"/>
      <c r="G19" s="696"/>
      <c r="H19" s="696"/>
      <c r="I19" s="696"/>
      <c r="J19" s="696"/>
      <c r="K19" s="696"/>
      <c r="L19" s="696"/>
      <c r="M19" s="696"/>
      <c r="N19" s="696"/>
      <c r="O19" s="696"/>
      <c r="P19" s="696"/>
      <c r="Q19" s="696"/>
      <c r="R19" s="696"/>
      <c r="S19" s="696"/>
      <c r="T19" s="696"/>
      <c r="U19" s="696"/>
      <c r="V19" s="696"/>
      <c r="W19" s="696"/>
      <c r="X19" s="696"/>
      <c r="Y19" s="696"/>
      <c r="Z19" s="696"/>
      <c r="AA19" s="696"/>
      <c r="AB19" s="696"/>
      <c r="AC19" s="696"/>
      <c r="AD19" s="696"/>
      <c r="AE19" s="696"/>
      <c r="AF19" s="696"/>
      <c r="AG19" s="696"/>
      <c r="AH19" s="696"/>
      <c r="AI19" s="696"/>
      <c r="AJ19" s="696"/>
      <c r="AK19" s="696"/>
      <c r="AL19" s="696"/>
      <c r="AM19" s="696"/>
      <c r="AN19" s="696"/>
      <c r="AP19" s="20"/>
    </row>
    <row r="20" spans="2:42" x14ac:dyDescent="0.25">
      <c r="C20" s="235" t="s">
        <v>916</v>
      </c>
      <c r="D20" s="465" t="s">
        <v>162</v>
      </c>
      <c r="E20" s="699" cm="1">
        <f t="array" ref="E20">_xlfn.IFS(Forecasting_Scenario=Base,1.1,Forecasting_Scenario=Conservative,1.2,Forecasting_Scenario=Aggressive,1.05)</f>
        <v>1.1000000000000001</v>
      </c>
      <c r="F20" s="696"/>
      <c r="G20" s="696"/>
      <c r="H20" s="696"/>
      <c r="I20" s="696"/>
      <c r="J20" s="696"/>
      <c r="K20" s="696"/>
      <c r="L20" s="696"/>
      <c r="M20" s="696"/>
      <c r="N20" s="696"/>
      <c r="O20" s="696"/>
      <c r="P20" s="696"/>
      <c r="Q20" s="696"/>
      <c r="R20" s="696"/>
      <c r="S20" s="696"/>
      <c r="T20" s="696"/>
      <c r="U20" s="696"/>
      <c r="V20" s="696"/>
      <c r="W20" s="696"/>
      <c r="X20" s="696"/>
      <c r="Y20" s="696"/>
      <c r="Z20" s="696"/>
      <c r="AA20" s="696"/>
      <c r="AB20" s="696"/>
      <c r="AC20" s="696"/>
      <c r="AD20" s="696"/>
      <c r="AE20" s="696"/>
      <c r="AF20" s="696"/>
      <c r="AG20" s="696"/>
      <c r="AH20" s="696"/>
      <c r="AI20" s="696"/>
      <c r="AJ20" s="696"/>
      <c r="AK20" s="696"/>
      <c r="AL20" s="696"/>
      <c r="AM20" s="696"/>
      <c r="AN20" s="696"/>
      <c r="AP20" s="20"/>
    </row>
    <row r="21" spans="2:42" x14ac:dyDescent="0.25">
      <c r="C21" s="244" t="s">
        <v>409</v>
      </c>
      <c r="D21" s="315" t="s">
        <v>162</v>
      </c>
      <c r="E21" s="247">
        <f>IF(Forecasting_Scenario=Base,7,IF(Forecasting_Scenario=Conservative,6,8))</f>
        <v>7</v>
      </c>
      <c r="F21" s="246"/>
      <c r="G21" s="246"/>
      <c r="H21" s="246"/>
      <c r="I21" s="246"/>
      <c r="J21" s="246"/>
      <c r="K21" s="246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  <c r="AF21" s="246"/>
      <c r="AG21" s="246"/>
      <c r="AH21" s="246"/>
      <c r="AI21" s="246"/>
      <c r="AJ21" s="246"/>
      <c r="AK21" s="246"/>
      <c r="AL21" s="246"/>
      <c r="AM21" s="246"/>
      <c r="AN21" s="246"/>
      <c r="AP21" s="21" t="s">
        <v>418</v>
      </c>
    </row>
    <row r="22" spans="2:42" x14ac:dyDescent="0.25">
      <c r="C22" s="244" t="s">
        <v>410</v>
      </c>
      <c r="D22" s="315" t="s">
        <v>162</v>
      </c>
      <c r="E22" s="247">
        <f>E21*0.85</f>
        <v>5.95</v>
      </c>
      <c r="F22" s="246"/>
      <c r="G22" s="246"/>
      <c r="H22" s="246"/>
      <c r="I22" s="246"/>
      <c r="J22" s="246"/>
      <c r="K22" s="246"/>
      <c r="L22" s="246"/>
      <c r="M22" s="246"/>
      <c r="N22" s="246"/>
      <c r="O22" s="24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  <c r="AF22" s="246"/>
      <c r="AG22" s="246"/>
      <c r="AH22" s="246"/>
      <c r="AI22" s="246"/>
      <c r="AJ22" s="246"/>
      <c r="AK22" s="246"/>
      <c r="AL22" s="246"/>
      <c r="AM22" s="246"/>
      <c r="AN22" s="246"/>
      <c r="AP22" s="21" t="s">
        <v>418</v>
      </c>
    </row>
    <row r="23" spans="2:42" x14ac:dyDescent="0.25">
      <c r="C23" s="244" t="s">
        <v>408</v>
      </c>
      <c r="D23" s="315" t="s">
        <v>162</v>
      </c>
      <c r="E23" s="247">
        <f>E21*0.7</f>
        <v>4.8999999999999995</v>
      </c>
      <c r="F23" s="246"/>
      <c r="G23" s="246"/>
      <c r="H23" s="246"/>
      <c r="I23" s="246"/>
      <c r="J23" s="246"/>
      <c r="K23" s="246"/>
      <c r="L23" s="246"/>
      <c r="M23" s="246"/>
      <c r="N23" s="246"/>
      <c r="O23" s="246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  <c r="AD23" s="246"/>
      <c r="AE23" s="246"/>
      <c r="AF23" s="246"/>
      <c r="AG23" s="246"/>
      <c r="AH23" s="246"/>
      <c r="AI23" s="246"/>
      <c r="AJ23" s="246"/>
      <c r="AK23" s="246"/>
      <c r="AL23" s="246"/>
      <c r="AM23" s="246"/>
      <c r="AN23" s="246"/>
      <c r="AP23" s="21" t="s">
        <v>418</v>
      </c>
    </row>
    <row r="24" spans="2:42" x14ac:dyDescent="0.25">
      <c r="C24" s="244" t="s">
        <v>417</v>
      </c>
      <c r="D24" s="315" t="s">
        <v>162</v>
      </c>
      <c r="E24" s="247">
        <f>E21*50%</f>
        <v>3.5</v>
      </c>
      <c r="F24" s="246"/>
      <c r="G24" s="246"/>
      <c r="H24" s="246"/>
      <c r="I24" s="246"/>
      <c r="J24" s="246"/>
      <c r="K24" s="246"/>
      <c r="L24" s="246"/>
      <c r="M24" s="246"/>
      <c r="N24" s="246"/>
      <c r="O24" s="246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  <c r="AF24" s="246"/>
      <c r="AG24" s="246"/>
      <c r="AH24" s="246"/>
      <c r="AI24" s="246"/>
      <c r="AJ24" s="246"/>
      <c r="AK24" s="246"/>
      <c r="AL24" s="246"/>
      <c r="AM24" s="246"/>
      <c r="AN24" s="246"/>
      <c r="AP24" s="21" t="s">
        <v>418</v>
      </c>
    </row>
    <row r="25" spans="2:42" s="74" customFormat="1" x14ac:dyDescent="0.25">
      <c r="B25" s="45" t="s">
        <v>0</v>
      </c>
      <c r="C25" s="176" t="s">
        <v>3</v>
      </c>
      <c r="D25" s="314"/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2"/>
      <c r="AI25" s="242"/>
      <c r="AJ25" s="242"/>
      <c r="AK25" s="242"/>
      <c r="AL25" s="242"/>
      <c r="AM25" s="242"/>
      <c r="AN25" s="242"/>
      <c r="AP25" s="177"/>
    </row>
    <row r="26" spans="2:42" s="74" customFormat="1" x14ac:dyDescent="0.25">
      <c r="B26" s="99" t="s">
        <v>9</v>
      </c>
      <c r="C26" s="41" t="s">
        <v>6</v>
      </c>
      <c r="D26" s="42"/>
      <c r="E26" s="105"/>
      <c r="F26" s="105"/>
      <c r="G26" s="105"/>
      <c r="H26" s="105"/>
      <c r="I26" s="105"/>
      <c r="J26" s="105"/>
      <c r="K26" s="105"/>
      <c r="L26" s="105"/>
      <c r="M26" s="105"/>
      <c r="N26" s="105"/>
      <c r="O26" s="105"/>
      <c r="P26" s="105"/>
      <c r="Q26" s="105"/>
      <c r="R26" s="105"/>
      <c r="S26" s="105"/>
      <c r="T26" s="105"/>
      <c r="U26" s="105"/>
      <c r="V26" s="105"/>
      <c r="W26" s="105"/>
      <c r="X26" s="105"/>
      <c r="Y26" s="105"/>
      <c r="Z26" s="105"/>
      <c r="AA26" s="105"/>
      <c r="AB26" s="105"/>
      <c r="AC26" s="105"/>
      <c r="AD26" s="105"/>
      <c r="AE26" s="105"/>
      <c r="AF26" s="105"/>
      <c r="AG26" s="105"/>
      <c r="AH26" s="105"/>
      <c r="AI26" s="105"/>
      <c r="AJ26" s="105"/>
      <c r="AK26" s="105"/>
      <c r="AL26" s="105"/>
      <c r="AM26" s="105"/>
      <c r="AN26" s="105"/>
      <c r="AP26" s="17"/>
    </row>
    <row r="27" spans="2:42" x14ac:dyDescent="0.25">
      <c r="C27" s="94" t="s">
        <v>421</v>
      </c>
      <c r="D27" s="95" t="s">
        <v>29</v>
      </c>
      <c r="E27" s="590" cm="1">
        <f t="array" aca="1" ref="E27" ca="1">_xlfn.IFS($D$9=UAE,IF('2.1 PnL'!E10-'2.1 PnL'!E12&gt;=100000,9%,0%),$D$9=KSA,20%,$D$9=USA,21%,$D$9=Qatar,10%)</f>
        <v>0</v>
      </c>
      <c r="F27" s="590" cm="1">
        <f t="array" aca="1" ref="F27" ca="1">_xlfn.IFS($D$9=UAE,IF('2.1 PnL'!F10-'2.1 PnL'!F12&gt;=100000,9%,0%),$D$9=KSA,20%,$D$9=USA,21%,$D$9=Qatar,10%)</f>
        <v>0.09</v>
      </c>
      <c r="G27" s="590" cm="1">
        <f t="array" aca="1" ref="G27" ca="1">_xlfn.IFS($D$9=UAE,IF('2.1 PnL'!G10-'2.1 PnL'!G12&gt;=100000,9%,0%),$D$9=KSA,20%,$D$9=USA,21%,$D$9=Qatar,10%)</f>
        <v>0.09</v>
      </c>
      <c r="H27" s="590" cm="1">
        <f t="array" aca="1" ref="H27" ca="1">_xlfn.IFS($D$9=UAE,IF('2.1 PnL'!H10-'2.1 PnL'!H12&gt;=100000,9%,0%),$D$9=KSA,20%,$D$9=USA,21%,$D$9=Qatar,10%)</f>
        <v>0.09</v>
      </c>
      <c r="I27" s="590" cm="1">
        <f t="array" aca="1" ref="I27" ca="1">_xlfn.IFS($D$9=UAE,IF('2.1 PnL'!I10-'2.1 PnL'!I12&gt;=100000,9%,0%),$D$9=KSA,20%,$D$9=USA,21%,$D$9=Qatar,10%)</f>
        <v>0.09</v>
      </c>
      <c r="J27" s="590" cm="1">
        <f t="array" aca="1" ref="J27" ca="1">_xlfn.IFS($D$9=UAE,IF('2.1 PnL'!J10-'2.1 PnL'!J12&gt;=100000,9%,0%),$D$9=KSA,20%,$D$9=USA,21%,$D$9=Qatar,10%)</f>
        <v>0.09</v>
      </c>
      <c r="K27" s="590" cm="1">
        <f t="array" aca="1" ref="K27" ca="1">_xlfn.IFS($D$9=UAE,IF('2.1 PnL'!K10-'2.1 PnL'!K12&gt;=100000,9%,0%),$D$9=KSA,20%,$D$9=USA,21%,$D$9=Qatar,10%)</f>
        <v>0.09</v>
      </c>
      <c r="L27" s="590" cm="1">
        <f t="array" aca="1" ref="L27" ca="1">_xlfn.IFS($D$9=UAE,IF('2.1 PnL'!L10-'2.1 PnL'!L12&gt;=100000,9%,0%),$D$9=KSA,20%,$D$9=USA,21%,$D$9=Qatar,10%)</f>
        <v>0.09</v>
      </c>
      <c r="M27" s="590" cm="1">
        <f t="array" aca="1" ref="M27" ca="1">_xlfn.IFS($D$9=UAE,IF('2.1 PnL'!M10-'2.1 PnL'!M12&gt;=100000,9%,0%),$D$9=KSA,20%,$D$9=USA,21%,$D$9=Qatar,10%)</f>
        <v>0.09</v>
      </c>
      <c r="N27" s="590" cm="1">
        <f t="array" aca="1" ref="N27" ca="1">_xlfn.IFS($D$9=UAE,IF('2.1 PnL'!N10-'2.1 PnL'!N12&gt;=100000,9%,0%),$D$9=KSA,20%,$D$9=USA,21%,$D$9=Qatar,10%)</f>
        <v>0.09</v>
      </c>
      <c r="O27" s="590" cm="1">
        <f t="array" aca="1" ref="O27" ca="1">_xlfn.IFS($D$9=UAE,IF('2.1 PnL'!O10-'2.1 PnL'!O12&gt;=100000,9%,0%),$D$9=KSA,20%,$D$9=USA,21%,$D$9=Qatar,10%)</f>
        <v>0.09</v>
      </c>
      <c r="P27" s="590" cm="1">
        <f t="array" aca="1" ref="P27" ca="1">_xlfn.IFS($D$9=UAE,IF('2.1 PnL'!P10-'2.1 PnL'!P12&gt;=100000,9%,0%),$D$9=KSA,20%,$D$9=USA,21%,$D$9=Qatar,10%)</f>
        <v>0.09</v>
      </c>
      <c r="Q27" s="590" cm="1">
        <f t="array" aca="1" ref="Q27" ca="1">_xlfn.IFS($D$9=UAE,IF('2.1 PnL'!Q10-'2.1 PnL'!Q12&gt;=100000,9%,0%),$D$9=KSA,20%,$D$9=USA,21%,$D$9=Qatar,10%)</f>
        <v>0.09</v>
      </c>
      <c r="R27" s="590" cm="1">
        <f t="array" aca="1" ref="R27" ca="1">_xlfn.IFS($D$9=UAE,IF('2.1 PnL'!R10-'2.1 PnL'!R12&gt;=100000,9%,0%),$D$9=KSA,20%,$D$9=USA,21%,$D$9=Qatar,10%)</f>
        <v>0.09</v>
      </c>
      <c r="S27" s="590" cm="1">
        <f t="array" aca="1" ref="S27" ca="1">_xlfn.IFS($D$9=UAE,IF('2.1 PnL'!S10-'2.1 PnL'!S12&gt;=100000,9%,0%),$D$9=KSA,20%,$D$9=USA,21%,$D$9=Qatar,10%)</f>
        <v>0.09</v>
      </c>
      <c r="T27" s="590" cm="1">
        <f t="array" aca="1" ref="T27" ca="1">_xlfn.IFS($D$9=UAE,IF('2.1 PnL'!T10-'2.1 PnL'!T12&gt;=100000,9%,0%),$D$9=KSA,20%,$D$9=USA,21%,$D$9=Qatar,10%)</f>
        <v>0.09</v>
      </c>
      <c r="U27" s="590" cm="1">
        <f t="array" aca="1" ref="U27" ca="1">_xlfn.IFS($D$9=UAE,IF('2.1 PnL'!U10-'2.1 PnL'!U12&gt;=100000,9%,0%),$D$9=KSA,20%,$D$9=USA,21%,$D$9=Qatar,10%)</f>
        <v>0.09</v>
      </c>
      <c r="V27" s="590" cm="1">
        <f t="array" aca="1" ref="V27" ca="1">_xlfn.IFS($D$9=UAE,IF('2.1 PnL'!V10-'2.1 PnL'!V12&gt;=100000,9%,0%),$D$9=KSA,20%,$D$9=USA,21%,$D$9=Qatar,10%)</f>
        <v>0.09</v>
      </c>
      <c r="W27" s="590" cm="1">
        <f t="array" aca="1" ref="W27" ca="1">_xlfn.IFS($D$9=UAE,IF('2.1 PnL'!W10-'2.1 PnL'!W12&gt;=100000,9%,0%),$D$9=KSA,20%,$D$9=USA,21%,$D$9=Qatar,10%)</f>
        <v>0.09</v>
      </c>
      <c r="X27" s="590" cm="1">
        <f t="array" aca="1" ref="X27" ca="1">_xlfn.IFS($D$9=UAE,IF('2.1 PnL'!X10-'2.1 PnL'!X12&gt;=100000,9%,0%),$D$9=KSA,20%,$D$9=USA,21%,$D$9=Qatar,10%)</f>
        <v>0.09</v>
      </c>
      <c r="Y27" s="590" cm="1">
        <f t="array" aca="1" ref="Y27" ca="1">_xlfn.IFS($D$9=UAE,IF('2.1 PnL'!Y10-'2.1 PnL'!Y12&gt;=100000,9%,0%),$D$9=KSA,20%,$D$9=USA,21%,$D$9=Qatar,10%)</f>
        <v>0.09</v>
      </c>
      <c r="Z27" s="590" cm="1">
        <f t="array" aca="1" ref="Z27" ca="1">_xlfn.IFS($D$9=UAE,IF('2.1 PnL'!Z10-'2.1 PnL'!Z12&gt;=100000,9%,0%),$D$9=KSA,20%,$D$9=USA,21%,$D$9=Qatar,10%)</f>
        <v>0.09</v>
      </c>
      <c r="AA27" s="590" cm="1">
        <f t="array" aca="1" ref="AA27" ca="1">_xlfn.IFS($D$9=UAE,IF('2.1 PnL'!AA10-'2.1 PnL'!AA12&gt;=100000,9%,0%),$D$9=KSA,20%,$D$9=USA,21%,$D$9=Qatar,10%)</f>
        <v>0.09</v>
      </c>
      <c r="AB27" s="590" cm="1">
        <f t="array" aca="1" ref="AB27" ca="1">_xlfn.IFS($D$9=UAE,IF('2.1 PnL'!AB10-'2.1 PnL'!AB12&gt;=100000,9%,0%),$D$9=KSA,20%,$D$9=USA,21%,$D$9=Qatar,10%)</f>
        <v>0.09</v>
      </c>
      <c r="AC27" s="590" cm="1">
        <f t="array" aca="1" ref="AC27" ca="1">_xlfn.IFS($D$9=UAE,IF('2.1 PnL'!AC10-'2.1 PnL'!AC12&gt;=100000,9%,0%),$D$9=KSA,20%,$D$9=USA,21%,$D$9=Qatar,10%)</f>
        <v>0.09</v>
      </c>
      <c r="AD27" s="590" cm="1">
        <f t="array" aca="1" ref="AD27" ca="1">_xlfn.IFS($D$9=UAE,IF('2.1 PnL'!AD10-'2.1 PnL'!AD12&gt;=100000,9%,0%),$D$9=KSA,20%,$D$9=USA,21%,$D$9=Qatar,10%)</f>
        <v>0.09</v>
      </c>
      <c r="AE27" s="590" cm="1">
        <f t="array" aca="1" ref="AE27" ca="1">_xlfn.IFS($D$9=UAE,IF('2.1 PnL'!AE10-'2.1 PnL'!AE12&gt;=100000,9%,0%),$D$9=KSA,20%,$D$9=USA,21%,$D$9=Qatar,10%)</f>
        <v>0.09</v>
      </c>
      <c r="AF27" s="590" cm="1">
        <f t="array" aca="1" ref="AF27" ca="1">_xlfn.IFS($D$9=UAE,IF('2.1 PnL'!AF10-'2.1 PnL'!AF12&gt;=100000,9%,0%),$D$9=KSA,20%,$D$9=USA,21%,$D$9=Qatar,10%)</f>
        <v>0.09</v>
      </c>
      <c r="AG27" s="590" cm="1">
        <f t="array" aca="1" ref="AG27" ca="1">_xlfn.IFS($D$9=UAE,IF('2.1 PnL'!AG10-'2.1 PnL'!AG12&gt;=100000,9%,0%),$D$9=KSA,20%,$D$9=USA,21%,$D$9=Qatar,10%)</f>
        <v>0.09</v>
      </c>
      <c r="AH27" s="590" cm="1">
        <f t="array" aca="1" ref="AH27" ca="1">_xlfn.IFS($D$9=UAE,IF('2.1 PnL'!AH10-'2.1 PnL'!AH12&gt;=100000,9%,0%),$D$9=KSA,20%,$D$9=USA,21%,$D$9=Qatar,10%)</f>
        <v>0.09</v>
      </c>
      <c r="AI27" s="590" cm="1">
        <f t="array" aca="1" ref="AI27" ca="1">_xlfn.IFS($D$9=UAE,IF('2.1 PnL'!AI10-'2.1 PnL'!AI12&gt;=100000,9%,0%),$D$9=KSA,20%,$D$9=USA,21%,$D$9=Qatar,10%)</f>
        <v>0.09</v>
      </c>
      <c r="AJ27" s="590" cm="1">
        <f t="array" aca="1" ref="AJ27" ca="1">_xlfn.IFS($D$9=UAE,IF('2.1 PnL'!AJ10-'2.1 PnL'!AJ12&gt;=100000,9%,0%),$D$9=KSA,20%,$D$9=USA,21%,$D$9=Qatar,10%)</f>
        <v>0.09</v>
      </c>
      <c r="AK27" s="590" cm="1">
        <f t="array" aca="1" ref="AK27" ca="1">_xlfn.IFS($D$9=UAE,IF('2.1 PnL'!AK10-'2.1 PnL'!AK12&gt;=100000,9%,0%),$D$9=KSA,20%,$D$9=USA,21%,$D$9=Qatar,10%)</f>
        <v>0.09</v>
      </c>
      <c r="AL27" s="590" cm="1">
        <f t="array" aca="1" ref="AL27" ca="1">_xlfn.IFS($D$9=UAE,IF('2.1 PnL'!AL10-'2.1 PnL'!AL12&gt;=100000,9%,0%),$D$9=KSA,20%,$D$9=USA,21%,$D$9=Qatar,10%)</f>
        <v>0.09</v>
      </c>
      <c r="AM27" s="590" cm="1">
        <f t="array" aca="1" ref="AM27" ca="1">_xlfn.IFS($D$9=UAE,IF('2.1 PnL'!AM10-'2.1 PnL'!AM12&gt;=100000,9%,0%),$D$9=KSA,20%,$D$9=USA,21%,$D$9=Qatar,10%)</f>
        <v>0.09</v>
      </c>
      <c r="AN27" s="590" cm="1">
        <f t="array" aca="1" ref="AN27" ca="1">_xlfn.IFS($D$9=UAE,IF('2.1 PnL'!AN10-'2.1 PnL'!AN12&gt;=100000,9%,0%),$D$9=KSA,20%,$D$9=USA,21%,$D$9=Qatar,10%)</f>
        <v>0.09</v>
      </c>
      <c r="AP27" s="35"/>
    </row>
    <row r="28" spans="2:42" x14ac:dyDescent="0.25">
      <c r="C28" s="35" t="s">
        <v>843</v>
      </c>
      <c r="D28" s="98" t="s">
        <v>29</v>
      </c>
      <c r="E28" s="592">
        <v>0</v>
      </c>
      <c r="F28" s="592">
        <v>0</v>
      </c>
      <c r="G28" s="592">
        <v>0</v>
      </c>
      <c r="H28" s="592">
        <v>0</v>
      </c>
      <c r="I28" s="592">
        <v>0</v>
      </c>
      <c r="J28" s="592">
        <v>0</v>
      </c>
      <c r="K28" s="592">
        <v>0</v>
      </c>
      <c r="L28" s="592">
        <v>0</v>
      </c>
      <c r="M28" s="592">
        <v>0</v>
      </c>
      <c r="N28" s="592">
        <v>0</v>
      </c>
      <c r="O28" s="592">
        <v>0</v>
      </c>
      <c r="P28" s="592">
        <v>0</v>
      </c>
      <c r="Q28" s="592">
        <v>0</v>
      </c>
      <c r="R28" s="592">
        <v>0</v>
      </c>
      <c r="S28" s="592">
        <v>0</v>
      </c>
      <c r="T28" s="592">
        <v>0</v>
      </c>
      <c r="U28" s="592">
        <v>0</v>
      </c>
      <c r="V28" s="592">
        <v>0</v>
      </c>
      <c r="W28" s="592">
        <v>0</v>
      </c>
      <c r="X28" s="592">
        <v>0</v>
      </c>
      <c r="Y28" s="592">
        <v>0</v>
      </c>
      <c r="Z28" s="592">
        <v>0</v>
      </c>
      <c r="AA28" s="592">
        <v>0</v>
      </c>
      <c r="AB28" s="592">
        <v>0</v>
      </c>
      <c r="AC28" s="592">
        <v>0</v>
      </c>
      <c r="AD28" s="592">
        <v>0</v>
      </c>
      <c r="AE28" s="592">
        <v>0</v>
      </c>
      <c r="AF28" s="592">
        <v>0</v>
      </c>
      <c r="AG28" s="592">
        <v>0</v>
      </c>
      <c r="AH28" s="592">
        <v>0</v>
      </c>
      <c r="AI28" s="592">
        <v>0</v>
      </c>
      <c r="AJ28" s="592">
        <v>0</v>
      </c>
      <c r="AK28" s="592">
        <v>0</v>
      </c>
      <c r="AL28" s="592">
        <v>0</v>
      </c>
      <c r="AM28" s="592">
        <v>0</v>
      </c>
      <c r="AN28" s="592">
        <v>0</v>
      </c>
      <c r="AP28" s="299"/>
    </row>
    <row r="29" spans="2:42" x14ac:dyDescent="0.25">
      <c r="C29" s="324" t="s">
        <v>844</v>
      </c>
      <c r="D29" s="325" t="s">
        <v>29</v>
      </c>
      <c r="E29" s="593" cm="1">
        <f t="array" ref="E29">_xlfn.IFS(Forecasting_Scenario=Base,1%,Forecasting_Scenario=Aggressive,0.5%,Forecasting_Scenario=Conservative,2%)</f>
        <v>0.01</v>
      </c>
      <c r="F29" s="593" cm="1">
        <f t="array" ref="F29">_xlfn.IFS(Forecasting_Scenario=Base,1%,Forecasting_Scenario=Aggressive,0.5%,Forecasting_Scenario=Conservative,2%)</f>
        <v>0.01</v>
      </c>
      <c r="G29" s="593" cm="1">
        <f t="array" ref="G29">_xlfn.IFS(Forecasting_Scenario=Base,1%,Forecasting_Scenario=Aggressive,0.5%,Forecasting_Scenario=Conservative,2%)</f>
        <v>0.01</v>
      </c>
      <c r="H29" s="593" cm="1">
        <f t="array" ref="H29">_xlfn.IFS(Forecasting_Scenario=Base,1%,Forecasting_Scenario=Aggressive,0.5%,Forecasting_Scenario=Conservative,2%)</f>
        <v>0.01</v>
      </c>
      <c r="I29" s="593" cm="1">
        <f t="array" ref="I29">_xlfn.IFS(Forecasting_Scenario=Base,1%,Forecasting_Scenario=Aggressive,0.5%,Forecasting_Scenario=Conservative,2%)</f>
        <v>0.01</v>
      </c>
      <c r="J29" s="593" cm="1">
        <f t="array" ref="J29">_xlfn.IFS(Forecasting_Scenario=Base,1%,Forecasting_Scenario=Aggressive,0.5%,Forecasting_Scenario=Conservative,2%)</f>
        <v>0.01</v>
      </c>
      <c r="K29" s="593" cm="1">
        <f t="array" ref="K29">_xlfn.IFS(Forecasting_Scenario=Base,1%,Forecasting_Scenario=Aggressive,0.5%,Forecasting_Scenario=Conservative,2%)</f>
        <v>0.01</v>
      </c>
      <c r="L29" s="593" cm="1">
        <f t="array" ref="L29">_xlfn.IFS(Forecasting_Scenario=Base,1%,Forecasting_Scenario=Aggressive,0.5%,Forecasting_Scenario=Conservative,2%)</f>
        <v>0.01</v>
      </c>
      <c r="M29" s="593" cm="1">
        <f t="array" ref="M29">_xlfn.IFS(Forecasting_Scenario=Base,1%,Forecasting_Scenario=Aggressive,0.5%,Forecasting_Scenario=Conservative,2%)</f>
        <v>0.01</v>
      </c>
      <c r="N29" s="593" cm="1">
        <f t="array" ref="N29">_xlfn.IFS(Forecasting_Scenario=Base,1%,Forecasting_Scenario=Aggressive,0.5%,Forecasting_Scenario=Conservative,2%)</f>
        <v>0.01</v>
      </c>
      <c r="O29" s="593" cm="1">
        <f t="array" ref="O29">_xlfn.IFS(Forecasting_Scenario=Base,1%,Forecasting_Scenario=Aggressive,0.5%,Forecasting_Scenario=Conservative,2%)</f>
        <v>0.01</v>
      </c>
      <c r="P29" s="593" cm="1">
        <f t="array" ref="P29">_xlfn.IFS(Forecasting_Scenario=Base,1%,Forecasting_Scenario=Aggressive,0.5%,Forecasting_Scenario=Conservative,2%)</f>
        <v>0.01</v>
      </c>
      <c r="Q29" s="593" cm="1">
        <f t="array" ref="Q29">_xlfn.IFS(Forecasting_Scenario=Base,1%,Forecasting_Scenario=Aggressive,0.5%,Forecasting_Scenario=Conservative,2%)</f>
        <v>0.01</v>
      </c>
      <c r="R29" s="593" cm="1">
        <f t="array" ref="R29">_xlfn.IFS(Forecasting_Scenario=Base,1%,Forecasting_Scenario=Aggressive,0.5%,Forecasting_Scenario=Conservative,2%)</f>
        <v>0.01</v>
      </c>
      <c r="S29" s="593" cm="1">
        <f t="array" ref="S29">_xlfn.IFS(Forecasting_Scenario=Base,1%,Forecasting_Scenario=Aggressive,0.5%,Forecasting_Scenario=Conservative,2%)</f>
        <v>0.01</v>
      </c>
      <c r="T29" s="593" cm="1">
        <f t="array" ref="T29">_xlfn.IFS(Forecasting_Scenario=Base,1%,Forecasting_Scenario=Aggressive,0.5%,Forecasting_Scenario=Conservative,2%)</f>
        <v>0.01</v>
      </c>
      <c r="U29" s="593" cm="1">
        <f t="array" ref="U29">_xlfn.IFS(Forecasting_Scenario=Base,1%,Forecasting_Scenario=Aggressive,0.5%,Forecasting_Scenario=Conservative,2%)</f>
        <v>0.01</v>
      </c>
      <c r="V29" s="593" cm="1">
        <f t="array" ref="V29">_xlfn.IFS(Forecasting_Scenario=Base,1%,Forecasting_Scenario=Aggressive,0.5%,Forecasting_Scenario=Conservative,2%)</f>
        <v>0.01</v>
      </c>
      <c r="W29" s="593" cm="1">
        <f t="array" ref="W29">_xlfn.IFS(Forecasting_Scenario=Base,1%,Forecasting_Scenario=Aggressive,0.5%,Forecasting_Scenario=Conservative,2%)</f>
        <v>0.01</v>
      </c>
      <c r="X29" s="593" cm="1">
        <f t="array" ref="X29">_xlfn.IFS(Forecasting_Scenario=Base,1%,Forecasting_Scenario=Aggressive,0.5%,Forecasting_Scenario=Conservative,2%)</f>
        <v>0.01</v>
      </c>
      <c r="Y29" s="593" cm="1">
        <f t="array" ref="Y29">_xlfn.IFS(Forecasting_Scenario=Base,1%,Forecasting_Scenario=Aggressive,0.5%,Forecasting_Scenario=Conservative,2%)</f>
        <v>0.01</v>
      </c>
      <c r="Z29" s="593" cm="1">
        <f t="array" ref="Z29">_xlfn.IFS(Forecasting_Scenario=Base,1%,Forecasting_Scenario=Aggressive,0.5%,Forecasting_Scenario=Conservative,2%)</f>
        <v>0.01</v>
      </c>
      <c r="AA29" s="593" cm="1">
        <f t="array" ref="AA29">_xlfn.IFS(Forecasting_Scenario=Base,1%,Forecasting_Scenario=Aggressive,0.5%,Forecasting_Scenario=Conservative,2%)</f>
        <v>0.01</v>
      </c>
      <c r="AB29" s="593" cm="1">
        <f t="array" ref="AB29">_xlfn.IFS(Forecasting_Scenario=Base,1%,Forecasting_Scenario=Aggressive,0.5%,Forecasting_Scenario=Conservative,2%)</f>
        <v>0.01</v>
      </c>
      <c r="AC29" s="593" cm="1">
        <f t="array" ref="AC29">_xlfn.IFS(Forecasting_Scenario=Base,1%,Forecasting_Scenario=Aggressive,0.5%,Forecasting_Scenario=Conservative,2%)</f>
        <v>0.01</v>
      </c>
      <c r="AD29" s="593" cm="1">
        <f t="array" ref="AD29">_xlfn.IFS(Forecasting_Scenario=Base,1%,Forecasting_Scenario=Aggressive,0.5%,Forecasting_Scenario=Conservative,2%)</f>
        <v>0.01</v>
      </c>
      <c r="AE29" s="593" cm="1">
        <f t="array" ref="AE29">_xlfn.IFS(Forecasting_Scenario=Base,1%,Forecasting_Scenario=Aggressive,0.5%,Forecasting_Scenario=Conservative,2%)</f>
        <v>0.01</v>
      </c>
      <c r="AF29" s="593" cm="1">
        <f t="array" ref="AF29">_xlfn.IFS(Forecasting_Scenario=Base,1%,Forecasting_Scenario=Aggressive,0.5%,Forecasting_Scenario=Conservative,2%)</f>
        <v>0.01</v>
      </c>
      <c r="AG29" s="593" cm="1">
        <f t="array" ref="AG29">_xlfn.IFS(Forecasting_Scenario=Base,1%,Forecasting_Scenario=Aggressive,0.5%,Forecasting_Scenario=Conservative,2%)</f>
        <v>0.01</v>
      </c>
      <c r="AH29" s="593" cm="1">
        <f t="array" ref="AH29">_xlfn.IFS(Forecasting_Scenario=Base,1%,Forecasting_Scenario=Aggressive,0.5%,Forecasting_Scenario=Conservative,2%)</f>
        <v>0.01</v>
      </c>
      <c r="AI29" s="593" cm="1">
        <f t="array" ref="AI29">_xlfn.IFS(Forecasting_Scenario=Base,1%,Forecasting_Scenario=Aggressive,0.5%,Forecasting_Scenario=Conservative,2%)</f>
        <v>0.01</v>
      </c>
      <c r="AJ29" s="593" cm="1">
        <f t="array" ref="AJ29">_xlfn.IFS(Forecasting_Scenario=Base,1%,Forecasting_Scenario=Aggressive,0.5%,Forecasting_Scenario=Conservative,2%)</f>
        <v>0.01</v>
      </c>
      <c r="AK29" s="593" cm="1">
        <f t="array" ref="AK29">_xlfn.IFS(Forecasting_Scenario=Base,1%,Forecasting_Scenario=Aggressive,0.5%,Forecasting_Scenario=Conservative,2%)</f>
        <v>0.01</v>
      </c>
      <c r="AL29" s="593" cm="1">
        <f t="array" ref="AL29">_xlfn.IFS(Forecasting_Scenario=Base,1%,Forecasting_Scenario=Aggressive,0.5%,Forecasting_Scenario=Conservative,2%)</f>
        <v>0.01</v>
      </c>
      <c r="AM29" s="593" cm="1">
        <f t="array" ref="AM29">_xlfn.IFS(Forecasting_Scenario=Base,1%,Forecasting_Scenario=Aggressive,0.5%,Forecasting_Scenario=Conservative,2%)</f>
        <v>0.01</v>
      </c>
      <c r="AN29" s="593" cm="1">
        <f t="array" ref="AN29">_xlfn.IFS(Forecasting_Scenario=Base,1%,Forecasting_Scenario=Aggressive,0.5%,Forecasting_Scenario=Conservative,2%)</f>
        <v>0.01</v>
      </c>
      <c r="AP29" s="324"/>
    </row>
    <row r="30" spans="2:42" s="74" customFormat="1" x14ac:dyDescent="0.25">
      <c r="B30" s="99" t="s">
        <v>9</v>
      </c>
      <c r="C30" s="41" t="s">
        <v>7</v>
      </c>
      <c r="D30" s="42"/>
      <c r="E30" s="105"/>
      <c r="F30" s="105"/>
      <c r="G30" s="105"/>
      <c r="H30" s="105"/>
      <c r="I30" s="105"/>
      <c r="J30" s="105"/>
      <c r="K30" s="105"/>
      <c r="L30" s="105"/>
      <c r="M30" s="105"/>
      <c r="N30" s="105"/>
      <c r="O30" s="105"/>
      <c r="P30" s="105"/>
      <c r="Q30" s="105"/>
      <c r="R30" s="105"/>
      <c r="S30" s="105"/>
      <c r="T30" s="105"/>
      <c r="U30" s="105"/>
      <c r="V30" s="105"/>
      <c r="W30" s="105"/>
      <c r="X30" s="105"/>
      <c r="Y30" s="105"/>
      <c r="Z30" s="105"/>
      <c r="AA30" s="105"/>
      <c r="AB30" s="105"/>
      <c r="AC30" s="105"/>
      <c r="AD30" s="105"/>
      <c r="AE30" s="105"/>
      <c r="AF30" s="105"/>
      <c r="AG30" s="105"/>
      <c r="AH30" s="105"/>
      <c r="AI30" s="105"/>
      <c r="AJ30" s="105"/>
      <c r="AK30" s="105"/>
      <c r="AL30" s="105"/>
      <c r="AM30" s="105"/>
      <c r="AN30" s="105"/>
      <c r="AP30" s="105"/>
    </row>
    <row r="31" spans="2:42" s="74" customFormat="1" x14ac:dyDescent="0.25">
      <c r="B31" s="99" t="s">
        <v>9</v>
      </c>
      <c r="C31" s="311" t="s">
        <v>633</v>
      </c>
      <c r="D31" s="318"/>
      <c r="E31" s="311"/>
      <c r="F31" s="311"/>
      <c r="G31" s="311"/>
      <c r="H31" s="311"/>
      <c r="I31" s="311"/>
      <c r="J31" s="311"/>
      <c r="K31" s="311"/>
      <c r="L31" s="311"/>
      <c r="M31" s="311"/>
      <c r="N31" s="311"/>
      <c r="O31" s="311"/>
      <c r="P31" s="311"/>
      <c r="Q31" s="311"/>
      <c r="R31" s="311"/>
      <c r="S31" s="311"/>
      <c r="T31" s="311"/>
      <c r="U31" s="311"/>
      <c r="V31" s="311"/>
      <c r="W31" s="311"/>
      <c r="X31" s="311"/>
      <c r="Y31" s="311"/>
      <c r="Z31" s="311"/>
      <c r="AA31" s="311"/>
      <c r="AB31" s="311"/>
      <c r="AC31" s="311"/>
      <c r="AD31" s="311"/>
      <c r="AE31" s="311"/>
      <c r="AF31" s="311"/>
      <c r="AG31" s="311"/>
      <c r="AH31" s="311"/>
      <c r="AI31" s="311"/>
      <c r="AJ31" s="311"/>
      <c r="AK31" s="311"/>
      <c r="AL31" s="311"/>
      <c r="AM31" s="311"/>
      <c r="AN31" s="311"/>
      <c r="AP31" s="311"/>
    </row>
    <row r="32" spans="2:42" x14ac:dyDescent="0.25">
      <c r="C32" s="20" t="s">
        <v>866</v>
      </c>
      <c r="D32" s="34" t="s">
        <v>29</v>
      </c>
      <c r="E32" s="625">
        <v>0</v>
      </c>
      <c r="F32" s="625">
        <v>0</v>
      </c>
      <c r="G32" s="625">
        <v>0</v>
      </c>
      <c r="H32" s="625">
        <v>0</v>
      </c>
      <c r="I32" s="625">
        <v>0</v>
      </c>
      <c r="J32" s="625">
        <v>0</v>
      </c>
      <c r="K32" s="625">
        <v>0</v>
      </c>
      <c r="L32" s="625">
        <v>0</v>
      </c>
      <c r="M32" s="625">
        <v>0</v>
      </c>
      <c r="N32" s="625">
        <v>0</v>
      </c>
      <c r="O32" s="625">
        <v>0</v>
      </c>
      <c r="P32" s="625">
        <v>0</v>
      </c>
      <c r="Q32" s="625">
        <v>0</v>
      </c>
      <c r="R32" s="625">
        <v>0</v>
      </c>
      <c r="S32" s="625">
        <v>0</v>
      </c>
      <c r="T32" s="625">
        <v>0</v>
      </c>
      <c r="U32" s="625">
        <v>0</v>
      </c>
      <c r="V32" s="625">
        <v>0</v>
      </c>
      <c r="W32" s="625">
        <v>0</v>
      </c>
      <c r="X32" s="625">
        <v>0</v>
      </c>
      <c r="Y32" s="625">
        <v>0</v>
      </c>
      <c r="Z32" s="625">
        <v>0</v>
      </c>
      <c r="AA32" s="625">
        <v>0</v>
      </c>
      <c r="AB32" s="625">
        <v>0</v>
      </c>
      <c r="AC32" s="625">
        <v>0</v>
      </c>
      <c r="AD32" s="625">
        <v>0</v>
      </c>
      <c r="AE32" s="625">
        <v>0</v>
      </c>
      <c r="AF32" s="625">
        <v>0</v>
      </c>
      <c r="AG32" s="625">
        <v>0</v>
      </c>
      <c r="AH32" s="625">
        <v>0</v>
      </c>
      <c r="AI32" s="625">
        <v>0</v>
      </c>
      <c r="AJ32" s="625">
        <v>0</v>
      </c>
      <c r="AK32" s="625">
        <v>0</v>
      </c>
      <c r="AL32" s="625">
        <v>0</v>
      </c>
      <c r="AM32" s="625">
        <v>0</v>
      </c>
      <c r="AN32" s="625">
        <v>0</v>
      </c>
      <c r="AP32" s="20"/>
    </row>
    <row r="33" spans="2:42" x14ac:dyDescent="0.25">
      <c r="C33" s="21" t="s">
        <v>868</v>
      </c>
      <c r="D33" s="38" t="s">
        <v>29</v>
      </c>
      <c r="E33" s="626" cm="1">
        <f t="array" ref="E33">_xlfn.IFS(Forecasting_Scenario=Base,6.67%,Forecasting_Scenario=Aggressive,9%,Forecasting_Scenario=Conservative,3.33%)</f>
        <v>6.6699999999999995E-2</v>
      </c>
      <c r="F33" s="626" cm="1">
        <f t="array" ref="F33">_xlfn.IFS(Forecasting_Scenario=Base,6.67%,Forecasting_Scenario=Aggressive,9%,Forecasting_Scenario=Conservative,3.33%)</f>
        <v>6.6699999999999995E-2</v>
      </c>
      <c r="G33" s="626" cm="1">
        <f t="array" ref="G33">_xlfn.IFS(Forecasting_Scenario=Base,6.67%,Forecasting_Scenario=Aggressive,9%,Forecasting_Scenario=Conservative,3.33%)</f>
        <v>6.6699999999999995E-2</v>
      </c>
      <c r="H33" s="626" cm="1">
        <f t="array" ref="H33">_xlfn.IFS(Forecasting_Scenario=Base,6.67%,Forecasting_Scenario=Aggressive,9%,Forecasting_Scenario=Conservative,3.33%)</f>
        <v>6.6699999999999995E-2</v>
      </c>
      <c r="I33" s="626" cm="1">
        <f t="array" ref="I33">_xlfn.IFS(Forecasting_Scenario=Base,6.67%,Forecasting_Scenario=Aggressive,9%,Forecasting_Scenario=Conservative,3.33%)</f>
        <v>6.6699999999999995E-2</v>
      </c>
      <c r="J33" s="626" cm="1">
        <f t="array" ref="J33">_xlfn.IFS(Forecasting_Scenario=Base,6.67%,Forecasting_Scenario=Aggressive,9%,Forecasting_Scenario=Conservative,3.33%)</f>
        <v>6.6699999999999995E-2</v>
      </c>
      <c r="K33" s="626" cm="1">
        <f t="array" ref="K33">_xlfn.IFS(Forecasting_Scenario=Base,6.67%,Forecasting_Scenario=Aggressive,9%,Forecasting_Scenario=Conservative,3.33%)</f>
        <v>6.6699999999999995E-2</v>
      </c>
      <c r="L33" s="626">
        <f>K33*3/4</f>
        <v>5.0025E-2</v>
      </c>
      <c r="M33" s="626">
        <f>L33</f>
        <v>5.0025E-2</v>
      </c>
      <c r="N33" s="626">
        <f t="shared" ref="N33:S33" si="15">M33</f>
        <v>5.0025E-2</v>
      </c>
      <c r="O33" s="626">
        <f t="shared" si="15"/>
        <v>5.0025E-2</v>
      </c>
      <c r="P33" s="626">
        <f t="shared" si="15"/>
        <v>5.0025E-2</v>
      </c>
      <c r="Q33" s="626">
        <f t="shared" si="15"/>
        <v>5.0025E-2</v>
      </c>
      <c r="R33" s="626">
        <f t="shared" si="15"/>
        <v>5.0025E-2</v>
      </c>
      <c r="S33" s="626">
        <f t="shared" si="15"/>
        <v>5.0025E-2</v>
      </c>
      <c r="T33" s="626">
        <f>S33*4/5</f>
        <v>4.002E-2</v>
      </c>
      <c r="U33" s="626">
        <f>T33</f>
        <v>4.002E-2</v>
      </c>
      <c r="V33" s="626">
        <f t="shared" ref="V33:AB33" si="16">U33</f>
        <v>4.002E-2</v>
      </c>
      <c r="W33" s="626">
        <f t="shared" si="16"/>
        <v>4.002E-2</v>
      </c>
      <c r="X33" s="626">
        <f t="shared" si="16"/>
        <v>4.002E-2</v>
      </c>
      <c r="Y33" s="626">
        <f t="shared" si="16"/>
        <v>4.002E-2</v>
      </c>
      <c r="Z33" s="626">
        <f t="shared" si="16"/>
        <v>4.002E-2</v>
      </c>
      <c r="AA33" s="626">
        <f t="shared" si="16"/>
        <v>4.002E-2</v>
      </c>
      <c r="AB33" s="626">
        <f t="shared" si="16"/>
        <v>4.002E-2</v>
      </c>
      <c r="AC33" s="626">
        <f>AB33*4/5</f>
        <v>3.2016000000000003E-2</v>
      </c>
      <c r="AD33" s="626">
        <f>AC33</f>
        <v>3.2016000000000003E-2</v>
      </c>
      <c r="AE33" s="626">
        <f t="shared" ref="AE33:AN33" si="17">AD33</f>
        <v>3.2016000000000003E-2</v>
      </c>
      <c r="AF33" s="626">
        <f t="shared" si="17"/>
        <v>3.2016000000000003E-2</v>
      </c>
      <c r="AG33" s="626">
        <f t="shared" si="17"/>
        <v>3.2016000000000003E-2</v>
      </c>
      <c r="AH33" s="626">
        <f t="shared" si="17"/>
        <v>3.2016000000000003E-2</v>
      </c>
      <c r="AI33" s="626">
        <f t="shared" si="17"/>
        <v>3.2016000000000003E-2</v>
      </c>
      <c r="AJ33" s="626">
        <f t="shared" si="17"/>
        <v>3.2016000000000003E-2</v>
      </c>
      <c r="AK33" s="626">
        <f t="shared" si="17"/>
        <v>3.2016000000000003E-2</v>
      </c>
      <c r="AL33" s="626">
        <f t="shared" si="17"/>
        <v>3.2016000000000003E-2</v>
      </c>
      <c r="AM33" s="626">
        <f t="shared" si="17"/>
        <v>3.2016000000000003E-2</v>
      </c>
      <c r="AN33" s="626">
        <f t="shared" si="17"/>
        <v>3.2016000000000003E-2</v>
      </c>
      <c r="AP33" s="21"/>
    </row>
    <row r="34" spans="2:42" x14ac:dyDescent="0.25">
      <c r="C34" s="22" t="s">
        <v>632</v>
      </c>
      <c r="D34" s="96" t="s">
        <v>29</v>
      </c>
      <c r="E34" s="627" cm="1">
        <f t="array" ref="E34">_xlfn.IFS(Forecasting_Scenario=Base,1%,Forecasting_Scenario=Aggressive,1%,Forecasting_Scenario=Conservative,1%)</f>
        <v>0.01</v>
      </c>
      <c r="F34" s="627" cm="1">
        <f t="array" ref="F34">_xlfn.IFS(Forecasting_Scenario=Base,1%,Forecasting_Scenario=Aggressive,1%,Forecasting_Scenario=Conservative,1%)</f>
        <v>0.01</v>
      </c>
      <c r="G34" s="627" cm="1">
        <f t="array" ref="G34">_xlfn.IFS(Forecasting_Scenario=Base,1%,Forecasting_Scenario=Aggressive,1%,Forecasting_Scenario=Conservative,1%)</f>
        <v>0.01</v>
      </c>
      <c r="H34" s="627" cm="1">
        <f t="array" ref="H34">_xlfn.IFS(Forecasting_Scenario=Base,1%,Forecasting_Scenario=Aggressive,1%,Forecasting_Scenario=Conservative,1%)</f>
        <v>0.01</v>
      </c>
      <c r="I34" s="627" cm="1">
        <f t="array" ref="I34">_xlfn.IFS(Forecasting_Scenario=Base,1%,Forecasting_Scenario=Aggressive,1%,Forecasting_Scenario=Conservative,1%)</f>
        <v>0.01</v>
      </c>
      <c r="J34" s="627" cm="1">
        <f t="array" ref="J34">_xlfn.IFS(Forecasting_Scenario=Base,1%,Forecasting_Scenario=Aggressive,1%,Forecasting_Scenario=Conservative,1%)</f>
        <v>0.01</v>
      </c>
      <c r="K34" s="627" cm="1">
        <f t="array" ref="K34">_xlfn.IFS(Forecasting_Scenario=Base,1%,Forecasting_Scenario=Aggressive,1%,Forecasting_Scenario=Conservative,1%)</f>
        <v>0.01</v>
      </c>
      <c r="L34" s="627" cm="1">
        <f t="array" ref="L34">_xlfn.IFS(Forecasting_Scenario=Base,1%,Forecasting_Scenario=Aggressive,1%,Forecasting_Scenario=Conservative,1%)</f>
        <v>0.01</v>
      </c>
      <c r="M34" s="627" cm="1">
        <f t="array" ref="M34">_xlfn.IFS(Forecasting_Scenario=Base,1%,Forecasting_Scenario=Aggressive,1%,Forecasting_Scenario=Conservative,1%)</f>
        <v>0.01</v>
      </c>
      <c r="N34" s="627" cm="1">
        <f t="array" ref="N34">_xlfn.IFS(Forecasting_Scenario=Base,1%,Forecasting_Scenario=Aggressive,1%,Forecasting_Scenario=Conservative,1%)</f>
        <v>0.01</v>
      </c>
      <c r="O34" s="627" cm="1">
        <f t="array" ref="O34">_xlfn.IFS(Forecasting_Scenario=Base,1%,Forecasting_Scenario=Aggressive,1%,Forecasting_Scenario=Conservative,1%)</f>
        <v>0.01</v>
      </c>
      <c r="P34" s="627" cm="1">
        <f t="array" ref="P34">_xlfn.IFS(Forecasting_Scenario=Base,1%,Forecasting_Scenario=Aggressive,1%,Forecasting_Scenario=Conservative,1%)</f>
        <v>0.01</v>
      </c>
      <c r="Q34" s="627" cm="1">
        <f t="array" ref="Q34">_xlfn.IFS(Forecasting_Scenario=Base,1%,Forecasting_Scenario=Aggressive,1%,Forecasting_Scenario=Conservative,1%)</f>
        <v>0.01</v>
      </c>
      <c r="R34" s="627" cm="1">
        <f t="array" ref="R34">_xlfn.IFS(Forecasting_Scenario=Base,1%,Forecasting_Scenario=Aggressive,1%,Forecasting_Scenario=Conservative,1%)</f>
        <v>0.01</v>
      </c>
      <c r="S34" s="627" cm="1">
        <f t="array" ref="S34">_xlfn.IFS(Forecasting_Scenario=Base,1%,Forecasting_Scenario=Aggressive,1%,Forecasting_Scenario=Conservative,1%)</f>
        <v>0.01</v>
      </c>
      <c r="T34" s="627" cm="1">
        <f t="array" ref="T34">_xlfn.IFS(Forecasting_Scenario=Base,1%,Forecasting_Scenario=Aggressive,1%,Forecasting_Scenario=Conservative,1%)</f>
        <v>0.01</v>
      </c>
      <c r="U34" s="627" cm="1">
        <f t="array" ref="U34">_xlfn.IFS(Forecasting_Scenario=Base,1%,Forecasting_Scenario=Aggressive,1%,Forecasting_Scenario=Conservative,1%)</f>
        <v>0.01</v>
      </c>
      <c r="V34" s="627" cm="1">
        <f t="array" ref="V34">_xlfn.IFS(Forecasting_Scenario=Base,1%,Forecasting_Scenario=Aggressive,1%,Forecasting_Scenario=Conservative,1%)</f>
        <v>0.01</v>
      </c>
      <c r="W34" s="627" cm="1">
        <f t="array" ref="W34">_xlfn.IFS(Forecasting_Scenario=Base,1%,Forecasting_Scenario=Aggressive,1%,Forecasting_Scenario=Conservative,1%)</f>
        <v>0.01</v>
      </c>
      <c r="X34" s="627" cm="1">
        <f t="array" ref="X34">_xlfn.IFS(Forecasting_Scenario=Base,1%,Forecasting_Scenario=Aggressive,1%,Forecasting_Scenario=Conservative,1%)</f>
        <v>0.01</v>
      </c>
      <c r="Y34" s="627" cm="1">
        <f t="array" ref="Y34">_xlfn.IFS(Forecasting_Scenario=Base,1%,Forecasting_Scenario=Aggressive,1%,Forecasting_Scenario=Conservative,1%)</f>
        <v>0.01</v>
      </c>
      <c r="Z34" s="627" cm="1">
        <f t="array" ref="Z34">_xlfn.IFS(Forecasting_Scenario=Base,1%,Forecasting_Scenario=Aggressive,1%,Forecasting_Scenario=Conservative,1%)</f>
        <v>0.01</v>
      </c>
      <c r="AA34" s="627" cm="1">
        <f t="array" ref="AA34">_xlfn.IFS(Forecasting_Scenario=Base,1%,Forecasting_Scenario=Aggressive,1%,Forecasting_Scenario=Conservative,1%)</f>
        <v>0.01</v>
      </c>
      <c r="AB34" s="627" cm="1">
        <f t="array" ref="AB34">_xlfn.IFS(Forecasting_Scenario=Base,1%,Forecasting_Scenario=Aggressive,1%,Forecasting_Scenario=Conservative,1%)</f>
        <v>0.01</v>
      </c>
      <c r="AC34" s="627" cm="1">
        <f t="array" ref="AC34">_xlfn.IFS(Forecasting_Scenario=Base,1%,Forecasting_Scenario=Aggressive,1%,Forecasting_Scenario=Conservative,1%)</f>
        <v>0.01</v>
      </c>
      <c r="AD34" s="627" cm="1">
        <f t="array" ref="AD34">_xlfn.IFS(Forecasting_Scenario=Base,1%,Forecasting_Scenario=Aggressive,1%,Forecasting_Scenario=Conservative,1%)</f>
        <v>0.01</v>
      </c>
      <c r="AE34" s="627" cm="1">
        <f t="array" ref="AE34">_xlfn.IFS(Forecasting_Scenario=Base,1%,Forecasting_Scenario=Aggressive,1%,Forecasting_Scenario=Conservative,1%)</f>
        <v>0.01</v>
      </c>
      <c r="AF34" s="627" cm="1">
        <f t="array" ref="AF34">_xlfn.IFS(Forecasting_Scenario=Base,1%,Forecasting_Scenario=Aggressive,1%,Forecasting_Scenario=Conservative,1%)</f>
        <v>0.01</v>
      </c>
      <c r="AG34" s="627" cm="1">
        <f t="array" ref="AG34">_xlfn.IFS(Forecasting_Scenario=Base,1%,Forecasting_Scenario=Aggressive,1%,Forecasting_Scenario=Conservative,1%)</f>
        <v>0.01</v>
      </c>
      <c r="AH34" s="627" cm="1">
        <f t="array" ref="AH34">_xlfn.IFS(Forecasting_Scenario=Base,1%,Forecasting_Scenario=Aggressive,1%,Forecasting_Scenario=Conservative,1%)</f>
        <v>0.01</v>
      </c>
      <c r="AI34" s="627" cm="1">
        <f t="array" ref="AI34">_xlfn.IFS(Forecasting_Scenario=Base,1%,Forecasting_Scenario=Aggressive,1%,Forecasting_Scenario=Conservative,1%)</f>
        <v>0.01</v>
      </c>
      <c r="AJ34" s="627" cm="1">
        <f t="array" ref="AJ34">_xlfn.IFS(Forecasting_Scenario=Base,1%,Forecasting_Scenario=Aggressive,1%,Forecasting_Scenario=Conservative,1%)</f>
        <v>0.01</v>
      </c>
      <c r="AK34" s="627" cm="1">
        <f t="array" ref="AK34">_xlfn.IFS(Forecasting_Scenario=Base,1%,Forecasting_Scenario=Aggressive,1%,Forecasting_Scenario=Conservative,1%)</f>
        <v>0.01</v>
      </c>
      <c r="AL34" s="627" cm="1">
        <f t="array" ref="AL34">_xlfn.IFS(Forecasting_Scenario=Base,1%,Forecasting_Scenario=Aggressive,1%,Forecasting_Scenario=Conservative,1%)</f>
        <v>0.01</v>
      </c>
      <c r="AM34" s="627" cm="1">
        <f t="array" ref="AM34">_xlfn.IFS(Forecasting_Scenario=Base,1%,Forecasting_Scenario=Aggressive,1%,Forecasting_Scenario=Conservative,1%)</f>
        <v>0.01</v>
      </c>
      <c r="AN34" s="627" cm="1">
        <f t="array" ref="AN34">_xlfn.IFS(Forecasting_Scenario=Base,1%,Forecasting_Scenario=Aggressive,1%,Forecasting_Scenario=Conservative,1%)</f>
        <v>0.01</v>
      </c>
      <c r="AP34" s="22"/>
    </row>
    <row r="35" spans="2:42" s="74" customFormat="1" x14ac:dyDescent="0.25">
      <c r="B35" s="99" t="s">
        <v>9</v>
      </c>
      <c r="C35" s="311" t="s">
        <v>634</v>
      </c>
      <c r="D35" s="318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311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311"/>
      <c r="AF35" s="311"/>
      <c r="AG35" s="311"/>
      <c r="AH35" s="311"/>
      <c r="AI35" s="311"/>
      <c r="AJ35" s="311"/>
      <c r="AK35" s="311"/>
      <c r="AL35" s="311"/>
      <c r="AM35" s="311"/>
      <c r="AN35" s="311"/>
      <c r="AP35" s="311"/>
    </row>
    <row r="36" spans="2:42" x14ac:dyDescent="0.25">
      <c r="C36" s="22" t="s">
        <v>79</v>
      </c>
      <c r="D36" s="96" t="s">
        <v>29</v>
      </c>
      <c r="E36" s="627">
        <v>0</v>
      </c>
      <c r="F36" s="627">
        <v>0</v>
      </c>
      <c r="G36" s="627">
        <v>0</v>
      </c>
      <c r="H36" s="627">
        <v>0</v>
      </c>
      <c r="I36" s="627">
        <v>0</v>
      </c>
      <c r="J36" s="627">
        <v>0</v>
      </c>
      <c r="K36" s="627">
        <v>0</v>
      </c>
      <c r="L36" s="627">
        <v>0</v>
      </c>
      <c r="M36" s="627">
        <v>0</v>
      </c>
      <c r="N36" s="627">
        <v>0</v>
      </c>
      <c r="O36" s="627">
        <v>0</v>
      </c>
      <c r="P36" s="627">
        <v>0</v>
      </c>
      <c r="Q36" s="627">
        <v>0</v>
      </c>
      <c r="R36" s="627">
        <v>0</v>
      </c>
      <c r="S36" s="627">
        <v>0</v>
      </c>
      <c r="T36" s="627">
        <v>0</v>
      </c>
      <c r="U36" s="627">
        <v>0</v>
      </c>
      <c r="V36" s="627">
        <v>0</v>
      </c>
      <c r="W36" s="627">
        <v>0</v>
      </c>
      <c r="X36" s="627">
        <v>0</v>
      </c>
      <c r="Y36" s="627">
        <v>0</v>
      </c>
      <c r="Z36" s="627">
        <v>0</v>
      </c>
      <c r="AA36" s="627">
        <v>0</v>
      </c>
      <c r="AB36" s="627">
        <v>0</v>
      </c>
      <c r="AC36" s="627">
        <v>0</v>
      </c>
      <c r="AD36" s="627">
        <v>0</v>
      </c>
      <c r="AE36" s="627">
        <v>0</v>
      </c>
      <c r="AF36" s="627">
        <v>0</v>
      </c>
      <c r="AG36" s="627">
        <v>0</v>
      </c>
      <c r="AH36" s="627">
        <v>0</v>
      </c>
      <c r="AI36" s="627">
        <v>0</v>
      </c>
      <c r="AJ36" s="627">
        <v>0</v>
      </c>
      <c r="AK36" s="627">
        <v>0</v>
      </c>
      <c r="AL36" s="627">
        <v>0</v>
      </c>
      <c r="AM36" s="627">
        <v>0</v>
      </c>
      <c r="AN36" s="627">
        <v>0</v>
      </c>
      <c r="AP36" s="22"/>
    </row>
    <row r="37" spans="2:42" s="74" customFormat="1" x14ac:dyDescent="0.25">
      <c r="B37" s="99" t="s">
        <v>9</v>
      </c>
      <c r="C37" s="311" t="s">
        <v>635</v>
      </c>
      <c r="D37" s="318"/>
      <c r="E37" s="311"/>
      <c r="F37" s="311"/>
      <c r="G37" s="311"/>
      <c r="H37" s="311"/>
      <c r="I37" s="311"/>
      <c r="J37" s="311"/>
      <c r="K37" s="311"/>
      <c r="L37" s="311"/>
      <c r="M37" s="311"/>
      <c r="N37" s="311"/>
      <c r="O37" s="311"/>
      <c r="P37" s="311"/>
      <c r="Q37" s="311"/>
      <c r="R37" s="311"/>
      <c r="S37" s="311"/>
      <c r="T37" s="311"/>
      <c r="U37" s="311"/>
      <c r="V37" s="311"/>
      <c r="W37" s="311"/>
      <c r="X37" s="311"/>
      <c r="Y37" s="311"/>
      <c r="Z37" s="311"/>
      <c r="AA37" s="311"/>
      <c r="AB37" s="311"/>
      <c r="AC37" s="311"/>
      <c r="AD37" s="311"/>
      <c r="AE37" s="311"/>
      <c r="AF37" s="311"/>
      <c r="AG37" s="311"/>
      <c r="AH37" s="311"/>
      <c r="AI37" s="311"/>
      <c r="AJ37" s="311"/>
      <c r="AK37" s="311"/>
      <c r="AL37" s="311"/>
      <c r="AM37" s="311"/>
      <c r="AN37" s="311"/>
      <c r="AP37" s="311"/>
    </row>
    <row r="38" spans="2:42" x14ac:dyDescent="0.25">
      <c r="C38" s="20" t="s">
        <v>637</v>
      </c>
      <c r="D38" s="34" t="s">
        <v>29</v>
      </c>
      <c r="E38" s="625" cm="1">
        <f t="array" ref="E38">_xlfn.IFS(Forecasting_Scenario=Base,2%,Forecasting_Scenario=Aggressive,2.5%,Forecasting_Scenario=Conservative,1%)</f>
        <v>0.02</v>
      </c>
      <c r="F38" s="625" cm="1">
        <f t="array" ref="F38">_xlfn.IFS(Forecasting_Scenario=Base,2%,Forecasting_Scenario=Aggressive,2.5%,Forecasting_Scenario=Conservative,1%)</f>
        <v>0.02</v>
      </c>
      <c r="G38" s="625" cm="1">
        <f t="array" ref="G38">_xlfn.IFS(Forecasting_Scenario=Base,2%,Forecasting_Scenario=Aggressive,2.5%,Forecasting_Scenario=Conservative,1%)</f>
        <v>0.02</v>
      </c>
      <c r="H38" s="625" cm="1">
        <f t="array" ref="H38">_xlfn.IFS(Forecasting_Scenario=Base,2%,Forecasting_Scenario=Aggressive,2.5%,Forecasting_Scenario=Conservative,1%)</f>
        <v>0.02</v>
      </c>
      <c r="I38" s="625" cm="1">
        <f t="array" ref="I38">_xlfn.IFS(Forecasting_Scenario=Base,2%,Forecasting_Scenario=Aggressive,2.5%,Forecasting_Scenario=Conservative,1%)</f>
        <v>0.02</v>
      </c>
      <c r="J38" s="625" cm="1">
        <f t="array" ref="J38">_xlfn.IFS(Forecasting_Scenario=Base,2%,Forecasting_Scenario=Aggressive,2.5%,Forecasting_Scenario=Conservative,1%)</f>
        <v>0.02</v>
      </c>
      <c r="K38" s="625" cm="1">
        <f t="array" ref="K38">_xlfn.IFS(Forecasting_Scenario=Base,2%,Forecasting_Scenario=Aggressive,2.5%,Forecasting_Scenario=Conservative,1%)</f>
        <v>0.02</v>
      </c>
      <c r="L38" s="625" cm="1">
        <f t="array" ref="L38">_xlfn.IFS(Forecasting_Scenario=Base,2%,Forecasting_Scenario=Aggressive,2.5%,Forecasting_Scenario=Conservative,1%)</f>
        <v>0.02</v>
      </c>
      <c r="M38" s="625" cm="1">
        <f t="array" ref="M38">_xlfn.IFS(Forecasting_Scenario=Base,2%,Forecasting_Scenario=Aggressive,2.5%,Forecasting_Scenario=Conservative,1%)</f>
        <v>0.02</v>
      </c>
      <c r="N38" s="625" cm="1">
        <f t="array" ref="N38">_xlfn.IFS(Forecasting_Scenario=Base,2%,Forecasting_Scenario=Aggressive,2.5%,Forecasting_Scenario=Conservative,1%)</f>
        <v>0.02</v>
      </c>
      <c r="O38" s="625" cm="1">
        <f t="array" ref="O38">_xlfn.IFS(Forecasting_Scenario=Base,2%,Forecasting_Scenario=Aggressive,2.5%,Forecasting_Scenario=Conservative,1%)</f>
        <v>0.02</v>
      </c>
      <c r="P38" s="625" cm="1">
        <f t="array" ref="P38">_xlfn.IFS(Forecasting_Scenario=Base,2%,Forecasting_Scenario=Aggressive,2.5%,Forecasting_Scenario=Conservative,1%)</f>
        <v>0.02</v>
      </c>
      <c r="Q38" s="625" cm="1">
        <f t="array" ref="Q38">_xlfn.IFS(Forecasting_Scenario=Base,2%,Forecasting_Scenario=Aggressive,2.5%,Forecasting_Scenario=Conservative,1%)</f>
        <v>0.02</v>
      </c>
      <c r="R38" s="625" cm="1">
        <f t="array" ref="R38">_xlfn.IFS(Forecasting_Scenario=Base,2%,Forecasting_Scenario=Aggressive,2.5%,Forecasting_Scenario=Conservative,1%)</f>
        <v>0.02</v>
      </c>
      <c r="S38" s="625" cm="1">
        <f t="array" ref="S38">_xlfn.IFS(Forecasting_Scenario=Base,2%,Forecasting_Scenario=Aggressive,2.5%,Forecasting_Scenario=Conservative,1%)</f>
        <v>0.02</v>
      </c>
      <c r="T38" s="625" cm="1">
        <f t="array" ref="T38">_xlfn.IFS(Forecasting_Scenario=Base,2%,Forecasting_Scenario=Aggressive,2.5%,Forecasting_Scenario=Conservative,1%)</f>
        <v>0.02</v>
      </c>
      <c r="U38" s="625" cm="1">
        <f t="array" ref="U38">_xlfn.IFS(Forecasting_Scenario=Base,2%,Forecasting_Scenario=Aggressive,2.5%,Forecasting_Scenario=Conservative,1%)</f>
        <v>0.02</v>
      </c>
      <c r="V38" s="625" cm="1">
        <f t="array" ref="V38">_xlfn.IFS(Forecasting_Scenario=Base,2%,Forecasting_Scenario=Aggressive,2.5%,Forecasting_Scenario=Conservative,1%)</f>
        <v>0.02</v>
      </c>
      <c r="W38" s="625" cm="1">
        <f t="array" ref="W38">_xlfn.IFS(Forecasting_Scenario=Base,2%,Forecasting_Scenario=Aggressive,2.5%,Forecasting_Scenario=Conservative,1%)</f>
        <v>0.02</v>
      </c>
      <c r="X38" s="625" cm="1">
        <f t="array" ref="X38">_xlfn.IFS(Forecasting_Scenario=Base,2%,Forecasting_Scenario=Aggressive,2.5%,Forecasting_Scenario=Conservative,1%)</f>
        <v>0.02</v>
      </c>
      <c r="Y38" s="625" cm="1">
        <f t="array" ref="Y38">_xlfn.IFS(Forecasting_Scenario=Base,2%,Forecasting_Scenario=Aggressive,2.5%,Forecasting_Scenario=Conservative,1%)</f>
        <v>0.02</v>
      </c>
      <c r="Z38" s="625" cm="1">
        <f t="array" ref="Z38">_xlfn.IFS(Forecasting_Scenario=Base,2%,Forecasting_Scenario=Aggressive,2.5%,Forecasting_Scenario=Conservative,1%)</f>
        <v>0.02</v>
      </c>
      <c r="AA38" s="625" cm="1">
        <f t="array" ref="AA38">_xlfn.IFS(Forecasting_Scenario=Base,2%,Forecasting_Scenario=Aggressive,2.5%,Forecasting_Scenario=Conservative,1%)</f>
        <v>0.02</v>
      </c>
      <c r="AB38" s="625" cm="1">
        <f t="array" ref="AB38">_xlfn.IFS(Forecasting_Scenario=Base,2%,Forecasting_Scenario=Aggressive,2.5%,Forecasting_Scenario=Conservative,1%)</f>
        <v>0.02</v>
      </c>
      <c r="AC38" s="625" cm="1">
        <f t="array" ref="AC38">_xlfn.IFS(Forecasting_Scenario=Base,2%,Forecasting_Scenario=Aggressive,2.5%,Forecasting_Scenario=Conservative,1%)</f>
        <v>0.02</v>
      </c>
      <c r="AD38" s="625" cm="1">
        <f t="array" ref="AD38">_xlfn.IFS(Forecasting_Scenario=Base,2%,Forecasting_Scenario=Aggressive,2.5%,Forecasting_Scenario=Conservative,1%)</f>
        <v>0.02</v>
      </c>
      <c r="AE38" s="625" cm="1">
        <f t="array" ref="AE38">_xlfn.IFS(Forecasting_Scenario=Base,2%,Forecasting_Scenario=Aggressive,2.5%,Forecasting_Scenario=Conservative,1%)</f>
        <v>0.02</v>
      </c>
      <c r="AF38" s="625" cm="1">
        <f t="array" ref="AF38">_xlfn.IFS(Forecasting_Scenario=Base,2%,Forecasting_Scenario=Aggressive,2.5%,Forecasting_Scenario=Conservative,1%)</f>
        <v>0.02</v>
      </c>
      <c r="AG38" s="625" cm="1">
        <f t="array" ref="AG38">_xlfn.IFS(Forecasting_Scenario=Base,2%,Forecasting_Scenario=Aggressive,2.5%,Forecasting_Scenario=Conservative,1%)</f>
        <v>0.02</v>
      </c>
      <c r="AH38" s="625" cm="1">
        <f t="array" ref="AH38">_xlfn.IFS(Forecasting_Scenario=Base,2%,Forecasting_Scenario=Aggressive,2.5%,Forecasting_Scenario=Conservative,1%)</f>
        <v>0.02</v>
      </c>
      <c r="AI38" s="625" cm="1">
        <f t="array" ref="AI38">_xlfn.IFS(Forecasting_Scenario=Base,2%,Forecasting_Scenario=Aggressive,2.5%,Forecasting_Scenario=Conservative,1%)</f>
        <v>0.02</v>
      </c>
      <c r="AJ38" s="625" cm="1">
        <f t="array" ref="AJ38">_xlfn.IFS(Forecasting_Scenario=Base,2%,Forecasting_Scenario=Aggressive,2.5%,Forecasting_Scenario=Conservative,1%)</f>
        <v>0.02</v>
      </c>
      <c r="AK38" s="625" cm="1">
        <f t="array" ref="AK38">_xlfn.IFS(Forecasting_Scenario=Base,2%,Forecasting_Scenario=Aggressive,2.5%,Forecasting_Scenario=Conservative,1%)</f>
        <v>0.02</v>
      </c>
      <c r="AL38" s="625" cm="1">
        <f t="array" ref="AL38">_xlfn.IFS(Forecasting_Scenario=Base,2%,Forecasting_Scenario=Aggressive,2.5%,Forecasting_Scenario=Conservative,1%)</f>
        <v>0.02</v>
      </c>
      <c r="AM38" s="625" cm="1">
        <f t="array" ref="AM38">_xlfn.IFS(Forecasting_Scenario=Base,2%,Forecasting_Scenario=Aggressive,2.5%,Forecasting_Scenario=Conservative,1%)</f>
        <v>0.02</v>
      </c>
      <c r="AN38" s="625" cm="1">
        <f t="array" ref="AN38">_xlfn.IFS(Forecasting_Scenario=Base,2%,Forecasting_Scenario=Aggressive,2.5%,Forecasting_Scenario=Conservative,1%)</f>
        <v>0.02</v>
      </c>
      <c r="AP38" s="20"/>
    </row>
    <row r="39" spans="2:42" x14ac:dyDescent="0.25">
      <c r="C39" s="22" t="s">
        <v>638</v>
      </c>
      <c r="D39" s="96" t="s">
        <v>29</v>
      </c>
      <c r="E39" s="627">
        <v>0</v>
      </c>
      <c r="F39" s="627">
        <v>0</v>
      </c>
      <c r="G39" s="627">
        <v>0</v>
      </c>
      <c r="H39" s="627">
        <v>0</v>
      </c>
      <c r="I39" s="627">
        <v>0</v>
      </c>
      <c r="J39" s="627">
        <v>0</v>
      </c>
      <c r="K39" s="627">
        <v>0</v>
      </c>
      <c r="L39" s="627">
        <v>0</v>
      </c>
      <c r="M39" s="627">
        <v>0</v>
      </c>
      <c r="N39" s="627">
        <v>0</v>
      </c>
      <c r="O39" s="627">
        <v>0</v>
      </c>
      <c r="P39" s="627">
        <v>0</v>
      </c>
      <c r="Q39" s="627">
        <v>0</v>
      </c>
      <c r="R39" s="627">
        <v>0</v>
      </c>
      <c r="S39" s="627">
        <v>0</v>
      </c>
      <c r="T39" s="627">
        <v>0</v>
      </c>
      <c r="U39" s="627">
        <v>0</v>
      </c>
      <c r="V39" s="627">
        <v>0</v>
      </c>
      <c r="W39" s="627">
        <v>0</v>
      </c>
      <c r="X39" s="627">
        <v>0</v>
      </c>
      <c r="Y39" s="627">
        <v>0</v>
      </c>
      <c r="Z39" s="627">
        <v>0</v>
      </c>
      <c r="AA39" s="627">
        <v>0</v>
      </c>
      <c r="AB39" s="627">
        <v>0</v>
      </c>
      <c r="AC39" s="627">
        <v>0</v>
      </c>
      <c r="AD39" s="627">
        <v>0</v>
      </c>
      <c r="AE39" s="627">
        <v>0</v>
      </c>
      <c r="AF39" s="627">
        <v>0</v>
      </c>
      <c r="AG39" s="627">
        <v>0</v>
      </c>
      <c r="AH39" s="627">
        <v>0</v>
      </c>
      <c r="AI39" s="627">
        <v>0</v>
      </c>
      <c r="AJ39" s="627">
        <v>0</v>
      </c>
      <c r="AK39" s="627">
        <v>0</v>
      </c>
      <c r="AL39" s="627">
        <v>0</v>
      </c>
      <c r="AM39" s="627">
        <v>0</v>
      </c>
      <c r="AN39" s="627">
        <v>0</v>
      </c>
      <c r="AP39" s="22"/>
    </row>
    <row r="40" spans="2:42" s="74" customFormat="1" x14ac:dyDescent="0.25">
      <c r="B40" s="99" t="s">
        <v>9</v>
      </c>
      <c r="C40" s="311" t="s">
        <v>636</v>
      </c>
      <c r="D40" s="318"/>
      <c r="E40" s="311"/>
      <c r="F40" s="311"/>
      <c r="G40" s="311"/>
      <c r="H40" s="311"/>
      <c r="I40" s="311"/>
      <c r="J40" s="311"/>
      <c r="K40" s="311"/>
      <c r="L40" s="311"/>
      <c r="M40" s="311"/>
      <c r="N40" s="311"/>
      <c r="O40" s="311"/>
      <c r="P40" s="311"/>
      <c r="Q40" s="311"/>
      <c r="R40" s="311"/>
      <c r="S40" s="311"/>
      <c r="T40" s="311"/>
      <c r="U40" s="311"/>
      <c r="V40" s="311"/>
      <c r="W40" s="311"/>
      <c r="X40" s="311"/>
      <c r="Y40" s="311"/>
      <c r="Z40" s="311"/>
      <c r="AA40" s="311"/>
      <c r="AB40" s="311"/>
      <c r="AC40" s="311"/>
      <c r="AD40" s="311"/>
      <c r="AE40" s="311"/>
      <c r="AF40" s="311"/>
      <c r="AG40" s="311"/>
      <c r="AH40" s="311"/>
      <c r="AI40" s="311"/>
      <c r="AJ40" s="311"/>
      <c r="AK40" s="311"/>
      <c r="AL40" s="311"/>
      <c r="AM40" s="311"/>
      <c r="AN40" s="311"/>
      <c r="AP40" s="311"/>
    </row>
    <row r="41" spans="2:42" x14ac:dyDescent="0.25">
      <c r="C41" s="94" t="s">
        <v>886</v>
      </c>
      <c r="D41" s="95" t="s">
        <v>29</v>
      </c>
      <c r="E41" s="666">
        <v>3</v>
      </c>
      <c r="F41" s="243"/>
      <c r="G41" s="243"/>
      <c r="H41" s="243"/>
      <c r="I41" s="243"/>
      <c r="J41" s="243"/>
      <c r="K41" s="243"/>
      <c r="L41" s="243"/>
      <c r="M41" s="243"/>
      <c r="N41" s="243"/>
      <c r="O41" s="243"/>
      <c r="P41" s="243"/>
      <c r="Q41" s="243"/>
      <c r="R41" s="243"/>
      <c r="S41" s="243"/>
      <c r="T41" s="243"/>
      <c r="U41" s="243"/>
      <c r="V41" s="243"/>
      <c r="W41" s="243"/>
      <c r="X41" s="243"/>
      <c r="Y41" s="243"/>
      <c r="Z41" s="243"/>
      <c r="AA41" s="243"/>
      <c r="AB41" s="243"/>
      <c r="AC41" s="243"/>
      <c r="AD41" s="243"/>
      <c r="AE41" s="243"/>
      <c r="AF41" s="243"/>
      <c r="AG41" s="243"/>
      <c r="AH41" s="243"/>
      <c r="AI41" s="243"/>
      <c r="AJ41" s="243"/>
      <c r="AK41" s="243"/>
      <c r="AL41" s="243"/>
      <c r="AM41" s="243"/>
      <c r="AN41" s="243"/>
      <c r="AP41" s="94"/>
    </row>
    <row r="42" spans="2:42" x14ac:dyDescent="0.25">
      <c r="C42" s="21" t="s">
        <v>888</v>
      </c>
      <c r="D42" s="38" t="s">
        <v>29</v>
      </c>
      <c r="E42" s="626">
        <v>0.5</v>
      </c>
      <c r="F42" s="235"/>
      <c r="G42" s="235"/>
      <c r="H42" s="235"/>
      <c r="I42" s="235"/>
      <c r="J42" s="235"/>
      <c r="K42" s="235"/>
      <c r="L42" s="235"/>
      <c r="M42" s="235"/>
      <c r="N42" s="235"/>
      <c r="O42" s="235"/>
      <c r="P42" s="235"/>
      <c r="Q42" s="235"/>
      <c r="R42" s="235"/>
      <c r="S42" s="235"/>
      <c r="T42" s="235"/>
      <c r="U42" s="235"/>
      <c r="V42" s="235"/>
      <c r="W42" s="235"/>
      <c r="X42" s="235"/>
      <c r="Y42" s="235"/>
      <c r="Z42" s="235"/>
      <c r="AA42" s="235"/>
      <c r="AB42" s="235"/>
      <c r="AC42" s="235"/>
      <c r="AD42" s="235"/>
      <c r="AE42" s="235"/>
      <c r="AF42" s="235"/>
      <c r="AG42" s="235"/>
      <c r="AH42" s="235"/>
      <c r="AI42" s="235"/>
      <c r="AJ42" s="235"/>
      <c r="AK42" s="235"/>
      <c r="AL42" s="235"/>
      <c r="AM42" s="235"/>
      <c r="AN42" s="235"/>
      <c r="AP42" s="21"/>
    </row>
    <row r="43" spans="2:42" x14ac:dyDescent="0.25">
      <c r="C43" s="21" t="s">
        <v>887</v>
      </c>
      <c r="D43" s="38" t="s">
        <v>29</v>
      </c>
      <c r="E43" s="626">
        <v>0.5</v>
      </c>
      <c r="F43" s="235"/>
      <c r="G43" s="235"/>
      <c r="H43" s="235"/>
      <c r="I43" s="235"/>
      <c r="J43" s="235"/>
      <c r="K43" s="235"/>
      <c r="L43" s="235"/>
      <c r="M43" s="235"/>
      <c r="N43" s="235"/>
      <c r="O43" s="235"/>
      <c r="P43" s="235"/>
      <c r="Q43" s="235"/>
      <c r="R43" s="235"/>
      <c r="S43" s="235"/>
      <c r="T43" s="235"/>
      <c r="U43" s="235"/>
      <c r="V43" s="235"/>
      <c r="W43" s="235"/>
      <c r="X43" s="235"/>
      <c r="Y43" s="235"/>
      <c r="Z43" s="235"/>
      <c r="AA43" s="235"/>
      <c r="AB43" s="235"/>
      <c r="AC43" s="235"/>
      <c r="AD43" s="235"/>
      <c r="AE43" s="235"/>
      <c r="AF43" s="235"/>
      <c r="AG43" s="235"/>
      <c r="AH43" s="235"/>
      <c r="AI43" s="235"/>
      <c r="AJ43" s="235"/>
      <c r="AK43" s="235"/>
      <c r="AL43" s="235"/>
      <c r="AM43" s="235"/>
      <c r="AN43" s="235"/>
      <c r="AP43" s="21"/>
    </row>
    <row r="44" spans="2:42" x14ac:dyDescent="0.25">
      <c r="C44" s="26" t="s">
        <v>938</v>
      </c>
      <c r="D44" s="319" t="s">
        <v>29</v>
      </c>
      <c r="E44" s="717">
        <f>1/12</f>
        <v>8.3333333333333329E-2</v>
      </c>
      <c r="F44" s="711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32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323"/>
      <c r="AL44" s="323"/>
      <c r="AM44" s="323"/>
      <c r="AN44" s="323"/>
      <c r="AP44" s="26"/>
    </row>
    <row r="45" spans="2:42" s="74" customFormat="1" x14ac:dyDescent="0.25">
      <c r="B45" s="99" t="s">
        <v>9</v>
      </c>
      <c r="C45" s="311" t="s">
        <v>879</v>
      </c>
      <c r="D45" s="318"/>
      <c r="E45" s="311"/>
      <c r="F45" s="311"/>
      <c r="G45" s="311"/>
      <c r="H45" s="311"/>
      <c r="I45" s="311"/>
      <c r="J45" s="311"/>
      <c r="K45" s="311"/>
      <c r="L45" s="311"/>
      <c r="M45" s="311"/>
      <c r="N45" s="311"/>
      <c r="O45" s="311"/>
      <c r="P45" s="311"/>
      <c r="Q45" s="311"/>
      <c r="R45" s="311"/>
      <c r="S45" s="311"/>
      <c r="T45" s="311"/>
      <c r="U45" s="311"/>
      <c r="V45" s="311"/>
      <c r="W45" s="311"/>
      <c r="X45" s="311"/>
      <c r="Y45" s="311"/>
      <c r="Z45" s="311"/>
      <c r="AA45" s="311"/>
      <c r="AB45" s="311"/>
      <c r="AC45" s="311"/>
      <c r="AD45" s="311"/>
      <c r="AE45" s="311"/>
      <c r="AF45" s="311"/>
      <c r="AG45" s="311"/>
      <c r="AH45" s="311"/>
      <c r="AI45" s="311"/>
      <c r="AJ45" s="311"/>
      <c r="AK45" s="311"/>
      <c r="AL45" s="311"/>
      <c r="AM45" s="311"/>
      <c r="AN45" s="311"/>
      <c r="AP45" s="311"/>
    </row>
    <row r="46" spans="2:42" x14ac:dyDescent="0.25">
      <c r="C46" s="20" t="s">
        <v>88</v>
      </c>
      <c r="D46" s="34" t="s">
        <v>46</v>
      </c>
      <c r="E46" s="634">
        <f>100000/3.6725</f>
        <v>27229.407760381211</v>
      </c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  <c r="AA46" s="234"/>
      <c r="AB46" s="234"/>
      <c r="AC46" s="234"/>
      <c r="AD46" s="234"/>
      <c r="AE46" s="234"/>
      <c r="AF46" s="234"/>
      <c r="AG46" s="234"/>
      <c r="AH46" s="234"/>
      <c r="AI46" s="234"/>
      <c r="AJ46" s="234"/>
      <c r="AK46" s="234"/>
      <c r="AL46" s="234"/>
      <c r="AM46" s="234"/>
      <c r="AN46" s="234"/>
      <c r="AO46" s="44"/>
      <c r="AP46" s="234" t="s">
        <v>971</v>
      </c>
    </row>
    <row r="47" spans="2:42" x14ac:dyDescent="0.25">
      <c r="C47" s="22" t="s">
        <v>89</v>
      </c>
      <c r="D47" s="96" t="s">
        <v>46</v>
      </c>
      <c r="E47" s="213">
        <v>0</v>
      </c>
      <c r="F47" s="244"/>
      <c r="G47" s="244"/>
      <c r="H47" s="244"/>
      <c r="I47" s="244"/>
      <c r="J47" s="244"/>
      <c r="K47" s="244"/>
      <c r="L47" s="244"/>
      <c r="M47" s="244"/>
      <c r="N47" s="244"/>
      <c r="O47" s="244"/>
      <c r="P47" s="244"/>
      <c r="Q47" s="244"/>
      <c r="R47" s="244"/>
      <c r="S47" s="244"/>
      <c r="T47" s="244"/>
      <c r="U47" s="244"/>
      <c r="V47" s="244"/>
      <c r="W47" s="244"/>
      <c r="X47" s="244"/>
      <c r="Y47" s="244"/>
      <c r="Z47" s="244"/>
      <c r="AA47" s="244"/>
      <c r="AB47" s="244"/>
      <c r="AC47" s="244"/>
      <c r="AD47" s="244"/>
      <c r="AE47" s="244"/>
      <c r="AF47" s="244"/>
      <c r="AG47" s="244"/>
      <c r="AH47" s="244"/>
      <c r="AI47" s="244"/>
      <c r="AJ47" s="244"/>
      <c r="AK47" s="244"/>
      <c r="AL47" s="244"/>
      <c r="AM47" s="244"/>
      <c r="AN47" s="244"/>
      <c r="AO47" s="44"/>
      <c r="AP47" s="244"/>
    </row>
    <row r="48" spans="2:42" x14ac:dyDescent="0.25">
      <c r="C48" s="22" t="s">
        <v>880</v>
      </c>
      <c r="D48" s="96" t="s">
        <v>46</v>
      </c>
      <c r="E48" s="213">
        <v>0</v>
      </c>
      <c r="F48" s="213">
        <v>0</v>
      </c>
      <c r="G48" s="213">
        <v>0</v>
      </c>
      <c r="H48" s="213">
        <v>0</v>
      </c>
      <c r="I48" s="213">
        <v>0</v>
      </c>
      <c r="J48" s="213">
        <v>0</v>
      </c>
      <c r="K48" s="213">
        <v>0</v>
      </c>
      <c r="L48" s="213">
        <v>0</v>
      </c>
      <c r="M48" s="213">
        <v>0</v>
      </c>
      <c r="N48" s="213">
        <v>0</v>
      </c>
      <c r="O48" s="213">
        <v>0</v>
      </c>
      <c r="P48" s="213">
        <v>0</v>
      </c>
      <c r="Q48" s="213">
        <v>0</v>
      </c>
      <c r="R48" s="213">
        <v>0</v>
      </c>
      <c r="S48" s="213">
        <v>0</v>
      </c>
      <c r="T48" s="213">
        <v>0</v>
      </c>
      <c r="U48" s="213">
        <v>0</v>
      </c>
      <c r="V48" s="213">
        <v>0</v>
      </c>
      <c r="W48" s="213">
        <v>0</v>
      </c>
      <c r="X48" s="213">
        <v>0</v>
      </c>
      <c r="Y48" s="213">
        <v>0</v>
      </c>
      <c r="Z48" s="213">
        <v>0</v>
      </c>
      <c r="AA48" s="213">
        <v>0</v>
      </c>
      <c r="AB48" s="213">
        <v>0</v>
      </c>
      <c r="AC48" s="213">
        <v>0</v>
      </c>
      <c r="AD48" s="213">
        <v>0</v>
      </c>
      <c r="AE48" s="213">
        <v>0</v>
      </c>
      <c r="AF48" s="213">
        <v>0</v>
      </c>
      <c r="AG48" s="213">
        <v>0</v>
      </c>
      <c r="AH48" s="213">
        <v>0</v>
      </c>
      <c r="AI48" s="213">
        <v>0</v>
      </c>
      <c r="AJ48" s="213">
        <v>0</v>
      </c>
      <c r="AK48" s="213">
        <v>0</v>
      </c>
      <c r="AL48" s="213">
        <v>0</v>
      </c>
      <c r="AM48" s="213">
        <v>0</v>
      </c>
      <c r="AN48" s="213">
        <v>0</v>
      </c>
      <c r="AO48" s="44"/>
      <c r="AP48" s="244"/>
    </row>
    <row r="49" spans="2:42" s="74" customFormat="1" x14ac:dyDescent="0.25">
      <c r="B49" s="99" t="s">
        <v>9</v>
      </c>
      <c r="C49" s="41" t="s">
        <v>8</v>
      </c>
      <c r="D49" s="42"/>
      <c r="E49" s="105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P49" s="105"/>
    </row>
    <row r="50" spans="2:42" s="44" customFormat="1" x14ac:dyDescent="0.25">
      <c r="B50" s="108"/>
      <c r="C50" s="20" t="s">
        <v>875</v>
      </c>
      <c r="D50" s="34" t="s">
        <v>46</v>
      </c>
      <c r="E50" s="211">
        <v>0</v>
      </c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3"/>
      <c r="AP50" s="20"/>
    </row>
    <row r="51" spans="2:42" s="44" customFormat="1" x14ac:dyDescent="0.25">
      <c r="B51" s="108"/>
      <c r="C51" s="20" t="s">
        <v>877</v>
      </c>
      <c r="D51" s="34" t="s">
        <v>46</v>
      </c>
      <c r="E51" s="634">
        <v>25000</v>
      </c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3"/>
      <c r="AP51" s="20"/>
    </row>
    <row r="52" spans="2:42" x14ac:dyDescent="0.25">
      <c r="C52" s="20" t="s">
        <v>873</v>
      </c>
      <c r="D52" s="34" t="s">
        <v>46</v>
      </c>
      <c r="E52" s="211">
        <v>0</v>
      </c>
      <c r="F52" s="211">
        <v>0</v>
      </c>
      <c r="G52" s="211">
        <v>0</v>
      </c>
      <c r="H52" s="211">
        <v>0</v>
      </c>
      <c r="I52" s="211">
        <v>0</v>
      </c>
      <c r="J52" s="211">
        <v>0</v>
      </c>
      <c r="K52" s="211">
        <v>0</v>
      </c>
      <c r="L52" s="211">
        <v>0</v>
      </c>
      <c r="M52" s="211">
        <v>0</v>
      </c>
      <c r="N52" s="211">
        <v>0</v>
      </c>
      <c r="O52" s="211">
        <v>0</v>
      </c>
      <c r="P52" s="211">
        <v>0</v>
      </c>
      <c r="Q52" s="211">
        <v>0</v>
      </c>
      <c r="R52" s="211">
        <v>0</v>
      </c>
      <c r="S52" s="211">
        <v>0</v>
      </c>
      <c r="T52" s="211">
        <v>0</v>
      </c>
      <c r="U52" s="211">
        <v>0</v>
      </c>
      <c r="V52" s="211">
        <v>0</v>
      </c>
      <c r="W52" s="211">
        <v>0</v>
      </c>
      <c r="X52" s="211">
        <v>0</v>
      </c>
      <c r="Y52" s="211">
        <v>0</v>
      </c>
      <c r="Z52" s="211">
        <v>0</v>
      </c>
      <c r="AA52" s="211">
        <v>0</v>
      </c>
      <c r="AB52" s="211">
        <v>0</v>
      </c>
      <c r="AC52" s="211">
        <v>0</v>
      </c>
      <c r="AD52" s="211">
        <v>0</v>
      </c>
      <c r="AE52" s="211">
        <v>0</v>
      </c>
      <c r="AF52" s="211">
        <v>0</v>
      </c>
      <c r="AG52" s="211">
        <v>0</v>
      </c>
      <c r="AH52" s="211">
        <v>0</v>
      </c>
      <c r="AI52" s="211">
        <v>0</v>
      </c>
      <c r="AJ52" s="211">
        <v>0</v>
      </c>
      <c r="AK52" s="211">
        <v>0</v>
      </c>
      <c r="AL52" s="211">
        <v>0</v>
      </c>
      <c r="AM52" s="211">
        <v>0</v>
      </c>
      <c r="AN52" s="211">
        <v>0</v>
      </c>
      <c r="AP52" s="20"/>
    </row>
    <row r="53" spans="2:42" s="74" customFormat="1" x14ac:dyDescent="0.25">
      <c r="B53" s="225">
        <v>3.1</v>
      </c>
      <c r="C53" s="176" t="s">
        <v>401</v>
      </c>
      <c r="D53" s="314"/>
      <c r="E53" s="177"/>
      <c r="F53" s="177"/>
      <c r="G53" s="177"/>
      <c r="H53" s="177"/>
      <c r="I53" s="177"/>
      <c r="J53" s="177"/>
      <c r="K53" s="177"/>
      <c r="L53" s="177"/>
      <c r="M53" s="177"/>
      <c r="N53" s="177"/>
      <c r="O53" s="177"/>
      <c r="P53" s="177"/>
      <c r="Q53" s="177"/>
      <c r="R53" s="177"/>
      <c r="S53" s="177"/>
      <c r="T53" s="177"/>
      <c r="U53" s="177"/>
      <c r="V53" s="177"/>
      <c r="W53" s="177"/>
      <c r="X53" s="177"/>
      <c r="Y53" s="177"/>
      <c r="Z53" s="177"/>
      <c r="AA53" s="177"/>
      <c r="AB53" s="177"/>
      <c r="AC53" s="177"/>
      <c r="AD53" s="177"/>
      <c r="AE53" s="177"/>
      <c r="AF53" s="177"/>
      <c r="AG53" s="177"/>
      <c r="AH53" s="177"/>
      <c r="AI53" s="177"/>
      <c r="AJ53" s="177"/>
      <c r="AK53" s="177"/>
      <c r="AL53" s="177"/>
      <c r="AM53" s="177"/>
      <c r="AN53" s="177"/>
      <c r="AP53" s="177"/>
    </row>
    <row r="54" spans="2:42" x14ac:dyDescent="0.25">
      <c r="B54" s="33" t="s">
        <v>9</v>
      </c>
      <c r="C54" s="312" t="s">
        <v>664</v>
      </c>
      <c r="D54" s="317"/>
      <c r="E54" s="312">
        <v>2024</v>
      </c>
      <c r="F54" s="312">
        <f>E54+1</f>
        <v>2025</v>
      </c>
      <c r="G54" s="312">
        <f t="shared" ref="G54:H54" si="18">F54+1</f>
        <v>2026</v>
      </c>
      <c r="H54" s="312">
        <f t="shared" si="18"/>
        <v>2027</v>
      </c>
      <c r="I54" s="312"/>
      <c r="J54" s="312"/>
      <c r="K54" s="312"/>
      <c r="L54" s="312"/>
      <c r="M54" s="312"/>
      <c r="N54" s="312"/>
      <c r="O54" s="312"/>
      <c r="P54" s="312"/>
      <c r="Q54" s="312"/>
      <c r="R54" s="312"/>
      <c r="S54" s="312"/>
      <c r="T54" s="312"/>
      <c r="U54" s="312"/>
      <c r="V54" s="312"/>
      <c r="W54" s="312"/>
      <c r="X54" s="312"/>
      <c r="Y54" s="312"/>
      <c r="Z54" s="312"/>
      <c r="AA54" s="312"/>
      <c r="AB54" s="312"/>
      <c r="AC54" s="312"/>
      <c r="AD54" s="312"/>
      <c r="AE54" s="312"/>
      <c r="AF54" s="312"/>
      <c r="AG54" s="312"/>
      <c r="AH54" s="312"/>
      <c r="AI54" s="312"/>
      <c r="AJ54" s="312"/>
      <c r="AK54" s="312"/>
      <c r="AL54" s="312"/>
      <c r="AM54" s="312"/>
      <c r="AN54" s="312"/>
      <c r="AO54" s="74"/>
      <c r="AP54" s="312"/>
    </row>
    <row r="55" spans="2:42" s="227" customFormat="1" x14ac:dyDescent="0.25">
      <c r="C55" s="322" t="s">
        <v>665</v>
      </c>
      <c r="D55" s="95" t="s">
        <v>29</v>
      </c>
      <c r="E55" s="335" cm="1">
        <f t="array" ref="E55">_xlfn.IFS(Forecasting_Scenario=Base,3.5%,Forecasting_Scenario=Aggressive,4%,Forecasting_Scenario=Conservative,3%)</f>
        <v>3.5000000000000003E-2</v>
      </c>
      <c r="F55" s="335" cm="1">
        <f t="array" ref="F55">_xlfn.IFS(Forecasting_Scenario=Base,4%,Forecasting_Scenario=Aggressive,4.5%,Forecasting_Scenario=Conservative,3.5%)</f>
        <v>0.04</v>
      </c>
      <c r="G55" s="335" cm="1">
        <f t="array" ref="G55">_xlfn.IFS(Forecasting_Scenario=Base,4%,Forecasting_Scenario=Aggressive,4.5%,Forecasting_Scenario=Conservative,3.5%)</f>
        <v>0.04</v>
      </c>
      <c r="H55" s="335" cm="1">
        <f t="array" ref="H55">_xlfn.IFS(Forecasting_Scenario=Base,4%,Forecasting_Scenario=Aggressive,4.5%,Forecasting_Scenario=Conservative,3.5%)</f>
        <v>0.04</v>
      </c>
      <c r="I55" s="243"/>
      <c r="J55" s="243"/>
      <c r="K55" s="243"/>
      <c r="L55" s="243"/>
      <c r="M55" s="243"/>
      <c r="N55" s="243"/>
      <c r="O55" s="243"/>
      <c r="P55" s="243"/>
      <c r="Q55" s="243"/>
      <c r="R55" s="243"/>
      <c r="S55" s="243"/>
      <c r="T55" s="243"/>
      <c r="U55" s="243"/>
      <c r="V55" s="243"/>
      <c r="W55" s="243"/>
      <c r="X55" s="243"/>
      <c r="Y55" s="243"/>
      <c r="Z55" s="243"/>
      <c r="AA55" s="243"/>
      <c r="AB55" s="243"/>
      <c r="AC55" s="243"/>
      <c r="AD55" s="243"/>
      <c r="AE55" s="243"/>
      <c r="AF55" s="243"/>
      <c r="AG55" s="243"/>
      <c r="AH55" s="243"/>
      <c r="AI55" s="243"/>
      <c r="AJ55" s="243"/>
      <c r="AK55" s="243"/>
      <c r="AL55" s="243"/>
      <c r="AM55" s="243"/>
      <c r="AN55" s="243"/>
      <c r="AO55" s="3"/>
      <c r="AP55" s="94"/>
    </row>
    <row r="56" spans="2:42" s="227" customFormat="1" x14ac:dyDescent="0.25">
      <c r="C56" s="365" t="s">
        <v>666</v>
      </c>
      <c r="D56" s="366" t="s">
        <v>29</v>
      </c>
      <c r="E56" s="367" cm="1">
        <f t="array" ref="E56">_xlfn.IFS(Forecasting_Scenario=Base,1.5%,Forecasting_Scenario=Aggressive,1%,Forecasting_Scenario=Conservative,2%)</f>
        <v>1.4999999999999999E-2</v>
      </c>
      <c r="F56" s="367" cm="1">
        <f t="array" ref="F56">_xlfn.IFS(Forecasting_Scenario=Base,1.5%,Forecasting_Scenario=Aggressive,1%,Forecasting_Scenario=Conservative,2%)</f>
        <v>1.4999999999999999E-2</v>
      </c>
      <c r="G56" s="367" cm="1">
        <f t="array" ref="G56">_xlfn.IFS(Forecasting_Scenario=Base,1.5%,Forecasting_Scenario=Aggressive,1%,Forecasting_Scenario=Conservative,2%)</f>
        <v>1.4999999999999999E-2</v>
      </c>
      <c r="H56" s="367" cm="1">
        <f t="array" ref="H56">_xlfn.IFS(Forecasting_Scenario=Base,1.5%,Forecasting_Scenario=Aggressive,1%,Forecasting_Scenario=Conservative,2%)</f>
        <v>1.4999999999999999E-2</v>
      </c>
      <c r="I56" s="368"/>
      <c r="J56" s="368"/>
      <c r="K56" s="368"/>
      <c r="L56" s="368"/>
      <c r="M56" s="368"/>
      <c r="N56" s="368"/>
      <c r="O56" s="368"/>
      <c r="P56" s="368"/>
      <c r="Q56" s="368"/>
      <c r="R56" s="368"/>
      <c r="S56" s="368"/>
      <c r="T56" s="368"/>
      <c r="U56" s="368"/>
      <c r="V56" s="368"/>
      <c r="W56" s="368"/>
      <c r="X56" s="368"/>
      <c r="Y56" s="368"/>
      <c r="Z56" s="368"/>
      <c r="AA56" s="368"/>
      <c r="AB56" s="368"/>
      <c r="AC56" s="368"/>
      <c r="AD56" s="368"/>
      <c r="AE56" s="368"/>
      <c r="AF56" s="368"/>
      <c r="AG56" s="368"/>
      <c r="AH56" s="368"/>
      <c r="AI56" s="368"/>
      <c r="AJ56" s="368"/>
      <c r="AK56" s="368"/>
      <c r="AL56" s="368"/>
      <c r="AM56" s="368"/>
      <c r="AN56" s="368"/>
      <c r="AO56" s="321"/>
      <c r="AP56" s="368"/>
    </row>
    <row r="57" spans="2:42" s="227" customFormat="1" x14ac:dyDescent="0.25">
      <c r="C57" s="369" t="s">
        <v>973</v>
      </c>
      <c r="D57" s="370" t="s">
        <v>29</v>
      </c>
      <c r="E57" s="371">
        <f>AVERAGE('4.4 EU SME Data'!C22/SUM('4.4 EU SME Data'!$C$22:$E$22),'4.6 USA SME Data'!C25/'4.6 USA SME Data'!F25)</f>
        <v>0.87687129679844333</v>
      </c>
      <c r="F57" s="373">
        <f>E57</f>
        <v>0.87687129679844333</v>
      </c>
      <c r="G57" s="373">
        <f t="shared" ref="G57:H57" si="19">F57</f>
        <v>0.87687129679844333</v>
      </c>
      <c r="H57" s="373">
        <f t="shared" si="19"/>
        <v>0.87687129679844333</v>
      </c>
      <c r="I57" s="372"/>
      <c r="J57" s="372"/>
      <c r="K57" s="372"/>
      <c r="L57" s="372"/>
      <c r="M57" s="372"/>
      <c r="N57" s="372"/>
      <c r="O57" s="372"/>
      <c r="P57" s="372"/>
      <c r="Q57" s="372"/>
      <c r="R57" s="372"/>
      <c r="S57" s="372"/>
      <c r="T57" s="372"/>
      <c r="U57" s="372"/>
      <c r="V57" s="372"/>
      <c r="W57" s="372"/>
      <c r="X57" s="372"/>
      <c r="Y57" s="372"/>
      <c r="Z57" s="372"/>
      <c r="AA57" s="372"/>
      <c r="AB57" s="372"/>
      <c r="AC57" s="372"/>
      <c r="AD57" s="372"/>
      <c r="AE57" s="372"/>
      <c r="AF57" s="372"/>
      <c r="AG57" s="372"/>
      <c r="AH57" s="372"/>
      <c r="AI57" s="372"/>
      <c r="AJ57" s="372"/>
      <c r="AK57" s="372"/>
      <c r="AL57" s="372"/>
      <c r="AM57" s="372"/>
      <c r="AN57" s="372"/>
      <c r="AO57" s="321"/>
      <c r="AP57" s="372"/>
    </row>
    <row r="58" spans="2:42" s="227" customFormat="1" x14ac:dyDescent="0.25">
      <c r="C58" s="369" t="s">
        <v>972</v>
      </c>
      <c r="D58" s="370" t="s">
        <v>29</v>
      </c>
      <c r="E58" s="371">
        <f>AVERAGE('4.4 EU SME Data'!D22/SUM('4.4 EU SME Data'!$C$22:$E$22),'4.6 USA SME Data'!D25/'4.6 USA SME Data'!F25)</f>
        <v>0.10884312399745789</v>
      </c>
      <c r="F58" s="373">
        <f t="shared" ref="F58:H58" si="20">E58</f>
        <v>0.10884312399745789</v>
      </c>
      <c r="G58" s="373">
        <f t="shared" si="20"/>
        <v>0.10884312399745789</v>
      </c>
      <c r="H58" s="373">
        <f t="shared" si="20"/>
        <v>0.10884312399745789</v>
      </c>
      <c r="I58" s="372"/>
      <c r="J58" s="372"/>
      <c r="K58" s="372"/>
      <c r="L58" s="372"/>
      <c r="M58" s="372"/>
      <c r="N58" s="372"/>
      <c r="O58" s="372"/>
      <c r="P58" s="372"/>
      <c r="Q58" s="372"/>
      <c r="R58" s="372"/>
      <c r="S58" s="372"/>
      <c r="T58" s="372"/>
      <c r="U58" s="372"/>
      <c r="V58" s="372"/>
      <c r="W58" s="372"/>
      <c r="X58" s="372"/>
      <c r="Y58" s="372"/>
      <c r="Z58" s="372"/>
      <c r="AA58" s="372"/>
      <c r="AB58" s="372"/>
      <c r="AC58" s="372"/>
      <c r="AD58" s="372"/>
      <c r="AE58" s="372"/>
      <c r="AF58" s="372"/>
      <c r="AG58" s="372"/>
      <c r="AH58" s="372"/>
      <c r="AI58" s="372"/>
      <c r="AJ58" s="372"/>
      <c r="AK58" s="372"/>
      <c r="AL58" s="372"/>
      <c r="AM58" s="372"/>
      <c r="AN58" s="372"/>
      <c r="AO58" s="321"/>
      <c r="AP58" s="372"/>
    </row>
    <row r="59" spans="2:42" s="227" customFormat="1" x14ac:dyDescent="0.25">
      <c r="C59" s="369" t="s">
        <v>974</v>
      </c>
      <c r="D59" s="370" t="s">
        <v>29</v>
      </c>
      <c r="E59" s="371">
        <f>1-SUM(E57:E58)</f>
        <v>1.4285579204098786E-2</v>
      </c>
      <c r="F59" s="371">
        <f t="shared" ref="F59:H59" si="21">1-SUM(F57:F58)</f>
        <v>1.4285579204098786E-2</v>
      </c>
      <c r="G59" s="371">
        <f t="shared" si="21"/>
        <v>1.4285579204098786E-2</v>
      </c>
      <c r="H59" s="371">
        <f t="shared" si="21"/>
        <v>1.4285579204098786E-2</v>
      </c>
      <c r="I59" s="372"/>
      <c r="J59" s="372"/>
      <c r="K59" s="372"/>
      <c r="L59" s="372"/>
      <c r="M59" s="372"/>
      <c r="N59" s="372"/>
      <c r="O59" s="372"/>
      <c r="P59" s="372"/>
      <c r="Q59" s="372"/>
      <c r="R59" s="372"/>
      <c r="S59" s="372"/>
      <c r="T59" s="372"/>
      <c r="U59" s="372"/>
      <c r="V59" s="372"/>
      <c r="W59" s="372"/>
      <c r="X59" s="372"/>
      <c r="Y59" s="372"/>
      <c r="Z59" s="372"/>
      <c r="AA59" s="372"/>
      <c r="AB59" s="372"/>
      <c r="AC59" s="372"/>
      <c r="AD59" s="372"/>
      <c r="AE59" s="372"/>
      <c r="AF59" s="372"/>
      <c r="AG59" s="372"/>
      <c r="AH59" s="372"/>
      <c r="AI59" s="372"/>
      <c r="AJ59" s="372"/>
      <c r="AK59" s="372"/>
      <c r="AL59" s="372"/>
      <c r="AM59" s="372"/>
      <c r="AN59" s="372"/>
      <c r="AO59" s="321"/>
      <c r="AP59" s="372"/>
    </row>
    <row r="60" spans="2:42" x14ac:dyDescent="0.25">
      <c r="B60" s="33" t="s">
        <v>9</v>
      </c>
      <c r="C60" s="312" t="s">
        <v>667</v>
      </c>
      <c r="D60" s="317"/>
      <c r="E60" s="312">
        <v>2024</v>
      </c>
      <c r="F60" s="312">
        <f>E60+1</f>
        <v>2025</v>
      </c>
      <c r="G60" s="312">
        <f t="shared" ref="G60:H60" si="22">F60+1</f>
        <v>2026</v>
      </c>
      <c r="H60" s="312">
        <f t="shared" si="22"/>
        <v>2027</v>
      </c>
      <c r="I60" s="312"/>
      <c r="J60" s="312"/>
      <c r="K60" s="312"/>
      <c r="L60" s="312"/>
      <c r="M60" s="312"/>
      <c r="N60" s="312"/>
      <c r="O60" s="312"/>
      <c r="P60" s="312"/>
      <c r="Q60" s="312"/>
      <c r="R60" s="312"/>
      <c r="S60" s="312"/>
      <c r="T60" s="312"/>
      <c r="U60" s="312"/>
      <c r="V60" s="312"/>
      <c r="W60" s="312"/>
      <c r="X60" s="312"/>
      <c r="Y60" s="312"/>
      <c r="Z60" s="312"/>
      <c r="AA60" s="312"/>
      <c r="AB60" s="312"/>
      <c r="AC60" s="312"/>
      <c r="AD60" s="312"/>
      <c r="AE60" s="312"/>
      <c r="AF60" s="312"/>
      <c r="AG60" s="312"/>
      <c r="AH60" s="312"/>
      <c r="AI60" s="312"/>
      <c r="AJ60" s="312"/>
      <c r="AK60" s="312"/>
      <c r="AL60" s="312"/>
      <c r="AM60" s="312"/>
      <c r="AN60" s="312"/>
      <c r="AO60" s="74"/>
      <c r="AP60" s="312"/>
    </row>
    <row r="61" spans="2:42" x14ac:dyDescent="0.25">
      <c r="B61" s="33" t="s">
        <v>9</v>
      </c>
      <c r="C61" s="311" t="str">
        <f>'4.2 Sector Mapping'!$B$5</f>
        <v>Agriculture</v>
      </c>
      <c r="D61" s="318"/>
      <c r="E61" s="311"/>
      <c r="F61" s="311"/>
      <c r="G61" s="311"/>
      <c r="H61" s="311"/>
      <c r="I61" s="311"/>
      <c r="J61" s="311"/>
      <c r="K61" s="311"/>
      <c r="L61" s="311"/>
      <c r="M61" s="311"/>
      <c r="N61" s="311"/>
      <c r="O61" s="311"/>
      <c r="P61" s="311"/>
      <c r="Q61" s="311"/>
      <c r="R61" s="311"/>
      <c r="S61" s="311"/>
      <c r="T61" s="311"/>
      <c r="U61" s="311"/>
      <c r="V61" s="311"/>
      <c r="W61" s="311"/>
      <c r="X61" s="311"/>
      <c r="Y61" s="311"/>
      <c r="Z61" s="311"/>
      <c r="AA61" s="311"/>
      <c r="AB61" s="311"/>
      <c r="AC61" s="311"/>
      <c r="AD61" s="311"/>
      <c r="AE61" s="311"/>
      <c r="AF61" s="311"/>
      <c r="AG61" s="311"/>
      <c r="AH61" s="311"/>
      <c r="AI61" s="311"/>
      <c r="AJ61" s="311"/>
      <c r="AK61" s="311"/>
      <c r="AL61" s="311"/>
      <c r="AM61" s="311"/>
      <c r="AN61" s="311"/>
      <c r="AO61" s="74"/>
      <c r="AP61" s="311"/>
    </row>
    <row r="62" spans="2:42" x14ac:dyDescent="0.25">
      <c r="C62" s="20" t="s">
        <v>600</v>
      </c>
      <c r="D62" s="34" t="s">
        <v>29</v>
      </c>
      <c r="E62" s="336" cm="1">
        <f t="array" ref="E62">_xlfn.IFS(Forecasting_Scenario=Base,15%,Forecasting_Scenario=Aggressive,16.67%,Forecasting_Scenario=Conservative,13.33%)</f>
        <v>0.15</v>
      </c>
      <c r="F62" s="336" cm="1">
        <f t="array" ref="F62">E62+_xlfn.IFS(Forecasting_Scenario=Base,1.5%,Forecasting_Scenario=Aggressive,2.67%,Forecasting_Scenario=Conservative,1%)</f>
        <v>0.16499999999999998</v>
      </c>
      <c r="G62" s="336" cm="1">
        <f t="array" ref="G62">F62+_xlfn.IFS(Forecasting_Scenario=Base,2.5%,Forecasting_Scenario=Aggressive,3.67%,Forecasting_Scenario=Conservative,2%)</f>
        <v>0.18999999999999997</v>
      </c>
      <c r="H62" s="336" cm="1">
        <f t="array" ref="H62">G62+_xlfn.IFS(Forecasting_Scenario=Base,2.5%,Forecasting_Scenario=Aggressive,3.67%,Forecasting_Scenario=Conservative,2%)</f>
        <v>0.21499999999999997</v>
      </c>
      <c r="I62" s="234"/>
      <c r="J62" s="234"/>
      <c r="K62" s="234"/>
      <c r="L62" s="234"/>
      <c r="M62" s="234"/>
      <c r="N62" s="234"/>
      <c r="O62" s="234"/>
      <c r="P62" s="234"/>
      <c r="Q62" s="234"/>
      <c r="R62" s="234"/>
      <c r="S62" s="234"/>
      <c r="T62" s="234"/>
      <c r="U62" s="234"/>
      <c r="V62" s="234"/>
      <c r="W62" s="234"/>
      <c r="X62" s="234"/>
      <c r="Y62" s="234"/>
      <c r="Z62" s="234"/>
      <c r="AA62" s="234"/>
      <c r="AB62" s="234"/>
      <c r="AC62" s="234"/>
      <c r="AD62" s="234"/>
      <c r="AE62" s="234"/>
      <c r="AF62" s="234"/>
      <c r="AG62" s="234"/>
      <c r="AH62" s="234"/>
      <c r="AI62" s="234"/>
      <c r="AJ62" s="234"/>
      <c r="AK62" s="234"/>
      <c r="AL62" s="234"/>
      <c r="AM62" s="234"/>
      <c r="AN62" s="234"/>
      <c r="AP62" s="20"/>
    </row>
    <row r="63" spans="2:42" x14ac:dyDescent="0.25">
      <c r="C63" s="20" t="s">
        <v>392</v>
      </c>
      <c r="D63" s="34" t="s">
        <v>29</v>
      </c>
      <c r="E63" s="336" cm="1">
        <f t="array" ref="E63">_xlfn.IFS(Forecasting_Scenario=Base,5%,Forecasting_Scenario=Aggressive,6.67%,Forecasting_Scenario=Conservative,4%)</f>
        <v>0.05</v>
      </c>
      <c r="F63" s="336" cm="1">
        <f t="array" ref="F63">E63+_xlfn.IFS(Forecasting_Scenario=Base,1.5%,Forecasting_Scenario=Aggressive,2.67%,Forecasting_Scenario=Conservative,1%)*25%</f>
        <v>5.3750000000000006E-2</v>
      </c>
      <c r="G63" s="336" cm="1">
        <f t="array" ref="G63">F63+_xlfn.IFS(Forecasting_Scenario=Base,2.5%,Forecasting_Scenario=Aggressive,3.67%,Forecasting_Scenario=Conservative,2%)*25%</f>
        <v>6.0000000000000005E-2</v>
      </c>
      <c r="H63" s="336" cm="1">
        <f t="array" ref="H63">G63++_xlfn.IFS(Forecasting_Scenario=Base,2.5%,Forecasting_Scenario=Aggressive,3.67%,Forecasting_Scenario=Conservative,2%)*25%</f>
        <v>6.6250000000000003E-2</v>
      </c>
      <c r="I63" s="234"/>
      <c r="J63" s="234"/>
      <c r="K63" s="234"/>
      <c r="L63" s="234"/>
      <c r="M63" s="234"/>
      <c r="N63" s="234"/>
      <c r="O63" s="234"/>
      <c r="P63" s="234"/>
      <c r="Q63" s="234"/>
      <c r="R63" s="234"/>
      <c r="S63" s="234"/>
      <c r="T63" s="234"/>
      <c r="U63" s="234"/>
      <c r="V63" s="234"/>
      <c r="W63" s="234"/>
      <c r="X63" s="234"/>
      <c r="Y63" s="234"/>
      <c r="Z63" s="234"/>
      <c r="AA63" s="234"/>
      <c r="AB63" s="234"/>
      <c r="AC63" s="234"/>
      <c r="AD63" s="234"/>
      <c r="AE63" s="234"/>
      <c r="AF63" s="234"/>
      <c r="AG63" s="234"/>
      <c r="AH63" s="234"/>
      <c r="AI63" s="234"/>
      <c r="AJ63" s="234"/>
      <c r="AK63" s="234"/>
      <c r="AL63" s="234"/>
      <c r="AM63" s="234"/>
      <c r="AN63" s="234"/>
      <c r="AP63" s="20"/>
    </row>
    <row r="64" spans="2:42" x14ac:dyDescent="0.25">
      <c r="C64" s="20" t="s">
        <v>454</v>
      </c>
      <c r="D64" s="34" t="s">
        <v>29</v>
      </c>
      <c r="E64" s="336" cm="1">
        <f t="array" ref="E64">_xlfn.IFS(Forecasting_Scenario=Base,15%,Forecasting_Scenario=Aggressive,16.67%,Forecasting_Scenario=Conservative,13.33%)</f>
        <v>0.15</v>
      </c>
      <c r="F64" s="336" cm="1">
        <f t="array" ref="F64">E64+_xlfn.IFS(Forecasting_Scenario=Base,1.5%,Forecasting_Scenario=Aggressive,2.67%,Forecasting_Scenario=Conservative,1%)*40%</f>
        <v>0.156</v>
      </c>
      <c r="G64" s="336" cm="1">
        <f t="array" ref="G64">F64+_xlfn.IFS(Forecasting_Scenario=Base,2.5%,Forecasting_Scenario=Aggressive,3.67%,Forecasting_Scenario=Conservative,2%)*40%</f>
        <v>0.16600000000000001</v>
      </c>
      <c r="H64" s="336" cm="1">
        <f t="array" ref="H64">G64+_xlfn.IFS(Forecasting_Scenario=Base,2.5%,Forecasting_Scenario=Aggressive,3.67%,Forecasting_Scenario=Conservative,2%)*40%</f>
        <v>0.17600000000000002</v>
      </c>
      <c r="I64" s="234"/>
      <c r="J64" s="234"/>
      <c r="K64" s="234"/>
      <c r="L64" s="234"/>
      <c r="M64" s="234"/>
      <c r="N64" s="234"/>
      <c r="O64" s="234"/>
      <c r="P64" s="234"/>
      <c r="Q64" s="234"/>
      <c r="R64" s="234"/>
      <c r="S64" s="234"/>
      <c r="T64" s="234"/>
      <c r="U64" s="234"/>
      <c r="V64" s="234"/>
      <c r="W64" s="234"/>
      <c r="X64" s="234"/>
      <c r="Y64" s="234"/>
      <c r="Z64" s="234"/>
      <c r="AA64" s="234"/>
      <c r="AB64" s="234"/>
      <c r="AC64" s="234"/>
      <c r="AD64" s="234"/>
      <c r="AE64" s="234"/>
      <c r="AF64" s="234"/>
      <c r="AG64" s="234"/>
      <c r="AH64" s="234"/>
      <c r="AI64" s="234"/>
      <c r="AJ64" s="234"/>
      <c r="AK64" s="234"/>
      <c r="AL64" s="234"/>
      <c r="AM64" s="234"/>
      <c r="AN64" s="234"/>
      <c r="AP64" s="20"/>
    </row>
    <row r="65" spans="2:42" x14ac:dyDescent="0.25">
      <c r="C65" s="21" t="s">
        <v>455</v>
      </c>
      <c r="D65" s="34" t="s">
        <v>29</v>
      </c>
      <c r="E65" s="336" cm="1">
        <f t="array" ref="E65">_xlfn.IFS(Forecasting_Scenario=Base,20%,Forecasting_Scenario=Aggressive,21.67%,Forecasting_Scenario=Conservative,18%)</f>
        <v>0.2</v>
      </c>
      <c r="F65" s="336" cm="1">
        <f t="array" ref="F65">E65+_xlfn.IFS(Forecasting_Scenario=Base,1.5%,Forecasting_Scenario=Aggressive,2.67%,Forecasting_Scenario=Conservative,1%)</f>
        <v>0.21500000000000002</v>
      </c>
      <c r="G65" s="336" cm="1">
        <f t="array" ref="G65">F65+_xlfn.IFS(Forecasting_Scenario=Base,2.5%,Forecasting_Scenario=Aggressive,3.67%,Forecasting_Scenario=Conservative,2%)</f>
        <v>0.24000000000000002</v>
      </c>
      <c r="H65" s="336" cm="1">
        <f t="array" ref="H65">G65+_xlfn.IFS(Forecasting_Scenario=Base,2.5%,Forecasting_Scenario=Aggressive,3.67%,Forecasting_Scenario=Conservative,2%)</f>
        <v>0.26500000000000001</v>
      </c>
      <c r="I65" s="234"/>
      <c r="J65" s="234"/>
      <c r="K65" s="234"/>
      <c r="L65" s="234"/>
      <c r="M65" s="234"/>
      <c r="N65" s="234"/>
      <c r="O65" s="234"/>
      <c r="P65" s="234"/>
      <c r="Q65" s="234"/>
      <c r="R65" s="234"/>
      <c r="S65" s="234"/>
      <c r="T65" s="234"/>
      <c r="U65" s="234"/>
      <c r="V65" s="234"/>
      <c r="W65" s="234"/>
      <c r="X65" s="234"/>
      <c r="Y65" s="234"/>
      <c r="Z65" s="234"/>
      <c r="AA65" s="234"/>
      <c r="AB65" s="234"/>
      <c r="AC65" s="234"/>
      <c r="AD65" s="234"/>
      <c r="AE65" s="234"/>
      <c r="AF65" s="234"/>
      <c r="AG65" s="234"/>
      <c r="AH65" s="234"/>
      <c r="AI65" s="234"/>
      <c r="AJ65" s="234"/>
      <c r="AK65" s="234"/>
      <c r="AL65" s="234"/>
      <c r="AM65" s="234"/>
      <c r="AN65" s="234"/>
      <c r="AP65" s="20"/>
    </row>
    <row r="66" spans="2:42" x14ac:dyDescent="0.25">
      <c r="C66" s="21" t="s">
        <v>393</v>
      </c>
      <c r="D66" s="34" t="s">
        <v>29</v>
      </c>
      <c r="E66" s="336" cm="1">
        <f t="array" ref="E66">_xlfn.IFS(Forecasting_Scenario=Base,25%,Forecasting_Scenario=Aggressive,27.5%,Forecasting_Scenario=Conservative,23%)</f>
        <v>0.25</v>
      </c>
      <c r="F66" s="336" cm="1">
        <f t="array" ref="F66">E66+_xlfn.IFS(Forecasting_Scenario=Base,1.5%,Forecasting_Scenario=Aggressive,2.67%,Forecasting_Scenario=Conservative,1%)*125%</f>
        <v>0.26874999999999999</v>
      </c>
      <c r="G66" s="336" cm="1">
        <f t="array" ref="G66">F66+_xlfn.IFS(Forecasting_Scenario=Base,2.5%,Forecasting_Scenario=Aggressive,3.67%,Forecasting_Scenario=Conservative,2%)*125%</f>
        <v>0.3</v>
      </c>
      <c r="H66" s="336" cm="1">
        <f t="array" ref="H66">G66+_xlfn.IFS(Forecasting_Scenario=Base,2.5%,Forecasting_Scenario=Aggressive,3.67%,Forecasting_Scenario=Conservative,2%)*125%</f>
        <v>0.33124999999999999</v>
      </c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  <c r="AA66" s="234"/>
      <c r="AB66" s="234"/>
      <c r="AC66" s="234"/>
      <c r="AD66" s="234"/>
      <c r="AE66" s="234"/>
      <c r="AF66" s="234"/>
      <c r="AG66" s="234"/>
      <c r="AH66" s="234"/>
      <c r="AI66" s="234"/>
      <c r="AJ66" s="234"/>
      <c r="AK66" s="234"/>
      <c r="AL66" s="234"/>
      <c r="AM66" s="234"/>
      <c r="AN66" s="234"/>
      <c r="AP66" s="20"/>
    </row>
    <row r="67" spans="2:42" x14ac:dyDescent="0.25">
      <c r="C67" s="21" t="s">
        <v>456</v>
      </c>
      <c r="D67" s="34" t="s">
        <v>29</v>
      </c>
      <c r="E67" s="336" cm="1">
        <f t="array" ref="E67">_xlfn.IFS(Forecasting_Scenario=Base,15%,Forecasting_Scenario=Aggressive,16.67%,Forecasting_Scenario=Conservative,13.33%)</f>
        <v>0.15</v>
      </c>
      <c r="F67" s="336" cm="1">
        <f t="array" ref="F67">E67+_xlfn.IFS(Forecasting_Scenario=Base,1.5%,Forecasting_Scenario=Aggressive,2.67%,Forecasting_Scenario=Conservative,1%)*40%</f>
        <v>0.156</v>
      </c>
      <c r="G67" s="336" cm="1">
        <f t="array" ref="G67">F67++_xlfn.IFS(Forecasting_Scenario=Base,2.5%,Forecasting_Scenario=Aggressive,3.67%,Forecasting_Scenario=Conservative,2%)*40%</f>
        <v>0.16600000000000001</v>
      </c>
      <c r="H67" s="336" cm="1">
        <f t="array" ref="H67">G67+_xlfn.IFS(Forecasting_Scenario=Base,2.5%,Forecasting_Scenario=Aggressive,3.67%,Forecasting_Scenario=Conservative,2%)*40%</f>
        <v>0.17600000000000002</v>
      </c>
      <c r="I67" s="234"/>
      <c r="J67" s="234"/>
      <c r="K67" s="234"/>
      <c r="L67" s="234"/>
      <c r="M67" s="234"/>
      <c r="N67" s="234"/>
      <c r="O67" s="234"/>
      <c r="P67" s="234"/>
      <c r="Q67" s="234"/>
      <c r="R67" s="234"/>
      <c r="S67" s="234"/>
      <c r="T67" s="234"/>
      <c r="U67" s="234"/>
      <c r="V67" s="234"/>
      <c r="W67" s="234"/>
      <c r="X67" s="234"/>
      <c r="Y67" s="234"/>
      <c r="Z67" s="234"/>
      <c r="AA67" s="234"/>
      <c r="AB67" s="234"/>
      <c r="AC67" s="234"/>
      <c r="AD67" s="234"/>
      <c r="AE67" s="234"/>
      <c r="AF67" s="234"/>
      <c r="AG67" s="234"/>
      <c r="AH67" s="234"/>
      <c r="AI67" s="234"/>
      <c r="AJ67" s="234"/>
      <c r="AK67" s="234"/>
      <c r="AL67" s="234"/>
      <c r="AM67" s="234"/>
      <c r="AN67" s="234"/>
      <c r="AP67" s="20"/>
    </row>
    <row r="68" spans="2:42" x14ac:dyDescent="0.25">
      <c r="B68" s="33" t="s">
        <v>9</v>
      </c>
      <c r="C68" s="311" t="str">
        <f>'4.2 Sector Mapping'!$B$6</f>
        <v>Communication, Media and Technology</v>
      </c>
      <c r="D68" s="318"/>
      <c r="E68" s="311"/>
      <c r="F68" s="311"/>
      <c r="G68" s="311"/>
      <c r="H68" s="311"/>
      <c r="I68" s="311"/>
      <c r="J68" s="311"/>
      <c r="K68" s="311"/>
      <c r="L68" s="311"/>
      <c r="M68" s="311"/>
      <c r="N68" s="311"/>
      <c r="O68" s="311"/>
      <c r="P68" s="311"/>
      <c r="Q68" s="311"/>
      <c r="R68" s="311"/>
      <c r="S68" s="311"/>
      <c r="T68" s="311"/>
      <c r="U68" s="311"/>
      <c r="V68" s="311"/>
      <c r="W68" s="311"/>
      <c r="X68" s="311"/>
      <c r="Y68" s="311"/>
      <c r="Z68" s="311"/>
      <c r="AA68" s="311"/>
      <c r="AB68" s="311"/>
      <c r="AC68" s="311"/>
      <c r="AD68" s="311"/>
      <c r="AE68" s="311"/>
      <c r="AF68" s="311"/>
      <c r="AG68" s="311"/>
      <c r="AH68" s="311"/>
      <c r="AI68" s="311"/>
      <c r="AJ68" s="311"/>
      <c r="AK68" s="311"/>
      <c r="AL68" s="311"/>
      <c r="AM68" s="311"/>
      <c r="AN68" s="311"/>
      <c r="AO68" s="74"/>
      <c r="AP68" s="311"/>
    </row>
    <row r="69" spans="2:42" x14ac:dyDescent="0.25">
      <c r="C69" s="20" t="s">
        <v>600</v>
      </c>
      <c r="D69" s="34" t="s">
        <v>29</v>
      </c>
      <c r="E69" s="336" cm="1">
        <f t="array" ref="E69">_xlfn.IFS(Forecasting_Scenario=Base,66.67%,Forecasting_Scenario=Aggressive,70%,Forecasting_Scenario=Conservative,65%)</f>
        <v>0.66670000000000007</v>
      </c>
      <c r="F69" s="336" cm="1">
        <f t="array" ref="F69">E69+_xlfn.IFS(Forecasting_Scenario=Base,1.5%,Forecasting_Scenario=Aggressive,2.67%,Forecasting_Scenario=Conservative,1%)</f>
        <v>0.68170000000000008</v>
      </c>
      <c r="G69" s="336" cm="1">
        <f t="array" ref="G69">F69+_xlfn.IFS(Forecasting_Scenario=Base,2.5%,Forecasting_Scenario=Aggressive,3.67%,Forecasting_Scenario=Conservative,2%)</f>
        <v>0.70670000000000011</v>
      </c>
      <c r="H69" s="336" cm="1">
        <f t="array" ref="H69">G69+_xlfn.IFS(Forecasting_Scenario=Base,2.5%,Forecasting_Scenario=Aggressive,3.67%,Forecasting_Scenario=Conservative,2%)</f>
        <v>0.73170000000000013</v>
      </c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P69" s="20"/>
    </row>
    <row r="70" spans="2:42" x14ac:dyDescent="0.25">
      <c r="C70" s="20" t="s">
        <v>392</v>
      </c>
      <c r="D70" s="34" t="s">
        <v>29</v>
      </c>
      <c r="E70" s="336" cm="1">
        <f t="array" ref="E70">_xlfn.IFS(Forecasting_Scenario=Base,20%,Forecasting_Scenario=Aggressive,22.5%,Forecasting_Scenario=Conservative,18%)</f>
        <v>0.2</v>
      </c>
      <c r="F70" s="336" cm="1">
        <f t="array" ref="F70">E70+_xlfn.IFS(Forecasting_Scenario=Base,1.5%,Forecasting_Scenario=Aggressive,2.67%,Forecasting_Scenario=Conservative,1%)*25%</f>
        <v>0.20375000000000001</v>
      </c>
      <c r="G70" s="336" cm="1">
        <f t="array" ref="G70">F70+_xlfn.IFS(Forecasting_Scenario=Base,2.5%,Forecasting_Scenario=Aggressive,3.67%,Forecasting_Scenario=Conservative,2%)*25%</f>
        <v>0.21000000000000002</v>
      </c>
      <c r="H70" s="336" cm="1">
        <f t="array" ref="H70">G70++_xlfn.IFS(Forecasting_Scenario=Base,2.5%,Forecasting_Scenario=Aggressive,3.67%,Forecasting_Scenario=Conservative,2%)*25%</f>
        <v>0.21625000000000003</v>
      </c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P70" s="20"/>
    </row>
    <row r="71" spans="2:42" x14ac:dyDescent="0.25">
      <c r="C71" s="20" t="s">
        <v>454</v>
      </c>
      <c r="D71" s="34" t="s">
        <v>29</v>
      </c>
      <c r="E71" s="336" cm="1">
        <f t="array" ref="E71">_xlfn.IFS(Forecasting_Scenario=Base,50%,Forecasting_Scenario=Aggressive,52.5%,Forecasting_Scenario=Conservative,48%)</f>
        <v>0.5</v>
      </c>
      <c r="F71" s="336" cm="1">
        <f t="array" ref="F71">E71+_xlfn.IFS(Forecasting_Scenario=Base,1.5%,Forecasting_Scenario=Aggressive,2.67%,Forecasting_Scenario=Conservative,1%)*40%</f>
        <v>0.50600000000000001</v>
      </c>
      <c r="G71" s="336" cm="1">
        <f t="array" ref="G71">F71+_xlfn.IFS(Forecasting_Scenario=Base,2.5%,Forecasting_Scenario=Aggressive,3.67%,Forecasting_Scenario=Conservative,2%)*40%</f>
        <v>0.51600000000000001</v>
      </c>
      <c r="H71" s="336" cm="1">
        <f t="array" ref="H71">G71+_xlfn.IFS(Forecasting_Scenario=Base,2.5%,Forecasting_Scenario=Aggressive,3.67%,Forecasting_Scenario=Conservative,2%)*40%</f>
        <v>0.52600000000000002</v>
      </c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P71" s="20"/>
    </row>
    <row r="72" spans="2:42" x14ac:dyDescent="0.25">
      <c r="C72" s="21" t="s">
        <v>455</v>
      </c>
      <c r="D72" s="34" t="s">
        <v>29</v>
      </c>
      <c r="E72" s="336" cm="1">
        <f t="array" ref="E72">_xlfn.IFS(Forecasting_Scenario=Base,75%,Forecasting_Scenario=Aggressive,77.5%,Forecasting_Scenario=Conservative,74%)</f>
        <v>0.75</v>
      </c>
      <c r="F72" s="336" cm="1">
        <f t="array" ref="F72">E72+_xlfn.IFS(Forecasting_Scenario=Base,1.5%,Forecasting_Scenario=Aggressive,2.67%,Forecasting_Scenario=Conservative,1%)</f>
        <v>0.76500000000000001</v>
      </c>
      <c r="G72" s="336" cm="1">
        <f t="array" ref="G72">F72+_xlfn.IFS(Forecasting_Scenario=Base,2.5%,Forecasting_Scenario=Aggressive,3.67%,Forecasting_Scenario=Conservative,2%)</f>
        <v>0.79</v>
      </c>
      <c r="H72" s="336" cm="1">
        <f t="array" ref="H72">G72+_xlfn.IFS(Forecasting_Scenario=Base,2.5%,Forecasting_Scenario=Aggressive,3.67%,Forecasting_Scenario=Conservative,2%)</f>
        <v>0.81500000000000006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P72" s="20"/>
    </row>
    <row r="73" spans="2:42" x14ac:dyDescent="0.25">
      <c r="C73" s="21" t="s">
        <v>393</v>
      </c>
      <c r="D73" s="34" t="s">
        <v>29</v>
      </c>
      <c r="E73" s="336" cm="1">
        <f t="array" ref="E73">_xlfn.IFS(Forecasting_Scenario=Base,80%,Forecasting_Scenario=Aggressive,81.67%,Forecasting_Scenario=Conservative,79%)</f>
        <v>0.8</v>
      </c>
      <c r="F73" s="336" cm="1">
        <f t="array" ref="F73">E73+_xlfn.IFS(Forecasting_Scenario=Base,1.5%,Forecasting_Scenario=Aggressive,2.67%,Forecasting_Scenario=Conservative,1%)*125%</f>
        <v>0.81875000000000009</v>
      </c>
      <c r="G73" s="336" cm="1">
        <f t="array" ref="G73">F73+_xlfn.IFS(Forecasting_Scenario=Base,2.5%,Forecasting_Scenario=Aggressive,3.67%,Forecasting_Scenario=Conservative,2%)*125%</f>
        <v>0.85000000000000009</v>
      </c>
      <c r="H73" s="336" cm="1">
        <f t="array" ref="H73">G73+_xlfn.IFS(Forecasting_Scenario=Base,2.5%,Forecasting_Scenario=Aggressive,3.67%,Forecasting_Scenario=Conservative,2%)*125%</f>
        <v>0.88125000000000009</v>
      </c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P73" s="20"/>
    </row>
    <row r="74" spans="2:42" x14ac:dyDescent="0.25">
      <c r="C74" s="21" t="s">
        <v>456</v>
      </c>
      <c r="D74" s="34" t="s">
        <v>29</v>
      </c>
      <c r="E74" s="336" cm="1">
        <f t="array" ref="E74">_xlfn.IFS(Forecasting_Scenario=Base,50%,Forecasting_Scenario=Aggressive,52.5%,Forecasting_Scenario=Conservative,48%)</f>
        <v>0.5</v>
      </c>
      <c r="F74" s="336" cm="1">
        <f t="array" ref="F74">E74+_xlfn.IFS(Forecasting_Scenario=Base,1.5%,Forecasting_Scenario=Aggressive,2.67%,Forecasting_Scenario=Conservative,1%)*40%</f>
        <v>0.50600000000000001</v>
      </c>
      <c r="G74" s="336" cm="1">
        <f t="array" ref="G74">F74++_xlfn.IFS(Forecasting_Scenario=Base,2.5%,Forecasting_Scenario=Aggressive,3.67%,Forecasting_Scenario=Conservative,2%)*40%</f>
        <v>0.51600000000000001</v>
      </c>
      <c r="H74" s="336" cm="1">
        <f t="array" ref="H74">G74+_xlfn.IFS(Forecasting_Scenario=Base,2.5%,Forecasting_Scenario=Aggressive,3.67%,Forecasting_Scenario=Conservative,2%)*40%</f>
        <v>0.52600000000000002</v>
      </c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P74" s="20"/>
    </row>
    <row r="75" spans="2:42" x14ac:dyDescent="0.25">
      <c r="B75" s="33" t="s">
        <v>9</v>
      </c>
      <c r="C75" s="311" t="str">
        <f>'4.2 Sector Mapping'!$B$7</f>
        <v>Energy and Environment</v>
      </c>
      <c r="D75" s="318"/>
      <c r="E75" s="311"/>
      <c r="F75" s="311"/>
      <c r="G75" s="311"/>
      <c r="H75" s="311"/>
      <c r="I75" s="311"/>
      <c r="J75" s="311"/>
      <c r="K75" s="311"/>
      <c r="L75" s="311"/>
      <c r="M75" s="311"/>
      <c r="N75" s="311"/>
      <c r="O75" s="311"/>
      <c r="P75" s="311"/>
      <c r="Q75" s="311"/>
      <c r="R75" s="311"/>
      <c r="S75" s="311"/>
      <c r="T75" s="311"/>
      <c r="U75" s="311"/>
      <c r="V75" s="311"/>
      <c r="W75" s="311"/>
      <c r="X75" s="311"/>
      <c r="Y75" s="311"/>
      <c r="Z75" s="311"/>
      <c r="AA75" s="311"/>
      <c r="AB75" s="311"/>
      <c r="AC75" s="311"/>
      <c r="AD75" s="311"/>
      <c r="AE75" s="311"/>
      <c r="AF75" s="311"/>
      <c r="AG75" s="311"/>
      <c r="AH75" s="311"/>
      <c r="AI75" s="311"/>
      <c r="AJ75" s="311"/>
      <c r="AK75" s="311"/>
      <c r="AL75" s="311"/>
      <c r="AM75" s="311"/>
      <c r="AN75" s="311"/>
      <c r="AO75" s="74"/>
      <c r="AP75" s="311"/>
    </row>
    <row r="76" spans="2:42" x14ac:dyDescent="0.25">
      <c r="C76" s="20" t="s">
        <v>600</v>
      </c>
      <c r="D76" s="34" t="s">
        <v>29</v>
      </c>
      <c r="E76" s="336" cm="1">
        <f t="array" ref="E76">_xlfn.IFS(Forecasting_Scenario=Base,35%,Forecasting_Scenario=Aggressive,37.5%,Forecasting_Scenario=Conservative,33.33%)</f>
        <v>0.35</v>
      </c>
      <c r="F76" s="336" cm="1">
        <f t="array" ref="F76">E76+_xlfn.IFS(Forecasting_Scenario=Base,1.5%,Forecasting_Scenario=Aggressive,2.67%,Forecasting_Scenario=Conservative,1%)</f>
        <v>0.36499999999999999</v>
      </c>
      <c r="G76" s="336" cm="1">
        <f t="array" ref="G76">F76+_xlfn.IFS(Forecasting_Scenario=Base,2.5%,Forecasting_Scenario=Aggressive,3.67%,Forecasting_Scenario=Conservative,2%)</f>
        <v>0.39</v>
      </c>
      <c r="H76" s="336" cm="1">
        <f t="array" ref="H76">G76+_xlfn.IFS(Forecasting_Scenario=Base,2.5%,Forecasting_Scenario=Aggressive,3.67%,Forecasting_Scenario=Conservative,2%)</f>
        <v>0.41500000000000004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P76" s="20"/>
    </row>
    <row r="77" spans="2:42" x14ac:dyDescent="0.25">
      <c r="C77" s="20" t="s">
        <v>392</v>
      </c>
      <c r="D77" s="34" t="s">
        <v>29</v>
      </c>
      <c r="E77" s="336" cm="1">
        <f t="array" ref="E77">_xlfn.IFS(Forecasting_Scenario=Base,10%,Forecasting_Scenario=Aggressive,12.5%,Forecasting_Scenario=Conservative,8%)</f>
        <v>0.1</v>
      </c>
      <c r="F77" s="336" cm="1">
        <f t="array" ref="F77">E77+_xlfn.IFS(Forecasting_Scenario=Base,1.5%,Forecasting_Scenario=Aggressive,2.67%,Forecasting_Scenario=Conservative,1%)*25%</f>
        <v>0.10375000000000001</v>
      </c>
      <c r="G77" s="336" cm="1">
        <f t="array" ref="G77">F77+_xlfn.IFS(Forecasting_Scenario=Base,2.5%,Forecasting_Scenario=Aggressive,3.67%,Forecasting_Scenario=Conservative,2%)*25%</f>
        <v>0.11000000000000001</v>
      </c>
      <c r="H77" s="336" cm="1">
        <f t="array" ref="H77">G77++_xlfn.IFS(Forecasting_Scenario=Base,2.5%,Forecasting_Scenario=Aggressive,3.67%,Forecasting_Scenario=Conservative,2%)*25%</f>
        <v>0.11625000000000002</v>
      </c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P77" s="20"/>
    </row>
    <row r="78" spans="2:42" x14ac:dyDescent="0.25">
      <c r="C78" s="20" t="s">
        <v>454</v>
      </c>
      <c r="D78" s="34" t="s">
        <v>29</v>
      </c>
      <c r="E78" s="336" cm="1">
        <f t="array" ref="E78">_xlfn.IFS(Forecasting_Scenario=Base,30%,Forecasting_Scenario=Aggressive,32.5%,Forecasting_Scenario=Conservative,28%)</f>
        <v>0.3</v>
      </c>
      <c r="F78" s="336" cm="1">
        <f t="array" ref="F78">E78+_xlfn.IFS(Forecasting_Scenario=Base,1.5%,Forecasting_Scenario=Aggressive,2.67%,Forecasting_Scenario=Conservative,1%)*40%</f>
        <v>0.30599999999999999</v>
      </c>
      <c r="G78" s="336" cm="1">
        <f t="array" ref="G78">F78+_xlfn.IFS(Forecasting_Scenario=Base,2.5%,Forecasting_Scenario=Aggressive,3.67%,Forecasting_Scenario=Conservative,2%)*40%</f>
        <v>0.316</v>
      </c>
      <c r="H78" s="336" cm="1">
        <f t="array" ref="H78">G78+_xlfn.IFS(Forecasting_Scenario=Base,2.5%,Forecasting_Scenario=Aggressive,3.67%,Forecasting_Scenario=Conservative,2%)*40%</f>
        <v>0.32600000000000001</v>
      </c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P78" s="20"/>
    </row>
    <row r="79" spans="2:42" x14ac:dyDescent="0.25">
      <c r="C79" s="21" t="s">
        <v>455</v>
      </c>
      <c r="D79" s="34" t="s">
        <v>29</v>
      </c>
      <c r="E79" s="336" cm="1">
        <f t="array" ref="E79">_xlfn.IFS(Forecasting_Scenario=Base,45%,Forecasting_Scenario=Aggressive,46.67%,Forecasting_Scenario=Conservative,44%)</f>
        <v>0.45</v>
      </c>
      <c r="F79" s="336" cm="1">
        <f t="array" ref="F79">E79+_xlfn.IFS(Forecasting_Scenario=Base,1.5%,Forecasting_Scenario=Aggressive,2.67%,Forecasting_Scenario=Conservative,1%)</f>
        <v>0.46500000000000002</v>
      </c>
      <c r="G79" s="336" cm="1">
        <f t="array" ref="G79">F79+_xlfn.IFS(Forecasting_Scenario=Base,2.5%,Forecasting_Scenario=Aggressive,3.67%,Forecasting_Scenario=Conservative,2%)</f>
        <v>0.49000000000000005</v>
      </c>
      <c r="H79" s="336" cm="1">
        <f t="array" ref="H79">G79+_xlfn.IFS(Forecasting_Scenario=Base,2.5%,Forecasting_Scenario=Aggressive,3.67%,Forecasting_Scenario=Conservative,2%)</f>
        <v>0.51500000000000001</v>
      </c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P79" s="21"/>
    </row>
    <row r="80" spans="2:42" x14ac:dyDescent="0.25">
      <c r="C80" s="21" t="s">
        <v>393</v>
      </c>
      <c r="D80" s="34" t="s">
        <v>29</v>
      </c>
      <c r="E80" s="336" cm="1">
        <f t="array" ref="E80">_xlfn.IFS(Forecasting_Scenario=Base,60%,Forecasting_Scenario=Aggressive,62.5%,Forecasting_Scenario=Conservative,58%)</f>
        <v>0.6</v>
      </c>
      <c r="F80" s="336" cm="1">
        <f t="array" ref="F80">E80+_xlfn.IFS(Forecasting_Scenario=Base,1.5%,Forecasting_Scenario=Aggressive,2.67%,Forecasting_Scenario=Conservative,1%)*125%</f>
        <v>0.61875000000000002</v>
      </c>
      <c r="G80" s="336" cm="1">
        <f t="array" ref="G80">F80+_xlfn.IFS(Forecasting_Scenario=Base,2.5%,Forecasting_Scenario=Aggressive,3.67%,Forecasting_Scenario=Conservative,2%)*125%</f>
        <v>0.65</v>
      </c>
      <c r="H80" s="336" cm="1">
        <f t="array" ref="H80">G80+_xlfn.IFS(Forecasting_Scenario=Base,2.5%,Forecasting_Scenario=Aggressive,3.67%,Forecasting_Scenario=Conservative,2%)*125%</f>
        <v>0.68125000000000002</v>
      </c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P80" s="22"/>
    </row>
    <row r="81" spans="2:42" x14ac:dyDescent="0.25">
      <c r="C81" s="21" t="s">
        <v>456</v>
      </c>
      <c r="D81" s="34" t="s">
        <v>29</v>
      </c>
      <c r="E81" s="336" cm="1">
        <f t="array" ref="E81">_xlfn.IFS(Forecasting_Scenario=Base,30%,Forecasting_Scenario=Aggressive,31.67%,Forecasting_Scenario=Conservative,29%)</f>
        <v>0.3</v>
      </c>
      <c r="F81" s="336" cm="1">
        <f t="array" ref="F81">E81+_xlfn.IFS(Forecasting_Scenario=Base,1.5%,Forecasting_Scenario=Aggressive,2.67%,Forecasting_Scenario=Conservative,1%)*40%</f>
        <v>0.30599999999999999</v>
      </c>
      <c r="G81" s="336" cm="1">
        <f t="array" ref="G81">F81++_xlfn.IFS(Forecasting_Scenario=Base,2.5%,Forecasting_Scenario=Aggressive,3.67%,Forecasting_Scenario=Conservative,2%)*40%</f>
        <v>0.316</v>
      </c>
      <c r="H81" s="336" cm="1">
        <f t="array" ref="H81">G81+_xlfn.IFS(Forecasting_Scenario=Base,2.5%,Forecasting_Scenario=Aggressive,3.67%,Forecasting_Scenario=Conservative,2%)*40%</f>
        <v>0.32600000000000001</v>
      </c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P81" s="22"/>
    </row>
    <row r="82" spans="2:42" x14ac:dyDescent="0.25">
      <c r="B82" s="33" t="s">
        <v>9</v>
      </c>
      <c r="C82" s="311" t="str">
        <f>'4.2 Sector Mapping'!$B$8</f>
        <v>Financial Services</v>
      </c>
      <c r="D82" s="318"/>
      <c r="E82" s="311"/>
      <c r="F82" s="311"/>
      <c r="G82" s="311"/>
      <c r="H82" s="311"/>
      <c r="I82" s="311"/>
      <c r="J82" s="311"/>
      <c r="K82" s="311"/>
      <c r="L82" s="311"/>
      <c r="M82" s="311"/>
      <c r="N82" s="311"/>
      <c r="O82" s="311"/>
      <c r="P82" s="311"/>
      <c r="Q82" s="311"/>
      <c r="R82" s="311"/>
      <c r="S82" s="311"/>
      <c r="T82" s="311"/>
      <c r="U82" s="311"/>
      <c r="V82" s="311"/>
      <c r="W82" s="311"/>
      <c r="X82" s="311"/>
      <c r="Y82" s="311"/>
      <c r="Z82" s="311"/>
      <c r="AA82" s="311"/>
      <c r="AB82" s="311"/>
      <c r="AC82" s="311"/>
      <c r="AD82" s="311"/>
      <c r="AE82" s="311"/>
      <c r="AF82" s="311"/>
      <c r="AG82" s="311"/>
      <c r="AH82" s="311"/>
      <c r="AI82" s="311"/>
      <c r="AJ82" s="311"/>
      <c r="AK82" s="311"/>
      <c r="AL82" s="311"/>
      <c r="AM82" s="311"/>
      <c r="AN82" s="311"/>
      <c r="AO82" s="74"/>
      <c r="AP82" s="311"/>
    </row>
    <row r="83" spans="2:42" x14ac:dyDescent="0.25">
      <c r="C83" s="20" t="s">
        <v>600</v>
      </c>
      <c r="D83" s="34" t="s">
        <v>29</v>
      </c>
      <c r="E83" s="336" cm="1">
        <f t="array" ref="E83">_xlfn.IFS(Forecasting_Scenario=Base,2/3,Forecasting_Scenario=Aggressive,68%,Forecasting_Scenario=Conservative,66%)</f>
        <v>0.66666666666666663</v>
      </c>
      <c r="F83" s="336" cm="1">
        <f t="array" ref="F83">E83+_xlfn.IFS(Forecasting_Scenario=Base,1.5%,Forecasting_Scenario=Aggressive,2.67%,Forecasting_Scenario=Conservative,1%)</f>
        <v>0.68166666666666664</v>
      </c>
      <c r="G83" s="336" cm="1">
        <f t="array" ref="G83">F83+_xlfn.IFS(Forecasting_Scenario=Base,2.5%,Forecasting_Scenario=Aggressive,3.67%,Forecasting_Scenario=Conservative,2%)</f>
        <v>0.70666666666666667</v>
      </c>
      <c r="H83" s="336" cm="1">
        <f t="array" ref="H83">G83+_xlfn.IFS(Forecasting_Scenario=Base,2.5%,Forecasting_Scenario=Aggressive,3.67%,Forecasting_Scenario=Conservative,2%)</f>
        <v>0.73166666666666669</v>
      </c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P83" s="22"/>
    </row>
    <row r="84" spans="2:42" x14ac:dyDescent="0.25">
      <c r="C84" s="20" t="s">
        <v>392</v>
      </c>
      <c r="D84" s="34" t="s">
        <v>29</v>
      </c>
      <c r="E84" s="336" cm="1">
        <f t="array" ref="E84">_xlfn.IFS(Forecasting_Scenario=Base,20%,Forecasting_Scenario=Aggressive,22.5%,Forecasting_Scenario=Conservative,18.5%)</f>
        <v>0.2</v>
      </c>
      <c r="F84" s="336" cm="1">
        <f t="array" ref="F84">E84+_xlfn.IFS(Forecasting_Scenario=Base,1.5%,Forecasting_Scenario=Aggressive,2.67%,Forecasting_Scenario=Conservative,1%)*25%</f>
        <v>0.20375000000000001</v>
      </c>
      <c r="G84" s="336" cm="1">
        <f t="array" ref="G84">F84+_xlfn.IFS(Forecasting_Scenario=Base,2.5%,Forecasting_Scenario=Aggressive,3.67%,Forecasting_Scenario=Conservative,2%)*25%</f>
        <v>0.21000000000000002</v>
      </c>
      <c r="H84" s="336" cm="1">
        <f t="array" ref="H84">G84++_xlfn.IFS(Forecasting_Scenario=Base,2.5%,Forecasting_Scenario=Aggressive,3.67%,Forecasting_Scenario=Conservative,2%)*25%</f>
        <v>0.21625000000000003</v>
      </c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P84" s="22"/>
    </row>
    <row r="85" spans="2:42" x14ac:dyDescent="0.25">
      <c r="C85" s="20" t="s">
        <v>454</v>
      </c>
      <c r="D85" s="34" t="s">
        <v>29</v>
      </c>
      <c r="E85" s="336" cm="1">
        <f t="array" ref="E85">_xlfn.IFS(Forecasting_Scenario=Base,50%,Forecasting_Scenario=Aggressive,51.67%,Forecasting_Scenario=Conservative,49%)</f>
        <v>0.5</v>
      </c>
      <c r="F85" s="336" cm="1">
        <f t="array" ref="F85">E85+_xlfn.IFS(Forecasting_Scenario=Base,1.5%,Forecasting_Scenario=Aggressive,2.67%,Forecasting_Scenario=Conservative,1%)*40%</f>
        <v>0.50600000000000001</v>
      </c>
      <c r="G85" s="336" cm="1">
        <f t="array" ref="G85">F85+_xlfn.IFS(Forecasting_Scenario=Base,2.5%,Forecasting_Scenario=Aggressive,3.67%,Forecasting_Scenario=Conservative,2%)*40%</f>
        <v>0.51600000000000001</v>
      </c>
      <c r="H85" s="336" cm="1">
        <f t="array" ref="H85">G85+_xlfn.IFS(Forecasting_Scenario=Base,2.5%,Forecasting_Scenario=Aggressive,3.67%,Forecasting_Scenario=Conservative,2%)*40%</f>
        <v>0.52600000000000002</v>
      </c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P85" s="22"/>
    </row>
    <row r="86" spans="2:42" x14ac:dyDescent="0.25">
      <c r="C86" s="21" t="s">
        <v>455</v>
      </c>
      <c r="D86" s="34" t="s">
        <v>29</v>
      </c>
      <c r="E86" s="336" cm="1">
        <f t="array" ref="E86">_xlfn.IFS(Forecasting_Scenario=Base,66.67%,Forecasting_Scenario=Aggressive,68%,Forecasting_Scenario=Conservative,66%)</f>
        <v>0.66670000000000007</v>
      </c>
      <c r="F86" s="336" cm="1">
        <f t="array" ref="F86">E86+_xlfn.IFS(Forecasting_Scenario=Base,1.5%,Forecasting_Scenario=Aggressive,2.67%,Forecasting_Scenario=Conservative,1%)</f>
        <v>0.68170000000000008</v>
      </c>
      <c r="G86" s="336" cm="1">
        <f t="array" ref="G86">F86+_xlfn.IFS(Forecasting_Scenario=Base,2.5%,Forecasting_Scenario=Aggressive,3.67%,Forecasting_Scenario=Conservative,2%)</f>
        <v>0.70670000000000011</v>
      </c>
      <c r="H86" s="336" cm="1">
        <f t="array" ref="H86">G86+_xlfn.IFS(Forecasting_Scenario=Base,2.5%,Forecasting_Scenario=Aggressive,3.67%,Forecasting_Scenario=Conservative,2%)</f>
        <v>0.73170000000000013</v>
      </c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P86" s="22"/>
    </row>
    <row r="87" spans="2:42" x14ac:dyDescent="0.25">
      <c r="C87" s="21" t="s">
        <v>393</v>
      </c>
      <c r="D87" s="34" t="s">
        <v>29</v>
      </c>
      <c r="E87" s="336" cm="1">
        <f t="array" ref="E87">_xlfn.IFS(Forecasting_Scenario=Base,85%,Forecasting_Scenario=Aggressive,86.5%,Forecasting_Scenario=Conservative,84%)</f>
        <v>0.85</v>
      </c>
      <c r="F87" s="336" cm="1">
        <f t="array" ref="F87">E87+_xlfn.IFS(Forecasting_Scenario=Base,1.5%,Forecasting_Scenario=Aggressive,2.67%,Forecasting_Scenario=Conservative,1%)*125%</f>
        <v>0.86875000000000002</v>
      </c>
      <c r="G87" s="336" cm="1">
        <f t="array" ref="G87">F87+_xlfn.IFS(Forecasting_Scenario=Base,2.5%,Forecasting_Scenario=Aggressive,3.67%,Forecasting_Scenario=Conservative,2%)*125%</f>
        <v>0.9</v>
      </c>
      <c r="H87" s="336" cm="1">
        <f t="array" ref="H87">G87+_xlfn.IFS(Forecasting_Scenario=Base,2.5%,Forecasting_Scenario=Aggressive,3.67%,Forecasting_Scenario=Conservative,2%)*125%</f>
        <v>0.93125000000000002</v>
      </c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P87" s="22"/>
    </row>
    <row r="88" spans="2:42" x14ac:dyDescent="0.25">
      <c r="C88" s="21" t="s">
        <v>456</v>
      </c>
      <c r="D88" s="34" t="s">
        <v>29</v>
      </c>
      <c r="E88" s="336" cm="1">
        <f t="array" ref="E88">_xlfn.IFS(Forecasting_Scenario=Base,35%,Forecasting_Scenario=Aggressive,36.67%,Forecasting_Scenario=Conservative,34%)</f>
        <v>0.35</v>
      </c>
      <c r="F88" s="336" cm="1">
        <f t="array" ref="F88">E88+_xlfn.IFS(Forecasting_Scenario=Base,1.5%,Forecasting_Scenario=Aggressive,2.67%,Forecasting_Scenario=Conservative,1%)*40%</f>
        <v>0.35599999999999998</v>
      </c>
      <c r="G88" s="336" cm="1">
        <f t="array" ref="G88">F88++_xlfn.IFS(Forecasting_Scenario=Base,2.5%,Forecasting_Scenario=Aggressive,3.67%,Forecasting_Scenario=Conservative,2%)*40%</f>
        <v>0.36599999999999999</v>
      </c>
      <c r="H88" s="336" cm="1">
        <f t="array" ref="H88">G88+_xlfn.IFS(Forecasting_Scenario=Base,2.5%,Forecasting_Scenario=Aggressive,3.67%,Forecasting_Scenario=Conservative,2%)*40%</f>
        <v>0.376</v>
      </c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P88" s="22"/>
    </row>
    <row r="89" spans="2:42" x14ac:dyDescent="0.25">
      <c r="B89" s="33" t="s">
        <v>9</v>
      </c>
      <c r="C89" s="311" t="str">
        <f>'4.2 Sector Mapping'!$B$9</f>
        <v>Healthcare</v>
      </c>
      <c r="D89" s="318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11"/>
      <c r="AA89" s="311"/>
      <c r="AB89" s="311"/>
      <c r="AC89" s="311"/>
      <c r="AD89" s="311"/>
      <c r="AE89" s="311"/>
      <c r="AF89" s="311"/>
      <c r="AG89" s="311"/>
      <c r="AH89" s="311"/>
      <c r="AI89" s="311"/>
      <c r="AJ89" s="311"/>
      <c r="AK89" s="311"/>
      <c r="AL89" s="311"/>
      <c r="AM89" s="311"/>
      <c r="AN89" s="311"/>
      <c r="AO89" s="74"/>
      <c r="AP89" s="311"/>
    </row>
    <row r="90" spans="2:42" x14ac:dyDescent="0.25">
      <c r="C90" s="20" t="s">
        <v>600</v>
      </c>
      <c r="D90" s="34" t="s">
        <v>29</v>
      </c>
      <c r="E90" s="336" cm="1">
        <f t="array" ref="E90">_xlfn.IFS(Forecasting_Scenario=Base,40%,Forecasting_Scenario=Aggressive,41.67%,Forecasting_Scenario=Conservative,38%)</f>
        <v>0.4</v>
      </c>
      <c r="F90" s="336" cm="1">
        <f t="array" ref="F90">E90+_xlfn.IFS(Forecasting_Scenario=Base,1.5%,Forecasting_Scenario=Aggressive,2.67%,Forecasting_Scenario=Conservative,1%)</f>
        <v>0.41500000000000004</v>
      </c>
      <c r="G90" s="336" cm="1">
        <f t="array" ref="G90">F90+_xlfn.IFS(Forecasting_Scenario=Base,2.5%,Forecasting_Scenario=Aggressive,3.67%,Forecasting_Scenario=Conservative,2%)</f>
        <v>0.44000000000000006</v>
      </c>
      <c r="H90" s="336" cm="1">
        <f t="array" ref="H90">G90+_xlfn.IFS(Forecasting_Scenario=Base,2.5%,Forecasting_Scenario=Aggressive,3.67%,Forecasting_Scenario=Conservative,2%)</f>
        <v>0.46500000000000008</v>
      </c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P90" s="22"/>
    </row>
    <row r="91" spans="2:42" x14ac:dyDescent="0.25">
      <c r="C91" s="20" t="s">
        <v>392</v>
      </c>
      <c r="D91" s="34" t="s">
        <v>29</v>
      </c>
      <c r="E91" s="336" cm="1">
        <f t="array" ref="E91">_xlfn.IFS(Forecasting_Scenario=Base,15%,Forecasting_Scenario=Aggressive,16.67%,Forecasting_Scenario=Conservative,14%)</f>
        <v>0.15</v>
      </c>
      <c r="F91" s="336" cm="1">
        <f t="array" ref="F91">E91+_xlfn.IFS(Forecasting_Scenario=Base,1.5%,Forecasting_Scenario=Aggressive,2.67%,Forecasting_Scenario=Conservative,1%)*25%</f>
        <v>0.15375</v>
      </c>
      <c r="G91" s="336" cm="1">
        <f t="array" ref="G91">F91+_xlfn.IFS(Forecasting_Scenario=Base,2.5%,Forecasting_Scenario=Aggressive,3.67%,Forecasting_Scenario=Conservative,2%)*25%</f>
        <v>0.16</v>
      </c>
      <c r="H91" s="336" cm="1">
        <f t="array" ref="H91">G91++_xlfn.IFS(Forecasting_Scenario=Base,2.5%,Forecasting_Scenario=Aggressive,3.67%,Forecasting_Scenario=Conservative,2%)*25%</f>
        <v>0.16625000000000001</v>
      </c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P91" s="22"/>
    </row>
    <row r="92" spans="2:42" x14ac:dyDescent="0.25">
      <c r="C92" s="20" t="s">
        <v>454</v>
      </c>
      <c r="D92" s="34" t="s">
        <v>29</v>
      </c>
      <c r="E92" s="336" cm="1">
        <f t="array" ref="E92">_xlfn.IFS(Forecasting_Scenario=Base,35%,Forecasting_Scenario=Aggressive,36.67%,Forecasting_Scenario=Conservative,34%)</f>
        <v>0.35</v>
      </c>
      <c r="F92" s="336" cm="1">
        <f t="array" ref="F92">E92+_xlfn.IFS(Forecasting_Scenario=Base,1.5%,Forecasting_Scenario=Aggressive,2.67%,Forecasting_Scenario=Conservative,1%)*40%</f>
        <v>0.35599999999999998</v>
      </c>
      <c r="G92" s="336" cm="1">
        <f t="array" ref="G92">F92+_xlfn.IFS(Forecasting_Scenario=Base,2.5%,Forecasting_Scenario=Aggressive,3.67%,Forecasting_Scenario=Conservative,2%)*40%</f>
        <v>0.36599999999999999</v>
      </c>
      <c r="H92" s="336" cm="1">
        <f t="array" ref="H92">G92+_xlfn.IFS(Forecasting_Scenario=Base,2.5%,Forecasting_Scenario=Aggressive,3.67%,Forecasting_Scenario=Conservative,2%)*40%</f>
        <v>0.376</v>
      </c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P92" s="22"/>
    </row>
    <row r="93" spans="2:42" x14ac:dyDescent="0.25">
      <c r="C93" s="21" t="s">
        <v>455</v>
      </c>
      <c r="D93" s="34" t="s">
        <v>29</v>
      </c>
      <c r="E93" s="336" cm="1">
        <f t="array" ref="E93">_xlfn.IFS(Forecasting_Scenario=Base,50%,Forecasting_Scenario=Aggressive,52.5%,Forecasting_Scenario=Conservative,48%)</f>
        <v>0.5</v>
      </c>
      <c r="F93" s="336" cm="1">
        <f t="array" ref="F93">E93+_xlfn.IFS(Forecasting_Scenario=Base,1.5%,Forecasting_Scenario=Aggressive,2.67%,Forecasting_Scenario=Conservative,1%)</f>
        <v>0.51500000000000001</v>
      </c>
      <c r="G93" s="336" cm="1">
        <f t="array" ref="G93">F93+_xlfn.IFS(Forecasting_Scenario=Base,2.5%,Forecasting_Scenario=Aggressive,3.67%,Forecasting_Scenario=Conservative,2%)</f>
        <v>0.54</v>
      </c>
      <c r="H93" s="336" cm="1">
        <f t="array" ref="H93">G93+_xlfn.IFS(Forecasting_Scenario=Base,2.5%,Forecasting_Scenario=Aggressive,3.67%,Forecasting_Scenario=Conservative,2%)</f>
        <v>0.56500000000000006</v>
      </c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P93" s="22"/>
    </row>
    <row r="94" spans="2:42" x14ac:dyDescent="0.25">
      <c r="C94" s="21" t="s">
        <v>393</v>
      </c>
      <c r="D94" s="34" t="s">
        <v>29</v>
      </c>
      <c r="E94" s="336" cm="1">
        <f t="array" ref="E94">_xlfn.IFS(Forecasting_Scenario=Base,70%,Forecasting_Scenario=Aggressive,72.5%,Forecasting_Scenario=Conservative,68%)</f>
        <v>0.7</v>
      </c>
      <c r="F94" s="336" cm="1">
        <f t="array" ref="F94">E94+_xlfn.IFS(Forecasting_Scenario=Base,1.5%,Forecasting_Scenario=Aggressive,2.67%,Forecasting_Scenario=Conservative,1%)*125%</f>
        <v>0.71875</v>
      </c>
      <c r="G94" s="336" cm="1">
        <f t="array" ref="G94">F94+_xlfn.IFS(Forecasting_Scenario=Base,2.5%,Forecasting_Scenario=Aggressive,3.67%,Forecasting_Scenario=Conservative,2%)*125%</f>
        <v>0.75</v>
      </c>
      <c r="H94" s="336" cm="1">
        <f t="array" ref="H94">G94+_xlfn.IFS(Forecasting_Scenario=Base,2.5%,Forecasting_Scenario=Aggressive,3.67%,Forecasting_Scenario=Conservative,2%)*125%</f>
        <v>0.78125</v>
      </c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P94" s="22"/>
    </row>
    <row r="95" spans="2:42" x14ac:dyDescent="0.25">
      <c r="C95" s="21" t="s">
        <v>456</v>
      </c>
      <c r="D95" s="34" t="s">
        <v>29</v>
      </c>
      <c r="E95" s="336" cm="1">
        <f t="array" ref="E95">_xlfn.IFS(Forecasting_Scenario=Base,30%,Forecasting_Scenario=Aggressive,31.67%,Forecasting_Scenario=Conservative,29%)</f>
        <v>0.3</v>
      </c>
      <c r="F95" s="336" cm="1">
        <f t="array" ref="F95">E95+_xlfn.IFS(Forecasting_Scenario=Base,1.5%,Forecasting_Scenario=Aggressive,2.67%,Forecasting_Scenario=Conservative,1%)*40%</f>
        <v>0.30599999999999999</v>
      </c>
      <c r="G95" s="336" cm="1">
        <f t="array" ref="G95">F95++_xlfn.IFS(Forecasting_Scenario=Base,2.5%,Forecasting_Scenario=Aggressive,3.67%,Forecasting_Scenario=Conservative,2%)*40%</f>
        <v>0.316</v>
      </c>
      <c r="H95" s="336" cm="1">
        <f t="array" ref="H95">G95+_xlfn.IFS(Forecasting_Scenario=Base,2.5%,Forecasting_Scenario=Aggressive,3.67%,Forecasting_Scenario=Conservative,2%)*40%</f>
        <v>0.32600000000000001</v>
      </c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P95" s="22"/>
    </row>
    <row r="96" spans="2:42" x14ac:dyDescent="0.25">
      <c r="B96" s="33" t="s">
        <v>9</v>
      </c>
      <c r="C96" s="311" t="str">
        <f>'4.2 Sector Mapping'!$B$10</f>
        <v>Industrials and Services</v>
      </c>
      <c r="D96" s="318"/>
      <c r="E96" s="311"/>
      <c r="F96" s="311"/>
      <c r="G96" s="311"/>
      <c r="H96" s="311"/>
      <c r="I96" s="311"/>
      <c r="J96" s="311"/>
      <c r="K96" s="311"/>
      <c r="L96" s="311"/>
      <c r="M96" s="311"/>
      <c r="N96" s="311"/>
      <c r="O96" s="311"/>
      <c r="P96" s="311"/>
      <c r="Q96" s="311"/>
      <c r="R96" s="311"/>
      <c r="S96" s="311"/>
      <c r="T96" s="311"/>
      <c r="U96" s="311"/>
      <c r="V96" s="311"/>
      <c r="W96" s="311"/>
      <c r="X96" s="311"/>
      <c r="Y96" s="311"/>
      <c r="Z96" s="311"/>
      <c r="AA96" s="311"/>
      <c r="AB96" s="311"/>
      <c r="AC96" s="311"/>
      <c r="AD96" s="311"/>
      <c r="AE96" s="311"/>
      <c r="AF96" s="311"/>
      <c r="AG96" s="311"/>
      <c r="AH96" s="311"/>
      <c r="AI96" s="311"/>
      <c r="AJ96" s="311"/>
      <c r="AK96" s="311"/>
      <c r="AL96" s="311"/>
      <c r="AM96" s="311"/>
      <c r="AN96" s="311"/>
      <c r="AO96" s="74"/>
      <c r="AP96" s="311"/>
    </row>
    <row r="97" spans="2:42" x14ac:dyDescent="0.25">
      <c r="C97" s="20" t="s">
        <v>600</v>
      </c>
      <c r="D97" s="34" t="s">
        <v>29</v>
      </c>
      <c r="E97" s="336" cm="1">
        <f t="array" ref="E97">_xlfn.IFS(Forecasting_Scenario=Base,50%,Forecasting_Scenario=Aggressive,52.5%,Forecasting_Scenario=Conservative,48%)</f>
        <v>0.5</v>
      </c>
      <c r="F97" s="336" cm="1">
        <f t="array" ref="F97">E97+_xlfn.IFS(Forecasting_Scenario=Base,1.5%,Forecasting_Scenario=Aggressive,2.67%,Forecasting_Scenario=Conservative,1%)</f>
        <v>0.51500000000000001</v>
      </c>
      <c r="G97" s="336" cm="1">
        <f t="array" ref="G97">F97+_xlfn.IFS(Forecasting_Scenario=Base,2.5%,Forecasting_Scenario=Aggressive,3.67%,Forecasting_Scenario=Conservative,2%)</f>
        <v>0.54</v>
      </c>
      <c r="H97" s="336" cm="1">
        <f t="array" ref="H97">G97+_xlfn.IFS(Forecasting_Scenario=Base,2.5%,Forecasting_Scenario=Aggressive,3.67%,Forecasting_Scenario=Conservative,2%)</f>
        <v>0.56500000000000006</v>
      </c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P97" s="22"/>
    </row>
    <row r="98" spans="2:42" x14ac:dyDescent="0.25">
      <c r="C98" s="20" t="s">
        <v>392</v>
      </c>
      <c r="D98" s="34" t="s">
        <v>29</v>
      </c>
      <c r="E98" s="336" cm="1">
        <f t="array" ref="E98">_xlfn.IFS(Forecasting_Scenario=Base,12.5%,Forecasting_Scenario=Aggressive,13.67%,Forecasting_Scenario=Conservative,11%)</f>
        <v>0.125</v>
      </c>
      <c r="F98" s="336" cm="1">
        <f t="array" ref="F98">E98+_xlfn.IFS(Forecasting_Scenario=Base,1.5%,Forecasting_Scenario=Aggressive,2.67%,Forecasting_Scenario=Conservative,1%)*25%</f>
        <v>0.12875</v>
      </c>
      <c r="G98" s="336" cm="1">
        <f t="array" ref="G98">F98+_xlfn.IFS(Forecasting_Scenario=Base,2.5%,Forecasting_Scenario=Aggressive,3.67%,Forecasting_Scenario=Conservative,2%)*25%</f>
        <v>0.13500000000000001</v>
      </c>
      <c r="H98" s="336" cm="1">
        <f t="array" ref="H98">G98++_xlfn.IFS(Forecasting_Scenario=Base,2.5%,Forecasting_Scenario=Aggressive,3.67%,Forecasting_Scenario=Conservative,2%)*25%</f>
        <v>0.14125000000000001</v>
      </c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P98" s="22"/>
    </row>
    <row r="99" spans="2:42" x14ac:dyDescent="0.25">
      <c r="C99" s="20" t="s">
        <v>454</v>
      </c>
      <c r="D99" s="34" t="s">
        <v>29</v>
      </c>
      <c r="E99" s="336" cm="1">
        <f t="array" ref="E99">_xlfn.IFS(Forecasting_Scenario=Base,25%,Forecasting_Scenario=Aggressive,27%,Forecasting_Scenario=Conservative,23.33%)</f>
        <v>0.25</v>
      </c>
      <c r="F99" s="336" cm="1">
        <f t="array" ref="F99">E99+_xlfn.IFS(Forecasting_Scenario=Base,1.5%,Forecasting_Scenario=Aggressive,2.67%,Forecasting_Scenario=Conservative,1%)*40%</f>
        <v>0.25600000000000001</v>
      </c>
      <c r="G99" s="336" cm="1">
        <f t="array" ref="G99">F99+_xlfn.IFS(Forecasting_Scenario=Base,2.5%,Forecasting_Scenario=Aggressive,3.67%,Forecasting_Scenario=Conservative,2%)*40%</f>
        <v>0.26600000000000001</v>
      </c>
      <c r="H99" s="336" cm="1">
        <f t="array" ref="H99">G99+_xlfn.IFS(Forecasting_Scenario=Base,2.5%,Forecasting_Scenario=Aggressive,3.67%,Forecasting_Scenario=Conservative,2%)*40%</f>
        <v>0.27600000000000002</v>
      </c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P99" s="22"/>
    </row>
    <row r="100" spans="2:42" x14ac:dyDescent="0.25">
      <c r="C100" s="21" t="s">
        <v>455</v>
      </c>
      <c r="D100" s="34" t="s">
        <v>29</v>
      </c>
      <c r="E100" s="336" cm="1">
        <f t="array" ref="E100">_xlfn.IFS(Forecasting_Scenario=Base,66.67%,Forecasting_Scenario=Aggressive,68%,Forecasting_Scenario=Conservative,65%)</f>
        <v>0.66670000000000007</v>
      </c>
      <c r="F100" s="336" cm="1">
        <f t="array" ref="F100">E100+_xlfn.IFS(Forecasting_Scenario=Base,1.5%,Forecasting_Scenario=Aggressive,2.67%,Forecasting_Scenario=Conservative,1%)</f>
        <v>0.68170000000000008</v>
      </c>
      <c r="G100" s="336" cm="1">
        <f t="array" ref="G100">F100+_xlfn.IFS(Forecasting_Scenario=Base,2.5%,Forecasting_Scenario=Aggressive,3.67%,Forecasting_Scenario=Conservative,2%)</f>
        <v>0.70670000000000011</v>
      </c>
      <c r="H100" s="336" cm="1">
        <f t="array" ref="H100">G100+_xlfn.IFS(Forecasting_Scenario=Base,2.5%,Forecasting_Scenario=Aggressive,3.67%,Forecasting_Scenario=Conservative,2%)</f>
        <v>0.73170000000000013</v>
      </c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P100" s="22"/>
    </row>
    <row r="101" spans="2:42" x14ac:dyDescent="0.25">
      <c r="C101" s="21" t="s">
        <v>393</v>
      </c>
      <c r="D101" s="34" t="s">
        <v>29</v>
      </c>
      <c r="E101" s="336" cm="1">
        <f t="array" ref="E101">_xlfn.IFS(Forecasting_Scenario=Base,75%,Forecasting_Scenario=Aggressive,77.5%,Forecasting_Scenario=Conservative,73%)</f>
        <v>0.75</v>
      </c>
      <c r="F101" s="336" cm="1">
        <f t="array" ref="F101">E101+_xlfn.IFS(Forecasting_Scenario=Base,1.5%,Forecasting_Scenario=Aggressive,2.67%,Forecasting_Scenario=Conservative,1%)*125%</f>
        <v>0.76875000000000004</v>
      </c>
      <c r="G101" s="336" cm="1">
        <f t="array" ref="G101">F101+_xlfn.IFS(Forecasting_Scenario=Base,2.5%,Forecasting_Scenario=Aggressive,3.67%,Forecasting_Scenario=Conservative,2%)*125%</f>
        <v>0.8</v>
      </c>
      <c r="H101" s="336" cm="1">
        <f t="array" ref="H101">G101+_xlfn.IFS(Forecasting_Scenario=Base,2.5%,Forecasting_Scenario=Aggressive,3.67%,Forecasting_Scenario=Conservative,2%)*125%</f>
        <v>0.83125000000000004</v>
      </c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P101" s="22"/>
    </row>
    <row r="102" spans="2:42" x14ac:dyDescent="0.25">
      <c r="C102" s="21" t="s">
        <v>456</v>
      </c>
      <c r="D102" s="34" t="s">
        <v>29</v>
      </c>
      <c r="E102" s="336" cm="1">
        <f t="array" ref="E102">_xlfn.IFS(Forecasting_Scenario=Base,35%,Forecasting_Scenario=Aggressive,36.67%,Forecasting_Scenario=Conservative,33.33%)</f>
        <v>0.35</v>
      </c>
      <c r="F102" s="336" cm="1">
        <f t="array" ref="F102">E102+_xlfn.IFS(Forecasting_Scenario=Base,1.5%,Forecasting_Scenario=Aggressive,2.67%,Forecasting_Scenario=Conservative,1%)*40%</f>
        <v>0.35599999999999998</v>
      </c>
      <c r="G102" s="336" cm="1">
        <f t="array" ref="G102">F102++_xlfn.IFS(Forecasting_Scenario=Base,2.5%,Forecasting_Scenario=Aggressive,3.67%,Forecasting_Scenario=Conservative,2%)*40%</f>
        <v>0.36599999999999999</v>
      </c>
      <c r="H102" s="336" cm="1">
        <f t="array" ref="H102">G102+_xlfn.IFS(Forecasting_Scenario=Base,2.5%,Forecasting_Scenario=Aggressive,3.67%,Forecasting_Scenario=Conservative,2%)*40%</f>
        <v>0.376</v>
      </c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P102" s="22"/>
    </row>
    <row r="103" spans="2:42" x14ac:dyDescent="0.25">
      <c r="B103" s="33" t="s">
        <v>9</v>
      </c>
      <c r="C103" s="311" t="str">
        <f>'4.2 Sector Mapping'!$B$11</f>
        <v>Professional Services: Human Resources, Education, Consulting, Legal</v>
      </c>
      <c r="D103" s="318"/>
      <c r="E103" s="311"/>
      <c r="F103" s="311"/>
      <c r="G103" s="311"/>
      <c r="H103" s="311"/>
      <c r="I103" s="311"/>
      <c r="J103" s="311"/>
      <c r="K103" s="311"/>
      <c r="L103" s="311"/>
      <c r="M103" s="311"/>
      <c r="N103" s="311"/>
      <c r="O103" s="311"/>
      <c r="P103" s="311"/>
      <c r="Q103" s="311"/>
      <c r="R103" s="311"/>
      <c r="S103" s="311"/>
      <c r="T103" s="311"/>
      <c r="U103" s="311"/>
      <c r="V103" s="311"/>
      <c r="W103" s="311"/>
      <c r="X103" s="311"/>
      <c r="Y103" s="311"/>
      <c r="Z103" s="311"/>
      <c r="AA103" s="311"/>
      <c r="AB103" s="311"/>
      <c r="AC103" s="311"/>
      <c r="AD103" s="311"/>
      <c r="AE103" s="311"/>
      <c r="AF103" s="311"/>
      <c r="AG103" s="311"/>
      <c r="AH103" s="311"/>
      <c r="AI103" s="311"/>
      <c r="AJ103" s="311"/>
      <c r="AK103" s="311"/>
      <c r="AL103" s="311"/>
      <c r="AM103" s="311"/>
      <c r="AN103" s="311"/>
      <c r="AO103" s="74"/>
      <c r="AP103" s="311"/>
    </row>
    <row r="104" spans="2:42" x14ac:dyDescent="0.25">
      <c r="C104" s="20" t="s">
        <v>600</v>
      </c>
      <c r="D104" s="34" t="s">
        <v>29</v>
      </c>
      <c r="E104" s="336" cm="1">
        <f t="array" ref="E104">_xlfn.IFS(Forecasting_Scenario=Base,50%,Forecasting_Scenario=Aggressive,52.5%,Forecasting_Scenario=Conservative,48%)</f>
        <v>0.5</v>
      </c>
      <c r="F104" s="336" cm="1">
        <f t="array" ref="F104">E104+_xlfn.IFS(Forecasting_Scenario=Base,1.5%,Forecasting_Scenario=Aggressive,2.67%,Forecasting_Scenario=Conservative,1%)</f>
        <v>0.51500000000000001</v>
      </c>
      <c r="G104" s="336" cm="1">
        <f t="array" ref="G104">F104+_xlfn.IFS(Forecasting_Scenario=Base,2.5%,Forecasting_Scenario=Aggressive,3.67%,Forecasting_Scenario=Conservative,2%)</f>
        <v>0.54</v>
      </c>
      <c r="H104" s="336" cm="1">
        <f t="array" ref="H104">G104+_xlfn.IFS(Forecasting_Scenario=Base,2.5%,Forecasting_Scenario=Aggressive,3.67%,Forecasting_Scenario=Conservative,2%)</f>
        <v>0.56500000000000006</v>
      </c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P104" s="22"/>
    </row>
    <row r="105" spans="2:42" x14ac:dyDescent="0.25">
      <c r="C105" s="20" t="s">
        <v>392</v>
      </c>
      <c r="D105" s="34" t="s">
        <v>29</v>
      </c>
      <c r="E105" s="336" cm="1">
        <f t="array" ref="E105">_xlfn.IFS(Forecasting_Scenario=Base,12.5%,Forecasting_Scenario=Aggressive,13.67%,Forecasting_Scenario=Conservative,11%)</f>
        <v>0.125</v>
      </c>
      <c r="F105" s="336" cm="1">
        <f t="array" ref="F105">E105+_xlfn.IFS(Forecasting_Scenario=Base,1.5%,Forecasting_Scenario=Aggressive,2.67%,Forecasting_Scenario=Conservative,1%)*25%</f>
        <v>0.12875</v>
      </c>
      <c r="G105" s="336" cm="1">
        <f t="array" ref="G105">F105+_xlfn.IFS(Forecasting_Scenario=Base,2.5%,Forecasting_Scenario=Aggressive,3.67%,Forecasting_Scenario=Conservative,2%)*25%</f>
        <v>0.13500000000000001</v>
      </c>
      <c r="H105" s="336" cm="1">
        <f t="array" ref="H105">G105++_xlfn.IFS(Forecasting_Scenario=Base,2.5%,Forecasting_Scenario=Aggressive,3.67%,Forecasting_Scenario=Conservative,2%)*25%</f>
        <v>0.14125000000000001</v>
      </c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P105" s="22"/>
    </row>
    <row r="106" spans="2:42" x14ac:dyDescent="0.25">
      <c r="C106" s="20" t="s">
        <v>454</v>
      </c>
      <c r="D106" s="34" t="s">
        <v>29</v>
      </c>
      <c r="E106" s="336" cm="1">
        <f t="array" ref="E106">_xlfn.IFS(Forecasting_Scenario=Base,25%,Forecasting_Scenario=Aggressive,27%,Forecasting_Scenario=Conservative,23.33%)</f>
        <v>0.25</v>
      </c>
      <c r="F106" s="336" cm="1">
        <f t="array" ref="F106">E106+_xlfn.IFS(Forecasting_Scenario=Base,1.5%,Forecasting_Scenario=Aggressive,2.67%,Forecasting_Scenario=Conservative,1%)*40%</f>
        <v>0.25600000000000001</v>
      </c>
      <c r="G106" s="336" cm="1">
        <f t="array" ref="G106">F106+_xlfn.IFS(Forecasting_Scenario=Base,2.5%,Forecasting_Scenario=Aggressive,3.67%,Forecasting_Scenario=Conservative,2%)*40%</f>
        <v>0.26600000000000001</v>
      </c>
      <c r="H106" s="336" cm="1">
        <f t="array" ref="H106">G106+_xlfn.IFS(Forecasting_Scenario=Base,2.5%,Forecasting_Scenario=Aggressive,3.67%,Forecasting_Scenario=Conservative,2%)*40%</f>
        <v>0.27600000000000002</v>
      </c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P106" s="22"/>
    </row>
    <row r="107" spans="2:42" x14ac:dyDescent="0.25">
      <c r="C107" s="21" t="s">
        <v>455</v>
      </c>
      <c r="D107" s="34" t="s">
        <v>29</v>
      </c>
      <c r="E107" s="336" cm="1">
        <f t="array" ref="E107">_xlfn.IFS(Forecasting_Scenario=Base,66.67%,Forecasting_Scenario=Aggressive,68%,Forecasting_Scenario=Conservative,65%)</f>
        <v>0.66670000000000007</v>
      </c>
      <c r="F107" s="336" cm="1">
        <f t="array" ref="F107">E107+_xlfn.IFS(Forecasting_Scenario=Base,1.5%,Forecasting_Scenario=Aggressive,2.67%,Forecasting_Scenario=Conservative,1%)</f>
        <v>0.68170000000000008</v>
      </c>
      <c r="G107" s="336" cm="1">
        <f t="array" ref="G107">F107+_xlfn.IFS(Forecasting_Scenario=Base,2.5%,Forecasting_Scenario=Aggressive,3.67%,Forecasting_Scenario=Conservative,2%)</f>
        <v>0.70670000000000011</v>
      </c>
      <c r="H107" s="336" cm="1">
        <f t="array" ref="H107">G107+_xlfn.IFS(Forecasting_Scenario=Base,2.5%,Forecasting_Scenario=Aggressive,3.67%,Forecasting_Scenario=Conservative,2%)</f>
        <v>0.73170000000000013</v>
      </c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P107" s="22"/>
    </row>
    <row r="108" spans="2:42" x14ac:dyDescent="0.25">
      <c r="C108" s="21" t="s">
        <v>393</v>
      </c>
      <c r="D108" s="34" t="s">
        <v>29</v>
      </c>
      <c r="E108" s="336" cm="1">
        <f t="array" ref="E108">_xlfn.IFS(Forecasting_Scenario=Base,75%,Forecasting_Scenario=Aggressive,77.5%,Forecasting_Scenario=Conservative,73%)</f>
        <v>0.75</v>
      </c>
      <c r="F108" s="336" cm="1">
        <f t="array" ref="F108">E108+_xlfn.IFS(Forecasting_Scenario=Base,1.5%,Forecasting_Scenario=Aggressive,2.67%,Forecasting_Scenario=Conservative,1%)*125%</f>
        <v>0.76875000000000004</v>
      </c>
      <c r="G108" s="336" cm="1">
        <f t="array" ref="G108">F108+_xlfn.IFS(Forecasting_Scenario=Base,2.5%,Forecasting_Scenario=Aggressive,3.67%,Forecasting_Scenario=Conservative,2%)*125%</f>
        <v>0.8</v>
      </c>
      <c r="H108" s="336" cm="1">
        <f t="array" ref="H108">G108+_xlfn.IFS(Forecasting_Scenario=Base,2.5%,Forecasting_Scenario=Aggressive,3.67%,Forecasting_Scenario=Conservative,2%)*125%</f>
        <v>0.83125000000000004</v>
      </c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P108" s="22"/>
    </row>
    <row r="109" spans="2:42" x14ac:dyDescent="0.25">
      <c r="C109" s="21" t="s">
        <v>456</v>
      </c>
      <c r="D109" s="34" t="s">
        <v>29</v>
      </c>
      <c r="E109" s="336" cm="1">
        <f t="array" ref="E109">_xlfn.IFS(Forecasting_Scenario=Base,35%,Forecasting_Scenario=Aggressive,36.67%,Forecasting_Scenario=Conservative,33.33%)</f>
        <v>0.35</v>
      </c>
      <c r="F109" s="336" cm="1">
        <f t="array" ref="F109">E109+_xlfn.IFS(Forecasting_Scenario=Base,1.5%,Forecasting_Scenario=Aggressive,2.67%,Forecasting_Scenario=Conservative,1%)*40%</f>
        <v>0.35599999999999998</v>
      </c>
      <c r="G109" s="336" cm="1">
        <f t="array" ref="G109">F109++_xlfn.IFS(Forecasting_Scenario=Base,2.5%,Forecasting_Scenario=Aggressive,3.67%,Forecasting_Scenario=Conservative,2%)*40%</f>
        <v>0.36599999999999999</v>
      </c>
      <c r="H109" s="336" cm="1">
        <f t="array" ref="H109">G109+_xlfn.IFS(Forecasting_Scenario=Base,2.5%,Forecasting_Scenario=Aggressive,3.67%,Forecasting_Scenario=Conservative,2%)*40%</f>
        <v>0.376</v>
      </c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P109" s="22"/>
    </row>
    <row r="110" spans="2:42" x14ac:dyDescent="0.25">
      <c r="B110" s="33" t="s">
        <v>9</v>
      </c>
      <c r="C110" s="311" t="str">
        <f>'4.2 Sector Mapping'!$B$12</f>
        <v>Public and Social Services</v>
      </c>
      <c r="D110" s="318"/>
      <c r="E110" s="311"/>
      <c r="F110" s="311"/>
      <c r="G110" s="311"/>
      <c r="H110" s="311"/>
      <c r="I110" s="311"/>
      <c r="J110" s="311"/>
      <c r="K110" s="311"/>
      <c r="L110" s="311"/>
      <c r="M110" s="311"/>
      <c r="N110" s="311"/>
      <c r="O110" s="311"/>
      <c r="P110" s="311"/>
      <c r="Q110" s="311"/>
      <c r="R110" s="311"/>
      <c r="S110" s="311"/>
      <c r="T110" s="311"/>
      <c r="U110" s="311"/>
      <c r="V110" s="311"/>
      <c r="W110" s="311"/>
      <c r="X110" s="311"/>
      <c r="Y110" s="311"/>
      <c r="Z110" s="311"/>
      <c r="AA110" s="311"/>
      <c r="AB110" s="311"/>
      <c r="AC110" s="311"/>
      <c r="AD110" s="311"/>
      <c r="AE110" s="311"/>
      <c r="AF110" s="311"/>
      <c r="AG110" s="311"/>
      <c r="AH110" s="311"/>
      <c r="AI110" s="311"/>
      <c r="AJ110" s="311"/>
      <c r="AK110" s="311"/>
      <c r="AL110" s="311"/>
      <c r="AM110" s="311"/>
      <c r="AN110" s="311"/>
      <c r="AO110" s="74"/>
      <c r="AP110" s="311"/>
    </row>
    <row r="111" spans="2:42" x14ac:dyDescent="0.25">
      <c r="C111" s="20" t="s">
        <v>600</v>
      </c>
      <c r="D111" s="34" t="s">
        <v>29</v>
      </c>
      <c r="E111" s="336" cm="1">
        <f t="array" ref="E111">_xlfn.IFS(Forecasting_Scenario=Base,35%,Forecasting_Scenario=Aggressive,37.5%,Forecasting_Scenario=Conservative,33.33%)</f>
        <v>0.35</v>
      </c>
      <c r="F111" s="336" cm="1">
        <f t="array" ref="F111">E111+_xlfn.IFS(Forecasting_Scenario=Base,1.5%,Forecasting_Scenario=Aggressive,2.67%,Forecasting_Scenario=Conservative,1%)</f>
        <v>0.36499999999999999</v>
      </c>
      <c r="G111" s="336" cm="1">
        <f t="array" ref="G111">F111+_xlfn.IFS(Forecasting_Scenario=Base,2.5%,Forecasting_Scenario=Aggressive,3.67%,Forecasting_Scenario=Conservative,2%)</f>
        <v>0.39</v>
      </c>
      <c r="H111" s="336" cm="1">
        <f t="array" ref="H111">G111+_xlfn.IFS(Forecasting_Scenario=Base,2.5%,Forecasting_Scenario=Aggressive,3.67%,Forecasting_Scenario=Conservative,2%)</f>
        <v>0.41500000000000004</v>
      </c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P111" s="22"/>
    </row>
    <row r="112" spans="2:42" x14ac:dyDescent="0.25">
      <c r="C112" s="20" t="s">
        <v>392</v>
      </c>
      <c r="D112" s="34" t="s">
        <v>29</v>
      </c>
      <c r="E112" s="336" cm="1">
        <f t="array" ref="E112">_xlfn.IFS(Forecasting_Scenario=Base,10%,Forecasting_Scenario=Aggressive,12.5%,Forecasting_Scenario=Conservative,8%)</f>
        <v>0.1</v>
      </c>
      <c r="F112" s="336" cm="1">
        <f t="array" ref="F112">E112+_xlfn.IFS(Forecasting_Scenario=Base,1.5%,Forecasting_Scenario=Aggressive,2.67%,Forecasting_Scenario=Conservative,1%)*25%</f>
        <v>0.10375000000000001</v>
      </c>
      <c r="G112" s="336" cm="1">
        <f t="array" ref="G112">F112+_xlfn.IFS(Forecasting_Scenario=Base,2.5%,Forecasting_Scenario=Aggressive,3.67%,Forecasting_Scenario=Conservative,2%)*25%</f>
        <v>0.11000000000000001</v>
      </c>
      <c r="H112" s="336" cm="1">
        <f t="array" ref="H112">G112++_xlfn.IFS(Forecasting_Scenario=Base,2.5%,Forecasting_Scenario=Aggressive,3.67%,Forecasting_Scenario=Conservative,2%)*25%</f>
        <v>0.11625000000000002</v>
      </c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P112" s="22"/>
    </row>
    <row r="113" spans="2:42" x14ac:dyDescent="0.25">
      <c r="C113" s="20" t="s">
        <v>454</v>
      </c>
      <c r="D113" s="34" t="s">
        <v>29</v>
      </c>
      <c r="E113" s="336" cm="1">
        <f t="array" ref="E113">_xlfn.IFS(Forecasting_Scenario=Base,30%,Forecasting_Scenario=Aggressive,32.5%,Forecasting_Scenario=Conservative,28%)</f>
        <v>0.3</v>
      </c>
      <c r="F113" s="336" cm="1">
        <f t="array" ref="F113">E113+_xlfn.IFS(Forecasting_Scenario=Base,1.5%,Forecasting_Scenario=Aggressive,2.67%,Forecasting_Scenario=Conservative,1%)*40%</f>
        <v>0.30599999999999999</v>
      </c>
      <c r="G113" s="336" cm="1">
        <f t="array" ref="G113">F113+_xlfn.IFS(Forecasting_Scenario=Base,2.5%,Forecasting_Scenario=Aggressive,3.67%,Forecasting_Scenario=Conservative,2%)*40%</f>
        <v>0.316</v>
      </c>
      <c r="H113" s="336" cm="1">
        <f t="array" ref="H113">G113+_xlfn.IFS(Forecasting_Scenario=Base,2.5%,Forecasting_Scenario=Aggressive,3.67%,Forecasting_Scenario=Conservative,2%)*40%</f>
        <v>0.32600000000000001</v>
      </c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P113" s="22"/>
    </row>
    <row r="114" spans="2:42" x14ac:dyDescent="0.25">
      <c r="C114" s="21" t="s">
        <v>455</v>
      </c>
      <c r="D114" s="34" t="s">
        <v>29</v>
      </c>
      <c r="E114" s="336" cm="1">
        <f t="array" ref="E114">_xlfn.IFS(Forecasting_Scenario=Base,45%,Forecasting_Scenario=Aggressive,46.67%,Forecasting_Scenario=Conservative,44%)</f>
        <v>0.45</v>
      </c>
      <c r="F114" s="336" cm="1">
        <f t="array" ref="F114">E114+_xlfn.IFS(Forecasting_Scenario=Base,1.5%,Forecasting_Scenario=Aggressive,2.67%,Forecasting_Scenario=Conservative,1%)</f>
        <v>0.46500000000000002</v>
      </c>
      <c r="G114" s="336" cm="1">
        <f t="array" ref="G114">F114+_xlfn.IFS(Forecasting_Scenario=Base,2.5%,Forecasting_Scenario=Aggressive,3.67%,Forecasting_Scenario=Conservative,2%)</f>
        <v>0.49000000000000005</v>
      </c>
      <c r="H114" s="336" cm="1">
        <f t="array" ref="H114">G114+_xlfn.IFS(Forecasting_Scenario=Base,2.5%,Forecasting_Scenario=Aggressive,3.67%,Forecasting_Scenario=Conservative,2%)</f>
        <v>0.51500000000000001</v>
      </c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P114" s="22"/>
    </row>
    <row r="115" spans="2:42" x14ac:dyDescent="0.25">
      <c r="C115" s="21" t="s">
        <v>393</v>
      </c>
      <c r="D115" s="34" t="s">
        <v>29</v>
      </c>
      <c r="E115" s="336" cm="1">
        <f t="array" ref="E115">_xlfn.IFS(Forecasting_Scenario=Base,60%,Forecasting_Scenario=Aggressive,62.5%,Forecasting_Scenario=Conservative,58%)</f>
        <v>0.6</v>
      </c>
      <c r="F115" s="336" cm="1">
        <f t="array" ref="F115">E115+_xlfn.IFS(Forecasting_Scenario=Base,1.5%,Forecasting_Scenario=Aggressive,2.67%,Forecasting_Scenario=Conservative,1%)*125%</f>
        <v>0.61875000000000002</v>
      </c>
      <c r="G115" s="336" cm="1">
        <f t="array" ref="G115">F115+_xlfn.IFS(Forecasting_Scenario=Base,2.5%,Forecasting_Scenario=Aggressive,3.67%,Forecasting_Scenario=Conservative,2%)*125%</f>
        <v>0.65</v>
      </c>
      <c r="H115" s="336" cm="1">
        <f t="array" ref="H115">G115+_xlfn.IFS(Forecasting_Scenario=Base,2.5%,Forecasting_Scenario=Aggressive,3.67%,Forecasting_Scenario=Conservative,2%)*125%</f>
        <v>0.68125000000000002</v>
      </c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P115" s="22"/>
    </row>
    <row r="116" spans="2:42" x14ac:dyDescent="0.25">
      <c r="C116" s="21" t="s">
        <v>456</v>
      </c>
      <c r="D116" s="34" t="s">
        <v>29</v>
      </c>
      <c r="E116" s="336" cm="1">
        <f t="array" ref="E116">_xlfn.IFS(Forecasting_Scenario=Base,30%,Forecasting_Scenario=Aggressive,31.67%,Forecasting_Scenario=Conservative,29%)</f>
        <v>0.3</v>
      </c>
      <c r="F116" s="336" cm="1">
        <f t="array" ref="F116">E116+_xlfn.IFS(Forecasting_Scenario=Base,1.5%,Forecasting_Scenario=Aggressive,2.67%,Forecasting_Scenario=Conservative,1%)*40%</f>
        <v>0.30599999999999999</v>
      </c>
      <c r="G116" s="336" cm="1">
        <f t="array" ref="G116">F116++_xlfn.IFS(Forecasting_Scenario=Base,2.5%,Forecasting_Scenario=Aggressive,3.67%,Forecasting_Scenario=Conservative,2%)*40%</f>
        <v>0.316</v>
      </c>
      <c r="H116" s="336" cm="1">
        <f t="array" ref="H116">G116+_xlfn.IFS(Forecasting_Scenario=Base,2.5%,Forecasting_Scenario=Aggressive,3.67%,Forecasting_Scenario=Conservative,2%)*40%</f>
        <v>0.32600000000000001</v>
      </c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P116" s="22"/>
    </row>
    <row r="117" spans="2:42" x14ac:dyDescent="0.25">
      <c r="B117" s="33" t="s">
        <v>9</v>
      </c>
      <c r="C117" s="311" t="str">
        <f>'4.2 Sector Mapping'!$B$13</f>
        <v>Real Estate and Construction</v>
      </c>
      <c r="D117" s="318"/>
      <c r="E117" s="311"/>
      <c r="F117" s="311"/>
      <c r="G117" s="311"/>
      <c r="H117" s="311"/>
      <c r="I117" s="311"/>
      <c r="J117" s="311"/>
      <c r="K117" s="311"/>
      <c r="L117" s="311"/>
      <c r="M117" s="311"/>
      <c r="N117" s="311"/>
      <c r="O117" s="311"/>
      <c r="P117" s="311"/>
      <c r="Q117" s="311"/>
      <c r="R117" s="311"/>
      <c r="S117" s="311"/>
      <c r="T117" s="311"/>
      <c r="U117" s="311"/>
      <c r="V117" s="311"/>
      <c r="W117" s="311"/>
      <c r="X117" s="311"/>
      <c r="Y117" s="311"/>
      <c r="Z117" s="311"/>
      <c r="AA117" s="311"/>
      <c r="AB117" s="311"/>
      <c r="AC117" s="311"/>
      <c r="AD117" s="311"/>
      <c r="AE117" s="311"/>
      <c r="AF117" s="311"/>
      <c r="AG117" s="311"/>
      <c r="AH117" s="311"/>
      <c r="AI117" s="311"/>
      <c r="AJ117" s="311"/>
      <c r="AK117" s="311"/>
      <c r="AL117" s="311"/>
      <c r="AM117" s="311"/>
      <c r="AN117" s="311"/>
      <c r="AO117" s="74"/>
      <c r="AP117" s="311"/>
    </row>
    <row r="118" spans="2:42" x14ac:dyDescent="0.25">
      <c r="C118" s="20" t="s">
        <v>600</v>
      </c>
      <c r="D118" s="34" t="s">
        <v>29</v>
      </c>
      <c r="E118" s="336" cm="1">
        <f t="array" ref="E118">_xlfn.IFS(Forecasting_Scenario=Base,20%,Forecasting_Scenario=Aggressive,21.67%,Forecasting_Scenario=Conservative,18%)</f>
        <v>0.2</v>
      </c>
      <c r="F118" s="336" cm="1">
        <f t="array" ref="F118">E118+_xlfn.IFS(Forecasting_Scenario=Base,1.5%,Forecasting_Scenario=Aggressive,2.67%,Forecasting_Scenario=Conservative,1%)</f>
        <v>0.21500000000000002</v>
      </c>
      <c r="G118" s="336" cm="1">
        <f t="array" ref="G118">F118+_xlfn.IFS(Forecasting_Scenario=Base,2.5%,Forecasting_Scenario=Aggressive,3.67%,Forecasting_Scenario=Conservative,2%)</f>
        <v>0.24000000000000002</v>
      </c>
      <c r="H118" s="336" cm="1">
        <f t="array" ref="H118">G118+_xlfn.IFS(Forecasting_Scenario=Base,2.5%,Forecasting_Scenario=Aggressive,3.67%,Forecasting_Scenario=Conservative,2%)</f>
        <v>0.26500000000000001</v>
      </c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P118" s="22"/>
    </row>
    <row r="119" spans="2:42" x14ac:dyDescent="0.25">
      <c r="C119" s="20" t="s">
        <v>392</v>
      </c>
      <c r="D119" s="34" t="s">
        <v>29</v>
      </c>
      <c r="E119" s="336" cm="1">
        <f t="array" ref="E119">_xlfn.IFS(Forecasting_Scenario=Base,10%,Forecasting_Scenario=Aggressive,11.67%,Forecasting_Scenario=Conservative,8%)</f>
        <v>0.1</v>
      </c>
      <c r="F119" s="336" cm="1">
        <f t="array" ref="F119">E119+_xlfn.IFS(Forecasting_Scenario=Base,1.5%,Forecasting_Scenario=Aggressive,2.67%,Forecasting_Scenario=Conservative,1%)*25%</f>
        <v>0.10375000000000001</v>
      </c>
      <c r="G119" s="336" cm="1">
        <f t="array" ref="G119">F119+_xlfn.IFS(Forecasting_Scenario=Base,2.5%,Forecasting_Scenario=Aggressive,3.67%,Forecasting_Scenario=Conservative,2%)*25%</f>
        <v>0.11000000000000001</v>
      </c>
      <c r="H119" s="336" cm="1">
        <f t="array" ref="H119">G119++_xlfn.IFS(Forecasting_Scenario=Base,2.5%,Forecasting_Scenario=Aggressive,3.67%,Forecasting_Scenario=Conservative,2%)*25%</f>
        <v>0.11625000000000002</v>
      </c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P119" s="22"/>
    </row>
    <row r="120" spans="2:42" x14ac:dyDescent="0.25">
      <c r="C120" s="20" t="s">
        <v>454</v>
      </c>
      <c r="D120" s="34" t="s">
        <v>29</v>
      </c>
      <c r="E120" s="336" cm="1">
        <f t="array" ref="E120">_xlfn.IFS(Forecasting_Scenario=Base,20%,Forecasting_Scenario=Aggressive,21.67%,Forecasting_Scenario=Conservative,18%)</f>
        <v>0.2</v>
      </c>
      <c r="F120" s="336" cm="1">
        <f t="array" ref="F120">E120+_xlfn.IFS(Forecasting_Scenario=Base,1.5%,Forecasting_Scenario=Aggressive,2.67%,Forecasting_Scenario=Conservative,1%)*40%</f>
        <v>0.20600000000000002</v>
      </c>
      <c r="G120" s="336" cm="1">
        <f t="array" ref="G120">F120+_xlfn.IFS(Forecasting_Scenario=Base,2.5%,Forecasting_Scenario=Aggressive,3.67%,Forecasting_Scenario=Conservative,2%)*40%</f>
        <v>0.21600000000000003</v>
      </c>
      <c r="H120" s="336" cm="1">
        <f t="array" ref="H120">G120+_xlfn.IFS(Forecasting_Scenario=Base,2.5%,Forecasting_Scenario=Aggressive,3.67%,Forecasting_Scenario=Conservative,2%)*40%</f>
        <v>0.22600000000000003</v>
      </c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P120" s="22"/>
    </row>
    <row r="121" spans="2:42" x14ac:dyDescent="0.25">
      <c r="C121" s="21" t="s">
        <v>455</v>
      </c>
      <c r="D121" s="34" t="s">
        <v>29</v>
      </c>
      <c r="E121" s="336" cm="1">
        <f t="array" ref="E121">_xlfn.IFS(Forecasting_Scenario=Base,33.33%,Forecasting_Scenario=Aggressive,35%,Forecasting_Scenario=Conservative,31.67%)</f>
        <v>0.33329999999999999</v>
      </c>
      <c r="F121" s="336" cm="1">
        <f t="array" ref="F121">E121+_xlfn.IFS(Forecasting_Scenario=Base,1.5%,Forecasting_Scenario=Aggressive,2.67%,Forecasting_Scenario=Conservative,1%)</f>
        <v>0.3483</v>
      </c>
      <c r="G121" s="336" cm="1">
        <f t="array" ref="G121">F121+_xlfn.IFS(Forecasting_Scenario=Base,2.5%,Forecasting_Scenario=Aggressive,3.67%,Forecasting_Scenario=Conservative,2%)</f>
        <v>0.37330000000000002</v>
      </c>
      <c r="H121" s="336" cm="1">
        <f t="array" ref="H121">G121+_xlfn.IFS(Forecasting_Scenario=Base,2.5%,Forecasting_Scenario=Aggressive,3.67%,Forecasting_Scenario=Conservative,2%)</f>
        <v>0.39830000000000004</v>
      </c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P121" s="22"/>
    </row>
    <row r="122" spans="2:42" x14ac:dyDescent="0.25">
      <c r="C122" s="21" t="s">
        <v>393</v>
      </c>
      <c r="D122" s="34" t="s">
        <v>29</v>
      </c>
      <c r="E122" s="336" cm="1">
        <f t="array" ref="E122">_xlfn.IFS(Forecasting_Scenario=Base,40%,Forecasting_Scenario=Aggressive,42.5%,Forecasting_Scenario=Conservative,39%)</f>
        <v>0.4</v>
      </c>
      <c r="F122" s="336" cm="1">
        <f t="array" ref="F122">E122+_xlfn.IFS(Forecasting_Scenario=Base,1.5%,Forecasting_Scenario=Aggressive,2.67%,Forecasting_Scenario=Conservative,1%)*125%</f>
        <v>0.41875000000000001</v>
      </c>
      <c r="G122" s="336" cm="1">
        <f t="array" ref="G122">F122+_xlfn.IFS(Forecasting_Scenario=Base,2.5%,Forecasting_Scenario=Aggressive,3.67%,Forecasting_Scenario=Conservative,2%)*125%</f>
        <v>0.45</v>
      </c>
      <c r="H122" s="336" cm="1">
        <f t="array" ref="H122">G122+_xlfn.IFS(Forecasting_Scenario=Base,2.5%,Forecasting_Scenario=Aggressive,3.67%,Forecasting_Scenario=Conservative,2%)*125%</f>
        <v>0.48125000000000001</v>
      </c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P122" s="22"/>
    </row>
    <row r="123" spans="2:42" x14ac:dyDescent="0.25">
      <c r="C123" s="21" t="s">
        <v>456</v>
      </c>
      <c r="D123" s="34" t="s">
        <v>29</v>
      </c>
      <c r="E123" s="336" cm="1">
        <f t="array" ref="E123">_xlfn.IFS(Forecasting_Scenario=Base,15%,Forecasting_Scenario=Aggressive,16.67%,Forecasting_Scenario=Conservative,13.33%)</f>
        <v>0.15</v>
      </c>
      <c r="F123" s="336" cm="1">
        <f t="array" ref="F123">E123+_xlfn.IFS(Forecasting_Scenario=Base,1.5%,Forecasting_Scenario=Aggressive,2.67%,Forecasting_Scenario=Conservative,1%)*40%</f>
        <v>0.156</v>
      </c>
      <c r="G123" s="336" cm="1">
        <f t="array" ref="G123">F123++_xlfn.IFS(Forecasting_Scenario=Base,2.5%,Forecasting_Scenario=Aggressive,3.67%,Forecasting_Scenario=Conservative,2%)*40%</f>
        <v>0.16600000000000001</v>
      </c>
      <c r="H123" s="336" cm="1">
        <f t="array" ref="H123">G123+_xlfn.IFS(Forecasting_Scenario=Base,2.5%,Forecasting_Scenario=Aggressive,3.67%,Forecasting_Scenario=Conservative,2%)*40%</f>
        <v>0.17600000000000002</v>
      </c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P123" s="22"/>
    </row>
    <row r="124" spans="2:42" x14ac:dyDescent="0.25">
      <c r="B124" s="33" t="s">
        <v>9</v>
      </c>
      <c r="C124" s="311" t="str">
        <f>'4.2 Sector Mapping'!$B$14</f>
        <v>Retail and Consumer Goods</v>
      </c>
      <c r="D124" s="318"/>
      <c r="E124" s="311"/>
      <c r="F124" s="311"/>
      <c r="G124" s="311"/>
      <c r="H124" s="311"/>
      <c r="I124" s="311"/>
      <c r="J124" s="311"/>
      <c r="K124" s="311"/>
      <c r="L124" s="311"/>
      <c r="M124" s="311"/>
      <c r="N124" s="311"/>
      <c r="O124" s="311"/>
      <c r="P124" s="311"/>
      <c r="Q124" s="311"/>
      <c r="R124" s="311"/>
      <c r="S124" s="311"/>
      <c r="T124" s="311"/>
      <c r="U124" s="311"/>
      <c r="V124" s="311"/>
      <c r="W124" s="311"/>
      <c r="X124" s="311"/>
      <c r="Y124" s="311"/>
      <c r="Z124" s="311"/>
      <c r="AA124" s="311"/>
      <c r="AB124" s="311"/>
      <c r="AC124" s="311"/>
      <c r="AD124" s="311"/>
      <c r="AE124" s="311"/>
      <c r="AF124" s="311"/>
      <c r="AG124" s="311"/>
      <c r="AH124" s="311"/>
      <c r="AI124" s="311"/>
      <c r="AJ124" s="311"/>
      <c r="AK124" s="311"/>
      <c r="AL124" s="311"/>
      <c r="AM124" s="311"/>
      <c r="AN124" s="311"/>
      <c r="AO124" s="74"/>
      <c r="AP124" s="311"/>
    </row>
    <row r="125" spans="2:42" x14ac:dyDescent="0.25">
      <c r="C125" s="20" t="s">
        <v>600</v>
      </c>
      <c r="D125" s="34" t="s">
        <v>29</v>
      </c>
      <c r="E125" s="336" cm="1">
        <f t="array" ref="E125">_xlfn.IFS(Forecasting_Scenario=Base,50%,Forecasting_Scenario=Aggressive,52.5%,Forecasting_Scenario=Conservative,48%)</f>
        <v>0.5</v>
      </c>
      <c r="F125" s="336" cm="1">
        <f t="array" ref="F125">E125+_xlfn.IFS(Forecasting_Scenario=Base,1.5%,Forecasting_Scenario=Aggressive,2.67%,Forecasting_Scenario=Conservative,1%)</f>
        <v>0.51500000000000001</v>
      </c>
      <c r="G125" s="336" cm="1">
        <f t="array" ref="G125">F125+_xlfn.IFS(Forecasting_Scenario=Base,2.5%,Forecasting_Scenario=Aggressive,3.67%,Forecasting_Scenario=Conservative,2%)</f>
        <v>0.54</v>
      </c>
      <c r="H125" s="336" cm="1">
        <f t="array" ref="H125">G125+_xlfn.IFS(Forecasting_Scenario=Base,2.5%,Forecasting_Scenario=Aggressive,3.67%,Forecasting_Scenario=Conservative,2%)</f>
        <v>0.56500000000000006</v>
      </c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P125" s="22"/>
    </row>
    <row r="126" spans="2:42" x14ac:dyDescent="0.25">
      <c r="C126" s="20" t="s">
        <v>392</v>
      </c>
      <c r="D126" s="34" t="s">
        <v>29</v>
      </c>
      <c r="E126" s="336" cm="1">
        <f t="array" ref="E126">_xlfn.IFS(Forecasting_Scenario=Base,12.5%,Forecasting_Scenario=Aggressive,13.67%,Forecasting_Scenario=Conservative,11%)</f>
        <v>0.125</v>
      </c>
      <c r="F126" s="336" cm="1">
        <f t="array" ref="F126">E126+_xlfn.IFS(Forecasting_Scenario=Base,1.5%,Forecasting_Scenario=Aggressive,2.67%,Forecasting_Scenario=Conservative,1%)*25%</f>
        <v>0.12875</v>
      </c>
      <c r="G126" s="336" cm="1">
        <f t="array" ref="G126">F126+_xlfn.IFS(Forecasting_Scenario=Base,2.5%,Forecasting_Scenario=Aggressive,3.67%,Forecasting_Scenario=Conservative,2%)*25%</f>
        <v>0.13500000000000001</v>
      </c>
      <c r="H126" s="336" cm="1">
        <f t="array" ref="H126">G126++_xlfn.IFS(Forecasting_Scenario=Base,2.5%,Forecasting_Scenario=Aggressive,3.67%,Forecasting_Scenario=Conservative,2%)*25%</f>
        <v>0.14125000000000001</v>
      </c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P126" s="22"/>
    </row>
    <row r="127" spans="2:42" x14ac:dyDescent="0.25">
      <c r="C127" s="20" t="s">
        <v>454</v>
      </c>
      <c r="D127" s="34" t="s">
        <v>29</v>
      </c>
      <c r="E127" s="336" cm="1">
        <f t="array" ref="E127">_xlfn.IFS(Forecasting_Scenario=Base,33.33%,Forecasting_Scenario=Aggressive,35%,Forecasting_Scenario=Conservative,32%)</f>
        <v>0.33329999999999999</v>
      </c>
      <c r="F127" s="336" cm="1">
        <f t="array" ref="F127">E127+_xlfn.IFS(Forecasting_Scenario=Base,1.5%,Forecasting_Scenario=Aggressive,2.67%,Forecasting_Scenario=Conservative,1%)*40%</f>
        <v>0.33929999999999999</v>
      </c>
      <c r="G127" s="336" cm="1">
        <f t="array" ref="G127">F127+_xlfn.IFS(Forecasting_Scenario=Base,2.5%,Forecasting_Scenario=Aggressive,3.67%,Forecasting_Scenario=Conservative,2%)*40%</f>
        <v>0.3493</v>
      </c>
      <c r="H127" s="336" cm="1">
        <f t="array" ref="H127">G127+_xlfn.IFS(Forecasting_Scenario=Base,2.5%,Forecasting_Scenario=Aggressive,3.67%,Forecasting_Scenario=Conservative,2%)*40%</f>
        <v>0.35930000000000001</v>
      </c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P127" s="22"/>
    </row>
    <row r="128" spans="2:42" x14ac:dyDescent="0.25">
      <c r="C128" s="21" t="s">
        <v>455</v>
      </c>
      <c r="D128" s="34" t="s">
        <v>29</v>
      </c>
      <c r="E128" s="336" cm="1">
        <f t="array" ref="E128">_xlfn.IFS(Forecasting_Scenario=Base,66.67%,Forecasting_Scenario=Aggressive,68%,Forecasting_Scenario=Conservative,65%)</f>
        <v>0.66670000000000007</v>
      </c>
      <c r="F128" s="336" cm="1">
        <f t="array" ref="F128">E128+_xlfn.IFS(Forecasting_Scenario=Base,1.5%,Forecasting_Scenario=Aggressive,2.67%,Forecasting_Scenario=Conservative,1%)</f>
        <v>0.68170000000000008</v>
      </c>
      <c r="G128" s="336" cm="1">
        <f t="array" ref="G128">F128+_xlfn.IFS(Forecasting_Scenario=Base,2.5%,Forecasting_Scenario=Aggressive,3.67%,Forecasting_Scenario=Conservative,2%)</f>
        <v>0.70670000000000011</v>
      </c>
      <c r="H128" s="336" cm="1">
        <f t="array" ref="H128">G128+_xlfn.IFS(Forecasting_Scenario=Base,2.5%,Forecasting_Scenario=Aggressive,3.67%,Forecasting_Scenario=Conservative,2%)</f>
        <v>0.73170000000000013</v>
      </c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P128" s="22"/>
    </row>
    <row r="129" spans="2:42" x14ac:dyDescent="0.25">
      <c r="C129" s="21" t="s">
        <v>393</v>
      </c>
      <c r="D129" s="34" t="s">
        <v>29</v>
      </c>
      <c r="E129" s="336" cm="1">
        <f t="array" ref="E129">_xlfn.IFS(Forecasting_Scenario=Base,75%,Forecasting_Scenario=Aggressive,77.5%,Forecasting_Scenario=Conservative,73%)</f>
        <v>0.75</v>
      </c>
      <c r="F129" s="336" cm="1">
        <f t="array" ref="F129">E129+_xlfn.IFS(Forecasting_Scenario=Base,1.5%,Forecasting_Scenario=Aggressive,2.67%,Forecasting_Scenario=Conservative,1%)*125%</f>
        <v>0.76875000000000004</v>
      </c>
      <c r="G129" s="336" cm="1">
        <f t="array" ref="G129">F129+_xlfn.IFS(Forecasting_Scenario=Base,2.5%,Forecasting_Scenario=Aggressive,3.67%,Forecasting_Scenario=Conservative,2%)*125%</f>
        <v>0.8</v>
      </c>
      <c r="H129" s="336" cm="1">
        <f t="array" ref="H129">G129+_xlfn.IFS(Forecasting_Scenario=Base,2.5%,Forecasting_Scenario=Aggressive,3.67%,Forecasting_Scenario=Conservative,2%)*125%</f>
        <v>0.83125000000000004</v>
      </c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P129" s="22"/>
    </row>
    <row r="130" spans="2:42" x14ac:dyDescent="0.25">
      <c r="C130" s="21" t="s">
        <v>456</v>
      </c>
      <c r="D130" s="34" t="s">
        <v>29</v>
      </c>
      <c r="E130" s="336" cm="1">
        <f t="array" ref="E130">_xlfn.IFS(Forecasting_Scenario=Base,35%,Forecasting_Scenario=Aggressive,36.67%,Forecasting_Scenario=Conservative,33.33%)</f>
        <v>0.35</v>
      </c>
      <c r="F130" s="336" cm="1">
        <f t="array" ref="F130">E130+_xlfn.IFS(Forecasting_Scenario=Base,1.5%,Forecasting_Scenario=Aggressive,2.67%,Forecasting_Scenario=Conservative,1%)*40%</f>
        <v>0.35599999999999998</v>
      </c>
      <c r="G130" s="336" cm="1">
        <f t="array" ref="G130">F130++_xlfn.IFS(Forecasting_Scenario=Base,2.5%,Forecasting_Scenario=Aggressive,3.67%,Forecasting_Scenario=Conservative,2%)*40%</f>
        <v>0.36599999999999999</v>
      </c>
      <c r="H130" s="336" cm="1">
        <f t="array" ref="H130">G130+_xlfn.IFS(Forecasting_Scenario=Base,2.5%,Forecasting_Scenario=Aggressive,3.67%,Forecasting_Scenario=Conservative,2%)*40%</f>
        <v>0.376</v>
      </c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P130" s="22"/>
    </row>
    <row r="131" spans="2:42" x14ac:dyDescent="0.25">
      <c r="B131" s="33" t="s">
        <v>9</v>
      </c>
      <c r="C131" s="311" t="str">
        <f>'4.2 Sector Mapping'!$B$15</f>
        <v>Entertainment and Recreation</v>
      </c>
      <c r="D131" s="318"/>
      <c r="E131" s="311"/>
      <c r="F131" s="311"/>
      <c r="G131" s="311"/>
      <c r="H131" s="311"/>
      <c r="I131" s="311"/>
      <c r="J131" s="311"/>
      <c r="K131" s="311"/>
      <c r="L131" s="311"/>
      <c r="M131" s="311"/>
      <c r="N131" s="311"/>
      <c r="O131" s="311"/>
      <c r="P131" s="311"/>
      <c r="Q131" s="311"/>
      <c r="R131" s="311"/>
      <c r="S131" s="311"/>
      <c r="T131" s="311"/>
      <c r="U131" s="311"/>
      <c r="V131" s="311"/>
      <c r="W131" s="311"/>
      <c r="X131" s="311"/>
      <c r="Y131" s="311"/>
      <c r="Z131" s="311"/>
      <c r="AA131" s="311"/>
      <c r="AB131" s="311"/>
      <c r="AC131" s="311"/>
      <c r="AD131" s="311"/>
      <c r="AE131" s="311"/>
      <c r="AF131" s="311"/>
      <c r="AG131" s="311"/>
      <c r="AH131" s="311"/>
      <c r="AI131" s="311"/>
      <c r="AJ131" s="311"/>
      <c r="AK131" s="311"/>
      <c r="AL131" s="311"/>
      <c r="AM131" s="311"/>
      <c r="AN131" s="311"/>
      <c r="AO131" s="74"/>
      <c r="AP131" s="311"/>
    </row>
    <row r="132" spans="2:42" x14ac:dyDescent="0.25">
      <c r="C132" s="20" t="s">
        <v>600</v>
      </c>
      <c r="D132" s="34" t="s">
        <v>29</v>
      </c>
      <c r="E132" s="336" cm="1">
        <f t="array" ref="E132">_xlfn.IFS(Forecasting_Scenario=Base,66.67%,Forecasting_Scenario=Aggressive,70%,Forecasting_Scenario=Conservative,65%)</f>
        <v>0.66670000000000007</v>
      </c>
      <c r="F132" s="336" cm="1">
        <f t="array" ref="F132">E132+_xlfn.IFS(Forecasting_Scenario=Base,1.5%,Forecasting_Scenario=Aggressive,2.67%,Forecasting_Scenario=Conservative,1%)</f>
        <v>0.68170000000000008</v>
      </c>
      <c r="G132" s="336" cm="1">
        <f t="array" ref="G132">F132+_xlfn.IFS(Forecasting_Scenario=Base,2.5%,Forecasting_Scenario=Aggressive,3.67%,Forecasting_Scenario=Conservative,2%)</f>
        <v>0.70670000000000011</v>
      </c>
      <c r="H132" s="336" cm="1">
        <f t="array" ref="H132">G132+_xlfn.IFS(Forecasting_Scenario=Base,2.5%,Forecasting_Scenario=Aggressive,3.67%,Forecasting_Scenario=Conservative,2%)</f>
        <v>0.73170000000000013</v>
      </c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P132" s="22"/>
    </row>
    <row r="133" spans="2:42" x14ac:dyDescent="0.25">
      <c r="C133" s="20" t="s">
        <v>392</v>
      </c>
      <c r="D133" s="34" t="s">
        <v>29</v>
      </c>
      <c r="E133" s="336" cm="1">
        <f t="array" ref="E133">_xlfn.IFS(Forecasting_Scenario=Base,20%,Forecasting_Scenario=Aggressive,22.5%,Forecasting_Scenario=Conservative,18%)</f>
        <v>0.2</v>
      </c>
      <c r="F133" s="336" cm="1">
        <f t="array" ref="F133">E133+_xlfn.IFS(Forecasting_Scenario=Base,1.5%,Forecasting_Scenario=Aggressive,2.67%,Forecasting_Scenario=Conservative,1%)*25%</f>
        <v>0.20375000000000001</v>
      </c>
      <c r="G133" s="336" cm="1">
        <f t="array" ref="G133">F133+_xlfn.IFS(Forecasting_Scenario=Base,2.5%,Forecasting_Scenario=Aggressive,3.67%,Forecasting_Scenario=Conservative,2%)*25%</f>
        <v>0.21000000000000002</v>
      </c>
      <c r="H133" s="336" cm="1">
        <f t="array" ref="H133">G133++_xlfn.IFS(Forecasting_Scenario=Base,2.5%,Forecasting_Scenario=Aggressive,3.67%,Forecasting_Scenario=Conservative,2%)*25%</f>
        <v>0.21625000000000003</v>
      </c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P133" s="22"/>
    </row>
    <row r="134" spans="2:42" x14ac:dyDescent="0.25">
      <c r="C134" s="20" t="s">
        <v>454</v>
      </c>
      <c r="D134" s="34" t="s">
        <v>29</v>
      </c>
      <c r="E134" s="336" cm="1">
        <f t="array" ref="E134">_xlfn.IFS(Forecasting_Scenario=Base,50%,Forecasting_Scenario=Aggressive,52.5%,Forecasting_Scenario=Conservative,48%)</f>
        <v>0.5</v>
      </c>
      <c r="F134" s="336" cm="1">
        <f t="array" ref="F134">E134+_xlfn.IFS(Forecasting_Scenario=Base,1.5%,Forecasting_Scenario=Aggressive,2.67%,Forecasting_Scenario=Conservative,1%)*40%</f>
        <v>0.50600000000000001</v>
      </c>
      <c r="G134" s="336" cm="1">
        <f t="array" ref="G134">F134+_xlfn.IFS(Forecasting_Scenario=Base,2.5%,Forecasting_Scenario=Aggressive,3.67%,Forecasting_Scenario=Conservative,2%)*40%</f>
        <v>0.51600000000000001</v>
      </c>
      <c r="H134" s="336" cm="1">
        <f t="array" ref="H134">G134+_xlfn.IFS(Forecasting_Scenario=Base,2.5%,Forecasting_Scenario=Aggressive,3.67%,Forecasting_Scenario=Conservative,2%)*40%</f>
        <v>0.52600000000000002</v>
      </c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P134" s="22"/>
    </row>
    <row r="135" spans="2:42" x14ac:dyDescent="0.25">
      <c r="C135" s="21" t="s">
        <v>455</v>
      </c>
      <c r="D135" s="34" t="s">
        <v>29</v>
      </c>
      <c r="E135" s="336" cm="1">
        <f t="array" ref="E135">_xlfn.IFS(Forecasting_Scenario=Base,75%,Forecasting_Scenario=Aggressive,77.5%,Forecasting_Scenario=Conservative,74%)</f>
        <v>0.75</v>
      </c>
      <c r="F135" s="336" cm="1">
        <f t="array" ref="F135">E135+_xlfn.IFS(Forecasting_Scenario=Base,1.5%,Forecasting_Scenario=Aggressive,2.67%,Forecasting_Scenario=Conservative,1%)</f>
        <v>0.76500000000000001</v>
      </c>
      <c r="G135" s="336" cm="1">
        <f t="array" ref="G135">F135+_xlfn.IFS(Forecasting_Scenario=Base,2.5%,Forecasting_Scenario=Aggressive,3.67%,Forecasting_Scenario=Conservative,2%)</f>
        <v>0.79</v>
      </c>
      <c r="H135" s="336" cm="1">
        <f t="array" ref="H135">G135+_xlfn.IFS(Forecasting_Scenario=Base,2.5%,Forecasting_Scenario=Aggressive,3.67%,Forecasting_Scenario=Conservative,2%)</f>
        <v>0.81500000000000006</v>
      </c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P135" s="22"/>
    </row>
    <row r="136" spans="2:42" x14ac:dyDescent="0.25">
      <c r="C136" s="21" t="s">
        <v>393</v>
      </c>
      <c r="D136" s="34" t="s">
        <v>29</v>
      </c>
      <c r="E136" s="336" cm="1">
        <f t="array" ref="E136">_xlfn.IFS(Forecasting_Scenario=Base,80%,Forecasting_Scenario=Aggressive,81.67%,Forecasting_Scenario=Conservative,79%)</f>
        <v>0.8</v>
      </c>
      <c r="F136" s="336" cm="1">
        <f t="array" ref="F136">E136+_xlfn.IFS(Forecasting_Scenario=Base,1.5%,Forecasting_Scenario=Aggressive,2.67%,Forecasting_Scenario=Conservative,1%)*125%</f>
        <v>0.81875000000000009</v>
      </c>
      <c r="G136" s="336" cm="1">
        <f t="array" ref="G136">F136+_xlfn.IFS(Forecasting_Scenario=Base,2.5%,Forecasting_Scenario=Aggressive,3.67%,Forecasting_Scenario=Conservative,2%)*125%</f>
        <v>0.85000000000000009</v>
      </c>
      <c r="H136" s="336" cm="1">
        <f t="array" ref="H136">G136+_xlfn.IFS(Forecasting_Scenario=Base,2.5%,Forecasting_Scenario=Aggressive,3.67%,Forecasting_Scenario=Conservative,2%)*125%</f>
        <v>0.88125000000000009</v>
      </c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P136" s="22"/>
    </row>
    <row r="137" spans="2:42" x14ac:dyDescent="0.25">
      <c r="C137" s="21" t="s">
        <v>456</v>
      </c>
      <c r="D137" s="34" t="s">
        <v>29</v>
      </c>
      <c r="E137" s="336" cm="1">
        <f t="array" ref="E137">_xlfn.IFS(Forecasting_Scenario=Base,50%,Forecasting_Scenario=Aggressive,52.5%,Forecasting_Scenario=Conservative,48%)</f>
        <v>0.5</v>
      </c>
      <c r="F137" s="336" cm="1">
        <f t="array" ref="F137">E137+_xlfn.IFS(Forecasting_Scenario=Base,1.5%,Forecasting_Scenario=Aggressive,2.67%,Forecasting_Scenario=Conservative,1%)*40%</f>
        <v>0.50600000000000001</v>
      </c>
      <c r="G137" s="336" cm="1">
        <f t="array" ref="G137">F137++_xlfn.IFS(Forecasting_Scenario=Base,2.5%,Forecasting_Scenario=Aggressive,3.67%,Forecasting_Scenario=Conservative,2%)*40%</f>
        <v>0.51600000000000001</v>
      </c>
      <c r="H137" s="336" cm="1">
        <f t="array" ref="H137">G137+_xlfn.IFS(Forecasting_Scenario=Base,2.5%,Forecasting_Scenario=Aggressive,3.67%,Forecasting_Scenario=Conservative,2%)*40%</f>
        <v>0.52600000000000002</v>
      </c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P137" s="22"/>
    </row>
    <row r="138" spans="2:42" x14ac:dyDescent="0.25">
      <c r="B138" s="33" t="s">
        <v>9</v>
      </c>
      <c r="C138" s="311" t="str">
        <f>'4.2 Sector Mapping'!$B$16</f>
        <v>Transportation and Services</v>
      </c>
      <c r="D138" s="318"/>
      <c r="E138" s="311"/>
      <c r="F138" s="311"/>
      <c r="G138" s="311"/>
      <c r="H138" s="311"/>
      <c r="I138" s="311"/>
      <c r="J138" s="311"/>
      <c r="K138" s="311"/>
      <c r="L138" s="311"/>
      <c r="M138" s="311"/>
      <c r="N138" s="311"/>
      <c r="O138" s="311"/>
      <c r="P138" s="311"/>
      <c r="Q138" s="311"/>
      <c r="R138" s="311"/>
      <c r="S138" s="311"/>
      <c r="T138" s="311"/>
      <c r="U138" s="311"/>
      <c r="V138" s="311"/>
      <c r="W138" s="311"/>
      <c r="X138" s="311"/>
      <c r="Y138" s="311"/>
      <c r="Z138" s="311"/>
      <c r="AA138" s="311"/>
      <c r="AB138" s="311"/>
      <c r="AC138" s="311"/>
      <c r="AD138" s="311"/>
      <c r="AE138" s="311"/>
      <c r="AF138" s="311"/>
      <c r="AG138" s="311"/>
      <c r="AH138" s="311"/>
      <c r="AI138" s="311"/>
      <c r="AJ138" s="311"/>
      <c r="AK138" s="311"/>
      <c r="AL138" s="311"/>
      <c r="AM138" s="311"/>
      <c r="AN138" s="311"/>
      <c r="AO138" s="74"/>
      <c r="AP138" s="311"/>
    </row>
    <row r="139" spans="2:42" x14ac:dyDescent="0.25">
      <c r="C139" s="20" t="s">
        <v>600</v>
      </c>
      <c r="D139" s="34" t="s">
        <v>29</v>
      </c>
      <c r="E139" s="336" cm="1">
        <f t="array" ref="E139">_xlfn.IFS(Forecasting_Scenario=Base,40%,Forecasting_Scenario=Aggressive,41.67%,Forecasting_Scenario=Conservative,38%)</f>
        <v>0.4</v>
      </c>
      <c r="F139" s="336" cm="1">
        <f t="array" ref="F139">E139+_xlfn.IFS(Forecasting_Scenario=Base,1.5%,Forecasting_Scenario=Aggressive,2.67%,Forecasting_Scenario=Conservative,1%)</f>
        <v>0.41500000000000004</v>
      </c>
      <c r="G139" s="336" cm="1">
        <f t="array" ref="G139">F139+_xlfn.IFS(Forecasting_Scenario=Base,2.5%,Forecasting_Scenario=Aggressive,3.67%,Forecasting_Scenario=Conservative,2%)</f>
        <v>0.44000000000000006</v>
      </c>
      <c r="H139" s="336" cm="1">
        <f t="array" ref="H139">G139+_xlfn.IFS(Forecasting_Scenario=Base,2.5%,Forecasting_Scenario=Aggressive,3.67%,Forecasting_Scenario=Conservative,2%)</f>
        <v>0.46500000000000008</v>
      </c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P139" s="22"/>
    </row>
    <row r="140" spans="2:42" x14ac:dyDescent="0.25">
      <c r="C140" s="20" t="s">
        <v>392</v>
      </c>
      <c r="D140" s="34" t="s">
        <v>29</v>
      </c>
      <c r="E140" s="336" cm="1">
        <f t="array" ref="E140">_xlfn.IFS(Forecasting_Scenario=Base,15%,Forecasting_Scenario=Aggressive,16.67%,Forecasting_Scenario=Conservative,14%)</f>
        <v>0.15</v>
      </c>
      <c r="F140" s="336" cm="1">
        <f t="array" ref="F140">E140+_xlfn.IFS(Forecasting_Scenario=Base,1.5%,Forecasting_Scenario=Aggressive,2.67%,Forecasting_Scenario=Conservative,1%)*25%</f>
        <v>0.15375</v>
      </c>
      <c r="G140" s="336" cm="1">
        <f t="array" ref="G140">F140+_xlfn.IFS(Forecasting_Scenario=Base,2.5%,Forecasting_Scenario=Aggressive,3.67%,Forecasting_Scenario=Conservative,2%)*25%</f>
        <v>0.16</v>
      </c>
      <c r="H140" s="336" cm="1">
        <f t="array" ref="H140">G140++_xlfn.IFS(Forecasting_Scenario=Base,2.5%,Forecasting_Scenario=Aggressive,3.67%,Forecasting_Scenario=Conservative,2%)*25%</f>
        <v>0.16625000000000001</v>
      </c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P140" s="22"/>
    </row>
    <row r="141" spans="2:42" x14ac:dyDescent="0.25">
      <c r="C141" s="20" t="s">
        <v>454</v>
      </c>
      <c r="D141" s="34" t="s">
        <v>29</v>
      </c>
      <c r="E141" s="336" cm="1">
        <f t="array" ref="E141">_xlfn.IFS(Forecasting_Scenario=Base,35%,Forecasting_Scenario=Aggressive,36.67%,Forecasting_Scenario=Conservative,34%)</f>
        <v>0.35</v>
      </c>
      <c r="F141" s="336" cm="1">
        <f t="array" ref="F141">E141+_xlfn.IFS(Forecasting_Scenario=Base,1.5%,Forecasting_Scenario=Aggressive,2.67%,Forecasting_Scenario=Conservative,1%)*40%</f>
        <v>0.35599999999999998</v>
      </c>
      <c r="G141" s="336" cm="1">
        <f t="array" ref="G141">F141+_xlfn.IFS(Forecasting_Scenario=Base,2.5%,Forecasting_Scenario=Aggressive,3.67%,Forecasting_Scenario=Conservative,2%)*40%</f>
        <v>0.36599999999999999</v>
      </c>
      <c r="H141" s="336" cm="1">
        <f t="array" ref="H141">G141+_xlfn.IFS(Forecasting_Scenario=Base,2.5%,Forecasting_Scenario=Aggressive,3.67%,Forecasting_Scenario=Conservative,2%)*40%</f>
        <v>0.376</v>
      </c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P141" s="22"/>
    </row>
    <row r="142" spans="2:42" x14ac:dyDescent="0.25">
      <c r="C142" s="21" t="s">
        <v>455</v>
      </c>
      <c r="D142" s="34" t="s">
        <v>29</v>
      </c>
      <c r="E142" s="336" cm="1">
        <f t="array" ref="E142">_xlfn.IFS(Forecasting_Scenario=Base,50%,Forecasting_Scenario=Aggressive,52.5%,Forecasting_Scenario=Conservative,48%)</f>
        <v>0.5</v>
      </c>
      <c r="F142" s="336" cm="1">
        <f t="array" ref="F142">E142+_xlfn.IFS(Forecasting_Scenario=Base,1.5%,Forecasting_Scenario=Aggressive,2.67%,Forecasting_Scenario=Conservative,1%)</f>
        <v>0.51500000000000001</v>
      </c>
      <c r="G142" s="336" cm="1">
        <f t="array" ref="G142">F142+_xlfn.IFS(Forecasting_Scenario=Base,2.5%,Forecasting_Scenario=Aggressive,3.67%,Forecasting_Scenario=Conservative,2%)</f>
        <v>0.54</v>
      </c>
      <c r="H142" s="336" cm="1">
        <f t="array" ref="H142">G142+_xlfn.IFS(Forecasting_Scenario=Base,2.5%,Forecasting_Scenario=Aggressive,3.67%,Forecasting_Scenario=Conservative,2%)</f>
        <v>0.56500000000000006</v>
      </c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P142" s="22"/>
    </row>
    <row r="143" spans="2:42" x14ac:dyDescent="0.25">
      <c r="C143" s="21" t="s">
        <v>393</v>
      </c>
      <c r="D143" s="34" t="s">
        <v>29</v>
      </c>
      <c r="E143" s="336" cm="1">
        <f t="array" ref="E143">_xlfn.IFS(Forecasting_Scenario=Base,70%,Forecasting_Scenario=Aggressive,72.5%,Forecasting_Scenario=Conservative,68%)</f>
        <v>0.7</v>
      </c>
      <c r="F143" s="336" cm="1">
        <f t="array" ref="F143">E143+_xlfn.IFS(Forecasting_Scenario=Base,1.5%,Forecasting_Scenario=Aggressive,2.67%,Forecasting_Scenario=Conservative,1%)*125%</f>
        <v>0.71875</v>
      </c>
      <c r="G143" s="336" cm="1">
        <f t="array" ref="G143">F143+_xlfn.IFS(Forecasting_Scenario=Base,2.5%,Forecasting_Scenario=Aggressive,3.67%,Forecasting_Scenario=Conservative,2%)*125%</f>
        <v>0.75</v>
      </c>
      <c r="H143" s="336" cm="1">
        <f t="array" ref="H143">G143+_xlfn.IFS(Forecasting_Scenario=Base,2.5%,Forecasting_Scenario=Aggressive,3.67%,Forecasting_Scenario=Conservative,2%)*125%</f>
        <v>0.78125</v>
      </c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P143" s="22"/>
    </row>
    <row r="144" spans="2:42" x14ac:dyDescent="0.25">
      <c r="C144" s="21" t="s">
        <v>456</v>
      </c>
      <c r="D144" s="34" t="s">
        <v>29</v>
      </c>
      <c r="E144" s="336" cm="1">
        <f t="array" ref="E144">_xlfn.IFS(Forecasting_Scenario=Base,30%,Forecasting_Scenario=Aggressive,31.67%,Forecasting_Scenario=Conservative,29%)</f>
        <v>0.3</v>
      </c>
      <c r="F144" s="336" cm="1">
        <f t="array" ref="F144">E144+_xlfn.IFS(Forecasting_Scenario=Base,1.5%,Forecasting_Scenario=Aggressive,2.67%,Forecasting_Scenario=Conservative,1%)*40%</f>
        <v>0.30599999999999999</v>
      </c>
      <c r="G144" s="336" cm="1">
        <f t="array" ref="G144">F144++_xlfn.IFS(Forecasting_Scenario=Base,2.5%,Forecasting_Scenario=Aggressive,3.67%,Forecasting_Scenario=Conservative,2%)*40%</f>
        <v>0.316</v>
      </c>
      <c r="H144" s="336" cm="1">
        <f t="array" ref="H144">G144+_xlfn.IFS(Forecasting_Scenario=Base,2.5%,Forecasting_Scenario=Aggressive,3.67%,Forecasting_Scenario=Conservative,2%)*40%</f>
        <v>0.32600000000000001</v>
      </c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P144" s="22"/>
    </row>
    <row r="145" spans="2:42" x14ac:dyDescent="0.25">
      <c r="B145" s="33" t="s">
        <v>9</v>
      </c>
      <c r="C145" s="333" t="s">
        <v>668</v>
      </c>
      <c r="D145" s="317"/>
      <c r="E145" s="312">
        <v>2024</v>
      </c>
      <c r="F145" s="312">
        <f>E145+1</f>
        <v>2025</v>
      </c>
      <c r="G145" s="312">
        <f t="shared" ref="G145:H145" si="23">F145+1</f>
        <v>2026</v>
      </c>
      <c r="H145" s="312">
        <f t="shared" si="23"/>
        <v>2027</v>
      </c>
      <c r="I145" s="312"/>
      <c r="J145" s="312"/>
      <c r="K145" s="312"/>
      <c r="L145" s="312"/>
      <c r="M145" s="312"/>
      <c r="N145" s="312"/>
      <c r="O145" s="312"/>
      <c r="P145" s="312"/>
      <c r="Q145" s="312"/>
      <c r="R145" s="312"/>
      <c r="S145" s="312"/>
      <c r="T145" s="312"/>
      <c r="U145" s="312"/>
      <c r="V145" s="312"/>
      <c r="W145" s="312"/>
      <c r="X145" s="312"/>
      <c r="Y145" s="312"/>
      <c r="Z145" s="312"/>
      <c r="AA145" s="312"/>
      <c r="AB145" s="312"/>
      <c r="AC145" s="312"/>
      <c r="AD145" s="312"/>
      <c r="AE145" s="312"/>
      <c r="AF145" s="312"/>
      <c r="AG145" s="312"/>
      <c r="AH145" s="312"/>
      <c r="AI145" s="312"/>
      <c r="AJ145" s="312"/>
      <c r="AK145" s="312"/>
      <c r="AL145" s="312"/>
      <c r="AM145" s="312"/>
      <c r="AN145" s="312"/>
      <c r="AO145" s="74"/>
      <c r="AP145" s="312"/>
    </row>
    <row r="146" spans="2:42" x14ac:dyDescent="0.25">
      <c r="B146" s="33" t="s">
        <v>9</v>
      </c>
      <c r="C146" s="311" t="str">
        <f>'4.2 Sector Mapping'!$B$5</f>
        <v>Agriculture</v>
      </c>
      <c r="D146" s="318"/>
      <c r="E146" s="311"/>
      <c r="F146" s="311"/>
      <c r="G146" s="311"/>
      <c r="H146" s="311"/>
      <c r="I146" s="311"/>
      <c r="J146" s="311"/>
      <c r="K146" s="311"/>
      <c r="L146" s="311"/>
      <c r="M146" s="311"/>
      <c r="N146" s="311"/>
      <c r="O146" s="311"/>
      <c r="P146" s="311"/>
      <c r="Q146" s="311"/>
      <c r="R146" s="311"/>
      <c r="S146" s="311"/>
      <c r="T146" s="311"/>
      <c r="U146" s="311"/>
      <c r="V146" s="311"/>
      <c r="W146" s="311"/>
      <c r="X146" s="311"/>
      <c r="Y146" s="311"/>
      <c r="Z146" s="311"/>
      <c r="AA146" s="311"/>
      <c r="AB146" s="311"/>
      <c r="AC146" s="311"/>
      <c r="AD146" s="311"/>
      <c r="AE146" s="311"/>
      <c r="AF146" s="311"/>
      <c r="AG146" s="311"/>
      <c r="AH146" s="311"/>
      <c r="AI146" s="311"/>
      <c r="AJ146" s="311"/>
      <c r="AK146" s="311"/>
      <c r="AL146" s="311"/>
      <c r="AM146" s="311"/>
      <c r="AN146" s="311"/>
      <c r="AO146" s="74"/>
      <c r="AP146" s="311"/>
    </row>
    <row r="147" spans="2:42" x14ac:dyDescent="0.25">
      <c r="C147" s="20" t="s">
        <v>600</v>
      </c>
      <c r="D147" s="34" t="s">
        <v>29</v>
      </c>
      <c r="E147" s="336" cm="1">
        <f t="array" ref="E147">_xlfn.IFS(Forecasting_Scenario=Base,20%,Forecasting_Scenario=Aggressive,25%,Forecasting_Scenario=Conservative,15%)</f>
        <v>0.2</v>
      </c>
      <c r="F147" s="336" cm="1">
        <f t="array" ref="F147">E147+_xlfn.IFS(Forecasting_Scenario=Base,1.5%,Forecasting_Scenario=Aggressive,2.67%,Forecasting_Scenario=Conservative,1%)</f>
        <v>0.21500000000000002</v>
      </c>
      <c r="G147" s="336" cm="1">
        <f t="array" ref="G147">F147+_xlfn.IFS(Forecasting_Scenario=Base,2.5%,Forecasting_Scenario=Aggressive,3.67%,Forecasting_Scenario=Conservative,2%)</f>
        <v>0.24000000000000002</v>
      </c>
      <c r="H147" s="336" cm="1">
        <f t="array" ref="H147">G147+_xlfn.IFS(Forecasting_Scenario=Base,2.5%,Forecasting_Scenario=Aggressive,3.67%,Forecasting_Scenario=Conservative,2%)</f>
        <v>0.26500000000000001</v>
      </c>
      <c r="I147" s="234"/>
      <c r="J147" s="234"/>
      <c r="K147" s="234"/>
      <c r="L147" s="234"/>
      <c r="M147" s="234"/>
      <c r="N147" s="234"/>
      <c r="O147" s="234"/>
      <c r="P147" s="234"/>
      <c r="Q147" s="234"/>
      <c r="R147" s="234"/>
      <c r="S147" s="234"/>
      <c r="T147" s="234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234"/>
      <c r="AI147" s="234"/>
      <c r="AJ147" s="234"/>
      <c r="AK147" s="234"/>
      <c r="AL147" s="234"/>
      <c r="AM147" s="234"/>
      <c r="AN147" s="234"/>
      <c r="AP147" s="20"/>
    </row>
    <row r="148" spans="2:42" x14ac:dyDescent="0.25">
      <c r="C148" s="20" t="s">
        <v>392</v>
      </c>
      <c r="D148" s="34" t="s">
        <v>29</v>
      </c>
      <c r="E148" s="336" cm="1">
        <f t="array" ref="E148">_xlfn.IFS(Forecasting_Scenario=Base,10%,Forecasting_Scenario=Aggressive,12.5%,Forecasting_Scenario=Conservative,8%)</f>
        <v>0.1</v>
      </c>
      <c r="F148" s="336" cm="1">
        <f t="array" ref="F148">E148+_xlfn.IFS(Forecasting_Scenario=Base,1.5%,Forecasting_Scenario=Aggressive,2.67%,Forecasting_Scenario=Conservative,1%)*25%</f>
        <v>0.10375000000000001</v>
      </c>
      <c r="G148" s="336" cm="1">
        <f t="array" ref="G148">F148+_xlfn.IFS(Forecasting_Scenario=Base,2.5%,Forecasting_Scenario=Aggressive,3.67%,Forecasting_Scenario=Conservative,2%)*25%</f>
        <v>0.11000000000000001</v>
      </c>
      <c r="H148" s="336" cm="1">
        <f t="array" ref="H148">G148++_xlfn.IFS(Forecasting_Scenario=Base,2.5%,Forecasting_Scenario=Aggressive,3.67%,Forecasting_Scenario=Conservative,2%)*25%</f>
        <v>0.11625000000000002</v>
      </c>
      <c r="I148" s="234"/>
      <c r="J148" s="234"/>
      <c r="K148" s="234"/>
      <c r="L148" s="234"/>
      <c r="M148" s="234"/>
      <c r="N148" s="234"/>
      <c r="O148" s="234"/>
      <c r="P148" s="234"/>
      <c r="Q148" s="234"/>
      <c r="R148" s="234"/>
      <c r="S148" s="234"/>
      <c r="T148" s="234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234"/>
      <c r="AI148" s="234"/>
      <c r="AJ148" s="234"/>
      <c r="AK148" s="234"/>
      <c r="AL148" s="234"/>
      <c r="AM148" s="234"/>
      <c r="AN148" s="234"/>
      <c r="AP148" s="20"/>
    </row>
    <row r="149" spans="2:42" x14ac:dyDescent="0.25">
      <c r="C149" s="20" t="s">
        <v>454</v>
      </c>
      <c r="D149" s="34" t="s">
        <v>29</v>
      </c>
      <c r="E149" s="336" cm="1">
        <f t="array" ref="E149">_xlfn.IFS(Forecasting_Scenario=Base,25%,Forecasting_Scenario=Aggressive,26.67%,Forecasting_Scenario=Conservative,23.33%)</f>
        <v>0.25</v>
      </c>
      <c r="F149" s="336" cm="1">
        <f t="array" ref="F149">E149+_xlfn.IFS(Forecasting_Scenario=Base,1.5%,Forecasting_Scenario=Aggressive,2.67%,Forecasting_Scenario=Conservative,1%)*40%</f>
        <v>0.25600000000000001</v>
      </c>
      <c r="G149" s="336" cm="1">
        <f t="array" ref="G149">F149+_xlfn.IFS(Forecasting_Scenario=Base,2.5%,Forecasting_Scenario=Aggressive,3.67%,Forecasting_Scenario=Conservative,2%)*40%</f>
        <v>0.26600000000000001</v>
      </c>
      <c r="H149" s="336" cm="1">
        <f t="array" ref="H149">G149+_xlfn.IFS(Forecasting_Scenario=Base,2.5%,Forecasting_Scenario=Aggressive,3.67%,Forecasting_Scenario=Conservative,2%)*40%</f>
        <v>0.27600000000000002</v>
      </c>
      <c r="I149" s="234"/>
      <c r="J149" s="234"/>
      <c r="K149" s="234"/>
      <c r="L149" s="234"/>
      <c r="M149" s="234"/>
      <c r="N149" s="234"/>
      <c r="O149" s="234"/>
      <c r="P149" s="234"/>
      <c r="Q149" s="234"/>
      <c r="R149" s="234"/>
      <c r="S149" s="234"/>
      <c r="T149" s="234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4"/>
      <c r="AI149" s="234"/>
      <c r="AJ149" s="234"/>
      <c r="AK149" s="234"/>
      <c r="AL149" s="234"/>
      <c r="AM149" s="234"/>
      <c r="AN149" s="234"/>
      <c r="AP149" s="20"/>
    </row>
    <row r="150" spans="2:42" x14ac:dyDescent="0.25">
      <c r="C150" s="21" t="s">
        <v>455</v>
      </c>
      <c r="D150" s="34" t="s">
        <v>29</v>
      </c>
      <c r="E150" s="336" cm="1">
        <f t="array" ref="E150">_xlfn.IFS(Forecasting_Scenario=Base,33.33%,Forecasting_Scenario=Aggressive,35%,Forecasting_Scenario=Conservative,32%)</f>
        <v>0.33329999999999999</v>
      </c>
      <c r="F150" s="336" cm="1">
        <f t="array" ref="F150">E150+_xlfn.IFS(Forecasting_Scenario=Base,1.5%,Forecasting_Scenario=Aggressive,2.67%,Forecasting_Scenario=Conservative,1%)</f>
        <v>0.3483</v>
      </c>
      <c r="G150" s="336" cm="1">
        <f t="array" ref="G150">F150+_xlfn.IFS(Forecasting_Scenario=Base,2.5%,Forecasting_Scenario=Aggressive,3.67%,Forecasting_Scenario=Conservative,2%)</f>
        <v>0.37330000000000002</v>
      </c>
      <c r="H150" s="336" cm="1">
        <f t="array" ref="H150">G150+_xlfn.IFS(Forecasting_Scenario=Base,2.5%,Forecasting_Scenario=Aggressive,3.67%,Forecasting_Scenario=Conservative,2%)</f>
        <v>0.39830000000000004</v>
      </c>
      <c r="I150" s="234"/>
      <c r="J150" s="234"/>
      <c r="K150" s="234"/>
      <c r="L150" s="234"/>
      <c r="M150" s="234"/>
      <c r="N150" s="234"/>
      <c r="O150" s="234"/>
      <c r="P150" s="234"/>
      <c r="Q150" s="234"/>
      <c r="R150" s="234"/>
      <c r="S150" s="234"/>
      <c r="T150" s="234"/>
      <c r="U150" s="234"/>
      <c r="V150" s="234"/>
      <c r="W150" s="234"/>
      <c r="X150" s="234"/>
      <c r="Y150" s="234"/>
      <c r="Z150" s="234"/>
      <c r="AA150" s="234"/>
      <c r="AB150" s="234"/>
      <c r="AC150" s="234"/>
      <c r="AD150" s="234"/>
      <c r="AE150" s="234"/>
      <c r="AF150" s="234"/>
      <c r="AG150" s="234"/>
      <c r="AH150" s="234"/>
      <c r="AI150" s="234"/>
      <c r="AJ150" s="234"/>
      <c r="AK150" s="234"/>
      <c r="AL150" s="234"/>
      <c r="AM150" s="234"/>
      <c r="AN150" s="234"/>
      <c r="AP150" s="20"/>
    </row>
    <row r="151" spans="2:42" x14ac:dyDescent="0.25">
      <c r="C151" s="21" t="s">
        <v>393</v>
      </c>
      <c r="D151" s="34" t="s">
        <v>29</v>
      </c>
      <c r="E151" s="336" cm="1">
        <f t="array" ref="E151">_xlfn.IFS(Forecasting_Scenario=Base,36.67%,Forecasting_Scenario=Aggressive,38%,Forecasting_Scenario=Conservative,35%)</f>
        <v>0.36670000000000003</v>
      </c>
      <c r="F151" s="336" cm="1">
        <f t="array" ref="F151">E151+_xlfn.IFS(Forecasting_Scenario=Base,1.5%,Forecasting_Scenario=Aggressive,2.67%,Forecasting_Scenario=Conservative,1%)*125%</f>
        <v>0.38545000000000001</v>
      </c>
      <c r="G151" s="336" cm="1">
        <f t="array" ref="G151">F151+_xlfn.IFS(Forecasting_Scenario=Base,2.5%,Forecasting_Scenario=Aggressive,3.67%,Forecasting_Scenario=Conservative,2%)*125%</f>
        <v>0.41670000000000001</v>
      </c>
      <c r="H151" s="336" cm="1">
        <f t="array" ref="H151">G151+_xlfn.IFS(Forecasting_Scenario=Base,2.5%,Forecasting_Scenario=Aggressive,3.67%,Forecasting_Scenario=Conservative,2%)*125%</f>
        <v>0.44795000000000001</v>
      </c>
      <c r="I151" s="234"/>
      <c r="J151" s="234"/>
      <c r="K151" s="234"/>
      <c r="L151" s="234"/>
      <c r="M151" s="234"/>
      <c r="N151" s="234"/>
      <c r="O151" s="234"/>
      <c r="P151" s="234"/>
      <c r="Q151" s="234"/>
      <c r="R151" s="234"/>
      <c r="S151" s="234"/>
      <c r="T151" s="234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4"/>
      <c r="AI151" s="234"/>
      <c r="AJ151" s="234"/>
      <c r="AK151" s="234"/>
      <c r="AL151" s="234"/>
      <c r="AM151" s="234"/>
      <c r="AN151" s="234"/>
      <c r="AP151" s="20"/>
    </row>
    <row r="152" spans="2:42" x14ac:dyDescent="0.25">
      <c r="C152" s="21" t="s">
        <v>456</v>
      </c>
      <c r="D152" s="34" t="s">
        <v>29</v>
      </c>
      <c r="E152" s="336" cm="1">
        <f t="array" ref="E152">_xlfn.IFS(Forecasting_Scenario=Base,25%,Forecasting_Scenario=Aggressive,26.67%,Forecasting_Scenario=Conservative,23.33%)</f>
        <v>0.25</v>
      </c>
      <c r="F152" s="336" cm="1">
        <f t="array" ref="F152">E152+_xlfn.IFS(Forecasting_Scenario=Base,1.5%,Forecasting_Scenario=Aggressive,2.67%,Forecasting_Scenario=Conservative,1%)*40%</f>
        <v>0.25600000000000001</v>
      </c>
      <c r="G152" s="336" cm="1">
        <f t="array" ref="G152">F152++_xlfn.IFS(Forecasting_Scenario=Base,2.5%,Forecasting_Scenario=Aggressive,3.67%,Forecasting_Scenario=Conservative,2%)*40%</f>
        <v>0.26600000000000001</v>
      </c>
      <c r="H152" s="336" cm="1">
        <f t="array" ref="H152">G152+_xlfn.IFS(Forecasting_Scenario=Base,2.5%,Forecasting_Scenario=Aggressive,3.67%,Forecasting_Scenario=Conservative,2%)*40%</f>
        <v>0.27600000000000002</v>
      </c>
      <c r="I152" s="234"/>
      <c r="J152" s="234"/>
      <c r="K152" s="234"/>
      <c r="L152" s="234"/>
      <c r="M152" s="234"/>
      <c r="N152" s="234"/>
      <c r="O152" s="234"/>
      <c r="P152" s="234"/>
      <c r="Q152" s="234"/>
      <c r="R152" s="234"/>
      <c r="S152" s="234"/>
      <c r="T152" s="234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234"/>
      <c r="AI152" s="234"/>
      <c r="AJ152" s="234"/>
      <c r="AK152" s="234"/>
      <c r="AL152" s="234"/>
      <c r="AM152" s="234"/>
      <c r="AN152" s="234"/>
      <c r="AP152" s="20"/>
    </row>
    <row r="153" spans="2:42" x14ac:dyDescent="0.25">
      <c r="B153" s="33" t="s">
        <v>9</v>
      </c>
      <c r="C153" s="311" t="str">
        <f>'4.2 Sector Mapping'!$B$6</f>
        <v>Communication, Media and Technology</v>
      </c>
      <c r="D153" s="318"/>
      <c r="E153" s="311"/>
      <c r="F153" s="311"/>
      <c r="G153" s="311"/>
      <c r="H153" s="311"/>
      <c r="I153" s="311"/>
      <c r="J153" s="311"/>
      <c r="K153" s="311"/>
      <c r="L153" s="311"/>
      <c r="M153" s="311"/>
      <c r="N153" s="311"/>
      <c r="O153" s="311"/>
      <c r="P153" s="311"/>
      <c r="Q153" s="311"/>
      <c r="R153" s="311"/>
      <c r="S153" s="311"/>
      <c r="T153" s="311"/>
      <c r="U153" s="311"/>
      <c r="V153" s="311"/>
      <c r="W153" s="311"/>
      <c r="X153" s="311"/>
      <c r="Y153" s="311"/>
      <c r="Z153" s="311"/>
      <c r="AA153" s="311"/>
      <c r="AB153" s="311"/>
      <c r="AC153" s="311"/>
      <c r="AD153" s="311"/>
      <c r="AE153" s="311"/>
      <c r="AF153" s="311"/>
      <c r="AG153" s="311"/>
      <c r="AH153" s="311"/>
      <c r="AI153" s="311"/>
      <c r="AJ153" s="311"/>
      <c r="AK153" s="311"/>
      <c r="AL153" s="311"/>
      <c r="AM153" s="311"/>
      <c r="AN153" s="311"/>
      <c r="AO153" s="74"/>
      <c r="AP153" s="311"/>
    </row>
    <row r="154" spans="2:42" x14ac:dyDescent="0.25">
      <c r="C154" s="20" t="s">
        <v>600</v>
      </c>
      <c r="D154" s="34" t="s">
        <v>29</v>
      </c>
      <c r="E154" s="336" cm="1">
        <f t="array" ref="E154">_xlfn.IFS(Forecasting_Scenario=Base,70%,Forecasting_Scenario=Aggressive,72%,Forecasting_Scenario=Conservative,69%)</f>
        <v>0.7</v>
      </c>
      <c r="F154" s="336" cm="1">
        <f t="array" ref="F154">E154+_xlfn.IFS(Forecasting_Scenario=Base,1.5%,Forecasting_Scenario=Aggressive,2.67%,Forecasting_Scenario=Conservative,1%)</f>
        <v>0.71499999999999997</v>
      </c>
      <c r="G154" s="336" cm="1">
        <f t="array" ref="G154">F154+_xlfn.IFS(Forecasting_Scenario=Base,2.5%,Forecasting_Scenario=Aggressive,3.67%,Forecasting_Scenario=Conservative,2%)</f>
        <v>0.74</v>
      </c>
      <c r="H154" s="336" cm="1">
        <f t="array" ref="H154">G154+_xlfn.IFS(Forecasting_Scenario=Base,2.5%,Forecasting_Scenario=Aggressive,3.67%,Forecasting_Scenario=Conservative,2%)</f>
        <v>0.76500000000000001</v>
      </c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P154" s="20"/>
    </row>
    <row r="155" spans="2:42" x14ac:dyDescent="0.25">
      <c r="C155" s="20" t="s">
        <v>392</v>
      </c>
      <c r="D155" s="34" t="s">
        <v>29</v>
      </c>
      <c r="E155" s="336" cm="1">
        <f t="array" ref="E155">_xlfn.IFS(Forecasting_Scenario=Base,30%,Forecasting_Scenario=Aggressive,32.5%,Forecasting_Scenario=Conservative,28%)</f>
        <v>0.3</v>
      </c>
      <c r="F155" s="336" cm="1">
        <f t="array" ref="F155">E155+_xlfn.IFS(Forecasting_Scenario=Base,1.5%,Forecasting_Scenario=Aggressive,2.67%,Forecasting_Scenario=Conservative,1%)*25%</f>
        <v>0.30374999999999996</v>
      </c>
      <c r="G155" s="336" cm="1">
        <f t="array" ref="G155">F155+_xlfn.IFS(Forecasting_Scenario=Base,2.5%,Forecasting_Scenario=Aggressive,3.67%,Forecasting_Scenario=Conservative,2%)*25%</f>
        <v>0.30999999999999994</v>
      </c>
      <c r="H155" s="336" cm="1">
        <f t="array" ref="H155">G155++_xlfn.IFS(Forecasting_Scenario=Base,2.5%,Forecasting_Scenario=Aggressive,3.67%,Forecasting_Scenario=Conservative,2%)*25%</f>
        <v>0.31624999999999992</v>
      </c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P155" s="20"/>
    </row>
    <row r="156" spans="2:42" x14ac:dyDescent="0.25">
      <c r="C156" s="20" t="s">
        <v>454</v>
      </c>
      <c r="D156" s="34" t="s">
        <v>29</v>
      </c>
      <c r="E156" s="336" cm="1">
        <f t="array" ref="E156">_xlfn.IFS(Forecasting_Scenario=Base,60%,Forecasting_Scenario=Aggressive,62.5%,Forecasting_Scenario=Conservative,58%)</f>
        <v>0.6</v>
      </c>
      <c r="F156" s="336" cm="1">
        <f t="array" ref="F156">E156+_xlfn.IFS(Forecasting_Scenario=Base,1.5%,Forecasting_Scenario=Aggressive,2.67%,Forecasting_Scenario=Conservative,1%)*40%</f>
        <v>0.60599999999999998</v>
      </c>
      <c r="G156" s="336" cm="1">
        <f t="array" ref="G156">F156+_xlfn.IFS(Forecasting_Scenario=Base,2.5%,Forecasting_Scenario=Aggressive,3.67%,Forecasting_Scenario=Conservative,2%)*40%</f>
        <v>0.61599999999999999</v>
      </c>
      <c r="H156" s="336" cm="1">
        <f t="array" ref="H156">G156+_xlfn.IFS(Forecasting_Scenario=Base,2.5%,Forecasting_Scenario=Aggressive,3.67%,Forecasting_Scenario=Conservative,2%)*40%</f>
        <v>0.626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P156" s="20"/>
    </row>
    <row r="157" spans="2:42" x14ac:dyDescent="0.25">
      <c r="C157" s="21" t="s">
        <v>455</v>
      </c>
      <c r="D157" s="34" t="s">
        <v>29</v>
      </c>
      <c r="E157" s="336" cm="1">
        <f t="array" ref="E157">_xlfn.IFS(Forecasting_Scenario=Base,75%,Forecasting_Scenario=Aggressive,77.5%,Forecasting_Scenario=Conservative,74%)</f>
        <v>0.75</v>
      </c>
      <c r="F157" s="336" cm="1">
        <f t="array" ref="F157">E157+_xlfn.IFS(Forecasting_Scenario=Base,1.5%,Forecasting_Scenario=Aggressive,2.67%,Forecasting_Scenario=Conservative,1%)</f>
        <v>0.76500000000000001</v>
      </c>
      <c r="G157" s="336" cm="1">
        <f t="array" ref="G157">F157+_xlfn.IFS(Forecasting_Scenario=Base,2.5%,Forecasting_Scenario=Aggressive,3.67%,Forecasting_Scenario=Conservative,2%)</f>
        <v>0.79</v>
      </c>
      <c r="H157" s="336" cm="1">
        <f t="array" ref="H157">G157+_xlfn.IFS(Forecasting_Scenario=Base,2.5%,Forecasting_Scenario=Aggressive,3.67%,Forecasting_Scenario=Conservative,2%)</f>
        <v>0.81500000000000006</v>
      </c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P157" s="20"/>
    </row>
    <row r="158" spans="2:42" x14ac:dyDescent="0.25">
      <c r="C158" s="21" t="s">
        <v>393</v>
      </c>
      <c r="D158" s="34" t="s">
        <v>29</v>
      </c>
      <c r="E158" s="336" cm="1">
        <f t="array" ref="E158">_xlfn.IFS(Forecasting_Scenario=Base,82.5%,Forecasting_Scenario=Aggressive,84.67%,Forecasting_Scenario=Conservative,80%)</f>
        <v>0.82499999999999996</v>
      </c>
      <c r="F158" s="336" cm="1">
        <f t="array" ref="F158">E158+_xlfn.IFS(Forecasting_Scenario=Base,1.5%,Forecasting_Scenario=Aggressive,2.67%,Forecasting_Scenario=Conservative,1%)*125%</f>
        <v>0.84375</v>
      </c>
      <c r="G158" s="336" cm="1">
        <f t="array" ref="G158">F158+_xlfn.IFS(Forecasting_Scenario=Base,2.5%,Forecasting_Scenario=Aggressive,3.67%,Forecasting_Scenario=Conservative,2%)*125%</f>
        <v>0.875</v>
      </c>
      <c r="H158" s="336" cm="1">
        <f t="array" ref="H158">G158+_xlfn.IFS(Forecasting_Scenario=Base,2.5%,Forecasting_Scenario=Aggressive,3.67%,Forecasting_Scenario=Conservative,2%)*125%</f>
        <v>0.90625</v>
      </c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P158" s="20"/>
    </row>
    <row r="159" spans="2:42" x14ac:dyDescent="0.25">
      <c r="C159" s="21" t="s">
        <v>456</v>
      </c>
      <c r="D159" s="34" t="s">
        <v>29</v>
      </c>
      <c r="E159" s="336" cm="1">
        <f t="array" ref="E159">_xlfn.IFS(Forecasting_Scenario=Base,55%,Forecasting_Scenario=Aggressive,57.5%,Forecasting_Scenario=Conservative,52.5%)</f>
        <v>0.55000000000000004</v>
      </c>
      <c r="F159" s="336" cm="1">
        <f t="array" ref="F159">E159+_xlfn.IFS(Forecasting_Scenario=Base,1.5%,Forecasting_Scenario=Aggressive,2.67%,Forecasting_Scenario=Conservative,1%)*40%</f>
        <v>0.55600000000000005</v>
      </c>
      <c r="G159" s="336" cm="1">
        <f t="array" ref="G159">F159++_xlfn.IFS(Forecasting_Scenario=Base,2.5%,Forecasting_Scenario=Aggressive,3.67%,Forecasting_Scenario=Conservative,2%)*40%</f>
        <v>0.56600000000000006</v>
      </c>
      <c r="H159" s="336" cm="1">
        <f t="array" ref="H159">G159+_xlfn.IFS(Forecasting_Scenario=Base,2.5%,Forecasting_Scenario=Aggressive,3.67%,Forecasting_Scenario=Conservative,2%)*40%</f>
        <v>0.57600000000000007</v>
      </c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P159" s="20"/>
    </row>
    <row r="160" spans="2:42" x14ac:dyDescent="0.25">
      <c r="B160" s="33" t="s">
        <v>9</v>
      </c>
      <c r="C160" s="311" t="str">
        <f>'4.2 Sector Mapping'!$B$7</f>
        <v>Energy and Environment</v>
      </c>
      <c r="D160" s="318"/>
      <c r="E160" s="311"/>
      <c r="F160" s="311"/>
      <c r="G160" s="311"/>
      <c r="H160" s="311"/>
      <c r="I160" s="311"/>
      <c r="J160" s="311"/>
      <c r="K160" s="311"/>
      <c r="L160" s="311"/>
      <c r="M160" s="311"/>
      <c r="N160" s="311"/>
      <c r="O160" s="311"/>
      <c r="P160" s="311"/>
      <c r="Q160" s="311"/>
      <c r="R160" s="311"/>
      <c r="S160" s="311"/>
      <c r="T160" s="311"/>
      <c r="U160" s="311"/>
      <c r="V160" s="311"/>
      <c r="W160" s="311"/>
      <c r="X160" s="311"/>
      <c r="Y160" s="311"/>
      <c r="Z160" s="311"/>
      <c r="AA160" s="311"/>
      <c r="AB160" s="311"/>
      <c r="AC160" s="311"/>
      <c r="AD160" s="311"/>
      <c r="AE160" s="311"/>
      <c r="AF160" s="311"/>
      <c r="AG160" s="311"/>
      <c r="AH160" s="311"/>
      <c r="AI160" s="311"/>
      <c r="AJ160" s="311"/>
      <c r="AK160" s="311"/>
      <c r="AL160" s="311"/>
      <c r="AM160" s="311"/>
      <c r="AN160" s="311"/>
      <c r="AO160" s="74"/>
      <c r="AP160" s="311"/>
    </row>
    <row r="161" spans="2:42" x14ac:dyDescent="0.25">
      <c r="C161" s="20" t="s">
        <v>600</v>
      </c>
      <c r="D161" s="34" t="s">
        <v>29</v>
      </c>
      <c r="E161" s="336" cm="1">
        <f t="array" ref="E161">_xlfn.IFS(Forecasting_Scenario=Base,45%,Forecasting_Scenario=Aggressive,47.5%,Forecasting_Scenario=Conservative,43.33%)</f>
        <v>0.45</v>
      </c>
      <c r="F161" s="336" cm="1">
        <f t="array" ref="F161">E161+_xlfn.IFS(Forecasting_Scenario=Base,1.5%,Forecasting_Scenario=Aggressive,2.67%,Forecasting_Scenario=Conservative,1%)</f>
        <v>0.46500000000000002</v>
      </c>
      <c r="G161" s="336" cm="1">
        <f t="array" ref="G161">F161+_xlfn.IFS(Forecasting_Scenario=Base,2.5%,Forecasting_Scenario=Aggressive,3.67%,Forecasting_Scenario=Conservative,2%)</f>
        <v>0.49000000000000005</v>
      </c>
      <c r="H161" s="336" cm="1">
        <f t="array" ref="H161">G161+_xlfn.IFS(Forecasting_Scenario=Base,2.5%,Forecasting_Scenario=Aggressive,3.67%,Forecasting_Scenario=Conservative,2%)</f>
        <v>0.51500000000000001</v>
      </c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P161" s="20"/>
    </row>
    <row r="162" spans="2:42" x14ac:dyDescent="0.25">
      <c r="C162" s="20" t="s">
        <v>392</v>
      </c>
      <c r="D162" s="34" t="s">
        <v>29</v>
      </c>
      <c r="E162" s="336" cm="1">
        <f t="array" ref="E162">_xlfn.IFS(Forecasting_Scenario=Base,15%,Forecasting_Scenario=Aggressive,17.5%,Forecasting_Scenario=Conservative,12.5%)</f>
        <v>0.15</v>
      </c>
      <c r="F162" s="336" cm="1">
        <f t="array" ref="F162">E162+_xlfn.IFS(Forecasting_Scenario=Base,1.5%,Forecasting_Scenario=Aggressive,2.67%,Forecasting_Scenario=Conservative,1%)*25%</f>
        <v>0.15375</v>
      </c>
      <c r="G162" s="336" cm="1">
        <f t="array" ref="G162">F162+_xlfn.IFS(Forecasting_Scenario=Base,2.5%,Forecasting_Scenario=Aggressive,3.67%,Forecasting_Scenario=Conservative,2%)*25%</f>
        <v>0.16</v>
      </c>
      <c r="H162" s="336" cm="1">
        <f t="array" ref="H162">G162++_xlfn.IFS(Forecasting_Scenario=Base,2.5%,Forecasting_Scenario=Aggressive,3.67%,Forecasting_Scenario=Conservative,2%)*25%</f>
        <v>0.16625000000000001</v>
      </c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P162" s="20"/>
    </row>
    <row r="163" spans="2:42" x14ac:dyDescent="0.25">
      <c r="C163" s="20" t="s">
        <v>454</v>
      </c>
      <c r="D163" s="34" t="s">
        <v>29</v>
      </c>
      <c r="E163" s="336" cm="1">
        <f t="array" ref="E163">_xlfn.IFS(Forecasting_Scenario=Base,40%,Forecasting_Scenario=Aggressive,42.5%,Forecasting_Scenario=Conservative,38%)</f>
        <v>0.4</v>
      </c>
      <c r="F163" s="336" cm="1">
        <f t="array" ref="F163">E163+_xlfn.IFS(Forecasting_Scenario=Base,1.5%,Forecasting_Scenario=Aggressive,2.67%,Forecasting_Scenario=Conservative,1%)*40%</f>
        <v>0.40600000000000003</v>
      </c>
      <c r="G163" s="336" cm="1">
        <f t="array" ref="G163">F163+_xlfn.IFS(Forecasting_Scenario=Base,2.5%,Forecasting_Scenario=Aggressive,3.67%,Forecasting_Scenario=Conservative,2%)*40%</f>
        <v>0.41600000000000004</v>
      </c>
      <c r="H163" s="336" cm="1">
        <f t="array" ref="H163">G163+_xlfn.IFS(Forecasting_Scenario=Base,2.5%,Forecasting_Scenario=Aggressive,3.67%,Forecasting_Scenario=Conservative,2%)*40%</f>
        <v>0.42600000000000005</v>
      </c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P163" s="20"/>
    </row>
    <row r="164" spans="2:42" x14ac:dyDescent="0.25">
      <c r="C164" s="21" t="s">
        <v>455</v>
      </c>
      <c r="D164" s="34" t="s">
        <v>29</v>
      </c>
      <c r="E164" s="336" cm="1">
        <f t="array" ref="E164">_xlfn.IFS(Forecasting_Scenario=Base,55%,Forecasting_Scenario=Aggressive,56.67%,Forecasting_Scenario=Conservative,54%)</f>
        <v>0.55000000000000004</v>
      </c>
      <c r="F164" s="336" cm="1">
        <f t="array" ref="F164">E164+_xlfn.IFS(Forecasting_Scenario=Base,1.5%,Forecasting_Scenario=Aggressive,2.67%,Forecasting_Scenario=Conservative,1%)</f>
        <v>0.56500000000000006</v>
      </c>
      <c r="G164" s="336" cm="1">
        <f t="array" ref="G164">F164+_xlfn.IFS(Forecasting_Scenario=Base,2.5%,Forecasting_Scenario=Aggressive,3.67%,Forecasting_Scenario=Conservative,2%)</f>
        <v>0.59000000000000008</v>
      </c>
      <c r="H164" s="336" cm="1">
        <f t="array" ref="H164">G164+_xlfn.IFS(Forecasting_Scenario=Base,2.5%,Forecasting_Scenario=Aggressive,3.67%,Forecasting_Scenario=Conservative,2%)</f>
        <v>0.6150000000000001</v>
      </c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P164" s="21"/>
    </row>
    <row r="165" spans="2:42" x14ac:dyDescent="0.25">
      <c r="C165" s="21" t="s">
        <v>393</v>
      </c>
      <c r="D165" s="34" t="s">
        <v>29</v>
      </c>
      <c r="E165" s="336" cm="1">
        <f t="array" ref="E165">_xlfn.IFS(Forecasting_Scenario=Base,75%,Forecasting_Scenario=Aggressive,77.5%,Forecasting_Scenario=Conservative,73%)</f>
        <v>0.75</v>
      </c>
      <c r="F165" s="336" cm="1">
        <f t="array" ref="F165">E165+_xlfn.IFS(Forecasting_Scenario=Base,1.5%,Forecasting_Scenario=Aggressive,2.67%,Forecasting_Scenario=Conservative,1%)*125%</f>
        <v>0.76875000000000004</v>
      </c>
      <c r="G165" s="336" cm="1">
        <f t="array" ref="G165">F165+_xlfn.IFS(Forecasting_Scenario=Base,2.5%,Forecasting_Scenario=Aggressive,3.67%,Forecasting_Scenario=Conservative,2%)*125%</f>
        <v>0.8</v>
      </c>
      <c r="H165" s="336" cm="1">
        <f t="array" ref="H165">G165+_xlfn.IFS(Forecasting_Scenario=Base,2.5%,Forecasting_Scenario=Aggressive,3.67%,Forecasting_Scenario=Conservative,2%)*125%</f>
        <v>0.83125000000000004</v>
      </c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P165" s="22"/>
    </row>
    <row r="166" spans="2:42" x14ac:dyDescent="0.25">
      <c r="C166" s="21" t="s">
        <v>456</v>
      </c>
      <c r="D166" s="34" t="s">
        <v>29</v>
      </c>
      <c r="E166" s="336" cm="1">
        <f t="array" ref="E166">_xlfn.IFS(Forecasting_Scenario=Base,40%,Forecasting_Scenario=Aggressive,41.67%,Forecasting_Scenario=Conservative,39%)</f>
        <v>0.4</v>
      </c>
      <c r="F166" s="336" cm="1">
        <f t="array" ref="F166">E166+_xlfn.IFS(Forecasting_Scenario=Base,1.5%,Forecasting_Scenario=Aggressive,2.67%,Forecasting_Scenario=Conservative,1%)*40%</f>
        <v>0.40600000000000003</v>
      </c>
      <c r="G166" s="336" cm="1">
        <f t="array" ref="G166">F166++_xlfn.IFS(Forecasting_Scenario=Base,2.5%,Forecasting_Scenario=Aggressive,3.67%,Forecasting_Scenario=Conservative,2%)*40%</f>
        <v>0.41600000000000004</v>
      </c>
      <c r="H166" s="336" cm="1">
        <f t="array" ref="H166">G166+_xlfn.IFS(Forecasting_Scenario=Base,2.5%,Forecasting_Scenario=Aggressive,3.67%,Forecasting_Scenario=Conservative,2%)*40%</f>
        <v>0.42600000000000005</v>
      </c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P166" s="22"/>
    </row>
    <row r="167" spans="2:42" x14ac:dyDescent="0.25">
      <c r="B167" s="33" t="s">
        <v>9</v>
      </c>
      <c r="C167" s="311" t="str">
        <f>'4.2 Sector Mapping'!$B$8</f>
        <v>Financial Services</v>
      </c>
      <c r="D167" s="318"/>
      <c r="E167" s="311"/>
      <c r="F167" s="311"/>
      <c r="G167" s="311"/>
      <c r="H167" s="311"/>
      <c r="I167" s="311"/>
      <c r="J167" s="311"/>
      <c r="K167" s="311"/>
      <c r="L167" s="311"/>
      <c r="M167" s="311"/>
      <c r="N167" s="311"/>
      <c r="O167" s="311"/>
      <c r="P167" s="311"/>
      <c r="Q167" s="311"/>
      <c r="R167" s="311"/>
      <c r="S167" s="311"/>
      <c r="T167" s="311"/>
      <c r="U167" s="311"/>
      <c r="V167" s="311"/>
      <c r="W167" s="311"/>
      <c r="X167" s="311"/>
      <c r="Y167" s="311"/>
      <c r="Z167" s="311"/>
      <c r="AA167" s="311"/>
      <c r="AB167" s="311"/>
      <c r="AC167" s="311"/>
      <c r="AD167" s="311"/>
      <c r="AE167" s="311"/>
      <c r="AF167" s="311"/>
      <c r="AG167" s="311"/>
      <c r="AH167" s="311"/>
      <c r="AI167" s="311"/>
      <c r="AJ167" s="311"/>
      <c r="AK167" s="311"/>
      <c r="AL167" s="311"/>
      <c r="AM167" s="311"/>
      <c r="AN167" s="311"/>
      <c r="AO167" s="74"/>
      <c r="AP167" s="311"/>
    </row>
    <row r="168" spans="2:42" x14ac:dyDescent="0.25">
      <c r="C168" s="20" t="s">
        <v>600</v>
      </c>
      <c r="D168" s="34" t="s">
        <v>29</v>
      </c>
      <c r="E168" s="336" cm="1">
        <f t="array" ref="E168">_xlfn.IFS(Forecasting_Scenario=Base,75%,Forecasting_Scenario=Aggressive,78%,Forecasting_Scenario=Conservative,74%)</f>
        <v>0.75</v>
      </c>
      <c r="F168" s="336" cm="1">
        <f t="array" ref="F168">E168+_xlfn.IFS(Forecasting_Scenario=Base,1.5%,Forecasting_Scenario=Aggressive,2.67%,Forecasting_Scenario=Conservative,1%)</f>
        <v>0.76500000000000001</v>
      </c>
      <c r="G168" s="336" cm="1">
        <f t="array" ref="G168">F168+_xlfn.IFS(Forecasting_Scenario=Base,2.5%,Forecasting_Scenario=Aggressive,3.67%,Forecasting_Scenario=Conservative,2%)</f>
        <v>0.79</v>
      </c>
      <c r="H168" s="336" cm="1">
        <f t="array" ref="H168">G168+_xlfn.IFS(Forecasting_Scenario=Base,2.5%,Forecasting_Scenario=Aggressive,3.67%,Forecasting_Scenario=Conservative,2%)</f>
        <v>0.81500000000000006</v>
      </c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P168" s="22"/>
    </row>
    <row r="169" spans="2:42" x14ac:dyDescent="0.25">
      <c r="C169" s="20" t="s">
        <v>392</v>
      </c>
      <c r="D169" s="34" t="s">
        <v>29</v>
      </c>
      <c r="E169" s="336" cm="1">
        <f t="array" ref="E169">_xlfn.IFS(Forecasting_Scenario=Base,35%,Forecasting_Scenario=Aggressive,37.5%,Forecasting_Scenario=Conservative,33.5%)</f>
        <v>0.35</v>
      </c>
      <c r="F169" s="336" cm="1">
        <f t="array" ref="F169">E169+_xlfn.IFS(Forecasting_Scenario=Base,1.5%,Forecasting_Scenario=Aggressive,2.67%,Forecasting_Scenario=Conservative,1%)*25%</f>
        <v>0.35374999999999995</v>
      </c>
      <c r="G169" s="336" cm="1">
        <f t="array" ref="G169">F169+_xlfn.IFS(Forecasting_Scenario=Base,2.5%,Forecasting_Scenario=Aggressive,3.67%,Forecasting_Scenario=Conservative,2%)*25%</f>
        <v>0.35999999999999993</v>
      </c>
      <c r="H169" s="336" cm="1">
        <f t="array" ref="H169">G169++_xlfn.IFS(Forecasting_Scenario=Base,2.5%,Forecasting_Scenario=Aggressive,3.67%,Forecasting_Scenario=Conservative,2%)*25%</f>
        <v>0.36624999999999991</v>
      </c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P169" s="22"/>
    </row>
    <row r="170" spans="2:42" x14ac:dyDescent="0.25">
      <c r="C170" s="20" t="s">
        <v>454</v>
      </c>
      <c r="D170" s="34" t="s">
        <v>29</v>
      </c>
      <c r="E170" s="336" cm="1">
        <f t="array" ref="E170">_xlfn.IFS(Forecasting_Scenario=Base,66.67%,Forecasting_Scenario=Aggressive,70%,Forecasting_Scenario=Conservative,64%)</f>
        <v>0.66670000000000007</v>
      </c>
      <c r="F170" s="336" cm="1">
        <f t="array" ref="F170">E170+_xlfn.IFS(Forecasting_Scenario=Base,1.5%,Forecasting_Scenario=Aggressive,2.67%,Forecasting_Scenario=Conservative,1%)*40%</f>
        <v>0.67270000000000008</v>
      </c>
      <c r="G170" s="336" cm="1">
        <f t="array" ref="G170">F170+_xlfn.IFS(Forecasting_Scenario=Base,2.5%,Forecasting_Scenario=Aggressive,3.67%,Forecasting_Scenario=Conservative,2%)*40%</f>
        <v>0.68270000000000008</v>
      </c>
      <c r="H170" s="336" cm="1">
        <f t="array" ref="H170">G170+_xlfn.IFS(Forecasting_Scenario=Base,2.5%,Forecasting_Scenario=Aggressive,3.67%,Forecasting_Scenario=Conservative,2%)*40%</f>
        <v>0.69270000000000009</v>
      </c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P170" s="22"/>
    </row>
    <row r="171" spans="2:42" x14ac:dyDescent="0.25">
      <c r="C171" s="21" t="s">
        <v>455</v>
      </c>
      <c r="D171" s="34" t="s">
        <v>29</v>
      </c>
      <c r="E171" s="336" cm="1">
        <f t="array" ref="E171">_xlfn.IFS(Forecasting_Scenario=Base,75%,Forecasting_Scenario=Aggressive,80%,Forecasting_Scenario=Conservative,72.5%)</f>
        <v>0.75</v>
      </c>
      <c r="F171" s="336" cm="1">
        <f t="array" ref="F171">E171+_xlfn.IFS(Forecasting_Scenario=Base,1.5%,Forecasting_Scenario=Aggressive,2.67%,Forecasting_Scenario=Conservative,1%)</f>
        <v>0.76500000000000001</v>
      </c>
      <c r="G171" s="336" cm="1">
        <f t="array" ref="G171">F171+_xlfn.IFS(Forecasting_Scenario=Base,2.5%,Forecasting_Scenario=Aggressive,3.67%,Forecasting_Scenario=Conservative,2%)</f>
        <v>0.79</v>
      </c>
      <c r="H171" s="336" cm="1">
        <f t="array" ref="H171">G171+_xlfn.IFS(Forecasting_Scenario=Base,2.5%,Forecasting_Scenario=Aggressive,3.67%,Forecasting_Scenario=Conservative,2%)</f>
        <v>0.81500000000000006</v>
      </c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P171" s="22"/>
    </row>
    <row r="172" spans="2:42" x14ac:dyDescent="0.25">
      <c r="C172" s="21" t="s">
        <v>393</v>
      </c>
      <c r="D172" s="34" t="s">
        <v>29</v>
      </c>
      <c r="E172" s="336" cm="1">
        <f t="array" ref="E172">_xlfn.IFS(Forecasting_Scenario=Base,85%,Forecasting_Scenario=Aggressive,86.5%,Forecasting_Scenario=Conservative,84%)</f>
        <v>0.85</v>
      </c>
      <c r="F172" s="336" cm="1">
        <f t="array" ref="F172">E172+_xlfn.IFS(Forecasting_Scenario=Base,1.5%,Forecasting_Scenario=Aggressive,2.67%,Forecasting_Scenario=Conservative,1%)*125%</f>
        <v>0.86875000000000002</v>
      </c>
      <c r="G172" s="336" cm="1">
        <f t="array" ref="G172">F172+_xlfn.IFS(Forecasting_Scenario=Base,2.5%,Forecasting_Scenario=Aggressive,3.67%,Forecasting_Scenario=Conservative,2%)*125%</f>
        <v>0.9</v>
      </c>
      <c r="H172" s="336" cm="1">
        <f t="array" ref="H172">G172+_xlfn.IFS(Forecasting_Scenario=Base,2.5%,Forecasting_Scenario=Aggressive,3.67%,Forecasting_Scenario=Conservative,2%)*125%</f>
        <v>0.93125000000000002</v>
      </c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P172" s="22"/>
    </row>
    <row r="173" spans="2:42" x14ac:dyDescent="0.25">
      <c r="C173" s="21" t="s">
        <v>456</v>
      </c>
      <c r="D173" s="34" t="s">
        <v>29</v>
      </c>
      <c r="E173" s="336" cm="1">
        <f t="array" ref="E173">_xlfn.IFS(Forecasting_Scenario=Base,45%,Forecasting_Scenario=Aggressive,46.67%,Forecasting_Scenario=Conservative,44%)</f>
        <v>0.45</v>
      </c>
      <c r="F173" s="336" cm="1">
        <f t="array" ref="F173">E173+_xlfn.IFS(Forecasting_Scenario=Base,1.5%,Forecasting_Scenario=Aggressive,2.67%,Forecasting_Scenario=Conservative,1%)*40%</f>
        <v>0.45600000000000002</v>
      </c>
      <c r="G173" s="336" cm="1">
        <f t="array" ref="G173">F173++_xlfn.IFS(Forecasting_Scenario=Base,2.5%,Forecasting_Scenario=Aggressive,3.67%,Forecasting_Scenario=Conservative,2%)*40%</f>
        <v>0.46600000000000003</v>
      </c>
      <c r="H173" s="336" cm="1">
        <f t="array" ref="H173">G173+_xlfn.IFS(Forecasting_Scenario=Base,2.5%,Forecasting_Scenario=Aggressive,3.67%,Forecasting_Scenario=Conservative,2%)*40%</f>
        <v>0.47600000000000003</v>
      </c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P173" s="22"/>
    </row>
    <row r="174" spans="2:42" x14ac:dyDescent="0.25">
      <c r="B174" s="33" t="s">
        <v>9</v>
      </c>
      <c r="C174" s="311" t="str">
        <f>'4.2 Sector Mapping'!$B$9</f>
        <v>Healthcare</v>
      </c>
      <c r="D174" s="318"/>
      <c r="E174" s="311"/>
      <c r="F174" s="311"/>
      <c r="G174" s="311"/>
      <c r="H174" s="311"/>
      <c r="I174" s="311"/>
      <c r="J174" s="311"/>
      <c r="K174" s="311"/>
      <c r="L174" s="311"/>
      <c r="M174" s="311"/>
      <c r="N174" s="311"/>
      <c r="O174" s="311"/>
      <c r="P174" s="311"/>
      <c r="Q174" s="311"/>
      <c r="R174" s="311"/>
      <c r="S174" s="311"/>
      <c r="T174" s="311"/>
      <c r="U174" s="311"/>
      <c r="V174" s="311"/>
      <c r="W174" s="311"/>
      <c r="X174" s="311"/>
      <c r="Y174" s="311"/>
      <c r="Z174" s="311"/>
      <c r="AA174" s="311"/>
      <c r="AB174" s="311"/>
      <c r="AC174" s="311"/>
      <c r="AD174" s="311"/>
      <c r="AE174" s="311"/>
      <c r="AF174" s="311"/>
      <c r="AG174" s="311"/>
      <c r="AH174" s="311"/>
      <c r="AI174" s="311"/>
      <c r="AJ174" s="311"/>
      <c r="AK174" s="311"/>
      <c r="AL174" s="311"/>
      <c r="AM174" s="311"/>
      <c r="AN174" s="311"/>
      <c r="AO174" s="74"/>
      <c r="AP174" s="311"/>
    </row>
    <row r="175" spans="2:42" x14ac:dyDescent="0.25">
      <c r="C175" s="20" t="s">
        <v>600</v>
      </c>
      <c r="D175" s="34" t="s">
        <v>29</v>
      </c>
      <c r="E175" s="336" cm="1">
        <f t="array" ref="E175">_xlfn.IFS(Forecasting_Scenario=Base,50%,Forecasting_Scenario=Aggressive,51.67%,Forecasting_Scenario=Conservative,48%)</f>
        <v>0.5</v>
      </c>
      <c r="F175" s="336" cm="1">
        <f t="array" ref="F175">E175+_xlfn.IFS(Forecasting_Scenario=Base,1.5%,Forecasting_Scenario=Aggressive,2.67%,Forecasting_Scenario=Conservative,1%)</f>
        <v>0.51500000000000001</v>
      </c>
      <c r="G175" s="336" cm="1">
        <f t="array" ref="G175">F175+_xlfn.IFS(Forecasting_Scenario=Base,2.5%,Forecasting_Scenario=Aggressive,3.67%,Forecasting_Scenario=Conservative,2%)</f>
        <v>0.54</v>
      </c>
      <c r="H175" s="336" cm="1">
        <f t="array" ref="H175">G175+_xlfn.IFS(Forecasting_Scenario=Base,2.5%,Forecasting_Scenario=Aggressive,3.67%,Forecasting_Scenario=Conservative,2%)</f>
        <v>0.56500000000000006</v>
      </c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P175" s="22"/>
    </row>
    <row r="176" spans="2:42" x14ac:dyDescent="0.25">
      <c r="C176" s="20" t="s">
        <v>392</v>
      </c>
      <c r="D176" s="34" t="s">
        <v>29</v>
      </c>
      <c r="E176" s="336" cm="1">
        <f t="array" ref="E176">_xlfn.IFS(Forecasting_Scenario=Base,25%,Forecasting_Scenario=Aggressive,26.67%,Forecasting_Scenario=Conservative,24%)</f>
        <v>0.25</v>
      </c>
      <c r="F176" s="336" cm="1">
        <f t="array" ref="F176">E176+_xlfn.IFS(Forecasting_Scenario=Base,1.5%,Forecasting_Scenario=Aggressive,2.67%,Forecasting_Scenario=Conservative,1%)*25%</f>
        <v>0.25374999999999998</v>
      </c>
      <c r="G176" s="336" cm="1">
        <f t="array" ref="G176">F176+_xlfn.IFS(Forecasting_Scenario=Base,2.5%,Forecasting_Scenario=Aggressive,3.67%,Forecasting_Scenario=Conservative,2%)*25%</f>
        <v>0.25999999999999995</v>
      </c>
      <c r="H176" s="336" cm="1">
        <f t="array" ref="H176">G176++_xlfn.IFS(Forecasting_Scenario=Base,2.5%,Forecasting_Scenario=Aggressive,3.67%,Forecasting_Scenario=Conservative,2%)*25%</f>
        <v>0.26624999999999993</v>
      </c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P176" s="22"/>
    </row>
    <row r="177" spans="2:42" x14ac:dyDescent="0.25">
      <c r="C177" s="20" t="s">
        <v>454</v>
      </c>
      <c r="D177" s="34" t="s">
        <v>29</v>
      </c>
      <c r="E177" s="336" cm="1">
        <f t="array" ref="E177">_xlfn.IFS(Forecasting_Scenario=Base,40%,Forecasting_Scenario=Aggressive,46.67%,Forecasting_Scenario=Conservative,44%)</f>
        <v>0.4</v>
      </c>
      <c r="F177" s="336" cm="1">
        <f t="array" ref="F177">E177+_xlfn.IFS(Forecasting_Scenario=Base,1.5%,Forecasting_Scenario=Aggressive,2.67%,Forecasting_Scenario=Conservative,1%)*40%</f>
        <v>0.40600000000000003</v>
      </c>
      <c r="G177" s="336" cm="1">
        <f t="array" ref="G177">F177+_xlfn.IFS(Forecasting_Scenario=Base,2.5%,Forecasting_Scenario=Aggressive,3.67%,Forecasting_Scenario=Conservative,2%)*40%</f>
        <v>0.41600000000000004</v>
      </c>
      <c r="H177" s="336" cm="1">
        <f t="array" ref="H177">G177+_xlfn.IFS(Forecasting_Scenario=Base,2.5%,Forecasting_Scenario=Aggressive,3.67%,Forecasting_Scenario=Conservative,2%)*40%</f>
        <v>0.42600000000000005</v>
      </c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P177" s="22"/>
    </row>
    <row r="178" spans="2:42" x14ac:dyDescent="0.25">
      <c r="C178" s="21" t="s">
        <v>455</v>
      </c>
      <c r="D178" s="34" t="s">
        <v>29</v>
      </c>
      <c r="E178" s="336" cm="1">
        <f t="array" ref="E178">_xlfn.IFS(Forecasting_Scenario=Base,60%,Forecasting_Scenario=Aggressive,62.5%,Forecasting_Scenario=Conservative,58%)</f>
        <v>0.6</v>
      </c>
      <c r="F178" s="336" cm="1">
        <f t="array" ref="F178">E178+_xlfn.IFS(Forecasting_Scenario=Base,1.5%,Forecasting_Scenario=Aggressive,2.67%,Forecasting_Scenario=Conservative,1%)</f>
        <v>0.61499999999999999</v>
      </c>
      <c r="G178" s="336" cm="1">
        <f t="array" ref="G178">F178+_xlfn.IFS(Forecasting_Scenario=Base,2.5%,Forecasting_Scenario=Aggressive,3.67%,Forecasting_Scenario=Conservative,2%)</f>
        <v>0.64</v>
      </c>
      <c r="H178" s="336" cm="1">
        <f t="array" ref="H178">G178+_xlfn.IFS(Forecasting_Scenario=Base,2.5%,Forecasting_Scenario=Aggressive,3.67%,Forecasting_Scenario=Conservative,2%)</f>
        <v>0.66500000000000004</v>
      </c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P178" s="22"/>
    </row>
    <row r="179" spans="2:42" x14ac:dyDescent="0.25">
      <c r="C179" s="21" t="s">
        <v>393</v>
      </c>
      <c r="D179" s="34" t="s">
        <v>29</v>
      </c>
      <c r="E179" s="336" cm="1">
        <f t="array" ref="E179">_xlfn.IFS(Forecasting_Scenario=Base,80%,Forecasting_Scenario=Aggressive,82.5%,Forecasting_Scenario=Conservative,78%)</f>
        <v>0.8</v>
      </c>
      <c r="F179" s="336" cm="1">
        <f t="array" ref="F179">E179+_xlfn.IFS(Forecasting_Scenario=Base,1.5%,Forecasting_Scenario=Aggressive,2.67%,Forecasting_Scenario=Conservative,1%)*125%</f>
        <v>0.81875000000000009</v>
      </c>
      <c r="G179" s="336" cm="1">
        <f t="array" ref="G179">F179+_xlfn.IFS(Forecasting_Scenario=Base,2.5%,Forecasting_Scenario=Aggressive,3.67%,Forecasting_Scenario=Conservative,2%)*125%</f>
        <v>0.85000000000000009</v>
      </c>
      <c r="H179" s="336" cm="1">
        <f t="array" ref="H179">G179+_xlfn.IFS(Forecasting_Scenario=Base,2.5%,Forecasting_Scenario=Aggressive,3.67%,Forecasting_Scenario=Conservative,2%)*125%</f>
        <v>0.88125000000000009</v>
      </c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P179" s="22"/>
    </row>
    <row r="180" spans="2:42" x14ac:dyDescent="0.25">
      <c r="C180" s="21" t="s">
        <v>456</v>
      </c>
      <c r="D180" s="34" t="s">
        <v>29</v>
      </c>
      <c r="E180" s="336" cm="1">
        <f t="array" ref="E180">_xlfn.IFS(Forecasting_Scenario=Base,45%,Forecasting_Scenario=Aggressive,46.67%,Forecasting_Scenario=Conservative,43.33%)</f>
        <v>0.45</v>
      </c>
      <c r="F180" s="336" cm="1">
        <f t="array" ref="F180">E180+_xlfn.IFS(Forecasting_Scenario=Base,1.5%,Forecasting_Scenario=Aggressive,2.67%,Forecasting_Scenario=Conservative,1%)*40%</f>
        <v>0.45600000000000002</v>
      </c>
      <c r="G180" s="336" cm="1">
        <f t="array" ref="G180">F180++_xlfn.IFS(Forecasting_Scenario=Base,2.5%,Forecasting_Scenario=Aggressive,3.67%,Forecasting_Scenario=Conservative,2%)*40%</f>
        <v>0.46600000000000003</v>
      </c>
      <c r="H180" s="336" cm="1">
        <f t="array" ref="H180">G180+_xlfn.IFS(Forecasting_Scenario=Base,2.5%,Forecasting_Scenario=Aggressive,3.67%,Forecasting_Scenario=Conservative,2%)*40%</f>
        <v>0.47600000000000003</v>
      </c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P180" s="22"/>
    </row>
    <row r="181" spans="2:42" x14ac:dyDescent="0.25">
      <c r="B181" s="33" t="s">
        <v>9</v>
      </c>
      <c r="C181" s="311" t="str">
        <f>'4.2 Sector Mapping'!$B$10</f>
        <v>Industrials and Services</v>
      </c>
      <c r="D181" s="318"/>
      <c r="E181" s="311"/>
      <c r="F181" s="311"/>
      <c r="G181" s="311"/>
      <c r="H181" s="311"/>
      <c r="I181" s="311"/>
      <c r="J181" s="311"/>
      <c r="K181" s="311"/>
      <c r="L181" s="311"/>
      <c r="M181" s="311"/>
      <c r="N181" s="311"/>
      <c r="O181" s="311"/>
      <c r="P181" s="311"/>
      <c r="Q181" s="311"/>
      <c r="R181" s="311"/>
      <c r="S181" s="311"/>
      <c r="T181" s="311"/>
      <c r="U181" s="311"/>
      <c r="V181" s="311"/>
      <c r="W181" s="311"/>
      <c r="X181" s="311"/>
      <c r="Y181" s="311"/>
      <c r="Z181" s="311"/>
      <c r="AA181" s="311"/>
      <c r="AB181" s="311"/>
      <c r="AC181" s="311"/>
      <c r="AD181" s="311"/>
      <c r="AE181" s="311"/>
      <c r="AF181" s="311"/>
      <c r="AG181" s="311"/>
      <c r="AH181" s="311"/>
      <c r="AI181" s="311"/>
      <c r="AJ181" s="311"/>
      <c r="AK181" s="311"/>
      <c r="AL181" s="311"/>
      <c r="AM181" s="311"/>
      <c r="AN181" s="311"/>
      <c r="AO181" s="74"/>
      <c r="AP181" s="311"/>
    </row>
    <row r="182" spans="2:42" x14ac:dyDescent="0.25">
      <c r="C182" s="20" t="s">
        <v>600</v>
      </c>
      <c r="D182" s="34" t="s">
        <v>29</v>
      </c>
      <c r="E182" s="336" cm="1">
        <f t="array" ref="E182">_xlfn.IFS(Forecasting_Scenario=Base,66.67%,Forecasting_Scenario=Aggressive,67.5%,Forecasting_Scenario=Conservative,64%)</f>
        <v>0.66670000000000007</v>
      </c>
      <c r="F182" s="336" cm="1">
        <f t="array" ref="F182">E182+_xlfn.IFS(Forecasting_Scenario=Base,1.5%,Forecasting_Scenario=Aggressive,2.67%,Forecasting_Scenario=Conservative,1%)</f>
        <v>0.68170000000000008</v>
      </c>
      <c r="G182" s="336" cm="1">
        <f t="array" ref="G182">F182+_xlfn.IFS(Forecasting_Scenario=Base,2.5%,Forecasting_Scenario=Aggressive,3.67%,Forecasting_Scenario=Conservative,2%)</f>
        <v>0.70670000000000011</v>
      </c>
      <c r="H182" s="336" cm="1">
        <f t="array" ref="H182">G182+_xlfn.IFS(Forecasting_Scenario=Base,2.5%,Forecasting_Scenario=Aggressive,3.67%,Forecasting_Scenario=Conservative,2%)</f>
        <v>0.73170000000000013</v>
      </c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P182" s="22"/>
    </row>
    <row r="183" spans="2:42" x14ac:dyDescent="0.25">
      <c r="C183" s="20" t="s">
        <v>392</v>
      </c>
      <c r="D183" s="34" t="s">
        <v>29</v>
      </c>
      <c r="E183" s="336" cm="1">
        <f t="array" ref="E183">_xlfn.IFS(Forecasting_Scenario=Base,22%,Forecasting_Scenario=Aggressive,23.67%,Forecasting_Scenario=Conservative,21%)</f>
        <v>0.22</v>
      </c>
      <c r="F183" s="336" cm="1">
        <f t="array" ref="F183">E183+_xlfn.IFS(Forecasting_Scenario=Base,1.5%,Forecasting_Scenario=Aggressive,2.67%,Forecasting_Scenario=Conservative,1%)*25%</f>
        <v>0.22375</v>
      </c>
      <c r="G183" s="336" cm="1">
        <f t="array" ref="G183">F183+_xlfn.IFS(Forecasting_Scenario=Base,2.5%,Forecasting_Scenario=Aggressive,3.67%,Forecasting_Scenario=Conservative,2%)*25%</f>
        <v>0.23</v>
      </c>
      <c r="H183" s="336" cm="1">
        <f t="array" ref="H183">G183++_xlfn.IFS(Forecasting_Scenario=Base,2.5%,Forecasting_Scenario=Aggressive,3.67%,Forecasting_Scenario=Conservative,2%)*25%</f>
        <v>0.23625000000000002</v>
      </c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P183" s="22"/>
    </row>
    <row r="184" spans="2:42" x14ac:dyDescent="0.25">
      <c r="C184" s="20" t="s">
        <v>454</v>
      </c>
      <c r="D184" s="34" t="s">
        <v>29</v>
      </c>
      <c r="E184" s="336" cm="1">
        <f t="array" ref="E184">_xlfn.IFS(Forecasting_Scenario=Base,43%,Forecasting_Scenario=Aggressive,45%,Forecasting_Scenario=Conservative,41.33%)</f>
        <v>0.43</v>
      </c>
      <c r="F184" s="336" cm="1">
        <f t="array" ref="F184">E184+_xlfn.IFS(Forecasting_Scenario=Base,1.5%,Forecasting_Scenario=Aggressive,2.67%,Forecasting_Scenario=Conservative,1%)*40%</f>
        <v>0.436</v>
      </c>
      <c r="G184" s="336" cm="1">
        <f t="array" ref="G184">F184+_xlfn.IFS(Forecasting_Scenario=Base,2.5%,Forecasting_Scenario=Aggressive,3.67%,Forecasting_Scenario=Conservative,2%)*40%</f>
        <v>0.44600000000000001</v>
      </c>
      <c r="H184" s="336" cm="1">
        <f t="array" ref="H184">G184+_xlfn.IFS(Forecasting_Scenario=Base,2.5%,Forecasting_Scenario=Aggressive,3.67%,Forecasting_Scenario=Conservative,2%)*40%</f>
        <v>0.45600000000000002</v>
      </c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P184" s="22"/>
    </row>
    <row r="185" spans="2:42" x14ac:dyDescent="0.25">
      <c r="C185" s="21" t="s">
        <v>455</v>
      </c>
      <c r="D185" s="34" t="s">
        <v>29</v>
      </c>
      <c r="E185" s="336" cm="1">
        <f t="array" ref="E185">_xlfn.IFS(Forecasting_Scenario=Base,75%,Forecasting_Scenario=Aggressive,77.5%,Forecasting_Scenario=Conservative,74%)</f>
        <v>0.75</v>
      </c>
      <c r="F185" s="336" cm="1">
        <f t="array" ref="F185">E185+_xlfn.IFS(Forecasting_Scenario=Base,1.5%,Forecasting_Scenario=Aggressive,2.67%,Forecasting_Scenario=Conservative,1%)</f>
        <v>0.76500000000000001</v>
      </c>
      <c r="G185" s="336" cm="1">
        <f t="array" ref="G185">F185+_xlfn.IFS(Forecasting_Scenario=Base,2.5%,Forecasting_Scenario=Aggressive,3.67%,Forecasting_Scenario=Conservative,2%)</f>
        <v>0.79</v>
      </c>
      <c r="H185" s="336" cm="1">
        <f t="array" ref="H185">G185+_xlfn.IFS(Forecasting_Scenario=Base,2.5%,Forecasting_Scenario=Aggressive,3.67%,Forecasting_Scenario=Conservative,2%)</f>
        <v>0.81500000000000006</v>
      </c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P185" s="22"/>
    </row>
    <row r="186" spans="2:42" x14ac:dyDescent="0.25">
      <c r="C186" s="21" t="s">
        <v>393</v>
      </c>
      <c r="D186" s="34" t="s">
        <v>29</v>
      </c>
      <c r="E186" s="336" cm="1">
        <f t="array" ref="E186">_xlfn.IFS(Forecasting_Scenario=Base,85%,Forecasting_Scenario=Aggressive,87.5%,Forecasting_Scenario=Conservative,83%)</f>
        <v>0.85</v>
      </c>
      <c r="F186" s="336" cm="1">
        <f t="array" ref="F186">E186+_xlfn.IFS(Forecasting_Scenario=Base,1.5%,Forecasting_Scenario=Aggressive,2.67%,Forecasting_Scenario=Conservative,1%)*125%</f>
        <v>0.86875000000000002</v>
      </c>
      <c r="G186" s="336" cm="1">
        <f t="array" ref="G186">F186+_xlfn.IFS(Forecasting_Scenario=Base,2.5%,Forecasting_Scenario=Aggressive,3.67%,Forecasting_Scenario=Conservative,2%)*125%</f>
        <v>0.9</v>
      </c>
      <c r="H186" s="336" cm="1">
        <f t="array" ref="H186">G186+_xlfn.IFS(Forecasting_Scenario=Base,2.5%,Forecasting_Scenario=Aggressive,3.67%,Forecasting_Scenario=Conservative,2%)*125%</f>
        <v>0.93125000000000002</v>
      </c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P186" s="22"/>
    </row>
    <row r="187" spans="2:42" x14ac:dyDescent="0.25">
      <c r="C187" s="21" t="s">
        <v>456</v>
      </c>
      <c r="D187" s="34" t="s">
        <v>29</v>
      </c>
      <c r="E187" s="336" cm="1">
        <f t="array" ref="E187">_xlfn.IFS(Forecasting_Scenario=Base,40%,Forecasting_Scenario=Aggressive,41.67%,Forecasting_Scenario=Conservative,39.33%)</f>
        <v>0.4</v>
      </c>
      <c r="F187" s="336" cm="1">
        <f t="array" ref="F187">E187+_xlfn.IFS(Forecasting_Scenario=Base,1.5%,Forecasting_Scenario=Aggressive,2.67%,Forecasting_Scenario=Conservative,1%)*40%</f>
        <v>0.40600000000000003</v>
      </c>
      <c r="G187" s="336" cm="1">
        <f t="array" ref="G187">F187++_xlfn.IFS(Forecasting_Scenario=Base,2.5%,Forecasting_Scenario=Aggressive,3.67%,Forecasting_Scenario=Conservative,2%)*40%</f>
        <v>0.41600000000000004</v>
      </c>
      <c r="H187" s="336" cm="1">
        <f t="array" ref="H187">G187+_xlfn.IFS(Forecasting_Scenario=Base,2.5%,Forecasting_Scenario=Aggressive,3.67%,Forecasting_Scenario=Conservative,2%)*40%</f>
        <v>0.42600000000000005</v>
      </c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P187" s="22"/>
    </row>
    <row r="188" spans="2:42" x14ac:dyDescent="0.25">
      <c r="B188" s="33" t="s">
        <v>9</v>
      </c>
      <c r="C188" s="311" t="str">
        <f>'4.2 Sector Mapping'!$B$11</f>
        <v>Professional Services: Human Resources, Education, Consulting, Legal</v>
      </c>
      <c r="D188" s="318"/>
      <c r="E188" s="311"/>
      <c r="F188" s="311"/>
      <c r="G188" s="311"/>
      <c r="H188" s="311"/>
      <c r="I188" s="311"/>
      <c r="J188" s="311"/>
      <c r="K188" s="311"/>
      <c r="L188" s="311"/>
      <c r="M188" s="311"/>
      <c r="N188" s="311"/>
      <c r="O188" s="311"/>
      <c r="P188" s="311"/>
      <c r="Q188" s="311"/>
      <c r="R188" s="311"/>
      <c r="S188" s="311"/>
      <c r="T188" s="311"/>
      <c r="U188" s="311"/>
      <c r="V188" s="311"/>
      <c r="W188" s="311"/>
      <c r="X188" s="311"/>
      <c r="Y188" s="311"/>
      <c r="Z188" s="311"/>
      <c r="AA188" s="311"/>
      <c r="AB188" s="311"/>
      <c r="AC188" s="311"/>
      <c r="AD188" s="311"/>
      <c r="AE188" s="311"/>
      <c r="AF188" s="311"/>
      <c r="AG188" s="311"/>
      <c r="AH188" s="311"/>
      <c r="AI188" s="311"/>
      <c r="AJ188" s="311"/>
      <c r="AK188" s="311"/>
      <c r="AL188" s="311"/>
      <c r="AM188" s="311"/>
      <c r="AN188" s="311"/>
      <c r="AO188" s="74"/>
      <c r="AP188" s="311"/>
    </row>
    <row r="189" spans="2:42" x14ac:dyDescent="0.25">
      <c r="C189" s="20" t="s">
        <v>600</v>
      </c>
      <c r="D189" s="34" t="s">
        <v>29</v>
      </c>
      <c r="E189" s="336" cm="1">
        <f t="array" ref="E189">_xlfn.IFS(Forecasting_Scenario=Base,66.67%,Forecasting_Scenario=Aggressive,67.5%,Forecasting_Scenario=Conservative,64%)</f>
        <v>0.66670000000000007</v>
      </c>
      <c r="F189" s="336" cm="1">
        <f t="array" ref="F189">E189+_xlfn.IFS(Forecasting_Scenario=Base,1.5%,Forecasting_Scenario=Aggressive,2.67%,Forecasting_Scenario=Conservative,1%)</f>
        <v>0.68170000000000008</v>
      </c>
      <c r="G189" s="336" cm="1">
        <f t="array" ref="G189">F189+_xlfn.IFS(Forecasting_Scenario=Base,2.5%,Forecasting_Scenario=Aggressive,3.67%,Forecasting_Scenario=Conservative,2%)</f>
        <v>0.70670000000000011</v>
      </c>
      <c r="H189" s="336" cm="1">
        <f t="array" ref="H189">G189+_xlfn.IFS(Forecasting_Scenario=Base,2.5%,Forecasting_Scenario=Aggressive,3.67%,Forecasting_Scenario=Conservative,2%)</f>
        <v>0.73170000000000013</v>
      </c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P189" s="22"/>
    </row>
    <row r="190" spans="2:42" x14ac:dyDescent="0.25">
      <c r="C190" s="20" t="s">
        <v>392</v>
      </c>
      <c r="D190" s="34" t="s">
        <v>29</v>
      </c>
      <c r="E190" s="336" cm="1">
        <f t="array" ref="E190">_xlfn.IFS(Forecasting_Scenario=Base,22%,Forecasting_Scenario=Aggressive,23.67%,Forecasting_Scenario=Conservative,21%)</f>
        <v>0.22</v>
      </c>
      <c r="F190" s="336" cm="1">
        <f t="array" ref="F190">E190+_xlfn.IFS(Forecasting_Scenario=Base,1.5%,Forecasting_Scenario=Aggressive,2.67%,Forecasting_Scenario=Conservative,1%)*25%</f>
        <v>0.22375</v>
      </c>
      <c r="G190" s="336" cm="1">
        <f t="array" ref="G190">F190+_xlfn.IFS(Forecasting_Scenario=Base,2.5%,Forecasting_Scenario=Aggressive,3.67%,Forecasting_Scenario=Conservative,2%)*25%</f>
        <v>0.23</v>
      </c>
      <c r="H190" s="336" cm="1">
        <f t="array" ref="H190">G190++_xlfn.IFS(Forecasting_Scenario=Base,2.5%,Forecasting_Scenario=Aggressive,3.67%,Forecasting_Scenario=Conservative,2%)*25%</f>
        <v>0.23625000000000002</v>
      </c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P190" s="22"/>
    </row>
    <row r="191" spans="2:42" x14ac:dyDescent="0.25">
      <c r="C191" s="20" t="s">
        <v>454</v>
      </c>
      <c r="D191" s="34" t="s">
        <v>29</v>
      </c>
      <c r="E191" s="336" cm="1">
        <f t="array" ref="E191">_xlfn.IFS(Forecasting_Scenario=Base,43%,Forecasting_Scenario=Aggressive,45%,Forecasting_Scenario=Conservative,41.33%)</f>
        <v>0.43</v>
      </c>
      <c r="F191" s="336" cm="1">
        <f t="array" ref="F191">E191+_xlfn.IFS(Forecasting_Scenario=Base,1.5%,Forecasting_Scenario=Aggressive,2.67%,Forecasting_Scenario=Conservative,1%)*40%</f>
        <v>0.436</v>
      </c>
      <c r="G191" s="336" cm="1">
        <f t="array" ref="G191">F191+_xlfn.IFS(Forecasting_Scenario=Base,2.5%,Forecasting_Scenario=Aggressive,3.67%,Forecasting_Scenario=Conservative,2%)*40%</f>
        <v>0.44600000000000001</v>
      </c>
      <c r="H191" s="336" cm="1">
        <f t="array" ref="H191">G191+_xlfn.IFS(Forecasting_Scenario=Base,2.5%,Forecasting_Scenario=Aggressive,3.67%,Forecasting_Scenario=Conservative,2%)*40%</f>
        <v>0.45600000000000002</v>
      </c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P191" s="22"/>
    </row>
    <row r="192" spans="2:42" x14ac:dyDescent="0.25">
      <c r="C192" s="21" t="s">
        <v>455</v>
      </c>
      <c r="D192" s="34" t="s">
        <v>29</v>
      </c>
      <c r="E192" s="336" cm="1">
        <f t="array" ref="E192">_xlfn.IFS(Forecasting_Scenario=Base,75%,Forecasting_Scenario=Aggressive,77.5%,Forecasting_Scenario=Conservative,74%)</f>
        <v>0.75</v>
      </c>
      <c r="F192" s="336" cm="1">
        <f t="array" ref="F192">E192+_xlfn.IFS(Forecasting_Scenario=Base,1.5%,Forecasting_Scenario=Aggressive,2.67%,Forecasting_Scenario=Conservative,1%)</f>
        <v>0.76500000000000001</v>
      </c>
      <c r="G192" s="336" cm="1">
        <f t="array" ref="G192">F192+_xlfn.IFS(Forecasting_Scenario=Base,2.5%,Forecasting_Scenario=Aggressive,3.67%,Forecasting_Scenario=Conservative,2%)</f>
        <v>0.79</v>
      </c>
      <c r="H192" s="336" cm="1">
        <f t="array" ref="H192">G192+_xlfn.IFS(Forecasting_Scenario=Base,2.5%,Forecasting_Scenario=Aggressive,3.67%,Forecasting_Scenario=Conservative,2%)</f>
        <v>0.81500000000000006</v>
      </c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P192" s="22"/>
    </row>
    <row r="193" spans="2:42" x14ac:dyDescent="0.25">
      <c r="C193" s="21" t="s">
        <v>393</v>
      </c>
      <c r="D193" s="34" t="s">
        <v>29</v>
      </c>
      <c r="E193" s="336" cm="1">
        <f t="array" ref="E193">_xlfn.IFS(Forecasting_Scenario=Base,85%,Forecasting_Scenario=Aggressive,87.5%,Forecasting_Scenario=Conservative,83%)</f>
        <v>0.85</v>
      </c>
      <c r="F193" s="336" cm="1">
        <f t="array" ref="F193">E193+_xlfn.IFS(Forecasting_Scenario=Base,1.5%,Forecasting_Scenario=Aggressive,2.67%,Forecasting_Scenario=Conservative,1%)*125%</f>
        <v>0.86875000000000002</v>
      </c>
      <c r="G193" s="336" cm="1">
        <f t="array" ref="G193">F193+_xlfn.IFS(Forecasting_Scenario=Base,2.5%,Forecasting_Scenario=Aggressive,3.67%,Forecasting_Scenario=Conservative,2%)*125%</f>
        <v>0.9</v>
      </c>
      <c r="H193" s="336" cm="1">
        <f t="array" ref="H193">G193+_xlfn.IFS(Forecasting_Scenario=Base,2.5%,Forecasting_Scenario=Aggressive,3.67%,Forecasting_Scenario=Conservative,2%)*125%</f>
        <v>0.93125000000000002</v>
      </c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P193" s="22"/>
    </row>
    <row r="194" spans="2:42" x14ac:dyDescent="0.25">
      <c r="C194" s="21" t="s">
        <v>456</v>
      </c>
      <c r="D194" s="34" t="s">
        <v>29</v>
      </c>
      <c r="E194" s="336" cm="1">
        <f t="array" ref="E194">_xlfn.IFS(Forecasting_Scenario=Base,40%,Forecasting_Scenario=Aggressive,41.67%,Forecasting_Scenario=Conservative,39.33%)</f>
        <v>0.4</v>
      </c>
      <c r="F194" s="336" cm="1">
        <f t="array" ref="F194">E194+_xlfn.IFS(Forecasting_Scenario=Base,1.5%,Forecasting_Scenario=Aggressive,2.67%,Forecasting_Scenario=Conservative,1%)*40%</f>
        <v>0.40600000000000003</v>
      </c>
      <c r="G194" s="336" cm="1">
        <f t="array" ref="G194">F194++_xlfn.IFS(Forecasting_Scenario=Base,2.5%,Forecasting_Scenario=Aggressive,3.67%,Forecasting_Scenario=Conservative,2%)*40%</f>
        <v>0.41600000000000004</v>
      </c>
      <c r="H194" s="336" cm="1">
        <f t="array" ref="H194">G194+_xlfn.IFS(Forecasting_Scenario=Base,2.5%,Forecasting_Scenario=Aggressive,3.67%,Forecasting_Scenario=Conservative,2%)*40%</f>
        <v>0.42600000000000005</v>
      </c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P194" s="22"/>
    </row>
    <row r="195" spans="2:42" x14ac:dyDescent="0.25">
      <c r="B195" s="33" t="s">
        <v>9</v>
      </c>
      <c r="C195" s="311" t="str">
        <f>'4.2 Sector Mapping'!$B$12</f>
        <v>Public and Social Services</v>
      </c>
      <c r="D195" s="318"/>
      <c r="E195" s="311"/>
      <c r="F195" s="311"/>
      <c r="G195" s="311"/>
      <c r="H195" s="311"/>
      <c r="I195" s="311"/>
      <c r="J195" s="311"/>
      <c r="K195" s="311"/>
      <c r="L195" s="311"/>
      <c r="M195" s="311"/>
      <c r="N195" s="311"/>
      <c r="O195" s="311"/>
      <c r="P195" s="311"/>
      <c r="Q195" s="311"/>
      <c r="R195" s="311"/>
      <c r="S195" s="311"/>
      <c r="T195" s="311"/>
      <c r="U195" s="311"/>
      <c r="V195" s="311"/>
      <c r="W195" s="311"/>
      <c r="X195" s="311"/>
      <c r="Y195" s="311"/>
      <c r="Z195" s="311"/>
      <c r="AA195" s="311"/>
      <c r="AB195" s="311"/>
      <c r="AC195" s="311"/>
      <c r="AD195" s="311"/>
      <c r="AE195" s="311"/>
      <c r="AF195" s="311"/>
      <c r="AG195" s="311"/>
      <c r="AH195" s="311"/>
      <c r="AI195" s="311"/>
      <c r="AJ195" s="311"/>
      <c r="AK195" s="311"/>
      <c r="AL195" s="311"/>
      <c r="AM195" s="311"/>
      <c r="AN195" s="311"/>
      <c r="AO195" s="74"/>
      <c r="AP195" s="311"/>
    </row>
    <row r="196" spans="2:42" x14ac:dyDescent="0.25">
      <c r="C196" s="20" t="s">
        <v>600</v>
      </c>
      <c r="D196" s="34" t="s">
        <v>29</v>
      </c>
      <c r="E196" s="336" cm="1">
        <f t="array" ref="E196">_xlfn.IFS(Forecasting_Scenario=Base,45%,Forecasting_Scenario=Aggressive,47.5%,Forecasting_Scenario=Conservative,43.33%)</f>
        <v>0.45</v>
      </c>
      <c r="F196" s="336" cm="1">
        <f t="array" ref="F196">E196+_xlfn.IFS(Forecasting_Scenario=Base,1.5%,Forecasting_Scenario=Aggressive,2.67%,Forecasting_Scenario=Conservative,1%)</f>
        <v>0.46500000000000002</v>
      </c>
      <c r="G196" s="336" cm="1">
        <f t="array" ref="G196">F196+_xlfn.IFS(Forecasting_Scenario=Base,2.5%,Forecasting_Scenario=Aggressive,3.67%,Forecasting_Scenario=Conservative,2%)</f>
        <v>0.49000000000000005</v>
      </c>
      <c r="H196" s="336" cm="1">
        <f t="array" ref="H196">G196+_xlfn.IFS(Forecasting_Scenario=Base,2.5%,Forecasting_Scenario=Aggressive,3.67%,Forecasting_Scenario=Conservative,2%)</f>
        <v>0.51500000000000001</v>
      </c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P196" s="22"/>
    </row>
    <row r="197" spans="2:42" x14ac:dyDescent="0.25">
      <c r="C197" s="20" t="s">
        <v>392</v>
      </c>
      <c r="D197" s="34" t="s">
        <v>29</v>
      </c>
      <c r="E197" s="336" cm="1">
        <f t="array" ref="E197">_xlfn.IFS(Forecasting_Scenario=Base,15%,Forecasting_Scenario=Aggressive,17.5%,Forecasting_Scenario=Conservative,12.5%)</f>
        <v>0.15</v>
      </c>
      <c r="F197" s="336" cm="1">
        <f t="array" ref="F197">E197+_xlfn.IFS(Forecasting_Scenario=Base,1.5%,Forecasting_Scenario=Aggressive,2.67%,Forecasting_Scenario=Conservative,1%)*25%</f>
        <v>0.15375</v>
      </c>
      <c r="G197" s="336" cm="1">
        <f t="array" ref="G197">F197+_xlfn.IFS(Forecasting_Scenario=Base,2.5%,Forecasting_Scenario=Aggressive,3.67%,Forecasting_Scenario=Conservative,2%)*25%</f>
        <v>0.16</v>
      </c>
      <c r="H197" s="336" cm="1">
        <f t="array" ref="H197">G197++_xlfn.IFS(Forecasting_Scenario=Base,2.5%,Forecasting_Scenario=Aggressive,3.67%,Forecasting_Scenario=Conservative,2%)*25%</f>
        <v>0.16625000000000001</v>
      </c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P197" s="22"/>
    </row>
    <row r="198" spans="2:42" x14ac:dyDescent="0.25">
      <c r="C198" s="20" t="s">
        <v>454</v>
      </c>
      <c r="D198" s="34" t="s">
        <v>29</v>
      </c>
      <c r="E198" s="336" cm="1">
        <f t="array" ref="E198">_xlfn.IFS(Forecasting_Scenario=Base,40%,Forecasting_Scenario=Aggressive,42.5%,Forecasting_Scenario=Conservative,38%)</f>
        <v>0.4</v>
      </c>
      <c r="F198" s="336" cm="1">
        <f t="array" ref="F198">E198+_xlfn.IFS(Forecasting_Scenario=Base,1.5%,Forecasting_Scenario=Aggressive,2.67%,Forecasting_Scenario=Conservative,1%)*40%</f>
        <v>0.40600000000000003</v>
      </c>
      <c r="G198" s="336" cm="1">
        <f t="array" ref="G198">F198+_xlfn.IFS(Forecasting_Scenario=Base,2.5%,Forecasting_Scenario=Aggressive,3.67%,Forecasting_Scenario=Conservative,2%)*40%</f>
        <v>0.41600000000000004</v>
      </c>
      <c r="H198" s="336" cm="1">
        <f t="array" ref="H198">G198+_xlfn.IFS(Forecasting_Scenario=Base,2.5%,Forecasting_Scenario=Aggressive,3.67%,Forecasting_Scenario=Conservative,2%)*40%</f>
        <v>0.42600000000000005</v>
      </c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P198" s="22"/>
    </row>
    <row r="199" spans="2:42" x14ac:dyDescent="0.25">
      <c r="C199" s="21" t="s">
        <v>455</v>
      </c>
      <c r="D199" s="34" t="s">
        <v>29</v>
      </c>
      <c r="E199" s="336" cm="1">
        <f t="array" ref="E199">_xlfn.IFS(Forecasting_Scenario=Base,55%,Forecasting_Scenario=Aggressive,56.67%,Forecasting_Scenario=Conservative,54%)</f>
        <v>0.55000000000000004</v>
      </c>
      <c r="F199" s="336" cm="1">
        <f t="array" ref="F199">E199+_xlfn.IFS(Forecasting_Scenario=Base,1.5%,Forecasting_Scenario=Aggressive,2.67%,Forecasting_Scenario=Conservative,1%)</f>
        <v>0.56500000000000006</v>
      </c>
      <c r="G199" s="336" cm="1">
        <f t="array" ref="G199">F199+_xlfn.IFS(Forecasting_Scenario=Base,2.5%,Forecasting_Scenario=Aggressive,3.67%,Forecasting_Scenario=Conservative,2%)</f>
        <v>0.59000000000000008</v>
      </c>
      <c r="H199" s="336" cm="1">
        <f t="array" ref="H199">G199+_xlfn.IFS(Forecasting_Scenario=Base,2.5%,Forecasting_Scenario=Aggressive,3.67%,Forecasting_Scenario=Conservative,2%)</f>
        <v>0.6150000000000001</v>
      </c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P199" s="22"/>
    </row>
    <row r="200" spans="2:42" x14ac:dyDescent="0.25">
      <c r="C200" s="21" t="s">
        <v>393</v>
      </c>
      <c r="D200" s="34" t="s">
        <v>29</v>
      </c>
      <c r="E200" s="336" cm="1">
        <f t="array" ref="E200">_xlfn.IFS(Forecasting_Scenario=Base,75%,Forecasting_Scenario=Aggressive,77.5%,Forecasting_Scenario=Conservative,73%)</f>
        <v>0.75</v>
      </c>
      <c r="F200" s="336" cm="1">
        <f t="array" ref="F200">E200+_xlfn.IFS(Forecasting_Scenario=Base,1.5%,Forecasting_Scenario=Aggressive,2.67%,Forecasting_Scenario=Conservative,1%)*125%</f>
        <v>0.76875000000000004</v>
      </c>
      <c r="G200" s="336" cm="1">
        <f t="array" ref="G200">F200+_xlfn.IFS(Forecasting_Scenario=Base,2.5%,Forecasting_Scenario=Aggressive,3.67%,Forecasting_Scenario=Conservative,2%)*125%</f>
        <v>0.8</v>
      </c>
      <c r="H200" s="336" cm="1">
        <f t="array" ref="H200">G200+_xlfn.IFS(Forecasting_Scenario=Base,2.5%,Forecasting_Scenario=Aggressive,3.67%,Forecasting_Scenario=Conservative,2%)*125%</f>
        <v>0.83125000000000004</v>
      </c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P200" s="22"/>
    </row>
    <row r="201" spans="2:42" x14ac:dyDescent="0.25">
      <c r="C201" s="21" t="s">
        <v>456</v>
      </c>
      <c r="D201" s="34" t="s">
        <v>29</v>
      </c>
      <c r="E201" s="336" cm="1">
        <f t="array" ref="E201">_xlfn.IFS(Forecasting_Scenario=Base,40%,Forecasting_Scenario=Aggressive,41.67%,Forecasting_Scenario=Conservative,39%)</f>
        <v>0.4</v>
      </c>
      <c r="F201" s="336" cm="1">
        <f t="array" ref="F201">E201+_xlfn.IFS(Forecasting_Scenario=Base,1.5%,Forecasting_Scenario=Aggressive,2.67%,Forecasting_Scenario=Conservative,1%)*40%</f>
        <v>0.40600000000000003</v>
      </c>
      <c r="G201" s="336" cm="1">
        <f t="array" ref="G201">F201++_xlfn.IFS(Forecasting_Scenario=Base,2.5%,Forecasting_Scenario=Aggressive,3.67%,Forecasting_Scenario=Conservative,2%)*40%</f>
        <v>0.41600000000000004</v>
      </c>
      <c r="H201" s="336" cm="1">
        <f t="array" ref="H201">G201+_xlfn.IFS(Forecasting_Scenario=Base,2.5%,Forecasting_Scenario=Aggressive,3.67%,Forecasting_Scenario=Conservative,2%)*40%</f>
        <v>0.42600000000000005</v>
      </c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P201" s="22"/>
    </row>
    <row r="202" spans="2:42" x14ac:dyDescent="0.25">
      <c r="B202" s="33" t="s">
        <v>9</v>
      </c>
      <c r="C202" s="311" t="str">
        <f>'4.2 Sector Mapping'!$B$13</f>
        <v>Real Estate and Construction</v>
      </c>
      <c r="D202" s="318"/>
      <c r="E202" s="311"/>
      <c r="F202" s="311"/>
      <c r="G202" s="311"/>
      <c r="H202" s="311"/>
      <c r="I202" s="311"/>
      <c r="J202" s="311"/>
      <c r="K202" s="311"/>
      <c r="L202" s="311"/>
      <c r="M202" s="311"/>
      <c r="N202" s="311"/>
      <c r="O202" s="311"/>
      <c r="P202" s="311"/>
      <c r="Q202" s="311"/>
      <c r="R202" s="311"/>
      <c r="S202" s="311"/>
      <c r="T202" s="311"/>
      <c r="U202" s="311"/>
      <c r="V202" s="311"/>
      <c r="W202" s="311"/>
      <c r="X202" s="311"/>
      <c r="Y202" s="311"/>
      <c r="Z202" s="311"/>
      <c r="AA202" s="311"/>
      <c r="AB202" s="311"/>
      <c r="AC202" s="311"/>
      <c r="AD202" s="311"/>
      <c r="AE202" s="311"/>
      <c r="AF202" s="311"/>
      <c r="AG202" s="311"/>
      <c r="AH202" s="311"/>
      <c r="AI202" s="311"/>
      <c r="AJ202" s="311"/>
      <c r="AK202" s="311"/>
      <c r="AL202" s="311"/>
      <c r="AM202" s="311"/>
      <c r="AN202" s="311"/>
      <c r="AO202" s="74"/>
      <c r="AP202" s="311"/>
    </row>
    <row r="203" spans="2:42" x14ac:dyDescent="0.25">
      <c r="C203" s="20" t="s">
        <v>600</v>
      </c>
      <c r="D203" s="34" t="s">
        <v>29</v>
      </c>
      <c r="E203" s="336" cm="1">
        <f t="array" ref="E203">_xlfn.IFS(Forecasting_Scenario=Base,45%,Forecasting_Scenario=Aggressive,47.5%,Forecasting_Scenario=Conservative,43.33%)</f>
        <v>0.45</v>
      </c>
      <c r="F203" s="336" cm="1">
        <f t="array" ref="F203">E203+_xlfn.IFS(Forecasting_Scenario=Base,1.5%,Forecasting_Scenario=Aggressive,2.67%,Forecasting_Scenario=Conservative,1%)</f>
        <v>0.46500000000000002</v>
      </c>
      <c r="G203" s="336" cm="1">
        <f t="array" ref="G203">F203+_xlfn.IFS(Forecasting_Scenario=Base,2.5%,Forecasting_Scenario=Aggressive,3.67%,Forecasting_Scenario=Conservative,2%)</f>
        <v>0.49000000000000005</v>
      </c>
      <c r="H203" s="336" cm="1">
        <f t="array" ref="H203">G203+_xlfn.IFS(Forecasting_Scenario=Base,2.5%,Forecasting_Scenario=Aggressive,3.67%,Forecasting_Scenario=Conservative,2%)</f>
        <v>0.51500000000000001</v>
      </c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P203" s="22"/>
    </row>
    <row r="204" spans="2:42" x14ac:dyDescent="0.25">
      <c r="C204" s="20" t="s">
        <v>392</v>
      </c>
      <c r="D204" s="34" t="s">
        <v>29</v>
      </c>
      <c r="E204" s="336" cm="1">
        <f t="array" ref="E204">_xlfn.IFS(Forecasting_Scenario=Base,15%,Forecasting_Scenario=Aggressive,17.5%,Forecasting_Scenario=Conservative,12.5%)</f>
        <v>0.15</v>
      </c>
      <c r="F204" s="336" cm="1">
        <f t="array" ref="F204">E204+_xlfn.IFS(Forecasting_Scenario=Base,1.5%,Forecasting_Scenario=Aggressive,2.67%,Forecasting_Scenario=Conservative,1%)*25%</f>
        <v>0.15375</v>
      </c>
      <c r="G204" s="336" cm="1">
        <f t="array" ref="G204">F204+_xlfn.IFS(Forecasting_Scenario=Base,2.5%,Forecasting_Scenario=Aggressive,3.67%,Forecasting_Scenario=Conservative,2%)*25%</f>
        <v>0.16</v>
      </c>
      <c r="H204" s="336" cm="1">
        <f t="array" ref="H204">G204++_xlfn.IFS(Forecasting_Scenario=Base,2.5%,Forecasting_Scenario=Aggressive,3.67%,Forecasting_Scenario=Conservative,2%)*25%</f>
        <v>0.16625000000000001</v>
      </c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P204" s="22"/>
    </row>
    <row r="205" spans="2:42" x14ac:dyDescent="0.25">
      <c r="C205" s="20" t="s">
        <v>454</v>
      </c>
      <c r="D205" s="34" t="s">
        <v>29</v>
      </c>
      <c r="E205" s="336" cm="1">
        <f t="array" ref="E205">_xlfn.IFS(Forecasting_Scenario=Base,40%,Forecasting_Scenario=Aggressive,42.5%,Forecasting_Scenario=Conservative,38%)</f>
        <v>0.4</v>
      </c>
      <c r="F205" s="336" cm="1">
        <f t="array" ref="F205">E205+_xlfn.IFS(Forecasting_Scenario=Base,1.5%,Forecasting_Scenario=Aggressive,2.67%,Forecasting_Scenario=Conservative,1%)*40%</f>
        <v>0.40600000000000003</v>
      </c>
      <c r="G205" s="336" cm="1">
        <f t="array" ref="G205">F205+_xlfn.IFS(Forecasting_Scenario=Base,2.5%,Forecasting_Scenario=Aggressive,3.67%,Forecasting_Scenario=Conservative,2%)*40%</f>
        <v>0.41600000000000004</v>
      </c>
      <c r="H205" s="336" cm="1">
        <f t="array" ref="H205">G205+_xlfn.IFS(Forecasting_Scenario=Base,2.5%,Forecasting_Scenario=Aggressive,3.67%,Forecasting_Scenario=Conservative,2%)*40%</f>
        <v>0.42600000000000005</v>
      </c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P205" s="22"/>
    </row>
    <row r="206" spans="2:42" x14ac:dyDescent="0.25">
      <c r="C206" s="21" t="s">
        <v>455</v>
      </c>
      <c r="D206" s="34" t="s">
        <v>29</v>
      </c>
      <c r="E206" s="336" cm="1">
        <f t="array" ref="E206">_xlfn.IFS(Forecasting_Scenario=Base,55%,Forecasting_Scenario=Aggressive,56.67%,Forecasting_Scenario=Conservative,54%)</f>
        <v>0.55000000000000004</v>
      </c>
      <c r="F206" s="336" cm="1">
        <f t="array" ref="F206">E206+_xlfn.IFS(Forecasting_Scenario=Base,1.5%,Forecasting_Scenario=Aggressive,2.67%,Forecasting_Scenario=Conservative,1%)</f>
        <v>0.56500000000000006</v>
      </c>
      <c r="G206" s="336" cm="1">
        <f t="array" ref="G206">F206+_xlfn.IFS(Forecasting_Scenario=Base,2.5%,Forecasting_Scenario=Aggressive,3.67%,Forecasting_Scenario=Conservative,2%)</f>
        <v>0.59000000000000008</v>
      </c>
      <c r="H206" s="336" cm="1">
        <f t="array" ref="H206">G206+_xlfn.IFS(Forecasting_Scenario=Base,2.5%,Forecasting_Scenario=Aggressive,3.67%,Forecasting_Scenario=Conservative,2%)</f>
        <v>0.6150000000000001</v>
      </c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P206" s="22"/>
    </row>
    <row r="207" spans="2:42" x14ac:dyDescent="0.25">
      <c r="C207" s="21" t="s">
        <v>393</v>
      </c>
      <c r="D207" s="34" t="s">
        <v>29</v>
      </c>
      <c r="E207" s="336" cm="1">
        <f t="array" ref="E207">_xlfn.IFS(Forecasting_Scenario=Base,75%,Forecasting_Scenario=Aggressive,77.5%,Forecasting_Scenario=Conservative,73%)</f>
        <v>0.75</v>
      </c>
      <c r="F207" s="336" cm="1">
        <f t="array" ref="F207">E207+_xlfn.IFS(Forecasting_Scenario=Base,1.5%,Forecasting_Scenario=Aggressive,2.67%,Forecasting_Scenario=Conservative,1%)*125%</f>
        <v>0.76875000000000004</v>
      </c>
      <c r="G207" s="336" cm="1">
        <f t="array" ref="G207">F207+_xlfn.IFS(Forecasting_Scenario=Base,2.5%,Forecasting_Scenario=Aggressive,3.67%,Forecasting_Scenario=Conservative,2%)*125%</f>
        <v>0.8</v>
      </c>
      <c r="H207" s="336" cm="1">
        <f t="array" ref="H207">G207+_xlfn.IFS(Forecasting_Scenario=Base,2.5%,Forecasting_Scenario=Aggressive,3.67%,Forecasting_Scenario=Conservative,2%)*125%</f>
        <v>0.83125000000000004</v>
      </c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P207" s="22"/>
    </row>
    <row r="208" spans="2:42" x14ac:dyDescent="0.25">
      <c r="C208" s="21" t="s">
        <v>456</v>
      </c>
      <c r="D208" s="34" t="s">
        <v>29</v>
      </c>
      <c r="E208" s="336" cm="1">
        <f t="array" ref="E208">_xlfn.IFS(Forecasting_Scenario=Base,40%,Forecasting_Scenario=Aggressive,41.67%,Forecasting_Scenario=Conservative,39%)</f>
        <v>0.4</v>
      </c>
      <c r="F208" s="336" cm="1">
        <f t="array" ref="F208">E208+_xlfn.IFS(Forecasting_Scenario=Base,1.5%,Forecasting_Scenario=Aggressive,2.67%,Forecasting_Scenario=Conservative,1%)*40%</f>
        <v>0.40600000000000003</v>
      </c>
      <c r="G208" s="336" cm="1">
        <f t="array" ref="G208">F208++_xlfn.IFS(Forecasting_Scenario=Base,2.5%,Forecasting_Scenario=Aggressive,3.67%,Forecasting_Scenario=Conservative,2%)*40%</f>
        <v>0.41600000000000004</v>
      </c>
      <c r="H208" s="336" cm="1">
        <f t="array" ref="H208">G208+_xlfn.IFS(Forecasting_Scenario=Base,2.5%,Forecasting_Scenario=Aggressive,3.67%,Forecasting_Scenario=Conservative,2%)*40%</f>
        <v>0.42600000000000005</v>
      </c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P208" s="22"/>
    </row>
    <row r="209" spans="2:42" x14ac:dyDescent="0.25">
      <c r="B209" s="33" t="s">
        <v>9</v>
      </c>
      <c r="C209" s="311" t="str">
        <f>'4.2 Sector Mapping'!$B$14</f>
        <v>Retail and Consumer Goods</v>
      </c>
      <c r="D209" s="318"/>
      <c r="E209" s="311"/>
      <c r="F209" s="311"/>
      <c r="G209" s="311"/>
      <c r="H209" s="311"/>
      <c r="I209" s="311"/>
      <c r="J209" s="311"/>
      <c r="K209" s="311"/>
      <c r="L209" s="311"/>
      <c r="M209" s="311"/>
      <c r="N209" s="311"/>
      <c r="O209" s="311"/>
      <c r="P209" s="311"/>
      <c r="Q209" s="311"/>
      <c r="R209" s="311"/>
      <c r="S209" s="311"/>
      <c r="T209" s="311"/>
      <c r="U209" s="311"/>
      <c r="V209" s="311"/>
      <c r="W209" s="311"/>
      <c r="X209" s="311"/>
      <c r="Y209" s="311"/>
      <c r="Z209" s="311"/>
      <c r="AA209" s="311"/>
      <c r="AB209" s="311"/>
      <c r="AC209" s="311"/>
      <c r="AD209" s="311"/>
      <c r="AE209" s="311"/>
      <c r="AF209" s="311"/>
      <c r="AG209" s="311"/>
      <c r="AH209" s="311"/>
      <c r="AI209" s="311"/>
      <c r="AJ209" s="311"/>
      <c r="AK209" s="311"/>
      <c r="AL209" s="311"/>
      <c r="AM209" s="311"/>
      <c r="AN209" s="311"/>
      <c r="AO209" s="74"/>
      <c r="AP209" s="311"/>
    </row>
    <row r="210" spans="2:42" x14ac:dyDescent="0.25">
      <c r="C210" s="20" t="s">
        <v>600</v>
      </c>
      <c r="D210" s="34" t="s">
        <v>29</v>
      </c>
      <c r="E210" s="336" cm="1">
        <f t="array" ref="E210">_xlfn.IFS(Forecasting_Scenario=Base,50%,Forecasting_Scenario=Aggressive,52.5%,Forecasting_Scenario=Conservative,48%)</f>
        <v>0.5</v>
      </c>
      <c r="F210" s="336" cm="1">
        <f t="array" ref="F210">E210+_xlfn.IFS(Forecasting_Scenario=Base,1.5%,Forecasting_Scenario=Aggressive,2.67%,Forecasting_Scenario=Conservative,1%)</f>
        <v>0.51500000000000001</v>
      </c>
      <c r="G210" s="336" cm="1">
        <f t="array" ref="G210">F210+_xlfn.IFS(Forecasting_Scenario=Base,2.5%,Forecasting_Scenario=Aggressive,3.67%,Forecasting_Scenario=Conservative,2%)</f>
        <v>0.54</v>
      </c>
      <c r="H210" s="336" cm="1">
        <f t="array" ref="H210">G210+_xlfn.IFS(Forecasting_Scenario=Base,2.5%,Forecasting_Scenario=Aggressive,3.67%,Forecasting_Scenario=Conservative,2%)</f>
        <v>0.56500000000000006</v>
      </c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P210" s="22"/>
    </row>
    <row r="211" spans="2:42" x14ac:dyDescent="0.25">
      <c r="C211" s="20" t="s">
        <v>392</v>
      </c>
      <c r="D211" s="34" t="s">
        <v>29</v>
      </c>
      <c r="E211" s="336" cm="1">
        <f t="array" ref="E211">_xlfn.IFS(Forecasting_Scenario=Base,12.5%,Forecasting_Scenario=Aggressive,13.67%,Forecasting_Scenario=Conservative,11%)</f>
        <v>0.125</v>
      </c>
      <c r="F211" s="336" cm="1">
        <f t="array" ref="F211">E211+_xlfn.IFS(Forecasting_Scenario=Base,1.5%,Forecasting_Scenario=Aggressive,2.67%,Forecasting_Scenario=Conservative,1%)*25%</f>
        <v>0.12875</v>
      </c>
      <c r="G211" s="336" cm="1">
        <f t="array" ref="G211">F211+_xlfn.IFS(Forecasting_Scenario=Base,2.5%,Forecasting_Scenario=Aggressive,3.67%,Forecasting_Scenario=Conservative,2%)*25%</f>
        <v>0.13500000000000001</v>
      </c>
      <c r="H211" s="336" cm="1">
        <f t="array" ref="H211">G211++_xlfn.IFS(Forecasting_Scenario=Base,2.5%,Forecasting_Scenario=Aggressive,3.67%,Forecasting_Scenario=Conservative,2%)*25%</f>
        <v>0.14125000000000001</v>
      </c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P211" s="22"/>
    </row>
    <row r="212" spans="2:42" x14ac:dyDescent="0.25">
      <c r="C212" s="20" t="s">
        <v>454</v>
      </c>
      <c r="D212" s="34" t="s">
        <v>29</v>
      </c>
      <c r="E212" s="336" cm="1">
        <f t="array" ref="E212">_xlfn.IFS(Forecasting_Scenario=Base,33.33%,Forecasting_Scenario=Aggressive,35%,Forecasting_Scenario=Conservative,32%)</f>
        <v>0.33329999999999999</v>
      </c>
      <c r="F212" s="336" cm="1">
        <f t="array" ref="F212">E212+_xlfn.IFS(Forecasting_Scenario=Base,1.5%,Forecasting_Scenario=Aggressive,2.67%,Forecasting_Scenario=Conservative,1%)*40%</f>
        <v>0.33929999999999999</v>
      </c>
      <c r="G212" s="336" cm="1">
        <f t="array" ref="G212">F212+_xlfn.IFS(Forecasting_Scenario=Base,2.5%,Forecasting_Scenario=Aggressive,3.67%,Forecasting_Scenario=Conservative,2%)*40%</f>
        <v>0.3493</v>
      </c>
      <c r="H212" s="336" cm="1">
        <f t="array" ref="H212">G212+_xlfn.IFS(Forecasting_Scenario=Base,2.5%,Forecasting_Scenario=Aggressive,3.67%,Forecasting_Scenario=Conservative,2%)*40%</f>
        <v>0.35930000000000001</v>
      </c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P212" s="22"/>
    </row>
    <row r="213" spans="2:42" x14ac:dyDescent="0.25">
      <c r="C213" s="21" t="s">
        <v>455</v>
      </c>
      <c r="D213" s="34" t="s">
        <v>29</v>
      </c>
      <c r="E213" s="336" cm="1">
        <f t="array" ref="E213">_xlfn.IFS(Forecasting_Scenario=Base,66.67%,Forecasting_Scenario=Aggressive,68%,Forecasting_Scenario=Conservative,65%)</f>
        <v>0.66670000000000007</v>
      </c>
      <c r="F213" s="336" cm="1">
        <f t="array" ref="F213">E213+_xlfn.IFS(Forecasting_Scenario=Base,1.5%,Forecasting_Scenario=Aggressive,2.67%,Forecasting_Scenario=Conservative,1%)</f>
        <v>0.68170000000000008</v>
      </c>
      <c r="G213" s="336" cm="1">
        <f t="array" ref="G213">F213+_xlfn.IFS(Forecasting_Scenario=Base,2.5%,Forecasting_Scenario=Aggressive,3.67%,Forecasting_Scenario=Conservative,2%)</f>
        <v>0.70670000000000011</v>
      </c>
      <c r="H213" s="336" cm="1">
        <f t="array" ref="H213">G213+_xlfn.IFS(Forecasting_Scenario=Base,2.5%,Forecasting_Scenario=Aggressive,3.67%,Forecasting_Scenario=Conservative,2%)</f>
        <v>0.73170000000000013</v>
      </c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P213" s="22"/>
    </row>
    <row r="214" spans="2:42" x14ac:dyDescent="0.25">
      <c r="C214" s="21" t="s">
        <v>393</v>
      </c>
      <c r="D214" s="34" t="s">
        <v>29</v>
      </c>
      <c r="E214" s="336" cm="1">
        <f t="array" ref="E214">_xlfn.IFS(Forecasting_Scenario=Base,75%,Forecasting_Scenario=Aggressive,77.5%,Forecasting_Scenario=Conservative,73%)</f>
        <v>0.75</v>
      </c>
      <c r="F214" s="336" cm="1">
        <f t="array" ref="F214">E214+_xlfn.IFS(Forecasting_Scenario=Base,1.5%,Forecasting_Scenario=Aggressive,2.67%,Forecasting_Scenario=Conservative,1%)*125%</f>
        <v>0.76875000000000004</v>
      </c>
      <c r="G214" s="336" cm="1">
        <f t="array" ref="G214">F214+_xlfn.IFS(Forecasting_Scenario=Base,2.5%,Forecasting_Scenario=Aggressive,3.67%,Forecasting_Scenario=Conservative,2%)*125%</f>
        <v>0.8</v>
      </c>
      <c r="H214" s="336" cm="1">
        <f t="array" ref="H214">G214+_xlfn.IFS(Forecasting_Scenario=Base,2.5%,Forecasting_Scenario=Aggressive,3.67%,Forecasting_Scenario=Conservative,2%)*125%</f>
        <v>0.83125000000000004</v>
      </c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P214" s="22"/>
    </row>
    <row r="215" spans="2:42" x14ac:dyDescent="0.25">
      <c r="C215" s="21" t="s">
        <v>456</v>
      </c>
      <c r="D215" s="34" t="s">
        <v>29</v>
      </c>
      <c r="E215" s="336" cm="1">
        <f t="array" ref="E215">_xlfn.IFS(Forecasting_Scenario=Base,35%,Forecasting_Scenario=Aggressive,36.67%,Forecasting_Scenario=Conservative,33.33%)</f>
        <v>0.35</v>
      </c>
      <c r="F215" s="336" cm="1">
        <f t="array" ref="F215">E215+_xlfn.IFS(Forecasting_Scenario=Base,1.5%,Forecasting_Scenario=Aggressive,2.67%,Forecasting_Scenario=Conservative,1%)*40%</f>
        <v>0.35599999999999998</v>
      </c>
      <c r="G215" s="336" cm="1">
        <f t="array" ref="G215">F215++_xlfn.IFS(Forecasting_Scenario=Base,2.5%,Forecasting_Scenario=Aggressive,3.67%,Forecasting_Scenario=Conservative,2%)*40%</f>
        <v>0.36599999999999999</v>
      </c>
      <c r="H215" s="336" cm="1">
        <f t="array" ref="H215">G215+_xlfn.IFS(Forecasting_Scenario=Base,2.5%,Forecasting_Scenario=Aggressive,3.67%,Forecasting_Scenario=Conservative,2%)*40%</f>
        <v>0.376</v>
      </c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P215" s="22"/>
    </row>
    <row r="216" spans="2:42" x14ac:dyDescent="0.25">
      <c r="B216" s="33" t="s">
        <v>9</v>
      </c>
      <c r="C216" s="311" t="str">
        <f>'4.2 Sector Mapping'!$B$15</f>
        <v>Entertainment and Recreation</v>
      </c>
      <c r="D216" s="318"/>
      <c r="E216" s="311"/>
      <c r="F216" s="311"/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311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311"/>
      <c r="AG216" s="311"/>
      <c r="AH216" s="311"/>
      <c r="AI216" s="311"/>
      <c r="AJ216" s="311"/>
      <c r="AK216" s="311"/>
      <c r="AL216" s="311"/>
      <c r="AM216" s="311"/>
      <c r="AN216" s="311"/>
      <c r="AO216" s="74"/>
      <c r="AP216" s="311"/>
    </row>
    <row r="217" spans="2:42" x14ac:dyDescent="0.25">
      <c r="C217" s="20" t="s">
        <v>600</v>
      </c>
      <c r="D217" s="34" t="s">
        <v>29</v>
      </c>
      <c r="E217" s="336" cm="1">
        <f t="array" ref="E217">_xlfn.IFS(Forecasting_Scenario=Base,70%,Forecasting_Scenario=Aggressive,72%,Forecasting_Scenario=Conservative,69%)</f>
        <v>0.7</v>
      </c>
      <c r="F217" s="336" cm="1">
        <f t="array" ref="F217">E217+_xlfn.IFS(Forecasting_Scenario=Base,1.5%,Forecasting_Scenario=Aggressive,2.67%,Forecasting_Scenario=Conservative,1%)</f>
        <v>0.71499999999999997</v>
      </c>
      <c r="G217" s="336" cm="1">
        <f t="array" ref="G217">F217+_xlfn.IFS(Forecasting_Scenario=Base,2.5%,Forecasting_Scenario=Aggressive,3.67%,Forecasting_Scenario=Conservative,2%)</f>
        <v>0.74</v>
      </c>
      <c r="H217" s="336" cm="1">
        <f t="array" ref="H217">G217+_xlfn.IFS(Forecasting_Scenario=Base,2.5%,Forecasting_Scenario=Aggressive,3.67%,Forecasting_Scenario=Conservative,2%)</f>
        <v>0.76500000000000001</v>
      </c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P217" s="22"/>
    </row>
    <row r="218" spans="2:42" x14ac:dyDescent="0.25">
      <c r="C218" s="20" t="s">
        <v>392</v>
      </c>
      <c r="D218" s="34" t="s">
        <v>29</v>
      </c>
      <c r="E218" s="336" cm="1">
        <f t="array" ref="E218">_xlfn.IFS(Forecasting_Scenario=Base,30%,Forecasting_Scenario=Aggressive,32.5%,Forecasting_Scenario=Conservative,28%)</f>
        <v>0.3</v>
      </c>
      <c r="F218" s="336" cm="1">
        <f t="array" ref="F218">E218+_xlfn.IFS(Forecasting_Scenario=Base,1.5%,Forecasting_Scenario=Aggressive,2.67%,Forecasting_Scenario=Conservative,1%)*25%</f>
        <v>0.30374999999999996</v>
      </c>
      <c r="G218" s="336" cm="1">
        <f t="array" ref="G218">F218+_xlfn.IFS(Forecasting_Scenario=Base,2.5%,Forecasting_Scenario=Aggressive,3.67%,Forecasting_Scenario=Conservative,2%)*25%</f>
        <v>0.30999999999999994</v>
      </c>
      <c r="H218" s="336" cm="1">
        <f t="array" ref="H218">G218++_xlfn.IFS(Forecasting_Scenario=Base,2.5%,Forecasting_Scenario=Aggressive,3.67%,Forecasting_Scenario=Conservative,2%)*25%</f>
        <v>0.31624999999999992</v>
      </c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P218" s="22"/>
    </row>
    <row r="219" spans="2:42" x14ac:dyDescent="0.25">
      <c r="C219" s="20" t="s">
        <v>454</v>
      </c>
      <c r="D219" s="34" t="s">
        <v>29</v>
      </c>
      <c r="E219" s="336" cm="1">
        <f t="array" ref="E219">_xlfn.IFS(Forecasting_Scenario=Base,60%,Forecasting_Scenario=Aggressive,62.5%,Forecasting_Scenario=Conservative,58%)</f>
        <v>0.6</v>
      </c>
      <c r="F219" s="336" cm="1">
        <f t="array" ref="F219">E219+_xlfn.IFS(Forecasting_Scenario=Base,1.5%,Forecasting_Scenario=Aggressive,2.67%,Forecasting_Scenario=Conservative,1%)*40%</f>
        <v>0.60599999999999998</v>
      </c>
      <c r="G219" s="336" cm="1">
        <f t="array" ref="G219">F219+_xlfn.IFS(Forecasting_Scenario=Base,2.5%,Forecasting_Scenario=Aggressive,3.67%,Forecasting_Scenario=Conservative,2%)*40%</f>
        <v>0.61599999999999999</v>
      </c>
      <c r="H219" s="336" cm="1">
        <f t="array" ref="H219">G219+_xlfn.IFS(Forecasting_Scenario=Base,2.5%,Forecasting_Scenario=Aggressive,3.67%,Forecasting_Scenario=Conservative,2%)*40%</f>
        <v>0.626</v>
      </c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P219" s="22"/>
    </row>
    <row r="220" spans="2:42" x14ac:dyDescent="0.25">
      <c r="C220" s="21" t="s">
        <v>455</v>
      </c>
      <c r="D220" s="34" t="s">
        <v>29</v>
      </c>
      <c r="E220" s="336" cm="1">
        <f t="array" ref="E220">_xlfn.IFS(Forecasting_Scenario=Base,75%,Forecasting_Scenario=Aggressive,77.5%,Forecasting_Scenario=Conservative,74%)</f>
        <v>0.75</v>
      </c>
      <c r="F220" s="336" cm="1">
        <f t="array" ref="F220">E220+_xlfn.IFS(Forecasting_Scenario=Base,1.5%,Forecasting_Scenario=Aggressive,2.67%,Forecasting_Scenario=Conservative,1%)</f>
        <v>0.76500000000000001</v>
      </c>
      <c r="G220" s="336" cm="1">
        <f t="array" ref="G220">F220+_xlfn.IFS(Forecasting_Scenario=Base,2.5%,Forecasting_Scenario=Aggressive,3.67%,Forecasting_Scenario=Conservative,2%)</f>
        <v>0.79</v>
      </c>
      <c r="H220" s="336" cm="1">
        <f t="array" ref="H220">G220+_xlfn.IFS(Forecasting_Scenario=Base,2.5%,Forecasting_Scenario=Aggressive,3.67%,Forecasting_Scenario=Conservative,2%)</f>
        <v>0.81500000000000006</v>
      </c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P220" s="22"/>
    </row>
    <row r="221" spans="2:42" x14ac:dyDescent="0.25">
      <c r="C221" s="21" t="s">
        <v>393</v>
      </c>
      <c r="D221" s="34" t="s">
        <v>29</v>
      </c>
      <c r="E221" s="336" cm="1">
        <f t="array" ref="E221">_xlfn.IFS(Forecasting_Scenario=Base,82.5%,Forecasting_Scenario=Aggressive,84.67%,Forecasting_Scenario=Conservative,80%)</f>
        <v>0.82499999999999996</v>
      </c>
      <c r="F221" s="336" cm="1">
        <f t="array" ref="F221">E221+_xlfn.IFS(Forecasting_Scenario=Base,1.5%,Forecasting_Scenario=Aggressive,2.67%,Forecasting_Scenario=Conservative,1%)*125%</f>
        <v>0.84375</v>
      </c>
      <c r="G221" s="336" cm="1">
        <f t="array" ref="G221">F221+_xlfn.IFS(Forecasting_Scenario=Base,2.5%,Forecasting_Scenario=Aggressive,3.67%,Forecasting_Scenario=Conservative,2%)*125%</f>
        <v>0.875</v>
      </c>
      <c r="H221" s="336" cm="1">
        <f t="array" ref="H221">G221+_xlfn.IFS(Forecasting_Scenario=Base,2.5%,Forecasting_Scenario=Aggressive,3.67%,Forecasting_Scenario=Conservative,2%)*125%</f>
        <v>0.90625</v>
      </c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P221" s="22"/>
    </row>
    <row r="222" spans="2:42" x14ac:dyDescent="0.25">
      <c r="C222" s="21" t="s">
        <v>456</v>
      </c>
      <c r="D222" s="34" t="s">
        <v>29</v>
      </c>
      <c r="E222" s="336" cm="1">
        <f t="array" ref="E222">_xlfn.IFS(Forecasting_Scenario=Base,55%,Forecasting_Scenario=Aggressive,57.5%,Forecasting_Scenario=Conservative,52.5%)</f>
        <v>0.55000000000000004</v>
      </c>
      <c r="F222" s="336" cm="1">
        <f t="array" ref="F222">E222+_xlfn.IFS(Forecasting_Scenario=Base,1.5%,Forecasting_Scenario=Aggressive,2.67%,Forecasting_Scenario=Conservative,1%)*40%</f>
        <v>0.55600000000000005</v>
      </c>
      <c r="G222" s="336" cm="1">
        <f t="array" ref="G222">F222++_xlfn.IFS(Forecasting_Scenario=Base,2.5%,Forecasting_Scenario=Aggressive,3.67%,Forecasting_Scenario=Conservative,2%)*40%</f>
        <v>0.56600000000000006</v>
      </c>
      <c r="H222" s="336" cm="1">
        <f t="array" ref="H222">G222+_xlfn.IFS(Forecasting_Scenario=Base,2.5%,Forecasting_Scenario=Aggressive,3.67%,Forecasting_Scenario=Conservative,2%)*40%</f>
        <v>0.57600000000000007</v>
      </c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P222" s="22"/>
    </row>
    <row r="223" spans="2:42" x14ac:dyDescent="0.25">
      <c r="B223" s="33" t="s">
        <v>9</v>
      </c>
      <c r="C223" s="311" t="str">
        <f>'4.2 Sector Mapping'!$B$16</f>
        <v>Transportation and Services</v>
      </c>
      <c r="D223" s="318"/>
      <c r="E223" s="311"/>
      <c r="F223" s="311"/>
      <c r="G223" s="311"/>
      <c r="H223" s="311"/>
      <c r="I223" s="311"/>
      <c r="J223" s="311"/>
      <c r="K223" s="311"/>
      <c r="L223" s="311"/>
      <c r="M223" s="311"/>
      <c r="N223" s="311"/>
      <c r="O223" s="311"/>
      <c r="P223" s="311"/>
      <c r="Q223" s="311"/>
      <c r="R223" s="311"/>
      <c r="S223" s="311"/>
      <c r="T223" s="311"/>
      <c r="U223" s="311"/>
      <c r="V223" s="311"/>
      <c r="W223" s="311"/>
      <c r="X223" s="311"/>
      <c r="Y223" s="311"/>
      <c r="Z223" s="311"/>
      <c r="AA223" s="311"/>
      <c r="AB223" s="311"/>
      <c r="AC223" s="311"/>
      <c r="AD223" s="311"/>
      <c r="AE223" s="311"/>
      <c r="AF223" s="311"/>
      <c r="AG223" s="311"/>
      <c r="AH223" s="311"/>
      <c r="AI223" s="311"/>
      <c r="AJ223" s="311"/>
      <c r="AK223" s="311"/>
      <c r="AL223" s="311"/>
      <c r="AM223" s="311"/>
      <c r="AN223" s="311"/>
      <c r="AO223" s="74"/>
      <c r="AP223" s="311"/>
    </row>
    <row r="224" spans="2:42" x14ac:dyDescent="0.25">
      <c r="C224" s="20" t="s">
        <v>600</v>
      </c>
      <c r="D224" s="34" t="s">
        <v>29</v>
      </c>
      <c r="E224" s="336" cm="1">
        <f t="array" ref="E224">_xlfn.IFS(Forecasting_Scenario=Base,50%,Forecasting_Scenario=Aggressive,51.67%,Forecasting_Scenario=Conservative,48%)</f>
        <v>0.5</v>
      </c>
      <c r="F224" s="336" cm="1">
        <f t="array" ref="F224">E224+_xlfn.IFS(Forecasting_Scenario=Base,1.5%,Forecasting_Scenario=Aggressive,2.67%,Forecasting_Scenario=Conservative,1%)</f>
        <v>0.51500000000000001</v>
      </c>
      <c r="G224" s="336" cm="1">
        <f t="array" ref="G224">F224+_xlfn.IFS(Forecasting_Scenario=Base,2.5%,Forecasting_Scenario=Aggressive,3.67%,Forecasting_Scenario=Conservative,2%)</f>
        <v>0.54</v>
      </c>
      <c r="H224" s="336" cm="1">
        <f t="array" ref="H224">G224+_xlfn.IFS(Forecasting_Scenario=Base,2.5%,Forecasting_Scenario=Aggressive,3.67%,Forecasting_Scenario=Conservative,2%)</f>
        <v>0.56500000000000006</v>
      </c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P224" s="22"/>
    </row>
    <row r="225" spans="2:42" x14ac:dyDescent="0.25">
      <c r="C225" s="20" t="s">
        <v>392</v>
      </c>
      <c r="D225" s="34" t="s">
        <v>29</v>
      </c>
      <c r="E225" s="336" cm="1">
        <f t="array" ref="E225">_xlfn.IFS(Forecasting_Scenario=Base,25%,Forecasting_Scenario=Aggressive,26.67%,Forecasting_Scenario=Conservative,24%)</f>
        <v>0.25</v>
      </c>
      <c r="F225" s="336" cm="1">
        <f t="array" ref="F225">E225+_xlfn.IFS(Forecasting_Scenario=Base,1.5%,Forecasting_Scenario=Aggressive,2.67%,Forecasting_Scenario=Conservative,1%)*25%</f>
        <v>0.25374999999999998</v>
      </c>
      <c r="G225" s="336" cm="1">
        <f t="array" ref="G225">F225+_xlfn.IFS(Forecasting_Scenario=Base,2.5%,Forecasting_Scenario=Aggressive,3.67%,Forecasting_Scenario=Conservative,2%)*25%</f>
        <v>0.25999999999999995</v>
      </c>
      <c r="H225" s="336" cm="1">
        <f t="array" ref="H225">G225++_xlfn.IFS(Forecasting_Scenario=Base,2.5%,Forecasting_Scenario=Aggressive,3.67%,Forecasting_Scenario=Conservative,2%)*25%</f>
        <v>0.26624999999999993</v>
      </c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P225" s="22"/>
    </row>
    <row r="226" spans="2:42" x14ac:dyDescent="0.25">
      <c r="C226" s="20" t="s">
        <v>454</v>
      </c>
      <c r="D226" s="34" t="s">
        <v>29</v>
      </c>
      <c r="E226" s="336" cm="1">
        <f t="array" ref="E226">_xlfn.IFS(Forecasting_Scenario=Base,40%,Forecasting_Scenario=Aggressive,46.67%,Forecasting_Scenario=Conservative,44%)</f>
        <v>0.4</v>
      </c>
      <c r="F226" s="336" cm="1">
        <f t="array" ref="F226">E226+_xlfn.IFS(Forecasting_Scenario=Base,1.5%,Forecasting_Scenario=Aggressive,2.67%,Forecasting_Scenario=Conservative,1%)*40%</f>
        <v>0.40600000000000003</v>
      </c>
      <c r="G226" s="336" cm="1">
        <f t="array" ref="G226">F226+_xlfn.IFS(Forecasting_Scenario=Base,2.5%,Forecasting_Scenario=Aggressive,3.67%,Forecasting_Scenario=Conservative,2%)*40%</f>
        <v>0.41600000000000004</v>
      </c>
      <c r="H226" s="336" cm="1">
        <f t="array" ref="H226">G226+_xlfn.IFS(Forecasting_Scenario=Base,2.5%,Forecasting_Scenario=Aggressive,3.67%,Forecasting_Scenario=Conservative,2%)*40%</f>
        <v>0.42600000000000005</v>
      </c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P226" s="22"/>
    </row>
    <row r="227" spans="2:42" x14ac:dyDescent="0.25">
      <c r="C227" s="21" t="s">
        <v>455</v>
      </c>
      <c r="D227" s="34" t="s">
        <v>29</v>
      </c>
      <c r="E227" s="336" cm="1">
        <f t="array" ref="E227">_xlfn.IFS(Forecasting_Scenario=Base,60%,Forecasting_Scenario=Aggressive,62.5%,Forecasting_Scenario=Conservative,58%)</f>
        <v>0.6</v>
      </c>
      <c r="F227" s="336" cm="1">
        <f t="array" ref="F227">E227+_xlfn.IFS(Forecasting_Scenario=Base,1.5%,Forecasting_Scenario=Aggressive,2.67%,Forecasting_Scenario=Conservative,1%)</f>
        <v>0.61499999999999999</v>
      </c>
      <c r="G227" s="336" cm="1">
        <f t="array" ref="G227">F227+_xlfn.IFS(Forecasting_Scenario=Base,2.5%,Forecasting_Scenario=Aggressive,3.67%,Forecasting_Scenario=Conservative,2%)</f>
        <v>0.64</v>
      </c>
      <c r="H227" s="336" cm="1">
        <f t="array" ref="H227">G227+_xlfn.IFS(Forecasting_Scenario=Base,2.5%,Forecasting_Scenario=Aggressive,3.67%,Forecasting_Scenario=Conservative,2%)</f>
        <v>0.66500000000000004</v>
      </c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P227" s="22"/>
    </row>
    <row r="228" spans="2:42" x14ac:dyDescent="0.25">
      <c r="C228" s="21" t="s">
        <v>393</v>
      </c>
      <c r="D228" s="34" t="s">
        <v>29</v>
      </c>
      <c r="E228" s="336" cm="1">
        <f t="array" ref="E228">_xlfn.IFS(Forecasting_Scenario=Base,80%,Forecasting_Scenario=Aggressive,82.5%,Forecasting_Scenario=Conservative,78%)</f>
        <v>0.8</v>
      </c>
      <c r="F228" s="336" cm="1">
        <f t="array" ref="F228">E228+_xlfn.IFS(Forecasting_Scenario=Base,1.5%,Forecasting_Scenario=Aggressive,2.67%,Forecasting_Scenario=Conservative,1%)*125%</f>
        <v>0.81875000000000009</v>
      </c>
      <c r="G228" s="336" cm="1">
        <f t="array" ref="G228">F228+_xlfn.IFS(Forecasting_Scenario=Base,2.5%,Forecasting_Scenario=Aggressive,3.67%,Forecasting_Scenario=Conservative,2%)*125%</f>
        <v>0.85000000000000009</v>
      </c>
      <c r="H228" s="336" cm="1">
        <f t="array" ref="H228">G228+_xlfn.IFS(Forecasting_Scenario=Base,2.5%,Forecasting_Scenario=Aggressive,3.67%,Forecasting_Scenario=Conservative,2%)*125%</f>
        <v>0.88125000000000009</v>
      </c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P228" s="22"/>
    </row>
    <row r="229" spans="2:42" x14ac:dyDescent="0.25">
      <c r="C229" s="21" t="s">
        <v>456</v>
      </c>
      <c r="D229" s="34" t="s">
        <v>29</v>
      </c>
      <c r="E229" s="336" cm="1">
        <f t="array" ref="E229">_xlfn.IFS(Forecasting_Scenario=Base,45%,Forecasting_Scenario=Aggressive,46.67%,Forecasting_Scenario=Conservative,43.33%)</f>
        <v>0.45</v>
      </c>
      <c r="F229" s="336" cm="1">
        <f t="array" ref="F229">E229+_xlfn.IFS(Forecasting_Scenario=Base,1.5%,Forecasting_Scenario=Aggressive,2.67%,Forecasting_Scenario=Conservative,1%)*40%</f>
        <v>0.45600000000000002</v>
      </c>
      <c r="G229" s="336" cm="1">
        <f t="array" ref="G229">F229++_xlfn.IFS(Forecasting_Scenario=Base,2.5%,Forecasting_Scenario=Aggressive,3.67%,Forecasting_Scenario=Conservative,2%)*40%</f>
        <v>0.46600000000000003</v>
      </c>
      <c r="H229" s="336" cm="1">
        <f t="array" ref="H229">G229+_xlfn.IFS(Forecasting_Scenario=Base,2.5%,Forecasting_Scenario=Aggressive,3.67%,Forecasting_Scenario=Conservative,2%)*40%</f>
        <v>0.47600000000000003</v>
      </c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P229" s="22"/>
    </row>
    <row r="230" spans="2:42" x14ac:dyDescent="0.25">
      <c r="B230" s="33" t="s">
        <v>9</v>
      </c>
      <c r="C230" s="312" t="s">
        <v>669</v>
      </c>
      <c r="D230" s="317"/>
      <c r="E230" s="312">
        <v>2024</v>
      </c>
      <c r="F230" s="312">
        <f>E230+1</f>
        <v>2025</v>
      </c>
      <c r="G230" s="312">
        <f t="shared" ref="G230:H230" si="24">F230+1</f>
        <v>2026</v>
      </c>
      <c r="H230" s="312">
        <f t="shared" si="24"/>
        <v>2027</v>
      </c>
      <c r="I230" s="312"/>
      <c r="J230" s="312"/>
      <c r="K230" s="312"/>
      <c r="L230" s="312"/>
      <c r="M230" s="312"/>
      <c r="N230" s="312"/>
      <c r="O230" s="312"/>
      <c r="P230" s="312"/>
      <c r="Q230" s="312"/>
      <c r="R230" s="312"/>
      <c r="S230" s="312"/>
      <c r="T230" s="312"/>
      <c r="U230" s="312"/>
      <c r="V230" s="312"/>
      <c r="W230" s="312"/>
      <c r="X230" s="312"/>
      <c r="Y230" s="312"/>
      <c r="Z230" s="312"/>
      <c r="AA230" s="312"/>
      <c r="AB230" s="312"/>
      <c r="AC230" s="312"/>
      <c r="AD230" s="312"/>
      <c r="AE230" s="312"/>
      <c r="AF230" s="312"/>
      <c r="AG230" s="312"/>
      <c r="AH230" s="312"/>
      <c r="AI230" s="312"/>
      <c r="AJ230" s="312"/>
      <c r="AK230" s="312"/>
      <c r="AL230" s="312"/>
      <c r="AM230" s="312"/>
      <c r="AN230" s="312"/>
      <c r="AO230" s="74"/>
      <c r="AP230" s="312"/>
    </row>
    <row r="231" spans="2:42" x14ac:dyDescent="0.25">
      <c r="B231" s="33" t="s">
        <v>9</v>
      </c>
      <c r="C231" s="311" t="str">
        <f>'4.2 Sector Mapping'!$B$5</f>
        <v>Agriculture</v>
      </c>
      <c r="D231" s="318"/>
      <c r="E231" s="311"/>
      <c r="F231" s="311"/>
      <c r="G231" s="311"/>
      <c r="H231" s="311"/>
      <c r="I231" s="311"/>
      <c r="J231" s="311"/>
      <c r="K231" s="311"/>
      <c r="L231" s="311"/>
      <c r="M231" s="311"/>
      <c r="N231" s="311"/>
      <c r="O231" s="311"/>
      <c r="P231" s="311"/>
      <c r="Q231" s="311"/>
      <c r="R231" s="311"/>
      <c r="S231" s="311"/>
      <c r="T231" s="311"/>
      <c r="U231" s="311"/>
      <c r="V231" s="311"/>
      <c r="W231" s="311"/>
      <c r="X231" s="311"/>
      <c r="Y231" s="311"/>
      <c r="Z231" s="311"/>
      <c r="AA231" s="311"/>
      <c r="AB231" s="311"/>
      <c r="AC231" s="311"/>
      <c r="AD231" s="311"/>
      <c r="AE231" s="311"/>
      <c r="AF231" s="311"/>
      <c r="AG231" s="311"/>
      <c r="AH231" s="311"/>
      <c r="AI231" s="311"/>
      <c r="AJ231" s="311"/>
      <c r="AK231" s="311"/>
      <c r="AL231" s="311"/>
      <c r="AM231" s="311"/>
      <c r="AN231" s="311"/>
      <c r="AO231" s="74"/>
      <c r="AP231" s="311"/>
    </row>
    <row r="232" spans="2:42" x14ac:dyDescent="0.25">
      <c r="C232" s="20" t="s">
        <v>600</v>
      </c>
      <c r="D232" s="34" t="s">
        <v>29</v>
      </c>
      <c r="E232" s="336" cm="1">
        <f t="array" ref="E232">_xlfn.IFS(Forecasting_Scenario=Base,20%,Forecasting_Scenario=Aggressive,25%,Forecasting_Scenario=Conservative,17.5%)</f>
        <v>0.2</v>
      </c>
      <c r="F232" s="336">
        <f>E232-0.5%</f>
        <v>0.19500000000000001</v>
      </c>
      <c r="G232" s="336">
        <f>F232-0.5%</f>
        <v>0.19</v>
      </c>
      <c r="H232" s="336">
        <f>G232-0.5%</f>
        <v>0.185</v>
      </c>
      <c r="I232" s="234"/>
      <c r="J232" s="234"/>
      <c r="K232" s="234"/>
      <c r="L232" s="234"/>
      <c r="M232" s="234"/>
      <c r="N232" s="234"/>
      <c r="O232" s="234"/>
      <c r="P232" s="234"/>
      <c r="Q232" s="234"/>
      <c r="R232" s="234"/>
      <c r="S232" s="234"/>
      <c r="T232" s="234"/>
      <c r="U232" s="234"/>
      <c r="V232" s="234"/>
      <c r="W232" s="234"/>
      <c r="X232" s="234"/>
      <c r="Y232" s="234"/>
      <c r="Z232" s="234"/>
      <c r="AA232" s="234"/>
      <c r="AB232" s="234"/>
      <c r="AC232" s="234"/>
      <c r="AD232" s="234"/>
      <c r="AE232" s="234"/>
      <c r="AF232" s="234"/>
      <c r="AG232" s="234"/>
      <c r="AH232" s="234"/>
      <c r="AI232" s="234"/>
      <c r="AJ232" s="234"/>
      <c r="AK232" s="234"/>
      <c r="AL232" s="234"/>
      <c r="AM232" s="234"/>
      <c r="AN232" s="234"/>
      <c r="AP232" s="20"/>
    </row>
    <row r="233" spans="2:42" x14ac:dyDescent="0.25">
      <c r="C233" s="20" t="s">
        <v>392</v>
      </c>
      <c r="D233" s="34" t="s">
        <v>29</v>
      </c>
      <c r="E233" s="336" cm="1">
        <f t="array" ref="E233">_xlfn.IFS(Forecasting_Scenario=Base,20%,Forecasting_Scenario=Aggressive,25%,Forecasting_Scenario=Conservative,17.5%)</f>
        <v>0.2</v>
      </c>
      <c r="F233" s="336">
        <f t="shared" ref="F233:H233" si="25">E233-0.5%</f>
        <v>0.19500000000000001</v>
      </c>
      <c r="G233" s="336">
        <f t="shared" si="25"/>
        <v>0.19</v>
      </c>
      <c r="H233" s="336">
        <f t="shared" si="25"/>
        <v>0.185</v>
      </c>
      <c r="I233" s="234"/>
      <c r="J233" s="234"/>
      <c r="K233" s="234"/>
      <c r="L233" s="234"/>
      <c r="M233" s="234"/>
      <c r="N233" s="234"/>
      <c r="O233" s="234"/>
      <c r="P233" s="234"/>
      <c r="Q233" s="234"/>
      <c r="R233" s="234"/>
      <c r="S233" s="234"/>
      <c r="T233" s="234"/>
      <c r="U233" s="234"/>
      <c r="V233" s="234"/>
      <c r="W233" s="234"/>
      <c r="X233" s="234"/>
      <c r="Y233" s="234"/>
      <c r="Z233" s="234"/>
      <c r="AA233" s="234"/>
      <c r="AB233" s="234"/>
      <c r="AC233" s="234"/>
      <c r="AD233" s="234"/>
      <c r="AE233" s="234"/>
      <c r="AF233" s="234"/>
      <c r="AG233" s="234"/>
      <c r="AH233" s="234"/>
      <c r="AI233" s="234"/>
      <c r="AJ233" s="234"/>
      <c r="AK233" s="234"/>
      <c r="AL233" s="234"/>
      <c r="AM233" s="234"/>
      <c r="AN233" s="234"/>
      <c r="AP233" s="20"/>
    </row>
    <row r="234" spans="2:42" x14ac:dyDescent="0.25">
      <c r="C234" s="20" t="s">
        <v>454</v>
      </c>
      <c r="D234" s="34" t="s">
        <v>29</v>
      </c>
      <c r="E234" s="336" cm="1">
        <f t="array" ref="E234">_xlfn.IFS(Forecasting_Scenario=Base,20%,Forecasting_Scenario=Aggressive,25%,Forecasting_Scenario=Conservative,17.5%)</f>
        <v>0.2</v>
      </c>
      <c r="F234" s="336">
        <f t="shared" ref="F234:H234" si="26">E234-0.5%</f>
        <v>0.19500000000000001</v>
      </c>
      <c r="G234" s="336">
        <f t="shared" si="26"/>
        <v>0.19</v>
      </c>
      <c r="H234" s="336">
        <f t="shared" si="26"/>
        <v>0.185</v>
      </c>
      <c r="I234" s="234"/>
      <c r="J234" s="234"/>
      <c r="K234" s="234"/>
      <c r="L234" s="234"/>
      <c r="M234" s="234"/>
      <c r="N234" s="234"/>
      <c r="O234" s="234"/>
      <c r="P234" s="234"/>
      <c r="Q234" s="234"/>
      <c r="R234" s="234"/>
      <c r="S234" s="234"/>
      <c r="T234" s="234"/>
      <c r="U234" s="234"/>
      <c r="V234" s="234"/>
      <c r="W234" s="234"/>
      <c r="X234" s="234"/>
      <c r="Y234" s="234"/>
      <c r="Z234" s="234"/>
      <c r="AA234" s="234"/>
      <c r="AB234" s="234"/>
      <c r="AC234" s="234"/>
      <c r="AD234" s="234"/>
      <c r="AE234" s="234"/>
      <c r="AF234" s="234"/>
      <c r="AG234" s="234"/>
      <c r="AH234" s="234"/>
      <c r="AI234" s="234"/>
      <c r="AJ234" s="234"/>
      <c r="AK234" s="234"/>
      <c r="AL234" s="234"/>
      <c r="AM234" s="234"/>
      <c r="AN234" s="234"/>
      <c r="AP234" s="20"/>
    </row>
    <row r="235" spans="2:42" x14ac:dyDescent="0.25">
      <c r="C235" s="21" t="s">
        <v>455</v>
      </c>
      <c r="D235" s="34" t="s">
        <v>29</v>
      </c>
      <c r="E235" s="336" cm="1">
        <f t="array" ref="E235">_xlfn.IFS(Forecasting_Scenario=Base,20%,Forecasting_Scenario=Aggressive,25%,Forecasting_Scenario=Conservative,17.5%)</f>
        <v>0.2</v>
      </c>
      <c r="F235" s="336">
        <f t="shared" ref="F235:H235" si="27">E235-0.5%</f>
        <v>0.19500000000000001</v>
      </c>
      <c r="G235" s="336">
        <f t="shared" si="27"/>
        <v>0.19</v>
      </c>
      <c r="H235" s="336">
        <f t="shared" si="27"/>
        <v>0.185</v>
      </c>
      <c r="I235" s="234"/>
      <c r="J235" s="234"/>
      <c r="K235" s="234"/>
      <c r="L235" s="234"/>
      <c r="M235" s="234"/>
      <c r="N235" s="234"/>
      <c r="O235" s="234"/>
      <c r="P235" s="234"/>
      <c r="Q235" s="234"/>
      <c r="R235" s="234"/>
      <c r="S235" s="234"/>
      <c r="T235" s="234"/>
      <c r="U235" s="234"/>
      <c r="V235" s="234"/>
      <c r="W235" s="234"/>
      <c r="X235" s="234"/>
      <c r="Y235" s="234"/>
      <c r="Z235" s="234"/>
      <c r="AA235" s="234"/>
      <c r="AB235" s="234"/>
      <c r="AC235" s="234"/>
      <c r="AD235" s="234"/>
      <c r="AE235" s="234"/>
      <c r="AF235" s="234"/>
      <c r="AG235" s="234"/>
      <c r="AH235" s="234"/>
      <c r="AI235" s="234"/>
      <c r="AJ235" s="234"/>
      <c r="AK235" s="234"/>
      <c r="AL235" s="234"/>
      <c r="AM235" s="234"/>
      <c r="AN235" s="234"/>
      <c r="AP235" s="20"/>
    </row>
    <row r="236" spans="2:42" x14ac:dyDescent="0.25">
      <c r="C236" s="21" t="s">
        <v>393</v>
      </c>
      <c r="D236" s="34" t="s">
        <v>29</v>
      </c>
      <c r="E236" s="336" cm="1">
        <f t="array" ref="E236">_xlfn.IFS(Forecasting_Scenario=Base,20%,Forecasting_Scenario=Aggressive,25%,Forecasting_Scenario=Conservative,17.5%)</f>
        <v>0.2</v>
      </c>
      <c r="F236" s="336">
        <f t="shared" ref="F236:H236" si="28">E236-0.5%</f>
        <v>0.19500000000000001</v>
      </c>
      <c r="G236" s="336">
        <f t="shared" si="28"/>
        <v>0.19</v>
      </c>
      <c r="H236" s="336">
        <f t="shared" si="28"/>
        <v>0.185</v>
      </c>
      <c r="I236" s="234"/>
      <c r="J236" s="234"/>
      <c r="K236" s="234"/>
      <c r="L236" s="234"/>
      <c r="M236" s="234"/>
      <c r="N236" s="234"/>
      <c r="O236" s="234"/>
      <c r="P236" s="234"/>
      <c r="Q236" s="234"/>
      <c r="R236" s="234"/>
      <c r="S236" s="234"/>
      <c r="T236" s="234"/>
      <c r="U236" s="234"/>
      <c r="V236" s="234"/>
      <c r="W236" s="234"/>
      <c r="X236" s="234"/>
      <c r="Y236" s="234"/>
      <c r="Z236" s="234"/>
      <c r="AA236" s="234"/>
      <c r="AB236" s="234"/>
      <c r="AC236" s="234"/>
      <c r="AD236" s="234"/>
      <c r="AE236" s="234"/>
      <c r="AF236" s="234"/>
      <c r="AG236" s="234"/>
      <c r="AH236" s="234"/>
      <c r="AI236" s="234"/>
      <c r="AJ236" s="234"/>
      <c r="AK236" s="234"/>
      <c r="AL236" s="234"/>
      <c r="AM236" s="234"/>
      <c r="AN236" s="234"/>
      <c r="AP236" s="20"/>
    </row>
    <row r="237" spans="2:42" x14ac:dyDescent="0.25">
      <c r="C237" s="21" t="s">
        <v>456</v>
      </c>
      <c r="D237" s="34" t="s">
        <v>29</v>
      </c>
      <c r="E237" s="336" cm="1">
        <f t="array" ref="E237">_xlfn.IFS(Forecasting_Scenario=Base,20%,Forecasting_Scenario=Aggressive,25%,Forecasting_Scenario=Conservative,17.5%)</f>
        <v>0.2</v>
      </c>
      <c r="F237" s="336">
        <f t="shared" ref="F237:H237" si="29">E237-0.5%</f>
        <v>0.19500000000000001</v>
      </c>
      <c r="G237" s="336">
        <f t="shared" si="29"/>
        <v>0.19</v>
      </c>
      <c r="H237" s="336">
        <f t="shared" si="29"/>
        <v>0.185</v>
      </c>
      <c r="I237" s="234"/>
      <c r="J237" s="234"/>
      <c r="K237" s="234"/>
      <c r="L237" s="234"/>
      <c r="M237" s="234"/>
      <c r="N237" s="234"/>
      <c r="O237" s="234"/>
      <c r="P237" s="234"/>
      <c r="Q237" s="234"/>
      <c r="R237" s="234"/>
      <c r="S237" s="234"/>
      <c r="T237" s="234"/>
      <c r="U237" s="234"/>
      <c r="V237" s="234"/>
      <c r="W237" s="234"/>
      <c r="X237" s="234"/>
      <c r="Y237" s="234"/>
      <c r="Z237" s="234"/>
      <c r="AA237" s="234"/>
      <c r="AB237" s="234"/>
      <c r="AC237" s="234"/>
      <c r="AD237" s="234"/>
      <c r="AE237" s="234"/>
      <c r="AF237" s="234"/>
      <c r="AG237" s="234"/>
      <c r="AH237" s="234"/>
      <c r="AI237" s="234"/>
      <c r="AJ237" s="234"/>
      <c r="AK237" s="234"/>
      <c r="AL237" s="234"/>
      <c r="AM237" s="234"/>
      <c r="AN237" s="234"/>
      <c r="AP237" s="20"/>
    </row>
    <row r="238" spans="2:42" x14ac:dyDescent="0.25">
      <c r="B238" s="33" t="s">
        <v>9</v>
      </c>
      <c r="C238" s="311" t="str">
        <f>'4.2 Sector Mapping'!$B$6</f>
        <v>Communication, Media and Technology</v>
      </c>
      <c r="D238" s="318"/>
      <c r="E238" s="311"/>
      <c r="F238" s="311"/>
      <c r="G238" s="311"/>
      <c r="H238" s="311"/>
      <c r="I238" s="311"/>
      <c r="J238" s="311"/>
      <c r="K238" s="311"/>
      <c r="L238" s="311"/>
      <c r="M238" s="311"/>
      <c r="N238" s="311"/>
      <c r="O238" s="311"/>
      <c r="P238" s="311"/>
      <c r="Q238" s="311"/>
      <c r="R238" s="311"/>
      <c r="S238" s="311"/>
      <c r="T238" s="311"/>
      <c r="U238" s="311"/>
      <c r="V238" s="311"/>
      <c r="W238" s="311"/>
      <c r="X238" s="311"/>
      <c r="Y238" s="311"/>
      <c r="Z238" s="311"/>
      <c r="AA238" s="311"/>
      <c r="AB238" s="311"/>
      <c r="AC238" s="311"/>
      <c r="AD238" s="311"/>
      <c r="AE238" s="311"/>
      <c r="AF238" s="311"/>
      <c r="AG238" s="311"/>
      <c r="AH238" s="311"/>
      <c r="AI238" s="311"/>
      <c r="AJ238" s="311"/>
      <c r="AK238" s="311"/>
      <c r="AL238" s="311"/>
      <c r="AM238" s="311"/>
      <c r="AN238" s="311"/>
      <c r="AO238" s="74"/>
      <c r="AP238" s="311"/>
    </row>
    <row r="239" spans="2:42" x14ac:dyDescent="0.25">
      <c r="C239" s="20" t="s">
        <v>600</v>
      </c>
      <c r="D239" s="34" t="s">
        <v>29</v>
      </c>
      <c r="E239" s="336" cm="1">
        <f t="array" ref="E239">_xlfn.IFS(Forecasting_Scenario=Base,20%,Forecasting_Scenario=Aggressive,25%,Forecasting_Scenario=Conservative,17.5%)</f>
        <v>0.2</v>
      </c>
      <c r="F239" s="336">
        <f>E239-0.5%</f>
        <v>0.19500000000000001</v>
      </c>
      <c r="G239" s="336">
        <f>F239-0.5%</f>
        <v>0.19</v>
      </c>
      <c r="H239" s="336">
        <f>G239-0.5%</f>
        <v>0.185</v>
      </c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P239" s="20"/>
    </row>
    <row r="240" spans="2:42" x14ac:dyDescent="0.25">
      <c r="C240" s="20" t="s">
        <v>392</v>
      </c>
      <c r="D240" s="34" t="s">
        <v>29</v>
      </c>
      <c r="E240" s="336" cm="1">
        <f t="array" ref="E240">_xlfn.IFS(Forecasting_Scenario=Base,20%,Forecasting_Scenario=Aggressive,25%,Forecasting_Scenario=Conservative,17.5%)</f>
        <v>0.2</v>
      </c>
      <c r="F240" s="336">
        <f t="shared" ref="F240:H240" si="30">E240-0.5%</f>
        <v>0.19500000000000001</v>
      </c>
      <c r="G240" s="336">
        <f t="shared" si="30"/>
        <v>0.19</v>
      </c>
      <c r="H240" s="336">
        <f t="shared" si="30"/>
        <v>0.185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P240" s="20"/>
    </row>
    <row r="241" spans="2:42" x14ac:dyDescent="0.25">
      <c r="C241" s="20" t="s">
        <v>454</v>
      </c>
      <c r="D241" s="34" t="s">
        <v>29</v>
      </c>
      <c r="E241" s="336" cm="1">
        <f t="array" ref="E241">_xlfn.IFS(Forecasting_Scenario=Base,20%,Forecasting_Scenario=Aggressive,25%,Forecasting_Scenario=Conservative,17.5%)</f>
        <v>0.2</v>
      </c>
      <c r="F241" s="336">
        <f t="shared" ref="F241:H241" si="31">E241-0.5%</f>
        <v>0.19500000000000001</v>
      </c>
      <c r="G241" s="336">
        <f t="shared" si="31"/>
        <v>0.19</v>
      </c>
      <c r="H241" s="336">
        <f t="shared" si="31"/>
        <v>0.185</v>
      </c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P241" s="20"/>
    </row>
    <row r="242" spans="2:42" x14ac:dyDescent="0.25">
      <c r="C242" s="21" t="s">
        <v>455</v>
      </c>
      <c r="D242" s="34" t="s">
        <v>29</v>
      </c>
      <c r="E242" s="336" cm="1">
        <f t="array" ref="E242">_xlfn.IFS(Forecasting_Scenario=Base,20%,Forecasting_Scenario=Aggressive,25%,Forecasting_Scenario=Conservative,17.5%)</f>
        <v>0.2</v>
      </c>
      <c r="F242" s="336">
        <f t="shared" ref="F242:H242" si="32">E242-0.5%</f>
        <v>0.19500000000000001</v>
      </c>
      <c r="G242" s="336">
        <f t="shared" si="32"/>
        <v>0.19</v>
      </c>
      <c r="H242" s="336">
        <f t="shared" si="32"/>
        <v>0.185</v>
      </c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P242" s="20"/>
    </row>
    <row r="243" spans="2:42" x14ac:dyDescent="0.25">
      <c r="C243" s="21" t="s">
        <v>393</v>
      </c>
      <c r="D243" s="34" t="s">
        <v>29</v>
      </c>
      <c r="E243" s="336" cm="1">
        <f t="array" ref="E243">_xlfn.IFS(Forecasting_Scenario=Base,20%,Forecasting_Scenario=Aggressive,25%,Forecasting_Scenario=Conservative,17.5%)</f>
        <v>0.2</v>
      </c>
      <c r="F243" s="336">
        <f t="shared" ref="F243:H243" si="33">E243-0.5%</f>
        <v>0.19500000000000001</v>
      </c>
      <c r="G243" s="336">
        <f t="shared" si="33"/>
        <v>0.19</v>
      </c>
      <c r="H243" s="336">
        <f t="shared" si="33"/>
        <v>0.185</v>
      </c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P243" s="20"/>
    </row>
    <row r="244" spans="2:42" x14ac:dyDescent="0.25">
      <c r="C244" s="21" t="s">
        <v>456</v>
      </c>
      <c r="D244" s="34" t="s">
        <v>29</v>
      </c>
      <c r="E244" s="336" cm="1">
        <f t="array" ref="E244">_xlfn.IFS(Forecasting_Scenario=Base,20%,Forecasting_Scenario=Aggressive,25%,Forecasting_Scenario=Conservative,17.5%)</f>
        <v>0.2</v>
      </c>
      <c r="F244" s="336">
        <f t="shared" ref="F244:H244" si="34">E244-0.5%</f>
        <v>0.19500000000000001</v>
      </c>
      <c r="G244" s="336">
        <f t="shared" si="34"/>
        <v>0.19</v>
      </c>
      <c r="H244" s="336">
        <f t="shared" si="34"/>
        <v>0.185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P244" s="20"/>
    </row>
    <row r="245" spans="2:42" x14ac:dyDescent="0.25">
      <c r="B245" s="33" t="s">
        <v>9</v>
      </c>
      <c r="C245" s="311" t="str">
        <f>'4.2 Sector Mapping'!$B$7</f>
        <v>Energy and Environment</v>
      </c>
      <c r="D245" s="318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311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311"/>
      <c r="AL245" s="311"/>
      <c r="AM245" s="311"/>
      <c r="AN245" s="311"/>
      <c r="AO245" s="74"/>
      <c r="AP245" s="311"/>
    </row>
    <row r="246" spans="2:42" x14ac:dyDescent="0.25">
      <c r="C246" s="20" t="s">
        <v>600</v>
      </c>
      <c r="D246" s="34" t="s">
        <v>29</v>
      </c>
      <c r="E246" s="336" cm="1">
        <f t="array" ref="E246">_xlfn.IFS(Forecasting_Scenario=Base,20%,Forecasting_Scenario=Aggressive,25%,Forecasting_Scenario=Conservative,17.5%)</f>
        <v>0.2</v>
      </c>
      <c r="F246" s="336">
        <f>E246-0.5%</f>
        <v>0.19500000000000001</v>
      </c>
      <c r="G246" s="336">
        <f>F246-0.5%</f>
        <v>0.19</v>
      </c>
      <c r="H246" s="336">
        <f>G246-0.5%</f>
        <v>0.185</v>
      </c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P246" s="20"/>
    </row>
    <row r="247" spans="2:42" x14ac:dyDescent="0.25">
      <c r="C247" s="20" t="s">
        <v>392</v>
      </c>
      <c r="D247" s="34" t="s">
        <v>29</v>
      </c>
      <c r="E247" s="336" cm="1">
        <f t="array" ref="E247">_xlfn.IFS(Forecasting_Scenario=Base,20%,Forecasting_Scenario=Aggressive,25%,Forecasting_Scenario=Conservative,17.5%)</f>
        <v>0.2</v>
      </c>
      <c r="F247" s="336">
        <f t="shared" ref="F247:H247" si="35">E247-0.5%</f>
        <v>0.19500000000000001</v>
      </c>
      <c r="G247" s="336">
        <f t="shared" si="35"/>
        <v>0.19</v>
      </c>
      <c r="H247" s="336">
        <f t="shared" si="35"/>
        <v>0.185</v>
      </c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P247" s="20"/>
    </row>
    <row r="248" spans="2:42" x14ac:dyDescent="0.25">
      <c r="C248" s="20" t="s">
        <v>454</v>
      </c>
      <c r="D248" s="34" t="s">
        <v>29</v>
      </c>
      <c r="E248" s="336" cm="1">
        <f t="array" ref="E248">_xlfn.IFS(Forecasting_Scenario=Base,20%,Forecasting_Scenario=Aggressive,25%,Forecasting_Scenario=Conservative,17.5%)</f>
        <v>0.2</v>
      </c>
      <c r="F248" s="336">
        <f t="shared" ref="F248:H248" si="36">E248-0.5%</f>
        <v>0.19500000000000001</v>
      </c>
      <c r="G248" s="336">
        <f t="shared" si="36"/>
        <v>0.19</v>
      </c>
      <c r="H248" s="336">
        <f t="shared" si="36"/>
        <v>0.185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P248" s="20"/>
    </row>
    <row r="249" spans="2:42" x14ac:dyDescent="0.25">
      <c r="C249" s="21" t="s">
        <v>455</v>
      </c>
      <c r="D249" s="34" t="s">
        <v>29</v>
      </c>
      <c r="E249" s="336" cm="1">
        <f t="array" ref="E249">_xlfn.IFS(Forecasting_Scenario=Base,20%,Forecasting_Scenario=Aggressive,25%,Forecasting_Scenario=Conservative,17.5%)</f>
        <v>0.2</v>
      </c>
      <c r="F249" s="336">
        <f t="shared" ref="F249:H249" si="37">E249-0.5%</f>
        <v>0.19500000000000001</v>
      </c>
      <c r="G249" s="336">
        <f t="shared" si="37"/>
        <v>0.19</v>
      </c>
      <c r="H249" s="336">
        <f t="shared" si="37"/>
        <v>0.185</v>
      </c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P249" s="21"/>
    </row>
    <row r="250" spans="2:42" x14ac:dyDescent="0.25">
      <c r="C250" s="21" t="s">
        <v>393</v>
      </c>
      <c r="D250" s="34" t="s">
        <v>29</v>
      </c>
      <c r="E250" s="336" cm="1">
        <f t="array" ref="E250">_xlfn.IFS(Forecasting_Scenario=Base,20%,Forecasting_Scenario=Aggressive,25%,Forecasting_Scenario=Conservative,17.5%)</f>
        <v>0.2</v>
      </c>
      <c r="F250" s="336">
        <f t="shared" ref="F250:H250" si="38">E250-0.5%</f>
        <v>0.19500000000000001</v>
      </c>
      <c r="G250" s="336">
        <f t="shared" si="38"/>
        <v>0.19</v>
      </c>
      <c r="H250" s="336">
        <f t="shared" si="38"/>
        <v>0.185</v>
      </c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P250" s="22"/>
    </row>
    <row r="251" spans="2:42" x14ac:dyDescent="0.25">
      <c r="C251" s="21" t="s">
        <v>456</v>
      </c>
      <c r="D251" s="34" t="s">
        <v>29</v>
      </c>
      <c r="E251" s="336" cm="1">
        <f t="array" ref="E251">_xlfn.IFS(Forecasting_Scenario=Base,20%,Forecasting_Scenario=Aggressive,25%,Forecasting_Scenario=Conservative,17.5%)</f>
        <v>0.2</v>
      </c>
      <c r="F251" s="336">
        <f t="shared" ref="F251:H251" si="39">E251-0.5%</f>
        <v>0.19500000000000001</v>
      </c>
      <c r="G251" s="336">
        <f t="shared" si="39"/>
        <v>0.19</v>
      </c>
      <c r="H251" s="336">
        <f t="shared" si="39"/>
        <v>0.185</v>
      </c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P251" s="22"/>
    </row>
    <row r="252" spans="2:42" x14ac:dyDescent="0.25">
      <c r="B252" s="33" t="s">
        <v>9</v>
      </c>
      <c r="C252" s="311" t="str">
        <f>'4.2 Sector Mapping'!$B$8</f>
        <v>Financial Services</v>
      </c>
      <c r="D252" s="318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311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311"/>
      <c r="AL252" s="311"/>
      <c r="AM252" s="311"/>
      <c r="AN252" s="311"/>
      <c r="AO252" s="74"/>
      <c r="AP252" s="311"/>
    </row>
    <row r="253" spans="2:42" x14ac:dyDescent="0.25">
      <c r="C253" s="20" t="s">
        <v>600</v>
      </c>
      <c r="D253" s="34" t="s">
        <v>29</v>
      </c>
      <c r="E253" s="336" cm="1">
        <f t="array" ref="E253">_xlfn.IFS(Forecasting_Scenario=Base,20%,Forecasting_Scenario=Aggressive,25%,Forecasting_Scenario=Conservative,17.5%)</f>
        <v>0.2</v>
      </c>
      <c r="F253" s="336">
        <f>E253-0.5%</f>
        <v>0.19500000000000001</v>
      </c>
      <c r="G253" s="336">
        <f>F253-0.5%</f>
        <v>0.19</v>
      </c>
      <c r="H253" s="336">
        <f>G253-0.5%</f>
        <v>0.185</v>
      </c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P253" s="22"/>
    </row>
    <row r="254" spans="2:42" x14ac:dyDescent="0.25">
      <c r="C254" s="20" t="s">
        <v>392</v>
      </c>
      <c r="D254" s="34" t="s">
        <v>29</v>
      </c>
      <c r="E254" s="336" cm="1">
        <f t="array" ref="E254">_xlfn.IFS(Forecasting_Scenario=Base,20%,Forecasting_Scenario=Aggressive,25%,Forecasting_Scenario=Conservative,17.5%)</f>
        <v>0.2</v>
      </c>
      <c r="F254" s="336">
        <f t="shared" ref="F254:H254" si="40">E254-0.5%</f>
        <v>0.19500000000000001</v>
      </c>
      <c r="G254" s="336">
        <f t="shared" si="40"/>
        <v>0.19</v>
      </c>
      <c r="H254" s="336">
        <f t="shared" si="40"/>
        <v>0.185</v>
      </c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P254" s="22"/>
    </row>
    <row r="255" spans="2:42" x14ac:dyDescent="0.25">
      <c r="C255" s="20" t="s">
        <v>454</v>
      </c>
      <c r="D255" s="34" t="s">
        <v>29</v>
      </c>
      <c r="E255" s="336" cm="1">
        <f t="array" ref="E255">_xlfn.IFS(Forecasting_Scenario=Base,20%,Forecasting_Scenario=Aggressive,25%,Forecasting_Scenario=Conservative,17.5%)</f>
        <v>0.2</v>
      </c>
      <c r="F255" s="336">
        <f t="shared" ref="F255:H255" si="41">E255-0.5%</f>
        <v>0.19500000000000001</v>
      </c>
      <c r="G255" s="336">
        <f t="shared" si="41"/>
        <v>0.19</v>
      </c>
      <c r="H255" s="336">
        <f t="shared" si="41"/>
        <v>0.185</v>
      </c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P255" s="22"/>
    </row>
    <row r="256" spans="2:42" x14ac:dyDescent="0.25">
      <c r="C256" s="21" t="s">
        <v>455</v>
      </c>
      <c r="D256" s="34" t="s">
        <v>29</v>
      </c>
      <c r="E256" s="336" cm="1">
        <f t="array" ref="E256">_xlfn.IFS(Forecasting_Scenario=Base,20%,Forecasting_Scenario=Aggressive,25%,Forecasting_Scenario=Conservative,17.5%)</f>
        <v>0.2</v>
      </c>
      <c r="F256" s="336">
        <f t="shared" ref="F256:H256" si="42">E256-0.5%</f>
        <v>0.19500000000000001</v>
      </c>
      <c r="G256" s="336">
        <f t="shared" si="42"/>
        <v>0.19</v>
      </c>
      <c r="H256" s="336">
        <f t="shared" si="42"/>
        <v>0.185</v>
      </c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P256" s="22"/>
    </row>
    <row r="257" spans="2:42" x14ac:dyDescent="0.25">
      <c r="C257" s="21" t="s">
        <v>393</v>
      </c>
      <c r="D257" s="34" t="s">
        <v>29</v>
      </c>
      <c r="E257" s="336" cm="1">
        <f t="array" ref="E257">_xlfn.IFS(Forecasting_Scenario=Base,20%,Forecasting_Scenario=Aggressive,25%,Forecasting_Scenario=Conservative,17.5%)</f>
        <v>0.2</v>
      </c>
      <c r="F257" s="336">
        <f t="shared" ref="F257:H257" si="43">E257-0.5%</f>
        <v>0.19500000000000001</v>
      </c>
      <c r="G257" s="336">
        <f t="shared" si="43"/>
        <v>0.19</v>
      </c>
      <c r="H257" s="336">
        <f t="shared" si="43"/>
        <v>0.185</v>
      </c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P257" s="22"/>
    </row>
    <row r="258" spans="2:42" x14ac:dyDescent="0.25">
      <c r="C258" s="21" t="s">
        <v>456</v>
      </c>
      <c r="D258" s="34" t="s">
        <v>29</v>
      </c>
      <c r="E258" s="336" cm="1">
        <f t="array" ref="E258">_xlfn.IFS(Forecasting_Scenario=Base,20%,Forecasting_Scenario=Aggressive,25%,Forecasting_Scenario=Conservative,17.5%)</f>
        <v>0.2</v>
      </c>
      <c r="F258" s="336">
        <f t="shared" ref="F258:H258" si="44">E258-0.5%</f>
        <v>0.19500000000000001</v>
      </c>
      <c r="G258" s="336">
        <f t="shared" si="44"/>
        <v>0.19</v>
      </c>
      <c r="H258" s="336">
        <f t="shared" si="44"/>
        <v>0.185</v>
      </c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P258" s="22"/>
    </row>
    <row r="259" spans="2:42" x14ac:dyDescent="0.25">
      <c r="B259" s="33" t="s">
        <v>9</v>
      </c>
      <c r="C259" s="311" t="str">
        <f>'4.2 Sector Mapping'!$B$9</f>
        <v>Healthcare</v>
      </c>
      <c r="D259" s="318"/>
      <c r="E259" s="311"/>
      <c r="F259" s="311"/>
      <c r="G259" s="311"/>
      <c r="H259" s="311"/>
      <c r="I259" s="311"/>
      <c r="J259" s="311"/>
      <c r="K259" s="311"/>
      <c r="L259" s="311"/>
      <c r="M259" s="311"/>
      <c r="N259" s="311"/>
      <c r="O259" s="311"/>
      <c r="P259" s="311"/>
      <c r="Q259" s="311"/>
      <c r="R259" s="311"/>
      <c r="S259" s="311"/>
      <c r="T259" s="311"/>
      <c r="U259" s="311"/>
      <c r="V259" s="311"/>
      <c r="W259" s="311"/>
      <c r="X259" s="311"/>
      <c r="Y259" s="311"/>
      <c r="Z259" s="311"/>
      <c r="AA259" s="311"/>
      <c r="AB259" s="311"/>
      <c r="AC259" s="311"/>
      <c r="AD259" s="311"/>
      <c r="AE259" s="311"/>
      <c r="AF259" s="311"/>
      <c r="AG259" s="311"/>
      <c r="AH259" s="311"/>
      <c r="AI259" s="311"/>
      <c r="AJ259" s="311"/>
      <c r="AK259" s="311"/>
      <c r="AL259" s="311"/>
      <c r="AM259" s="311"/>
      <c r="AN259" s="311"/>
      <c r="AO259" s="74"/>
      <c r="AP259" s="311"/>
    </row>
    <row r="260" spans="2:42" x14ac:dyDescent="0.25">
      <c r="C260" s="20" t="s">
        <v>600</v>
      </c>
      <c r="D260" s="34" t="s">
        <v>29</v>
      </c>
      <c r="E260" s="336" cm="1">
        <f t="array" ref="E260">_xlfn.IFS(Forecasting_Scenario=Base,20%,Forecasting_Scenario=Aggressive,25%,Forecasting_Scenario=Conservative,17.5%)</f>
        <v>0.2</v>
      </c>
      <c r="F260" s="336">
        <f>E260-0.5%</f>
        <v>0.19500000000000001</v>
      </c>
      <c r="G260" s="336">
        <f>F260-0.5%</f>
        <v>0.19</v>
      </c>
      <c r="H260" s="336">
        <f>G260-0.5%</f>
        <v>0.185</v>
      </c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P260" s="22"/>
    </row>
    <row r="261" spans="2:42" x14ac:dyDescent="0.25">
      <c r="C261" s="20" t="s">
        <v>392</v>
      </c>
      <c r="D261" s="34" t="s">
        <v>29</v>
      </c>
      <c r="E261" s="336" cm="1">
        <f t="array" ref="E261">_xlfn.IFS(Forecasting_Scenario=Base,20%,Forecasting_Scenario=Aggressive,25%,Forecasting_Scenario=Conservative,17.5%)</f>
        <v>0.2</v>
      </c>
      <c r="F261" s="336">
        <f t="shared" ref="F261:H261" si="45">E261-0.5%</f>
        <v>0.19500000000000001</v>
      </c>
      <c r="G261" s="336">
        <f t="shared" si="45"/>
        <v>0.19</v>
      </c>
      <c r="H261" s="336">
        <f t="shared" si="45"/>
        <v>0.185</v>
      </c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P261" s="22"/>
    </row>
    <row r="262" spans="2:42" x14ac:dyDescent="0.25">
      <c r="C262" s="20" t="s">
        <v>454</v>
      </c>
      <c r="D262" s="34" t="s">
        <v>29</v>
      </c>
      <c r="E262" s="336" cm="1">
        <f t="array" ref="E262">_xlfn.IFS(Forecasting_Scenario=Base,20%,Forecasting_Scenario=Aggressive,25%,Forecasting_Scenario=Conservative,17.5%)</f>
        <v>0.2</v>
      </c>
      <c r="F262" s="336">
        <f t="shared" ref="F262:H262" si="46">E262-0.5%</f>
        <v>0.19500000000000001</v>
      </c>
      <c r="G262" s="336">
        <f t="shared" si="46"/>
        <v>0.19</v>
      </c>
      <c r="H262" s="336">
        <f t="shared" si="46"/>
        <v>0.185</v>
      </c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P262" s="22"/>
    </row>
    <row r="263" spans="2:42" x14ac:dyDescent="0.25">
      <c r="C263" s="21" t="s">
        <v>455</v>
      </c>
      <c r="D263" s="34" t="s">
        <v>29</v>
      </c>
      <c r="E263" s="336" cm="1">
        <f t="array" ref="E263">_xlfn.IFS(Forecasting_Scenario=Base,20%,Forecasting_Scenario=Aggressive,25%,Forecasting_Scenario=Conservative,17.5%)</f>
        <v>0.2</v>
      </c>
      <c r="F263" s="336">
        <f t="shared" ref="F263:H263" si="47">E263-0.5%</f>
        <v>0.19500000000000001</v>
      </c>
      <c r="G263" s="336">
        <f t="shared" si="47"/>
        <v>0.19</v>
      </c>
      <c r="H263" s="336">
        <f t="shared" si="47"/>
        <v>0.185</v>
      </c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P263" s="22"/>
    </row>
    <row r="264" spans="2:42" x14ac:dyDescent="0.25">
      <c r="C264" s="21" t="s">
        <v>393</v>
      </c>
      <c r="D264" s="34" t="s">
        <v>29</v>
      </c>
      <c r="E264" s="336" cm="1">
        <f t="array" ref="E264">_xlfn.IFS(Forecasting_Scenario=Base,20%,Forecasting_Scenario=Aggressive,25%,Forecasting_Scenario=Conservative,17.5%)</f>
        <v>0.2</v>
      </c>
      <c r="F264" s="336">
        <f t="shared" ref="F264:H264" si="48">E264-0.5%</f>
        <v>0.19500000000000001</v>
      </c>
      <c r="G264" s="336">
        <f t="shared" si="48"/>
        <v>0.19</v>
      </c>
      <c r="H264" s="336">
        <f t="shared" si="48"/>
        <v>0.185</v>
      </c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P264" s="22"/>
    </row>
    <row r="265" spans="2:42" x14ac:dyDescent="0.25">
      <c r="C265" s="21" t="s">
        <v>456</v>
      </c>
      <c r="D265" s="34" t="s">
        <v>29</v>
      </c>
      <c r="E265" s="336" cm="1">
        <f t="array" ref="E265">_xlfn.IFS(Forecasting_Scenario=Base,20%,Forecasting_Scenario=Aggressive,25%,Forecasting_Scenario=Conservative,17.5%)</f>
        <v>0.2</v>
      </c>
      <c r="F265" s="336">
        <f t="shared" ref="F265:H265" si="49">E265-0.5%</f>
        <v>0.19500000000000001</v>
      </c>
      <c r="G265" s="336">
        <f t="shared" si="49"/>
        <v>0.19</v>
      </c>
      <c r="H265" s="336">
        <f t="shared" si="49"/>
        <v>0.185</v>
      </c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P265" s="22"/>
    </row>
    <row r="266" spans="2:42" x14ac:dyDescent="0.25">
      <c r="B266" s="33" t="s">
        <v>9</v>
      </c>
      <c r="C266" s="311" t="str">
        <f>'4.2 Sector Mapping'!$B$10</f>
        <v>Industrials and Services</v>
      </c>
      <c r="D266" s="318"/>
      <c r="E266" s="311"/>
      <c r="F266" s="311"/>
      <c r="G266" s="311"/>
      <c r="H266" s="311"/>
      <c r="I266" s="311"/>
      <c r="J266" s="311"/>
      <c r="K266" s="311"/>
      <c r="L266" s="311"/>
      <c r="M266" s="311"/>
      <c r="N266" s="311"/>
      <c r="O266" s="311"/>
      <c r="P266" s="311"/>
      <c r="Q266" s="311"/>
      <c r="R266" s="311"/>
      <c r="S266" s="311"/>
      <c r="T266" s="311"/>
      <c r="U266" s="311"/>
      <c r="V266" s="311"/>
      <c r="W266" s="311"/>
      <c r="X266" s="311"/>
      <c r="Y266" s="311"/>
      <c r="Z266" s="311"/>
      <c r="AA266" s="311"/>
      <c r="AB266" s="311"/>
      <c r="AC266" s="311"/>
      <c r="AD266" s="311"/>
      <c r="AE266" s="311"/>
      <c r="AF266" s="311"/>
      <c r="AG266" s="311"/>
      <c r="AH266" s="311"/>
      <c r="AI266" s="311"/>
      <c r="AJ266" s="311"/>
      <c r="AK266" s="311"/>
      <c r="AL266" s="311"/>
      <c r="AM266" s="311"/>
      <c r="AN266" s="311"/>
      <c r="AO266" s="74"/>
      <c r="AP266" s="311"/>
    </row>
    <row r="267" spans="2:42" x14ac:dyDescent="0.25">
      <c r="C267" s="20" t="s">
        <v>600</v>
      </c>
      <c r="D267" s="34" t="s">
        <v>29</v>
      </c>
      <c r="E267" s="336" cm="1">
        <f t="array" ref="E267">_xlfn.IFS(Forecasting_Scenario=Base,20%,Forecasting_Scenario=Aggressive,25%,Forecasting_Scenario=Conservative,17.5%)</f>
        <v>0.2</v>
      </c>
      <c r="F267" s="336">
        <f>E267-0.5%</f>
        <v>0.19500000000000001</v>
      </c>
      <c r="G267" s="336">
        <f>F267-0.5%</f>
        <v>0.19</v>
      </c>
      <c r="H267" s="336">
        <f>G267-0.5%</f>
        <v>0.185</v>
      </c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P267" s="22"/>
    </row>
    <row r="268" spans="2:42" x14ac:dyDescent="0.25">
      <c r="C268" s="20" t="s">
        <v>392</v>
      </c>
      <c r="D268" s="34" t="s">
        <v>29</v>
      </c>
      <c r="E268" s="336" cm="1">
        <f t="array" ref="E268">_xlfn.IFS(Forecasting_Scenario=Base,20%,Forecasting_Scenario=Aggressive,25%,Forecasting_Scenario=Conservative,17.5%)</f>
        <v>0.2</v>
      </c>
      <c r="F268" s="336">
        <f t="shared" ref="F268:H268" si="50">E268-0.5%</f>
        <v>0.19500000000000001</v>
      </c>
      <c r="G268" s="336">
        <f t="shared" si="50"/>
        <v>0.19</v>
      </c>
      <c r="H268" s="336">
        <f t="shared" si="50"/>
        <v>0.185</v>
      </c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P268" s="22"/>
    </row>
    <row r="269" spans="2:42" x14ac:dyDescent="0.25">
      <c r="C269" s="20" t="s">
        <v>454</v>
      </c>
      <c r="D269" s="34" t="s">
        <v>29</v>
      </c>
      <c r="E269" s="336" cm="1">
        <f t="array" ref="E269">_xlfn.IFS(Forecasting_Scenario=Base,20%,Forecasting_Scenario=Aggressive,25%,Forecasting_Scenario=Conservative,17.5%)</f>
        <v>0.2</v>
      </c>
      <c r="F269" s="336">
        <f t="shared" ref="F269:H269" si="51">E269-0.5%</f>
        <v>0.19500000000000001</v>
      </c>
      <c r="G269" s="336">
        <f t="shared" si="51"/>
        <v>0.19</v>
      </c>
      <c r="H269" s="336">
        <f t="shared" si="51"/>
        <v>0.185</v>
      </c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P269" s="22"/>
    </row>
    <row r="270" spans="2:42" x14ac:dyDescent="0.25">
      <c r="C270" s="21" t="s">
        <v>455</v>
      </c>
      <c r="D270" s="34" t="s">
        <v>29</v>
      </c>
      <c r="E270" s="336" cm="1">
        <f t="array" ref="E270">_xlfn.IFS(Forecasting_Scenario=Base,20%,Forecasting_Scenario=Aggressive,25%,Forecasting_Scenario=Conservative,17.5%)</f>
        <v>0.2</v>
      </c>
      <c r="F270" s="336">
        <f t="shared" ref="F270:H270" si="52">E270-0.5%</f>
        <v>0.19500000000000001</v>
      </c>
      <c r="G270" s="336">
        <f t="shared" si="52"/>
        <v>0.19</v>
      </c>
      <c r="H270" s="336">
        <f t="shared" si="52"/>
        <v>0.185</v>
      </c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P270" s="22"/>
    </row>
    <row r="271" spans="2:42" x14ac:dyDescent="0.25">
      <c r="C271" s="21" t="s">
        <v>393</v>
      </c>
      <c r="D271" s="34" t="s">
        <v>29</v>
      </c>
      <c r="E271" s="336" cm="1">
        <f t="array" ref="E271">_xlfn.IFS(Forecasting_Scenario=Base,20%,Forecasting_Scenario=Aggressive,25%,Forecasting_Scenario=Conservative,17.5%)</f>
        <v>0.2</v>
      </c>
      <c r="F271" s="336">
        <f t="shared" ref="F271:H271" si="53">E271-0.5%</f>
        <v>0.19500000000000001</v>
      </c>
      <c r="G271" s="336">
        <f t="shared" si="53"/>
        <v>0.19</v>
      </c>
      <c r="H271" s="336">
        <f t="shared" si="53"/>
        <v>0.185</v>
      </c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P271" s="22"/>
    </row>
    <row r="272" spans="2:42" x14ac:dyDescent="0.25">
      <c r="C272" s="21" t="s">
        <v>456</v>
      </c>
      <c r="D272" s="34" t="s">
        <v>29</v>
      </c>
      <c r="E272" s="336" cm="1">
        <f t="array" ref="E272">_xlfn.IFS(Forecasting_Scenario=Base,20%,Forecasting_Scenario=Aggressive,25%,Forecasting_Scenario=Conservative,17.5%)</f>
        <v>0.2</v>
      </c>
      <c r="F272" s="336">
        <f t="shared" ref="F272:H272" si="54">E272-0.5%</f>
        <v>0.19500000000000001</v>
      </c>
      <c r="G272" s="336">
        <f t="shared" si="54"/>
        <v>0.19</v>
      </c>
      <c r="H272" s="336">
        <f t="shared" si="54"/>
        <v>0.185</v>
      </c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P272" s="22"/>
    </row>
    <row r="273" spans="2:42" x14ac:dyDescent="0.25">
      <c r="B273" s="33" t="s">
        <v>9</v>
      </c>
      <c r="C273" s="311" t="str">
        <f>'4.2 Sector Mapping'!$B$11</f>
        <v>Professional Services: Human Resources, Education, Consulting, Legal</v>
      </c>
      <c r="D273" s="318"/>
      <c r="E273" s="311"/>
      <c r="F273" s="311"/>
      <c r="G273" s="311"/>
      <c r="H273" s="311"/>
      <c r="I273" s="311"/>
      <c r="J273" s="311"/>
      <c r="K273" s="311"/>
      <c r="L273" s="311"/>
      <c r="M273" s="311"/>
      <c r="N273" s="311"/>
      <c r="O273" s="311"/>
      <c r="P273" s="311"/>
      <c r="Q273" s="311"/>
      <c r="R273" s="311"/>
      <c r="S273" s="311"/>
      <c r="T273" s="311"/>
      <c r="U273" s="311"/>
      <c r="V273" s="311"/>
      <c r="W273" s="311"/>
      <c r="X273" s="311"/>
      <c r="Y273" s="311"/>
      <c r="Z273" s="311"/>
      <c r="AA273" s="311"/>
      <c r="AB273" s="311"/>
      <c r="AC273" s="311"/>
      <c r="AD273" s="311"/>
      <c r="AE273" s="311"/>
      <c r="AF273" s="311"/>
      <c r="AG273" s="311"/>
      <c r="AH273" s="311"/>
      <c r="AI273" s="311"/>
      <c r="AJ273" s="311"/>
      <c r="AK273" s="311"/>
      <c r="AL273" s="311"/>
      <c r="AM273" s="311"/>
      <c r="AN273" s="311"/>
      <c r="AO273" s="74"/>
      <c r="AP273" s="311"/>
    </row>
    <row r="274" spans="2:42" x14ac:dyDescent="0.25">
      <c r="C274" s="20" t="s">
        <v>600</v>
      </c>
      <c r="D274" s="34" t="s">
        <v>29</v>
      </c>
      <c r="E274" s="336" cm="1">
        <f t="array" ref="E274">_xlfn.IFS(Forecasting_Scenario=Base,20%,Forecasting_Scenario=Aggressive,25%,Forecasting_Scenario=Conservative,17.5%)</f>
        <v>0.2</v>
      </c>
      <c r="F274" s="336">
        <f>E274-0.5%</f>
        <v>0.19500000000000001</v>
      </c>
      <c r="G274" s="336">
        <f>F274-0.5%</f>
        <v>0.19</v>
      </c>
      <c r="H274" s="336">
        <f>G274-0.5%</f>
        <v>0.185</v>
      </c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P274" s="22"/>
    </row>
    <row r="275" spans="2:42" x14ac:dyDescent="0.25">
      <c r="C275" s="20" t="s">
        <v>392</v>
      </c>
      <c r="D275" s="34" t="s">
        <v>29</v>
      </c>
      <c r="E275" s="336" cm="1">
        <f t="array" ref="E275">_xlfn.IFS(Forecasting_Scenario=Base,20%,Forecasting_Scenario=Aggressive,25%,Forecasting_Scenario=Conservative,17.5%)</f>
        <v>0.2</v>
      </c>
      <c r="F275" s="336">
        <f t="shared" ref="F275:H275" si="55">E275-0.5%</f>
        <v>0.19500000000000001</v>
      </c>
      <c r="G275" s="336">
        <f t="shared" si="55"/>
        <v>0.19</v>
      </c>
      <c r="H275" s="336">
        <f t="shared" si="55"/>
        <v>0.185</v>
      </c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P275" s="22"/>
    </row>
    <row r="276" spans="2:42" x14ac:dyDescent="0.25">
      <c r="C276" s="20" t="s">
        <v>454</v>
      </c>
      <c r="D276" s="34" t="s">
        <v>29</v>
      </c>
      <c r="E276" s="336" cm="1">
        <f t="array" ref="E276">_xlfn.IFS(Forecasting_Scenario=Base,20%,Forecasting_Scenario=Aggressive,25%,Forecasting_Scenario=Conservative,17.5%)</f>
        <v>0.2</v>
      </c>
      <c r="F276" s="336">
        <f t="shared" ref="F276:H276" si="56">E276-0.5%</f>
        <v>0.19500000000000001</v>
      </c>
      <c r="G276" s="336">
        <f t="shared" si="56"/>
        <v>0.19</v>
      </c>
      <c r="H276" s="336">
        <f t="shared" si="56"/>
        <v>0.185</v>
      </c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P276" s="22"/>
    </row>
    <row r="277" spans="2:42" x14ac:dyDescent="0.25">
      <c r="C277" s="21" t="s">
        <v>455</v>
      </c>
      <c r="D277" s="34" t="s">
        <v>29</v>
      </c>
      <c r="E277" s="336" cm="1">
        <f t="array" ref="E277">_xlfn.IFS(Forecasting_Scenario=Base,20%,Forecasting_Scenario=Aggressive,25%,Forecasting_Scenario=Conservative,17.5%)</f>
        <v>0.2</v>
      </c>
      <c r="F277" s="336">
        <f t="shared" ref="F277:H277" si="57">E277-0.5%</f>
        <v>0.19500000000000001</v>
      </c>
      <c r="G277" s="336">
        <f t="shared" si="57"/>
        <v>0.19</v>
      </c>
      <c r="H277" s="336">
        <f t="shared" si="57"/>
        <v>0.185</v>
      </c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P277" s="22"/>
    </row>
    <row r="278" spans="2:42" x14ac:dyDescent="0.25">
      <c r="C278" s="21" t="s">
        <v>393</v>
      </c>
      <c r="D278" s="34" t="s">
        <v>29</v>
      </c>
      <c r="E278" s="336" cm="1">
        <f t="array" ref="E278">_xlfn.IFS(Forecasting_Scenario=Base,20%,Forecasting_Scenario=Aggressive,25%,Forecasting_Scenario=Conservative,17.5%)</f>
        <v>0.2</v>
      </c>
      <c r="F278" s="336">
        <f t="shared" ref="F278:H278" si="58">E278-0.5%</f>
        <v>0.19500000000000001</v>
      </c>
      <c r="G278" s="336">
        <f t="shared" si="58"/>
        <v>0.19</v>
      </c>
      <c r="H278" s="336">
        <f t="shared" si="58"/>
        <v>0.185</v>
      </c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P278" s="22"/>
    </row>
    <row r="279" spans="2:42" x14ac:dyDescent="0.25">
      <c r="C279" s="21" t="s">
        <v>456</v>
      </c>
      <c r="D279" s="34" t="s">
        <v>29</v>
      </c>
      <c r="E279" s="336" cm="1">
        <f t="array" ref="E279">_xlfn.IFS(Forecasting_Scenario=Base,20%,Forecasting_Scenario=Aggressive,25%,Forecasting_Scenario=Conservative,17.5%)</f>
        <v>0.2</v>
      </c>
      <c r="F279" s="336">
        <f t="shared" ref="F279:H279" si="59">E279-0.5%</f>
        <v>0.19500000000000001</v>
      </c>
      <c r="G279" s="336">
        <f t="shared" si="59"/>
        <v>0.19</v>
      </c>
      <c r="H279" s="336">
        <f t="shared" si="59"/>
        <v>0.185</v>
      </c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P279" s="22"/>
    </row>
    <row r="280" spans="2:42" x14ac:dyDescent="0.25">
      <c r="B280" s="33" t="s">
        <v>9</v>
      </c>
      <c r="C280" s="311" t="str">
        <f>'4.2 Sector Mapping'!$B$12</f>
        <v>Public and Social Services</v>
      </c>
      <c r="D280" s="318"/>
      <c r="E280" s="311"/>
      <c r="F280" s="311"/>
      <c r="G280" s="311"/>
      <c r="H280" s="311"/>
      <c r="I280" s="311"/>
      <c r="J280" s="311"/>
      <c r="K280" s="311"/>
      <c r="L280" s="311"/>
      <c r="M280" s="311"/>
      <c r="N280" s="311"/>
      <c r="O280" s="311"/>
      <c r="P280" s="311"/>
      <c r="Q280" s="311"/>
      <c r="R280" s="311"/>
      <c r="S280" s="311"/>
      <c r="T280" s="311"/>
      <c r="U280" s="311"/>
      <c r="V280" s="311"/>
      <c r="W280" s="311"/>
      <c r="X280" s="311"/>
      <c r="Y280" s="311"/>
      <c r="Z280" s="311"/>
      <c r="AA280" s="311"/>
      <c r="AB280" s="311"/>
      <c r="AC280" s="311"/>
      <c r="AD280" s="311"/>
      <c r="AE280" s="311"/>
      <c r="AF280" s="311"/>
      <c r="AG280" s="311"/>
      <c r="AH280" s="311"/>
      <c r="AI280" s="311"/>
      <c r="AJ280" s="311"/>
      <c r="AK280" s="311"/>
      <c r="AL280" s="311"/>
      <c r="AM280" s="311"/>
      <c r="AN280" s="311"/>
      <c r="AO280" s="74"/>
      <c r="AP280" s="311"/>
    </row>
    <row r="281" spans="2:42" x14ac:dyDescent="0.25">
      <c r="C281" s="20" t="s">
        <v>600</v>
      </c>
      <c r="D281" s="34" t="s">
        <v>29</v>
      </c>
      <c r="E281" s="336" cm="1">
        <f t="array" ref="E281">_xlfn.IFS(Forecasting_Scenario=Base,20%,Forecasting_Scenario=Aggressive,25%,Forecasting_Scenario=Conservative,17.5%)</f>
        <v>0.2</v>
      </c>
      <c r="F281" s="336">
        <f>E281-0.5%</f>
        <v>0.19500000000000001</v>
      </c>
      <c r="G281" s="336">
        <f>F281-0.5%</f>
        <v>0.19</v>
      </c>
      <c r="H281" s="336">
        <f>G281-0.5%</f>
        <v>0.185</v>
      </c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P281" s="22"/>
    </row>
    <row r="282" spans="2:42" x14ac:dyDescent="0.25">
      <c r="C282" s="20" t="s">
        <v>392</v>
      </c>
      <c r="D282" s="34" t="s">
        <v>29</v>
      </c>
      <c r="E282" s="336" cm="1">
        <f t="array" ref="E282">_xlfn.IFS(Forecasting_Scenario=Base,20%,Forecasting_Scenario=Aggressive,25%,Forecasting_Scenario=Conservative,17.5%)</f>
        <v>0.2</v>
      </c>
      <c r="F282" s="336">
        <f t="shared" ref="F282:H282" si="60">E282-0.5%</f>
        <v>0.19500000000000001</v>
      </c>
      <c r="G282" s="336">
        <f t="shared" si="60"/>
        <v>0.19</v>
      </c>
      <c r="H282" s="336">
        <f t="shared" si="60"/>
        <v>0.185</v>
      </c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P282" s="22"/>
    </row>
    <row r="283" spans="2:42" x14ac:dyDescent="0.25">
      <c r="C283" s="20" t="s">
        <v>454</v>
      </c>
      <c r="D283" s="34" t="s">
        <v>29</v>
      </c>
      <c r="E283" s="336" cm="1">
        <f t="array" ref="E283">_xlfn.IFS(Forecasting_Scenario=Base,20%,Forecasting_Scenario=Aggressive,25%,Forecasting_Scenario=Conservative,17.5%)</f>
        <v>0.2</v>
      </c>
      <c r="F283" s="336">
        <f t="shared" ref="F283:H283" si="61">E283-0.5%</f>
        <v>0.19500000000000001</v>
      </c>
      <c r="G283" s="336">
        <f t="shared" si="61"/>
        <v>0.19</v>
      </c>
      <c r="H283" s="336">
        <f t="shared" si="61"/>
        <v>0.185</v>
      </c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P283" s="22"/>
    </row>
    <row r="284" spans="2:42" x14ac:dyDescent="0.25">
      <c r="C284" s="21" t="s">
        <v>455</v>
      </c>
      <c r="D284" s="34" t="s">
        <v>29</v>
      </c>
      <c r="E284" s="336" cm="1">
        <f t="array" ref="E284">_xlfn.IFS(Forecasting_Scenario=Base,20%,Forecasting_Scenario=Aggressive,25%,Forecasting_Scenario=Conservative,17.5%)</f>
        <v>0.2</v>
      </c>
      <c r="F284" s="336">
        <f t="shared" ref="F284:H284" si="62">E284-0.5%</f>
        <v>0.19500000000000001</v>
      </c>
      <c r="G284" s="336">
        <f t="shared" si="62"/>
        <v>0.19</v>
      </c>
      <c r="H284" s="336">
        <f t="shared" si="62"/>
        <v>0.185</v>
      </c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P284" s="22"/>
    </row>
    <row r="285" spans="2:42" x14ac:dyDescent="0.25">
      <c r="C285" s="21" t="s">
        <v>393</v>
      </c>
      <c r="D285" s="34" t="s">
        <v>29</v>
      </c>
      <c r="E285" s="336" cm="1">
        <f t="array" ref="E285">_xlfn.IFS(Forecasting_Scenario=Base,20%,Forecasting_Scenario=Aggressive,25%,Forecasting_Scenario=Conservative,17.5%)</f>
        <v>0.2</v>
      </c>
      <c r="F285" s="336">
        <f t="shared" ref="F285:H285" si="63">E285-0.5%</f>
        <v>0.19500000000000001</v>
      </c>
      <c r="G285" s="336">
        <f t="shared" si="63"/>
        <v>0.19</v>
      </c>
      <c r="H285" s="336">
        <f t="shared" si="63"/>
        <v>0.185</v>
      </c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P285" s="22"/>
    </row>
    <row r="286" spans="2:42" x14ac:dyDescent="0.25">
      <c r="C286" s="21" t="s">
        <v>456</v>
      </c>
      <c r="D286" s="34" t="s">
        <v>29</v>
      </c>
      <c r="E286" s="336" cm="1">
        <f t="array" ref="E286">_xlfn.IFS(Forecasting_Scenario=Base,20%,Forecasting_Scenario=Aggressive,25%,Forecasting_Scenario=Conservative,17.5%)</f>
        <v>0.2</v>
      </c>
      <c r="F286" s="336">
        <f t="shared" ref="F286:H286" si="64">E286-0.5%</f>
        <v>0.19500000000000001</v>
      </c>
      <c r="G286" s="336">
        <f t="shared" si="64"/>
        <v>0.19</v>
      </c>
      <c r="H286" s="336">
        <f t="shared" si="64"/>
        <v>0.185</v>
      </c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P286" s="22"/>
    </row>
    <row r="287" spans="2:42" x14ac:dyDescent="0.25">
      <c r="B287" s="33" t="s">
        <v>9</v>
      </c>
      <c r="C287" s="311" t="str">
        <f>'4.2 Sector Mapping'!$B$13</f>
        <v>Real Estate and Construction</v>
      </c>
      <c r="D287" s="318"/>
      <c r="E287" s="311"/>
      <c r="F287" s="311"/>
      <c r="G287" s="311"/>
      <c r="H287" s="311"/>
      <c r="I287" s="311"/>
      <c r="J287" s="311"/>
      <c r="K287" s="311"/>
      <c r="L287" s="311"/>
      <c r="M287" s="311"/>
      <c r="N287" s="311"/>
      <c r="O287" s="311"/>
      <c r="P287" s="311"/>
      <c r="Q287" s="311"/>
      <c r="R287" s="311"/>
      <c r="S287" s="311"/>
      <c r="T287" s="311"/>
      <c r="U287" s="311"/>
      <c r="V287" s="311"/>
      <c r="W287" s="311"/>
      <c r="X287" s="311"/>
      <c r="Y287" s="311"/>
      <c r="Z287" s="311"/>
      <c r="AA287" s="311"/>
      <c r="AB287" s="311"/>
      <c r="AC287" s="311"/>
      <c r="AD287" s="311"/>
      <c r="AE287" s="311"/>
      <c r="AF287" s="311"/>
      <c r="AG287" s="311"/>
      <c r="AH287" s="311"/>
      <c r="AI287" s="311"/>
      <c r="AJ287" s="311"/>
      <c r="AK287" s="311"/>
      <c r="AL287" s="311"/>
      <c r="AM287" s="311"/>
      <c r="AN287" s="311"/>
      <c r="AO287" s="74"/>
      <c r="AP287" s="311"/>
    </row>
    <row r="288" spans="2:42" x14ac:dyDescent="0.25">
      <c r="C288" s="20" t="s">
        <v>600</v>
      </c>
      <c r="D288" s="34" t="s">
        <v>29</v>
      </c>
      <c r="E288" s="336" cm="1">
        <f t="array" ref="E288">_xlfn.IFS(Forecasting_Scenario=Base,20%,Forecasting_Scenario=Aggressive,25%,Forecasting_Scenario=Conservative,17.5%)</f>
        <v>0.2</v>
      </c>
      <c r="F288" s="336">
        <f>E288-0.5%</f>
        <v>0.19500000000000001</v>
      </c>
      <c r="G288" s="336">
        <f>F288-0.5%</f>
        <v>0.19</v>
      </c>
      <c r="H288" s="336">
        <f>G288-0.5%</f>
        <v>0.185</v>
      </c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P288" s="22"/>
    </row>
    <row r="289" spans="2:42" x14ac:dyDescent="0.25">
      <c r="C289" s="20" t="s">
        <v>392</v>
      </c>
      <c r="D289" s="34" t="s">
        <v>29</v>
      </c>
      <c r="E289" s="336" cm="1">
        <f t="array" ref="E289">_xlfn.IFS(Forecasting_Scenario=Base,20%,Forecasting_Scenario=Aggressive,25%,Forecasting_Scenario=Conservative,17.5%)</f>
        <v>0.2</v>
      </c>
      <c r="F289" s="336">
        <f t="shared" ref="F289:H289" si="65">E289-0.5%</f>
        <v>0.19500000000000001</v>
      </c>
      <c r="G289" s="336">
        <f t="shared" si="65"/>
        <v>0.19</v>
      </c>
      <c r="H289" s="336">
        <f t="shared" si="65"/>
        <v>0.185</v>
      </c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P289" s="22"/>
    </row>
    <row r="290" spans="2:42" x14ac:dyDescent="0.25">
      <c r="C290" s="20" t="s">
        <v>454</v>
      </c>
      <c r="D290" s="34" t="s">
        <v>29</v>
      </c>
      <c r="E290" s="336" cm="1">
        <f t="array" ref="E290">_xlfn.IFS(Forecasting_Scenario=Base,20%,Forecasting_Scenario=Aggressive,25%,Forecasting_Scenario=Conservative,17.5%)</f>
        <v>0.2</v>
      </c>
      <c r="F290" s="336">
        <f t="shared" ref="F290:H290" si="66">E290-0.5%</f>
        <v>0.19500000000000001</v>
      </c>
      <c r="G290" s="336">
        <f t="shared" si="66"/>
        <v>0.19</v>
      </c>
      <c r="H290" s="336">
        <f t="shared" si="66"/>
        <v>0.185</v>
      </c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P290" s="22"/>
    </row>
    <row r="291" spans="2:42" x14ac:dyDescent="0.25">
      <c r="C291" s="21" t="s">
        <v>455</v>
      </c>
      <c r="D291" s="34" t="s">
        <v>29</v>
      </c>
      <c r="E291" s="336" cm="1">
        <f t="array" ref="E291">_xlfn.IFS(Forecasting_Scenario=Base,20%,Forecasting_Scenario=Aggressive,25%,Forecasting_Scenario=Conservative,17.5%)</f>
        <v>0.2</v>
      </c>
      <c r="F291" s="336">
        <f t="shared" ref="F291:H291" si="67">E291-0.5%</f>
        <v>0.19500000000000001</v>
      </c>
      <c r="G291" s="336">
        <f t="shared" si="67"/>
        <v>0.19</v>
      </c>
      <c r="H291" s="336">
        <f t="shared" si="67"/>
        <v>0.185</v>
      </c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P291" s="22"/>
    </row>
    <row r="292" spans="2:42" x14ac:dyDescent="0.25">
      <c r="C292" s="21" t="s">
        <v>393</v>
      </c>
      <c r="D292" s="34" t="s">
        <v>29</v>
      </c>
      <c r="E292" s="336" cm="1">
        <f t="array" ref="E292">_xlfn.IFS(Forecasting_Scenario=Base,20%,Forecasting_Scenario=Aggressive,25%,Forecasting_Scenario=Conservative,17.5%)</f>
        <v>0.2</v>
      </c>
      <c r="F292" s="336">
        <f t="shared" ref="F292:H292" si="68">E292-0.5%</f>
        <v>0.19500000000000001</v>
      </c>
      <c r="G292" s="336">
        <f t="shared" si="68"/>
        <v>0.19</v>
      </c>
      <c r="H292" s="336">
        <f t="shared" si="68"/>
        <v>0.185</v>
      </c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P292" s="22"/>
    </row>
    <row r="293" spans="2:42" x14ac:dyDescent="0.25">
      <c r="C293" s="21" t="s">
        <v>456</v>
      </c>
      <c r="D293" s="34" t="s">
        <v>29</v>
      </c>
      <c r="E293" s="336" cm="1">
        <f t="array" ref="E293">_xlfn.IFS(Forecasting_Scenario=Base,20%,Forecasting_Scenario=Aggressive,25%,Forecasting_Scenario=Conservative,17.5%)</f>
        <v>0.2</v>
      </c>
      <c r="F293" s="336">
        <f t="shared" ref="F293:H293" si="69">E293-0.5%</f>
        <v>0.19500000000000001</v>
      </c>
      <c r="G293" s="336">
        <f t="shared" si="69"/>
        <v>0.19</v>
      </c>
      <c r="H293" s="336">
        <f t="shared" si="69"/>
        <v>0.185</v>
      </c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P293" s="22"/>
    </row>
    <row r="294" spans="2:42" x14ac:dyDescent="0.25">
      <c r="B294" s="33" t="s">
        <v>9</v>
      </c>
      <c r="C294" s="311" t="str">
        <f>'4.2 Sector Mapping'!$B$14</f>
        <v>Retail and Consumer Goods</v>
      </c>
      <c r="D294" s="318"/>
      <c r="E294" s="311"/>
      <c r="F294" s="311"/>
      <c r="G294" s="311"/>
      <c r="H294" s="311"/>
      <c r="I294" s="311"/>
      <c r="J294" s="311"/>
      <c r="K294" s="311"/>
      <c r="L294" s="311"/>
      <c r="M294" s="311"/>
      <c r="N294" s="311"/>
      <c r="O294" s="311"/>
      <c r="P294" s="311"/>
      <c r="Q294" s="311"/>
      <c r="R294" s="311"/>
      <c r="S294" s="311"/>
      <c r="T294" s="311"/>
      <c r="U294" s="311"/>
      <c r="V294" s="311"/>
      <c r="W294" s="311"/>
      <c r="X294" s="311"/>
      <c r="Y294" s="311"/>
      <c r="Z294" s="311"/>
      <c r="AA294" s="311"/>
      <c r="AB294" s="311"/>
      <c r="AC294" s="311"/>
      <c r="AD294" s="311"/>
      <c r="AE294" s="311"/>
      <c r="AF294" s="311"/>
      <c r="AG294" s="311"/>
      <c r="AH294" s="311"/>
      <c r="AI294" s="311"/>
      <c r="AJ294" s="311"/>
      <c r="AK294" s="311"/>
      <c r="AL294" s="311"/>
      <c r="AM294" s="311"/>
      <c r="AN294" s="311"/>
      <c r="AO294" s="74"/>
      <c r="AP294" s="311"/>
    </row>
    <row r="295" spans="2:42" x14ac:dyDescent="0.25">
      <c r="C295" s="20" t="s">
        <v>600</v>
      </c>
      <c r="D295" s="34" t="s">
        <v>29</v>
      </c>
      <c r="E295" s="336" cm="1">
        <f t="array" ref="E295">_xlfn.IFS(Forecasting_Scenario=Base,20%,Forecasting_Scenario=Aggressive,25%,Forecasting_Scenario=Conservative,17.5%)</f>
        <v>0.2</v>
      </c>
      <c r="F295" s="336">
        <f>E295-0.5%</f>
        <v>0.19500000000000001</v>
      </c>
      <c r="G295" s="336">
        <f>F295-0.5%</f>
        <v>0.19</v>
      </c>
      <c r="H295" s="336">
        <f>G295-0.5%</f>
        <v>0.185</v>
      </c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P295" s="22"/>
    </row>
    <row r="296" spans="2:42" x14ac:dyDescent="0.25">
      <c r="C296" s="20" t="s">
        <v>392</v>
      </c>
      <c r="D296" s="34" t="s">
        <v>29</v>
      </c>
      <c r="E296" s="336" cm="1">
        <f t="array" ref="E296">_xlfn.IFS(Forecasting_Scenario=Base,20%,Forecasting_Scenario=Aggressive,25%,Forecasting_Scenario=Conservative,17.5%)</f>
        <v>0.2</v>
      </c>
      <c r="F296" s="336">
        <f t="shared" ref="F296:H296" si="70">E296-0.5%</f>
        <v>0.19500000000000001</v>
      </c>
      <c r="G296" s="336">
        <f t="shared" si="70"/>
        <v>0.19</v>
      </c>
      <c r="H296" s="336">
        <f t="shared" si="70"/>
        <v>0.185</v>
      </c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P296" s="22"/>
    </row>
    <row r="297" spans="2:42" x14ac:dyDescent="0.25">
      <c r="C297" s="20" t="s">
        <v>454</v>
      </c>
      <c r="D297" s="34" t="s">
        <v>29</v>
      </c>
      <c r="E297" s="336" cm="1">
        <f t="array" ref="E297">_xlfn.IFS(Forecasting_Scenario=Base,20%,Forecasting_Scenario=Aggressive,25%,Forecasting_Scenario=Conservative,17.5%)</f>
        <v>0.2</v>
      </c>
      <c r="F297" s="336">
        <f t="shared" ref="F297:H297" si="71">E297-0.5%</f>
        <v>0.19500000000000001</v>
      </c>
      <c r="G297" s="336">
        <f t="shared" si="71"/>
        <v>0.19</v>
      </c>
      <c r="H297" s="336">
        <f t="shared" si="71"/>
        <v>0.185</v>
      </c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P297" s="22"/>
    </row>
    <row r="298" spans="2:42" x14ac:dyDescent="0.25">
      <c r="C298" s="21" t="s">
        <v>455</v>
      </c>
      <c r="D298" s="34" t="s">
        <v>29</v>
      </c>
      <c r="E298" s="336" cm="1">
        <f t="array" ref="E298">_xlfn.IFS(Forecasting_Scenario=Base,20%,Forecasting_Scenario=Aggressive,25%,Forecasting_Scenario=Conservative,17.5%)</f>
        <v>0.2</v>
      </c>
      <c r="F298" s="336">
        <f t="shared" ref="F298:H298" si="72">E298-0.5%</f>
        <v>0.19500000000000001</v>
      </c>
      <c r="G298" s="336">
        <f t="shared" si="72"/>
        <v>0.19</v>
      </c>
      <c r="H298" s="336">
        <f t="shared" si="72"/>
        <v>0.185</v>
      </c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P298" s="22"/>
    </row>
    <row r="299" spans="2:42" x14ac:dyDescent="0.25">
      <c r="C299" s="21" t="s">
        <v>393</v>
      </c>
      <c r="D299" s="34" t="s">
        <v>29</v>
      </c>
      <c r="E299" s="336" cm="1">
        <f t="array" ref="E299">_xlfn.IFS(Forecasting_Scenario=Base,20%,Forecasting_Scenario=Aggressive,25%,Forecasting_Scenario=Conservative,17.5%)</f>
        <v>0.2</v>
      </c>
      <c r="F299" s="336">
        <f t="shared" ref="F299:H299" si="73">E299-0.5%</f>
        <v>0.19500000000000001</v>
      </c>
      <c r="G299" s="336">
        <f t="shared" si="73"/>
        <v>0.19</v>
      </c>
      <c r="H299" s="336">
        <f t="shared" si="73"/>
        <v>0.185</v>
      </c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P299" s="22"/>
    </row>
    <row r="300" spans="2:42" x14ac:dyDescent="0.25">
      <c r="C300" s="21" t="s">
        <v>456</v>
      </c>
      <c r="D300" s="34" t="s">
        <v>29</v>
      </c>
      <c r="E300" s="336" cm="1">
        <f t="array" ref="E300">_xlfn.IFS(Forecasting_Scenario=Base,20%,Forecasting_Scenario=Aggressive,25%,Forecasting_Scenario=Conservative,17.5%)</f>
        <v>0.2</v>
      </c>
      <c r="F300" s="336">
        <f t="shared" ref="F300:H300" si="74">E300-0.5%</f>
        <v>0.19500000000000001</v>
      </c>
      <c r="G300" s="336">
        <f t="shared" si="74"/>
        <v>0.19</v>
      </c>
      <c r="H300" s="336">
        <f t="shared" si="74"/>
        <v>0.185</v>
      </c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P300" s="22"/>
    </row>
    <row r="301" spans="2:42" x14ac:dyDescent="0.25">
      <c r="B301" s="33" t="s">
        <v>9</v>
      </c>
      <c r="C301" s="311" t="str">
        <f>'4.2 Sector Mapping'!$B$15</f>
        <v>Entertainment and Recreation</v>
      </c>
      <c r="D301" s="318"/>
      <c r="E301" s="311"/>
      <c r="F301" s="311"/>
      <c r="G301" s="311"/>
      <c r="H301" s="311"/>
      <c r="I301" s="311"/>
      <c r="J301" s="311"/>
      <c r="K301" s="311"/>
      <c r="L301" s="311"/>
      <c r="M301" s="311"/>
      <c r="N301" s="311"/>
      <c r="O301" s="311"/>
      <c r="P301" s="311"/>
      <c r="Q301" s="311"/>
      <c r="R301" s="311"/>
      <c r="S301" s="311"/>
      <c r="T301" s="311"/>
      <c r="U301" s="311"/>
      <c r="V301" s="311"/>
      <c r="W301" s="311"/>
      <c r="X301" s="311"/>
      <c r="Y301" s="311"/>
      <c r="Z301" s="311"/>
      <c r="AA301" s="311"/>
      <c r="AB301" s="311"/>
      <c r="AC301" s="311"/>
      <c r="AD301" s="311"/>
      <c r="AE301" s="311"/>
      <c r="AF301" s="311"/>
      <c r="AG301" s="311"/>
      <c r="AH301" s="311"/>
      <c r="AI301" s="311"/>
      <c r="AJ301" s="311"/>
      <c r="AK301" s="311"/>
      <c r="AL301" s="311"/>
      <c r="AM301" s="311"/>
      <c r="AN301" s="311"/>
      <c r="AO301" s="74"/>
      <c r="AP301" s="311"/>
    </row>
    <row r="302" spans="2:42" x14ac:dyDescent="0.25">
      <c r="C302" s="20" t="s">
        <v>600</v>
      </c>
      <c r="D302" s="34" t="s">
        <v>29</v>
      </c>
      <c r="E302" s="336" cm="1">
        <f t="array" ref="E302">_xlfn.IFS(Forecasting_Scenario=Base,20%,Forecasting_Scenario=Aggressive,25%,Forecasting_Scenario=Conservative,17.5%)</f>
        <v>0.2</v>
      </c>
      <c r="F302" s="336">
        <f>E302-0.5%</f>
        <v>0.19500000000000001</v>
      </c>
      <c r="G302" s="336">
        <f>F302-0.5%</f>
        <v>0.19</v>
      </c>
      <c r="H302" s="336">
        <f>G302-0.5%</f>
        <v>0.185</v>
      </c>
      <c r="I302" s="22"/>
      <c r="J302" s="22"/>
      <c r="K302" s="35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P302" s="22"/>
    </row>
    <row r="303" spans="2:42" x14ac:dyDescent="0.25">
      <c r="C303" s="20" t="s">
        <v>392</v>
      </c>
      <c r="D303" s="34" t="s">
        <v>29</v>
      </c>
      <c r="E303" s="336" cm="1">
        <f t="array" ref="E303">_xlfn.IFS(Forecasting_Scenario=Base,20%,Forecasting_Scenario=Aggressive,25%,Forecasting_Scenario=Conservative,17.5%)</f>
        <v>0.2</v>
      </c>
      <c r="F303" s="336">
        <f t="shared" ref="F303:H303" si="75">E303-0.5%</f>
        <v>0.19500000000000001</v>
      </c>
      <c r="G303" s="336">
        <f t="shared" si="75"/>
        <v>0.19</v>
      </c>
      <c r="H303" s="336">
        <f t="shared" si="75"/>
        <v>0.185</v>
      </c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P303" s="22"/>
    </row>
    <row r="304" spans="2:42" x14ac:dyDescent="0.25">
      <c r="C304" s="20" t="s">
        <v>454</v>
      </c>
      <c r="D304" s="34" t="s">
        <v>29</v>
      </c>
      <c r="E304" s="336" cm="1">
        <f t="array" ref="E304">_xlfn.IFS(Forecasting_Scenario=Base,20%,Forecasting_Scenario=Aggressive,25%,Forecasting_Scenario=Conservative,17.5%)</f>
        <v>0.2</v>
      </c>
      <c r="F304" s="336">
        <f t="shared" ref="F304:H304" si="76">E304-0.5%</f>
        <v>0.19500000000000001</v>
      </c>
      <c r="G304" s="336">
        <f t="shared" si="76"/>
        <v>0.19</v>
      </c>
      <c r="H304" s="336">
        <f t="shared" si="76"/>
        <v>0.185</v>
      </c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P304" s="22"/>
    </row>
    <row r="305" spans="2:42" x14ac:dyDescent="0.25">
      <c r="C305" s="21" t="s">
        <v>455</v>
      </c>
      <c r="D305" s="34" t="s">
        <v>29</v>
      </c>
      <c r="E305" s="336" cm="1">
        <f t="array" ref="E305">_xlfn.IFS(Forecasting_Scenario=Base,20%,Forecasting_Scenario=Aggressive,25%,Forecasting_Scenario=Conservative,17.5%)</f>
        <v>0.2</v>
      </c>
      <c r="F305" s="336">
        <f t="shared" ref="F305:H305" si="77">E305-0.5%</f>
        <v>0.19500000000000001</v>
      </c>
      <c r="G305" s="336">
        <f t="shared" si="77"/>
        <v>0.19</v>
      </c>
      <c r="H305" s="336">
        <f t="shared" si="77"/>
        <v>0.185</v>
      </c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P305" s="22"/>
    </row>
    <row r="306" spans="2:42" x14ac:dyDescent="0.25">
      <c r="C306" s="21" t="s">
        <v>393</v>
      </c>
      <c r="D306" s="34" t="s">
        <v>29</v>
      </c>
      <c r="E306" s="336" cm="1">
        <f t="array" ref="E306">_xlfn.IFS(Forecasting_Scenario=Base,20%,Forecasting_Scenario=Aggressive,25%,Forecasting_Scenario=Conservative,17.5%)</f>
        <v>0.2</v>
      </c>
      <c r="F306" s="336">
        <f t="shared" ref="F306:H306" si="78">E306-0.5%</f>
        <v>0.19500000000000001</v>
      </c>
      <c r="G306" s="336">
        <f t="shared" si="78"/>
        <v>0.19</v>
      </c>
      <c r="H306" s="336">
        <f t="shared" si="78"/>
        <v>0.185</v>
      </c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P306" s="22"/>
    </row>
    <row r="307" spans="2:42" x14ac:dyDescent="0.25">
      <c r="C307" s="21" t="s">
        <v>456</v>
      </c>
      <c r="D307" s="34" t="s">
        <v>29</v>
      </c>
      <c r="E307" s="336" cm="1">
        <f t="array" ref="E307">_xlfn.IFS(Forecasting_Scenario=Base,20%,Forecasting_Scenario=Aggressive,25%,Forecasting_Scenario=Conservative,17.5%)</f>
        <v>0.2</v>
      </c>
      <c r="F307" s="336">
        <f t="shared" ref="F307:H307" si="79">E307-0.5%</f>
        <v>0.19500000000000001</v>
      </c>
      <c r="G307" s="336">
        <f t="shared" si="79"/>
        <v>0.19</v>
      </c>
      <c r="H307" s="336">
        <f t="shared" si="79"/>
        <v>0.185</v>
      </c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P307" s="22"/>
    </row>
    <row r="308" spans="2:42" x14ac:dyDescent="0.25">
      <c r="B308" s="33" t="s">
        <v>9</v>
      </c>
      <c r="C308" s="311" t="str">
        <f>'4.2 Sector Mapping'!$B$16</f>
        <v>Transportation and Services</v>
      </c>
      <c r="D308" s="318"/>
      <c r="E308" s="311"/>
      <c r="F308" s="311"/>
      <c r="G308" s="311"/>
      <c r="H308" s="311"/>
      <c r="I308" s="311"/>
      <c r="J308" s="311"/>
      <c r="K308" s="311"/>
      <c r="L308" s="311"/>
      <c r="M308" s="311"/>
      <c r="N308" s="311"/>
      <c r="O308" s="311"/>
      <c r="P308" s="311"/>
      <c r="Q308" s="311"/>
      <c r="R308" s="311"/>
      <c r="S308" s="311"/>
      <c r="T308" s="311"/>
      <c r="U308" s="311"/>
      <c r="V308" s="311"/>
      <c r="W308" s="311"/>
      <c r="X308" s="311"/>
      <c r="Y308" s="311"/>
      <c r="Z308" s="311"/>
      <c r="AA308" s="311"/>
      <c r="AB308" s="311"/>
      <c r="AC308" s="311"/>
      <c r="AD308" s="311"/>
      <c r="AE308" s="311"/>
      <c r="AF308" s="311"/>
      <c r="AG308" s="311"/>
      <c r="AH308" s="311"/>
      <c r="AI308" s="311"/>
      <c r="AJ308" s="311"/>
      <c r="AK308" s="311"/>
      <c r="AL308" s="311"/>
      <c r="AM308" s="311"/>
      <c r="AN308" s="311"/>
      <c r="AO308" s="74"/>
      <c r="AP308" s="311"/>
    </row>
    <row r="309" spans="2:42" x14ac:dyDescent="0.25">
      <c r="C309" s="20" t="s">
        <v>600</v>
      </c>
      <c r="D309" s="34" t="s">
        <v>29</v>
      </c>
      <c r="E309" s="336" cm="1">
        <f t="array" ref="E309">_xlfn.IFS(Forecasting_Scenario=Base,20%,Forecasting_Scenario=Aggressive,25%,Forecasting_Scenario=Conservative,17.5%)</f>
        <v>0.2</v>
      </c>
      <c r="F309" s="336">
        <f>E309-0.5%</f>
        <v>0.19500000000000001</v>
      </c>
      <c r="G309" s="336">
        <f>F309-0.5%</f>
        <v>0.19</v>
      </c>
      <c r="H309" s="336">
        <f>G309-0.5%</f>
        <v>0.185</v>
      </c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P309" s="22"/>
    </row>
    <row r="310" spans="2:42" x14ac:dyDescent="0.25">
      <c r="C310" s="20" t="s">
        <v>392</v>
      </c>
      <c r="D310" s="34" t="s">
        <v>29</v>
      </c>
      <c r="E310" s="336" cm="1">
        <f t="array" ref="E310">_xlfn.IFS(Forecasting_Scenario=Base,20%,Forecasting_Scenario=Aggressive,25%,Forecasting_Scenario=Conservative,17.5%)</f>
        <v>0.2</v>
      </c>
      <c r="F310" s="336">
        <f t="shared" ref="F310:H310" si="80">E310-0.5%</f>
        <v>0.19500000000000001</v>
      </c>
      <c r="G310" s="336">
        <f t="shared" si="80"/>
        <v>0.19</v>
      </c>
      <c r="H310" s="336">
        <f t="shared" si="80"/>
        <v>0.185</v>
      </c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P310" s="22"/>
    </row>
    <row r="311" spans="2:42" x14ac:dyDescent="0.25">
      <c r="C311" s="20" t="s">
        <v>454</v>
      </c>
      <c r="D311" s="34" t="s">
        <v>29</v>
      </c>
      <c r="E311" s="336" cm="1">
        <f t="array" ref="E311">_xlfn.IFS(Forecasting_Scenario=Base,20%,Forecasting_Scenario=Aggressive,25%,Forecasting_Scenario=Conservative,17.5%)</f>
        <v>0.2</v>
      </c>
      <c r="F311" s="336">
        <f t="shared" ref="F311:H311" si="81">E311-0.5%</f>
        <v>0.19500000000000001</v>
      </c>
      <c r="G311" s="336">
        <f t="shared" si="81"/>
        <v>0.19</v>
      </c>
      <c r="H311" s="336">
        <f t="shared" si="81"/>
        <v>0.185</v>
      </c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P311" s="22"/>
    </row>
    <row r="312" spans="2:42" x14ac:dyDescent="0.25">
      <c r="C312" s="21" t="s">
        <v>455</v>
      </c>
      <c r="D312" s="34" t="s">
        <v>29</v>
      </c>
      <c r="E312" s="336" cm="1">
        <f t="array" ref="E312">_xlfn.IFS(Forecasting_Scenario=Base,20%,Forecasting_Scenario=Aggressive,25%,Forecasting_Scenario=Conservative,17.5%)</f>
        <v>0.2</v>
      </c>
      <c r="F312" s="336">
        <f t="shared" ref="F312:H312" si="82">E312-0.5%</f>
        <v>0.19500000000000001</v>
      </c>
      <c r="G312" s="336">
        <f t="shared" si="82"/>
        <v>0.19</v>
      </c>
      <c r="H312" s="336">
        <f t="shared" si="82"/>
        <v>0.185</v>
      </c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P312" s="22"/>
    </row>
    <row r="313" spans="2:42" x14ac:dyDescent="0.25">
      <c r="C313" s="21" t="s">
        <v>393</v>
      </c>
      <c r="D313" s="34" t="s">
        <v>29</v>
      </c>
      <c r="E313" s="336" cm="1">
        <f t="array" ref="E313">_xlfn.IFS(Forecasting_Scenario=Base,20%,Forecasting_Scenario=Aggressive,25%,Forecasting_Scenario=Conservative,17.5%)</f>
        <v>0.2</v>
      </c>
      <c r="F313" s="336">
        <f t="shared" ref="F313:H313" si="83">E313-0.5%</f>
        <v>0.19500000000000001</v>
      </c>
      <c r="G313" s="336">
        <f t="shared" si="83"/>
        <v>0.19</v>
      </c>
      <c r="H313" s="336">
        <f t="shared" si="83"/>
        <v>0.185</v>
      </c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P313" s="22"/>
    </row>
    <row r="314" spans="2:42" x14ac:dyDescent="0.25">
      <c r="C314" s="21" t="s">
        <v>456</v>
      </c>
      <c r="D314" s="34" t="s">
        <v>29</v>
      </c>
      <c r="E314" s="336" cm="1">
        <f t="array" ref="E314">_xlfn.IFS(Forecasting_Scenario=Base,20%,Forecasting_Scenario=Aggressive,25%,Forecasting_Scenario=Conservative,17.5%)</f>
        <v>0.2</v>
      </c>
      <c r="F314" s="336">
        <f t="shared" ref="F314:H314" si="84">E314-0.5%</f>
        <v>0.19500000000000001</v>
      </c>
      <c r="G314" s="336">
        <f t="shared" si="84"/>
        <v>0.19</v>
      </c>
      <c r="H314" s="336">
        <f t="shared" si="84"/>
        <v>0.185</v>
      </c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P314" s="22"/>
    </row>
    <row r="315" spans="2:42" s="74" customFormat="1" x14ac:dyDescent="0.25">
      <c r="B315" s="225">
        <v>3.2</v>
      </c>
      <c r="C315" s="176" t="s">
        <v>623</v>
      </c>
      <c r="D315" s="314"/>
      <c r="E315" s="412">
        <v>45688</v>
      </c>
      <c r="F315" s="412">
        <v>45716</v>
      </c>
      <c r="G315" s="412">
        <v>45747</v>
      </c>
      <c r="H315" s="412">
        <v>45777</v>
      </c>
      <c r="I315" s="412">
        <v>45808</v>
      </c>
      <c r="J315" s="412">
        <v>45838</v>
      </c>
      <c r="K315" s="412">
        <v>45869</v>
      </c>
      <c r="L315" s="412">
        <v>45900</v>
      </c>
      <c r="M315" s="412">
        <v>45930</v>
      </c>
      <c r="N315" s="412">
        <v>45961</v>
      </c>
      <c r="O315" s="412">
        <v>45991</v>
      </c>
      <c r="P315" s="412">
        <v>46022</v>
      </c>
      <c r="Q315" s="412">
        <f>E315+365.25</f>
        <v>46053.25</v>
      </c>
      <c r="R315" s="412">
        <f t="shared" ref="R315" si="85">F315+365.25</f>
        <v>46081.25</v>
      </c>
      <c r="S315" s="412">
        <f t="shared" ref="S315" si="86">G315+365.25</f>
        <v>46112.25</v>
      </c>
      <c r="T315" s="412">
        <f t="shared" ref="T315" si="87">H315+365.25</f>
        <v>46142.25</v>
      </c>
      <c r="U315" s="412">
        <f t="shared" ref="U315" si="88">I315+365.25</f>
        <v>46173.25</v>
      </c>
      <c r="V315" s="412">
        <f t="shared" ref="V315" si="89">J315+365.25</f>
        <v>46203.25</v>
      </c>
      <c r="W315" s="412">
        <f t="shared" ref="W315" si="90">K315+365.25</f>
        <v>46234.25</v>
      </c>
      <c r="X315" s="412">
        <f t="shared" ref="X315" si="91">L315+365.25</f>
        <v>46265.25</v>
      </c>
      <c r="Y315" s="412">
        <f t="shared" ref="Y315" si="92">M315+365.25</f>
        <v>46295.25</v>
      </c>
      <c r="Z315" s="412">
        <f t="shared" ref="Z315" si="93">N315+365.25</f>
        <v>46326.25</v>
      </c>
      <c r="AA315" s="412">
        <f t="shared" ref="AA315" si="94">O315+365.25</f>
        <v>46356.25</v>
      </c>
      <c r="AB315" s="412">
        <f t="shared" ref="AB315" si="95">P315+365.25</f>
        <v>46387.25</v>
      </c>
      <c r="AC315" s="412">
        <f t="shared" ref="AC315" si="96">Q315+365.25</f>
        <v>46418.5</v>
      </c>
      <c r="AD315" s="412">
        <f t="shared" ref="AD315" si="97">R315+365.25</f>
        <v>46446.5</v>
      </c>
      <c r="AE315" s="412">
        <f t="shared" ref="AE315" si="98">S315+365.25</f>
        <v>46477.5</v>
      </c>
      <c r="AF315" s="412">
        <f t="shared" ref="AF315" si="99">T315+365.25</f>
        <v>46507.5</v>
      </c>
      <c r="AG315" s="412">
        <f t="shared" ref="AG315" si="100">U315+365.25</f>
        <v>46538.5</v>
      </c>
      <c r="AH315" s="412">
        <f t="shared" ref="AH315" si="101">V315+365.25</f>
        <v>46568.5</v>
      </c>
      <c r="AI315" s="412">
        <f t="shared" ref="AI315" si="102">W315+365.25</f>
        <v>46599.5</v>
      </c>
      <c r="AJ315" s="412">
        <f t="shared" ref="AJ315" si="103">X315+365.25</f>
        <v>46630.5</v>
      </c>
      <c r="AK315" s="412">
        <f t="shared" ref="AK315" si="104">Y315+365.25</f>
        <v>46660.5</v>
      </c>
      <c r="AL315" s="412">
        <f t="shared" ref="AL315" si="105">Z315+365.25</f>
        <v>46691.5</v>
      </c>
      <c r="AM315" s="412">
        <f t="shared" ref="AM315" si="106">AA315+365.25</f>
        <v>46721.5</v>
      </c>
      <c r="AN315" s="412">
        <f t="shared" ref="AN315" si="107">AB315+365.25</f>
        <v>46752.5</v>
      </c>
      <c r="AP315" s="177"/>
    </row>
    <row r="316" spans="2:42" s="74" customFormat="1" x14ac:dyDescent="0.25">
      <c r="B316" s="738"/>
      <c r="C316" s="312" t="s">
        <v>978</v>
      </c>
      <c r="D316" s="317"/>
      <c r="E316" s="312"/>
      <c r="F316" s="312"/>
      <c r="G316" s="312"/>
      <c r="H316" s="312"/>
      <c r="I316" s="312"/>
      <c r="J316" s="312"/>
      <c r="K316" s="312"/>
      <c r="L316" s="312"/>
      <c r="M316" s="312"/>
      <c r="N316" s="312"/>
      <c r="O316" s="312"/>
      <c r="P316" s="312"/>
      <c r="Q316" s="312"/>
      <c r="R316" s="312"/>
      <c r="S316" s="312"/>
      <c r="T316" s="312"/>
      <c r="U316" s="312"/>
      <c r="V316" s="312"/>
      <c r="W316" s="312"/>
      <c r="X316" s="312"/>
      <c r="Y316" s="312"/>
      <c r="Z316" s="312"/>
      <c r="AA316" s="312"/>
      <c r="AB316" s="312"/>
      <c r="AC316" s="312"/>
      <c r="AD316" s="312"/>
      <c r="AE316" s="312"/>
      <c r="AF316" s="312"/>
      <c r="AG316" s="312"/>
      <c r="AH316" s="312"/>
      <c r="AI316" s="312"/>
      <c r="AJ316" s="312"/>
      <c r="AK316" s="312"/>
      <c r="AL316" s="312"/>
      <c r="AM316" s="312"/>
      <c r="AN316" s="312"/>
      <c r="AP316" s="312"/>
    </row>
    <row r="317" spans="2:42" s="86" customFormat="1" x14ac:dyDescent="0.25">
      <c r="B317" s="738"/>
      <c r="C317" s="322" t="s">
        <v>982</v>
      </c>
      <c r="D317" s="419" t="s">
        <v>162</v>
      </c>
      <c r="E317" s="746">
        <v>20</v>
      </c>
      <c r="F317" s="756"/>
      <c r="G317" s="756"/>
      <c r="H317" s="749"/>
      <c r="I317" s="739"/>
      <c r="J317" s="739"/>
      <c r="K317" s="739"/>
      <c r="L317" s="739"/>
      <c r="M317" s="739"/>
      <c r="N317" s="739"/>
      <c r="O317" s="739"/>
      <c r="P317" s="739"/>
      <c r="Q317" s="739"/>
      <c r="R317" s="739"/>
      <c r="S317" s="739"/>
      <c r="T317" s="739"/>
      <c r="U317" s="739"/>
      <c r="V317" s="739"/>
      <c r="W317" s="739"/>
      <c r="X317" s="739"/>
      <c r="Y317" s="739"/>
      <c r="Z317" s="739"/>
      <c r="AA317" s="739"/>
      <c r="AB317" s="739"/>
      <c r="AC317" s="739"/>
      <c r="AD317" s="739"/>
      <c r="AE317" s="739"/>
      <c r="AF317" s="739"/>
      <c r="AG317" s="739"/>
      <c r="AH317" s="739"/>
      <c r="AI317" s="739"/>
      <c r="AJ317" s="739"/>
      <c r="AK317" s="739"/>
      <c r="AL317" s="739"/>
      <c r="AM317" s="739"/>
      <c r="AN317" s="739"/>
      <c r="AO317" s="321"/>
      <c r="AP317" s="418"/>
    </row>
    <row r="318" spans="2:42" s="86" customFormat="1" x14ac:dyDescent="0.25">
      <c r="B318" s="417"/>
      <c r="C318" s="740" t="s">
        <v>983</v>
      </c>
      <c r="D318" s="741" t="s">
        <v>162</v>
      </c>
      <c r="E318" s="747">
        <v>50</v>
      </c>
      <c r="F318" s="659"/>
      <c r="G318" s="659"/>
      <c r="H318" s="659"/>
      <c r="I318" s="659"/>
      <c r="J318" s="659"/>
      <c r="K318" s="659"/>
      <c r="L318" s="659"/>
      <c r="M318" s="659"/>
      <c r="N318" s="659"/>
      <c r="O318" s="659"/>
      <c r="P318" s="659"/>
      <c r="Q318" s="659"/>
      <c r="R318" s="659"/>
      <c r="S318" s="659"/>
      <c r="T318" s="659"/>
      <c r="U318" s="659"/>
      <c r="V318" s="659"/>
      <c r="W318" s="659"/>
      <c r="X318" s="659"/>
      <c r="Y318" s="659"/>
      <c r="Z318" s="659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321"/>
      <c r="AP318" s="744"/>
    </row>
    <row r="319" spans="2:42" s="86" customFormat="1" x14ac:dyDescent="0.25">
      <c r="B319" s="417"/>
      <c r="C319" s="742" t="s">
        <v>984</v>
      </c>
      <c r="D319" s="743" t="s">
        <v>162</v>
      </c>
      <c r="E319" s="748">
        <v>150</v>
      </c>
      <c r="F319" s="660"/>
      <c r="G319" s="660"/>
      <c r="H319" s="660"/>
      <c r="I319" s="660"/>
      <c r="J319" s="660"/>
      <c r="K319" s="660"/>
      <c r="L319" s="660"/>
      <c r="M319" s="660"/>
      <c r="N319" s="660"/>
      <c r="O319" s="660"/>
      <c r="P319" s="660"/>
      <c r="Q319" s="660"/>
      <c r="R319" s="660"/>
      <c r="S319" s="660"/>
      <c r="T319" s="660"/>
      <c r="U319" s="660"/>
      <c r="V319" s="660"/>
      <c r="W319" s="660"/>
      <c r="X319" s="660"/>
      <c r="Y319" s="660"/>
      <c r="Z319" s="660"/>
      <c r="AA319" s="660"/>
      <c r="AB319" s="660"/>
      <c r="AC319" s="660"/>
      <c r="AD319" s="660"/>
      <c r="AE319" s="660"/>
      <c r="AF319" s="660"/>
      <c r="AG319" s="660"/>
      <c r="AH319" s="660"/>
      <c r="AI319" s="660"/>
      <c r="AJ319" s="660"/>
      <c r="AK319" s="660"/>
      <c r="AL319" s="660"/>
      <c r="AM319" s="660"/>
      <c r="AN319" s="660"/>
      <c r="AO319" s="321"/>
      <c r="AP319" s="745"/>
    </row>
    <row r="320" spans="2:42" s="74" customFormat="1" x14ac:dyDescent="0.25">
      <c r="B320" s="99" t="s">
        <v>9</v>
      </c>
      <c r="C320" s="312" t="str">
        <f>'4.2 Sector Mapping'!$B$5</f>
        <v>Agriculture</v>
      </c>
      <c r="D320" s="317"/>
      <c r="E320" s="312"/>
      <c r="F320" s="312"/>
      <c r="G320" s="312"/>
      <c r="H320" s="312"/>
      <c r="I320" s="312"/>
      <c r="J320" s="312"/>
      <c r="K320" s="312"/>
      <c r="L320" s="312"/>
      <c r="M320" s="312"/>
      <c r="N320" s="312"/>
      <c r="O320" s="312"/>
      <c r="P320" s="312"/>
      <c r="Q320" s="312"/>
      <c r="R320" s="312"/>
      <c r="S320" s="312"/>
      <c r="T320" s="312"/>
      <c r="U320" s="312"/>
      <c r="V320" s="312"/>
      <c r="W320" s="312"/>
      <c r="X320" s="312"/>
      <c r="Y320" s="312"/>
      <c r="Z320" s="312"/>
      <c r="AA320" s="312"/>
      <c r="AB320" s="312"/>
      <c r="AC320" s="312"/>
      <c r="AD320" s="312"/>
      <c r="AE320" s="312"/>
      <c r="AF320" s="312"/>
      <c r="AG320" s="312"/>
      <c r="AH320" s="312"/>
      <c r="AI320" s="312"/>
      <c r="AJ320" s="312"/>
      <c r="AK320" s="312"/>
      <c r="AL320" s="312"/>
      <c r="AM320" s="312"/>
      <c r="AN320" s="312"/>
      <c r="AP320" s="312"/>
    </row>
    <row r="321" spans="2:42" s="86" customFormat="1" x14ac:dyDescent="0.25">
      <c r="B321" s="3"/>
      <c r="C321" s="243" t="s">
        <v>625</v>
      </c>
      <c r="D321" s="36" t="s">
        <v>162</v>
      </c>
      <c r="E321" s="309">
        <v>0</v>
      </c>
      <c r="F321" s="309">
        <v>0</v>
      </c>
      <c r="G321" s="309">
        <v>0</v>
      </c>
      <c r="H321" s="309">
        <v>0</v>
      </c>
      <c r="I321" s="309">
        <f>J321</f>
        <v>0</v>
      </c>
      <c r="J321" s="309">
        <f>K321</f>
        <v>0</v>
      </c>
      <c r="K321" s="309">
        <f>L321</f>
        <v>0</v>
      </c>
      <c r="L321" s="309">
        <f>ROUND(M321/2,0)</f>
        <v>0</v>
      </c>
      <c r="M321" s="309">
        <f>N321</f>
        <v>0</v>
      </c>
      <c r="N321" s="309">
        <f>P321</f>
        <v>0</v>
      </c>
      <c r="O321" s="309">
        <f>P321</f>
        <v>0</v>
      </c>
      <c r="P321" s="309">
        <f>'Back-end Overview of Use Cases'!C3</f>
        <v>0</v>
      </c>
      <c r="Q321" s="309">
        <f>ROUND(IF($AB321-$P321=1,$P321,$P321+($AB321-$P321)/3),0)</f>
        <v>0</v>
      </c>
      <c r="R321" s="309">
        <f>ROUND(IF($AB321-$P321=1,$P321,$P321+($AB321-$P321)/3),0)</f>
        <v>0</v>
      </c>
      <c r="S321" s="309">
        <f>ROUND(IF($AB321-$P321=1,$P321,$P321+($AB321-$P321)/3),0)</f>
        <v>0</v>
      </c>
      <c r="T321" s="309">
        <f>ROUND(IF($AB321-$P321=1,$P321,$P321+($AB321-$P321)/3),0)</f>
        <v>0</v>
      </c>
      <c r="U321" s="309">
        <f>ROUND(AVERAGE(T321,Y321),0)</f>
        <v>1</v>
      </c>
      <c r="V321" s="309">
        <f>U321</f>
        <v>1</v>
      </c>
      <c r="W321" s="309">
        <f>V321</f>
        <v>1</v>
      </c>
      <c r="X321" s="309">
        <f>W321</f>
        <v>1</v>
      </c>
      <c r="Y321" s="309">
        <f>Z321</f>
        <v>1</v>
      </c>
      <c r="Z321" s="309">
        <f>AA321</f>
        <v>1</v>
      </c>
      <c r="AA321" s="309">
        <f>AB321</f>
        <v>1</v>
      </c>
      <c r="AB321" s="309">
        <f>'Back-end Overview of Use Cases'!D3</f>
        <v>1</v>
      </c>
      <c r="AC321" s="309">
        <f>ROUND(IF($AN321-$AB321=1,$AB321,$AB321+($AN321-$AB321)/3),0)</f>
        <v>2</v>
      </c>
      <c r="AD321" s="309">
        <f>ROUND(IF($AN321-$AB321=1,$AB321,$AB321+($AN321-$AB321)/3),0)</f>
        <v>2</v>
      </c>
      <c r="AE321" s="309">
        <f>ROUND(IF($AN321-$AB321=1,$AB321,$AB321+($AN321-$AB321)/3),0)</f>
        <v>2</v>
      </c>
      <c r="AF321" s="309">
        <f>ROUND(IF($AN321-$AB321=1,$AB321,$AB321+($AN321-$AB321)/3),0)</f>
        <v>2</v>
      </c>
      <c r="AG321" s="309">
        <f>ROUND(AVERAGE(AF321,AK321),0)</f>
        <v>3</v>
      </c>
      <c r="AH321" s="309">
        <f>AG321</f>
        <v>3</v>
      </c>
      <c r="AI321" s="309">
        <f>AH321</f>
        <v>3</v>
      </c>
      <c r="AJ321" s="309">
        <f>AI321</f>
        <v>3</v>
      </c>
      <c r="AK321" s="309">
        <f>AN321</f>
        <v>3</v>
      </c>
      <c r="AL321" s="309">
        <f>AN321</f>
        <v>3</v>
      </c>
      <c r="AM321" s="309">
        <f>AN321</f>
        <v>3</v>
      </c>
      <c r="AN321" s="309">
        <f>'Back-end Overview of Use Cases'!E3</f>
        <v>3</v>
      </c>
      <c r="AP321" s="243"/>
    </row>
    <row r="322" spans="2:42" x14ac:dyDescent="0.25">
      <c r="C322" s="299" t="s">
        <v>691</v>
      </c>
      <c r="D322" s="330" t="s">
        <v>29</v>
      </c>
      <c r="E322" s="421">
        <v>0</v>
      </c>
      <c r="F322" s="421">
        <v>0.2</v>
      </c>
      <c r="G322" s="421">
        <v>0.2</v>
      </c>
      <c r="H322" s="421">
        <v>0.2</v>
      </c>
      <c r="I322" s="421">
        <v>0.2</v>
      </c>
      <c r="J322" s="421">
        <v>0.2</v>
      </c>
      <c r="K322" s="421">
        <v>0.2</v>
      </c>
      <c r="L322" s="421">
        <v>0.2</v>
      </c>
      <c r="M322" s="421">
        <v>0.2</v>
      </c>
      <c r="N322" s="421">
        <v>0.2</v>
      </c>
      <c r="O322" s="421">
        <v>0.2</v>
      </c>
      <c r="P322" s="421">
        <v>0.2</v>
      </c>
      <c r="Q322" s="421">
        <v>0.2</v>
      </c>
      <c r="R322" s="421">
        <v>0.2</v>
      </c>
      <c r="S322" s="421">
        <v>0.2</v>
      </c>
      <c r="T322" s="421">
        <v>0.2</v>
      </c>
      <c r="U322" s="421">
        <v>0.2</v>
      </c>
      <c r="V322" s="421">
        <v>0.2</v>
      </c>
      <c r="W322" s="421">
        <v>0.2</v>
      </c>
      <c r="X322" s="421">
        <v>0.2</v>
      </c>
      <c r="Y322" s="421">
        <v>0.2</v>
      </c>
      <c r="Z322" s="421">
        <v>0.2</v>
      </c>
      <c r="AA322" s="421">
        <v>0.2</v>
      </c>
      <c r="AB322" s="421">
        <v>0.2</v>
      </c>
      <c r="AC322" s="421">
        <v>0.2</v>
      </c>
      <c r="AD322" s="421">
        <v>0.2</v>
      </c>
      <c r="AE322" s="421">
        <v>0.2</v>
      </c>
      <c r="AF322" s="421">
        <v>0.2</v>
      </c>
      <c r="AG322" s="421">
        <v>0.2</v>
      </c>
      <c r="AH322" s="421">
        <v>0.2</v>
      </c>
      <c r="AI322" s="421">
        <v>0.2</v>
      </c>
      <c r="AJ322" s="421">
        <v>0.2</v>
      </c>
      <c r="AK322" s="421">
        <v>0.2</v>
      </c>
      <c r="AL322" s="421">
        <v>0.2</v>
      </c>
      <c r="AM322" s="421">
        <v>0.2</v>
      </c>
      <c r="AN322" s="421">
        <v>0.2</v>
      </c>
      <c r="AP322" s="299"/>
    </row>
    <row r="323" spans="2:42" s="74" customFormat="1" x14ac:dyDescent="0.25">
      <c r="B323" s="99" t="s">
        <v>9</v>
      </c>
      <c r="C323" s="311" t="s">
        <v>626</v>
      </c>
      <c r="D323" s="318"/>
      <c r="E323" s="311"/>
      <c r="F323" s="311"/>
      <c r="G323" s="311"/>
      <c r="H323" s="311"/>
      <c r="I323" s="311"/>
      <c r="J323" s="311"/>
      <c r="K323" s="311"/>
      <c r="L323" s="311"/>
      <c r="M323" s="311"/>
      <c r="N323" s="311"/>
      <c r="O323" s="311"/>
      <c r="P323" s="311"/>
      <c r="Q323" s="311"/>
      <c r="R323" s="311"/>
      <c r="S323" s="311"/>
      <c r="T323" s="311"/>
      <c r="U323" s="311"/>
      <c r="V323" s="311"/>
      <c r="W323" s="311"/>
      <c r="X323" s="311"/>
      <c r="Y323" s="311"/>
      <c r="Z323" s="311"/>
      <c r="AA323" s="311"/>
      <c r="AB323" s="311"/>
      <c r="AC323" s="311"/>
      <c r="AD323" s="311"/>
      <c r="AE323" s="311"/>
      <c r="AF323" s="311"/>
      <c r="AG323" s="311"/>
      <c r="AH323" s="311"/>
      <c r="AI323" s="311"/>
      <c r="AJ323" s="311"/>
      <c r="AK323" s="311"/>
      <c r="AL323" s="311"/>
      <c r="AM323" s="311"/>
      <c r="AN323" s="311"/>
      <c r="AP323" s="311"/>
    </row>
    <row r="324" spans="2:42" x14ac:dyDescent="0.25">
      <c r="C324" s="20" t="s">
        <v>600</v>
      </c>
      <c r="D324" s="34" t="s">
        <v>162</v>
      </c>
      <c r="E324" s="397">
        <v>5</v>
      </c>
      <c r="F324" s="397">
        <f>E324*(1-F$322)+1</f>
        <v>5</v>
      </c>
      <c r="G324" s="397">
        <f t="shared" ref="G324:AN324" si="108">F324*(1-G$322)+1</f>
        <v>5</v>
      </c>
      <c r="H324" s="397">
        <f t="shared" si="108"/>
        <v>5</v>
      </c>
      <c r="I324" s="397">
        <f t="shared" si="108"/>
        <v>5</v>
      </c>
      <c r="J324" s="397">
        <f t="shared" si="108"/>
        <v>5</v>
      </c>
      <c r="K324" s="397">
        <f t="shared" si="108"/>
        <v>5</v>
      </c>
      <c r="L324" s="397">
        <f t="shared" si="108"/>
        <v>5</v>
      </c>
      <c r="M324" s="397">
        <f t="shared" si="108"/>
        <v>5</v>
      </c>
      <c r="N324" s="397">
        <f t="shared" si="108"/>
        <v>5</v>
      </c>
      <c r="O324" s="397">
        <f t="shared" si="108"/>
        <v>5</v>
      </c>
      <c r="P324" s="397">
        <f t="shared" si="108"/>
        <v>5</v>
      </c>
      <c r="Q324" s="397">
        <f t="shared" si="108"/>
        <v>5</v>
      </c>
      <c r="R324" s="397">
        <f t="shared" si="108"/>
        <v>5</v>
      </c>
      <c r="S324" s="397">
        <f t="shared" si="108"/>
        <v>5</v>
      </c>
      <c r="T324" s="397">
        <f t="shared" si="108"/>
        <v>5</v>
      </c>
      <c r="U324" s="397">
        <f t="shared" si="108"/>
        <v>5</v>
      </c>
      <c r="V324" s="397">
        <f t="shared" si="108"/>
        <v>5</v>
      </c>
      <c r="W324" s="397">
        <f t="shared" si="108"/>
        <v>5</v>
      </c>
      <c r="X324" s="397">
        <f t="shared" si="108"/>
        <v>5</v>
      </c>
      <c r="Y324" s="397">
        <f t="shared" si="108"/>
        <v>5</v>
      </c>
      <c r="Z324" s="397">
        <f t="shared" si="108"/>
        <v>5</v>
      </c>
      <c r="AA324" s="397">
        <f t="shared" si="108"/>
        <v>5</v>
      </c>
      <c r="AB324" s="397">
        <f t="shared" si="108"/>
        <v>5</v>
      </c>
      <c r="AC324" s="397">
        <f t="shared" si="108"/>
        <v>5</v>
      </c>
      <c r="AD324" s="397">
        <f t="shared" si="108"/>
        <v>5</v>
      </c>
      <c r="AE324" s="397">
        <f t="shared" si="108"/>
        <v>5</v>
      </c>
      <c r="AF324" s="397">
        <f t="shared" si="108"/>
        <v>5</v>
      </c>
      <c r="AG324" s="397">
        <f t="shared" si="108"/>
        <v>5</v>
      </c>
      <c r="AH324" s="397">
        <f t="shared" si="108"/>
        <v>5</v>
      </c>
      <c r="AI324" s="397">
        <f t="shared" si="108"/>
        <v>5</v>
      </c>
      <c r="AJ324" s="397">
        <f t="shared" si="108"/>
        <v>5</v>
      </c>
      <c r="AK324" s="397">
        <f t="shared" si="108"/>
        <v>5</v>
      </c>
      <c r="AL324" s="397">
        <f t="shared" si="108"/>
        <v>5</v>
      </c>
      <c r="AM324" s="397">
        <f t="shared" si="108"/>
        <v>5</v>
      </c>
      <c r="AN324" s="397">
        <f t="shared" si="108"/>
        <v>5</v>
      </c>
      <c r="AP324" s="760"/>
    </row>
    <row r="325" spans="2:42" x14ac:dyDescent="0.25">
      <c r="C325" s="20" t="s">
        <v>392</v>
      </c>
      <c r="D325" s="34" t="s">
        <v>162</v>
      </c>
      <c r="E325" s="398">
        <v>4</v>
      </c>
      <c r="F325" s="398">
        <f t="shared" ref="F325:AN325" si="109">E325*(1-F$322)+1</f>
        <v>4.2</v>
      </c>
      <c r="G325" s="398">
        <f t="shared" si="109"/>
        <v>4.3600000000000003</v>
      </c>
      <c r="H325" s="398">
        <f t="shared" si="109"/>
        <v>4.4880000000000004</v>
      </c>
      <c r="I325" s="398">
        <f t="shared" si="109"/>
        <v>4.5904000000000007</v>
      </c>
      <c r="J325" s="398">
        <f t="shared" si="109"/>
        <v>4.6723200000000009</v>
      </c>
      <c r="K325" s="398">
        <f t="shared" si="109"/>
        <v>4.7378560000000007</v>
      </c>
      <c r="L325" s="398">
        <f t="shared" si="109"/>
        <v>4.7902848000000002</v>
      </c>
      <c r="M325" s="398">
        <f t="shared" si="109"/>
        <v>4.8322278399999998</v>
      </c>
      <c r="N325" s="398">
        <f t="shared" si="109"/>
        <v>4.8657822720000006</v>
      </c>
      <c r="O325" s="398">
        <f t="shared" si="109"/>
        <v>4.8926258176000008</v>
      </c>
      <c r="P325" s="398">
        <f t="shared" si="109"/>
        <v>4.9141006540800003</v>
      </c>
      <c r="Q325" s="398">
        <f t="shared" si="109"/>
        <v>4.9312805232640002</v>
      </c>
      <c r="R325" s="398">
        <f t="shared" si="109"/>
        <v>4.9450244186112009</v>
      </c>
      <c r="S325" s="398">
        <f t="shared" si="109"/>
        <v>4.9560195348889611</v>
      </c>
      <c r="T325" s="398">
        <f t="shared" si="109"/>
        <v>4.964815627911169</v>
      </c>
      <c r="U325" s="398">
        <f t="shared" si="109"/>
        <v>4.9718525023289359</v>
      </c>
      <c r="V325" s="398">
        <f t="shared" si="109"/>
        <v>4.9774820018631489</v>
      </c>
      <c r="W325" s="398">
        <f t="shared" si="109"/>
        <v>4.9819856014905195</v>
      </c>
      <c r="X325" s="398">
        <f t="shared" si="109"/>
        <v>4.9855884811924156</v>
      </c>
      <c r="Y325" s="398">
        <f t="shared" si="109"/>
        <v>4.9884707849539325</v>
      </c>
      <c r="Z325" s="398">
        <f t="shared" si="109"/>
        <v>4.9907766279631467</v>
      </c>
      <c r="AA325" s="398">
        <f t="shared" si="109"/>
        <v>4.9926213023705177</v>
      </c>
      <c r="AB325" s="398">
        <f t="shared" si="109"/>
        <v>4.9940970418964143</v>
      </c>
      <c r="AC325" s="398">
        <f t="shared" si="109"/>
        <v>4.9952776335171318</v>
      </c>
      <c r="AD325" s="398">
        <f t="shared" si="109"/>
        <v>4.9962221068137058</v>
      </c>
      <c r="AE325" s="398">
        <f t="shared" si="109"/>
        <v>4.9969776854509647</v>
      </c>
      <c r="AF325" s="398">
        <f t="shared" si="109"/>
        <v>4.9975821483607721</v>
      </c>
      <c r="AG325" s="398">
        <f t="shared" si="109"/>
        <v>4.9980657186886184</v>
      </c>
      <c r="AH325" s="398">
        <f t="shared" si="109"/>
        <v>4.9984525749508943</v>
      </c>
      <c r="AI325" s="398">
        <f t="shared" si="109"/>
        <v>4.9987620599607157</v>
      </c>
      <c r="AJ325" s="398">
        <f t="shared" si="109"/>
        <v>4.9990096479685722</v>
      </c>
      <c r="AK325" s="398">
        <f t="shared" si="109"/>
        <v>4.9992077183748584</v>
      </c>
      <c r="AL325" s="398">
        <f t="shared" si="109"/>
        <v>4.9993661746998868</v>
      </c>
      <c r="AM325" s="398">
        <f t="shared" si="109"/>
        <v>4.999492939759909</v>
      </c>
      <c r="AN325" s="398">
        <f t="shared" si="109"/>
        <v>4.9995943518079269</v>
      </c>
      <c r="AP325" s="21"/>
    </row>
    <row r="326" spans="2:42" x14ac:dyDescent="0.25">
      <c r="C326" s="20" t="s">
        <v>454</v>
      </c>
      <c r="D326" s="34" t="s">
        <v>162</v>
      </c>
      <c r="E326" s="398">
        <v>3</v>
      </c>
      <c r="F326" s="398">
        <f t="shared" ref="F326:AN326" si="110">E326*(1-F$322)+1</f>
        <v>3.4000000000000004</v>
      </c>
      <c r="G326" s="398">
        <f t="shared" si="110"/>
        <v>3.7200000000000006</v>
      </c>
      <c r="H326" s="398">
        <f t="shared" si="110"/>
        <v>3.9760000000000009</v>
      </c>
      <c r="I326" s="398">
        <f t="shared" si="110"/>
        <v>4.1808000000000014</v>
      </c>
      <c r="J326" s="398">
        <f t="shared" si="110"/>
        <v>4.3446400000000018</v>
      </c>
      <c r="K326" s="398">
        <f t="shared" si="110"/>
        <v>4.4757120000000015</v>
      </c>
      <c r="L326" s="398">
        <f t="shared" si="110"/>
        <v>4.5805696000000014</v>
      </c>
      <c r="M326" s="398">
        <f t="shared" si="110"/>
        <v>4.6644556800000014</v>
      </c>
      <c r="N326" s="398">
        <f t="shared" si="110"/>
        <v>4.7315645440000011</v>
      </c>
      <c r="O326" s="398">
        <f t="shared" si="110"/>
        <v>4.7852516352000016</v>
      </c>
      <c r="P326" s="398">
        <f t="shared" si="110"/>
        <v>4.8282013081600015</v>
      </c>
      <c r="Q326" s="398">
        <f t="shared" si="110"/>
        <v>4.8625610465280014</v>
      </c>
      <c r="R326" s="398">
        <f t="shared" si="110"/>
        <v>4.8900488372224018</v>
      </c>
      <c r="S326" s="398">
        <f t="shared" si="110"/>
        <v>4.9120390697779222</v>
      </c>
      <c r="T326" s="398">
        <f t="shared" si="110"/>
        <v>4.9296312558223381</v>
      </c>
      <c r="U326" s="398">
        <f t="shared" si="110"/>
        <v>4.9437050046578701</v>
      </c>
      <c r="V326" s="398">
        <f t="shared" si="110"/>
        <v>4.9549640037262961</v>
      </c>
      <c r="W326" s="398">
        <f t="shared" si="110"/>
        <v>4.9639712029810372</v>
      </c>
      <c r="X326" s="398">
        <f t="shared" si="110"/>
        <v>4.9711769623848294</v>
      </c>
      <c r="Y326" s="398">
        <f t="shared" si="110"/>
        <v>4.9769415699078632</v>
      </c>
      <c r="Z326" s="398">
        <f t="shared" si="110"/>
        <v>4.9815532559262907</v>
      </c>
      <c r="AA326" s="398">
        <f t="shared" si="110"/>
        <v>4.9852426047410328</v>
      </c>
      <c r="AB326" s="398">
        <f t="shared" si="110"/>
        <v>4.9881940837928269</v>
      </c>
      <c r="AC326" s="398">
        <f t="shared" si="110"/>
        <v>4.9905552670342619</v>
      </c>
      <c r="AD326" s="398">
        <f t="shared" si="110"/>
        <v>4.9924442136274099</v>
      </c>
      <c r="AE326" s="398">
        <f t="shared" si="110"/>
        <v>4.9939553709019275</v>
      </c>
      <c r="AF326" s="398">
        <f t="shared" si="110"/>
        <v>4.9951642967215424</v>
      </c>
      <c r="AG326" s="398">
        <f t="shared" si="110"/>
        <v>4.9961314373772341</v>
      </c>
      <c r="AH326" s="398">
        <f t="shared" si="110"/>
        <v>4.9969051499017869</v>
      </c>
      <c r="AI326" s="398">
        <f t="shared" si="110"/>
        <v>4.9975241199214295</v>
      </c>
      <c r="AJ326" s="398">
        <f t="shared" si="110"/>
        <v>4.9980192959371443</v>
      </c>
      <c r="AK326" s="398">
        <f t="shared" si="110"/>
        <v>4.9984154367497151</v>
      </c>
      <c r="AL326" s="398">
        <f t="shared" si="110"/>
        <v>4.9987323493997717</v>
      </c>
      <c r="AM326" s="398">
        <f t="shared" si="110"/>
        <v>4.9989858795198181</v>
      </c>
      <c r="AN326" s="398">
        <f t="shared" si="110"/>
        <v>4.9991887036158547</v>
      </c>
      <c r="AP326" s="21"/>
    </row>
    <row r="327" spans="2:42" x14ac:dyDescent="0.25">
      <c r="C327" s="21" t="s">
        <v>455</v>
      </c>
      <c r="D327" s="34" t="s">
        <v>162</v>
      </c>
      <c r="E327" s="398">
        <v>2</v>
      </c>
      <c r="F327" s="398">
        <f t="shared" ref="F327:AN327" si="111">E327*(1-F$322)+1</f>
        <v>2.6</v>
      </c>
      <c r="G327" s="398">
        <f t="shared" si="111"/>
        <v>3.08</v>
      </c>
      <c r="H327" s="398">
        <f t="shared" si="111"/>
        <v>3.4640000000000004</v>
      </c>
      <c r="I327" s="398">
        <f t="shared" si="111"/>
        <v>3.7712000000000003</v>
      </c>
      <c r="J327" s="398">
        <f t="shared" si="111"/>
        <v>4.016960000000001</v>
      </c>
      <c r="K327" s="398">
        <f t="shared" si="111"/>
        <v>4.2135680000000004</v>
      </c>
      <c r="L327" s="398">
        <f t="shared" si="111"/>
        <v>4.3708544000000007</v>
      </c>
      <c r="M327" s="398">
        <f t="shared" si="111"/>
        <v>4.4966835200000013</v>
      </c>
      <c r="N327" s="398">
        <f t="shared" si="111"/>
        <v>4.5973468160000017</v>
      </c>
      <c r="O327" s="398">
        <f t="shared" si="111"/>
        <v>4.6778774528000016</v>
      </c>
      <c r="P327" s="398">
        <f t="shared" si="111"/>
        <v>4.7423019622400009</v>
      </c>
      <c r="Q327" s="398">
        <f t="shared" si="111"/>
        <v>4.7938415697920007</v>
      </c>
      <c r="R327" s="398">
        <f t="shared" si="111"/>
        <v>4.8350732558336009</v>
      </c>
      <c r="S327" s="398">
        <f t="shared" si="111"/>
        <v>4.8680586046668815</v>
      </c>
      <c r="T327" s="398">
        <f t="shared" si="111"/>
        <v>4.8944468837335053</v>
      </c>
      <c r="U327" s="398">
        <f t="shared" si="111"/>
        <v>4.9155575069868043</v>
      </c>
      <c r="V327" s="398">
        <f t="shared" si="111"/>
        <v>4.9324460055894441</v>
      </c>
      <c r="W327" s="398">
        <f t="shared" si="111"/>
        <v>4.9459568044715549</v>
      </c>
      <c r="X327" s="398">
        <f t="shared" si="111"/>
        <v>4.9567654435772441</v>
      </c>
      <c r="Y327" s="398">
        <f t="shared" si="111"/>
        <v>4.9654123548617957</v>
      </c>
      <c r="Z327" s="398">
        <f t="shared" si="111"/>
        <v>4.9723298838894365</v>
      </c>
      <c r="AA327" s="398">
        <f t="shared" si="111"/>
        <v>4.9778639071115496</v>
      </c>
      <c r="AB327" s="398">
        <f t="shared" si="111"/>
        <v>4.9822911256892404</v>
      </c>
      <c r="AC327" s="398">
        <f t="shared" si="111"/>
        <v>4.9858329005513919</v>
      </c>
      <c r="AD327" s="398">
        <f t="shared" si="111"/>
        <v>4.9886663204411139</v>
      </c>
      <c r="AE327" s="398">
        <f t="shared" si="111"/>
        <v>4.9909330563528913</v>
      </c>
      <c r="AF327" s="398">
        <f t="shared" si="111"/>
        <v>4.9927464450823127</v>
      </c>
      <c r="AG327" s="398">
        <f t="shared" si="111"/>
        <v>4.9941971560658498</v>
      </c>
      <c r="AH327" s="398">
        <f t="shared" si="111"/>
        <v>4.9953577248526795</v>
      </c>
      <c r="AI327" s="398">
        <f t="shared" si="111"/>
        <v>4.9962861798821443</v>
      </c>
      <c r="AJ327" s="398">
        <f t="shared" si="111"/>
        <v>4.9970289439057156</v>
      </c>
      <c r="AK327" s="398">
        <f t="shared" si="111"/>
        <v>4.9976231551245727</v>
      </c>
      <c r="AL327" s="398">
        <f t="shared" si="111"/>
        <v>4.9980985240996585</v>
      </c>
      <c r="AM327" s="398">
        <f t="shared" si="111"/>
        <v>4.9984788192797271</v>
      </c>
      <c r="AN327" s="398">
        <f t="shared" si="111"/>
        <v>4.9987830554237824</v>
      </c>
      <c r="AP327" s="21"/>
    </row>
    <row r="328" spans="2:42" x14ac:dyDescent="0.25">
      <c r="C328" s="21" t="s">
        <v>393</v>
      </c>
      <c r="D328" s="34" t="s">
        <v>162</v>
      </c>
      <c r="E328" s="398">
        <v>1</v>
      </c>
      <c r="F328" s="398">
        <f t="shared" ref="F328:AN328" si="112">E328*(1-F$322)+1</f>
        <v>1.8</v>
      </c>
      <c r="G328" s="398">
        <f t="shared" si="112"/>
        <v>2.4400000000000004</v>
      </c>
      <c r="H328" s="398">
        <f t="shared" si="112"/>
        <v>2.9520000000000004</v>
      </c>
      <c r="I328" s="398">
        <f t="shared" si="112"/>
        <v>3.3616000000000006</v>
      </c>
      <c r="J328" s="398">
        <f t="shared" si="112"/>
        <v>3.6892800000000006</v>
      </c>
      <c r="K328" s="398">
        <f t="shared" si="112"/>
        <v>3.9514240000000007</v>
      </c>
      <c r="L328" s="398">
        <f t="shared" si="112"/>
        <v>4.1611392000000009</v>
      </c>
      <c r="M328" s="398">
        <f t="shared" si="112"/>
        <v>4.3289113600000011</v>
      </c>
      <c r="N328" s="398">
        <f t="shared" si="112"/>
        <v>4.4631290880000005</v>
      </c>
      <c r="O328" s="398">
        <f t="shared" si="112"/>
        <v>4.5705032704000006</v>
      </c>
      <c r="P328" s="398">
        <f t="shared" si="112"/>
        <v>4.6564026163200012</v>
      </c>
      <c r="Q328" s="398">
        <f t="shared" si="112"/>
        <v>4.7251220930560009</v>
      </c>
      <c r="R328" s="398">
        <f t="shared" si="112"/>
        <v>4.7800976744448009</v>
      </c>
      <c r="S328" s="398">
        <f t="shared" si="112"/>
        <v>4.8240781395558407</v>
      </c>
      <c r="T328" s="398">
        <f t="shared" si="112"/>
        <v>4.8592625116446726</v>
      </c>
      <c r="U328" s="398">
        <f t="shared" si="112"/>
        <v>4.8874100093157384</v>
      </c>
      <c r="V328" s="398">
        <f t="shared" si="112"/>
        <v>4.9099280074525904</v>
      </c>
      <c r="W328" s="398">
        <f t="shared" si="112"/>
        <v>4.9279424059620727</v>
      </c>
      <c r="X328" s="398">
        <f t="shared" si="112"/>
        <v>4.9423539247696588</v>
      </c>
      <c r="Y328" s="398">
        <f t="shared" si="112"/>
        <v>4.9538831398157273</v>
      </c>
      <c r="Z328" s="398">
        <f t="shared" si="112"/>
        <v>4.9631065118525814</v>
      </c>
      <c r="AA328" s="398">
        <f t="shared" si="112"/>
        <v>4.9704852094820655</v>
      </c>
      <c r="AB328" s="398">
        <f t="shared" si="112"/>
        <v>4.9763881675856521</v>
      </c>
      <c r="AC328" s="398">
        <f t="shared" si="112"/>
        <v>4.981110534068522</v>
      </c>
      <c r="AD328" s="398">
        <f t="shared" si="112"/>
        <v>4.984888427254818</v>
      </c>
      <c r="AE328" s="398">
        <f t="shared" si="112"/>
        <v>4.9879107418038551</v>
      </c>
      <c r="AF328" s="398">
        <f t="shared" si="112"/>
        <v>4.9903285934430848</v>
      </c>
      <c r="AG328" s="398">
        <f t="shared" si="112"/>
        <v>4.9922628747544682</v>
      </c>
      <c r="AH328" s="398">
        <f t="shared" si="112"/>
        <v>4.9938102998035747</v>
      </c>
      <c r="AI328" s="398">
        <f t="shared" si="112"/>
        <v>4.9950482398428599</v>
      </c>
      <c r="AJ328" s="398">
        <f t="shared" si="112"/>
        <v>4.9960385918742887</v>
      </c>
      <c r="AK328" s="398">
        <f t="shared" si="112"/>
        <v>4.9968308734994311</v>
      </c>
      <c r="AL328" s="398">
        <f t="shared" si="112"/>
        <v>4.9974646987995452</v>
      </c>
      <c r="AM328" s="398">
        <f t="shared" si="112"/>
        <v>4.9979717590396362</v>
      </c>
      <c r="AN328" s="398">
        <f t="shared" si="112"/>
        <v>4.9983774072317093</v>
      </c>
      <c r="AP328" s="21"/>
    </row>
    <row r="329" spans="2:42" x14ac:dyDescent="0.25">
      <c r="C329" s="22" t="s">
        <v>456</v>
      </c>
      <c r="D329" s="34" t="s">
        <v>162</v>
      </c>
      <c r="E329" s="399">
        <v>0</v>
      </c>
      <c r="F329" s="399">
        <f t="shared" ref="F329:AN329" si="113">E329*(1-F$322)+1</f>
        <v>1</v>
      </c>
      <c r="G329" s="399">
        <f t="shared" si="113"/>
        <v>1.8</v>
      </c>
      <c r="H329" s="399">
        <f t="shared" si="113"/>
        <v>2.4400000000000004</v>
      </c>
      <c r="I329" s="399">
        <f t="shared" si="113"/>
        <v>2.9520000000000004</v>
      </c>
      <c r="J329" s="399">
        <f t="shared" si="113"/>
        <v>3.3616000000000006</v>
      </c>
      <c r="K329" s="399">
        <f t="shared" si="113"/>
        <v>3.6892800000000006</v>
      </c>
      <c r="L329" s="399">
        <f t="shared" si="113"/>
        <v>3.9514240000000007</v>
      </c>
      <c r="M329" s="399">
        <f t="shared" si="113"/>
        <v>4.1611392000000009</v>
      </c>
      <c r="N329" s="399">
        <f t="shared" si="113"/>
        <v>4.3289113600000011</v>
      </c>
      <c r="O329" s="399">
        <f t="shared" si="113"/>
        <v>4.4631290880000005</v>
      </c>
      <c r="P329" s="399">
        <f t="shared" si="113"/>
        <v>4.5705032704000006</v>
      </c>
      <c r="Q329" s="399">
        <f t="shared" si="113"/>
        <v>4.6564026163200012</v>
      </c>
      <c r="R329" s="399">
        <f t="shared" si="113"/>
        <v>4.7251220930560009</v>
      </c>
      <c r="S329" s="399">
        <f t="shared" si="113"/>
        <v>4.7800976744448009</v>
      </c>
      <c r="T329" s="399">
        <f t="shared" si="113"/>
        <v>4.8240781395558407</v>
      </c>
      <c r="U329" s="399">
        <f t="shared" si="113"/>
        <v>4.8592625116446726</v>
      </c>
      <c r="V329" s="399">
        <f t="shared" si="113"/>
        <v>4.8874100093157384</v>
      </c>
      <c r="W329" s="399">
        <f t="shared" si="113"/>
        <v>4.9099280074525904</v>
      </c>
      <c r="X329" s="399">
        <f t="shared" si="113"/>
        <v>4.9279424059620727</v>
      </c>
      <c r="Y329" s="399">
        <f t="shared" si="113"/>
        <v>4.9423539247696588</v>
      </c>
      <c r="Z329" s="399">
        <f t="shared" si="113"/>
        <v>4.9538831398157273</v>
      </c>
      <c r="AA329" s="399">
        <f t="shared" si="113"/>
        <v>4.9631065118525814</v>
      </c>
      <c r="AB329" s="399">
        <f t="shared" si="113"/>
        <v>4.9704852094820655</v>
      </c>
      <c r="AC329" s="399">
        <f t="shared" si="113"/>
        <v>4.9763881675856521</v>
      </c>
      <c r="AD329" s="399">
        <f t="shared" si="113"/>
        <v>4.981110534068522</v>
      </c>
      <c r="AE329" s="399">
        <f t="shared" si="113"/>
        <v>4.984888427254818</v>
      </c>
      <c r="AF329" s="399">
        <f t="shared" si="113"/>
        <v>4.9879107418038551</v>
      </c>
      <c r="AG329" s="399">
        <f t="shared" si="113"/>
        <v>4.9903285934430848</v>
      </c>
      <c r="AH329" s="399">
        <f t="shared" si="113"/>
        <v>4.9922628747544682</v>
      </c>
      <c r="AI329" s="399">
        <f t="shared" si="113"/>
        <v>4.9938102998035747</v>
      </c>
      <c r="AJ329" s="399">
        <f t="shared" si="113"/>
        <v>4.9950482398428599</v>
      </c>
      <c r="AK329" s="399">
        <f t="shared" si="113"/>
        <v>4.9960385918742887</v>
      </c>
      <c r="AL329" s="399">
        <f t="shared" si="113"/>
        <v>4.9968308734994311</v>
      </c>
      <c r="AM329" s="399">
        <f t="shared" si="113"/>
        <v>4.9974646987995452</v>
      </c>
      <c r="AN329" s="399">
        <f t="shared" si="113"/>
        <v>4.9979717590396362</v>
      </c>
      <c r="AP329" s="26"/>
    </row>
    <row r="330" spans="2:42" s="74" customFormat="1" x14ac:dyDescent="0.25">
      <c r="B330" s="99" t="s">
        <v>9</v>
      </c>
      <c r="C330" s="311" t="s">
        <v>627</v>
      </c>
      <c r="D330" s="318"/>
      <c r="E330" s="402"/>
      <c r="F330" s="402"/>
      <c r="G330" s="402"/>
      <c r="H330" s="402"/>
      <c r="I330" s="402"/>
      <c r="J330" s="402"/>
      <c r="K330" s="402"/>
      <c r="L330" s="402"/>
      <c r="M330" s="402"/>
      <c r="N330" s="402"/>
      <c r="O330" s="402"/>
      <c r="P330" s="402"/>
      <c r="Q330" s="402"/>
      <c r="R330" s="402"/>
      <c r="S330" s="402"/>
      <c r="T330" s="402"/>
      <c r="U330" s="402"/>
      <c r="V330" s="402"/>
      <c r="W330" s="402"/>
      <c r="X330" s="402"/>
      <c r="Y330" s="402"/>
      <c r="Z330" s="402"/>
      <c r="AA330" s="402"/>
      <c r="AB330" s="402"/>
      <c r="AC330" s="402"/>
      <c r="AD330" s="402"/>
      <c r="AE330" s="402"/>
      <c r="AF330" s="402"/>
      <c r="AG330" s="402"/>
      <c r="AH330" s="402"/>
      <c r="AI330" s="402"/>
      <c r="AJ330" s="402"/>
      <c r="AK330" s="402"/>
      <c r="AL330" s="402"/>
      <c r="AM330" s="402"/>
      <c r="AN330" s="402"/>
      <c r="AP330" s="311"/>
    </row>
    <row r="331" spans="2:42" x14ac:dyDescent="0.25">
      <c r="C331" s="20" t="s">
        <v>600</v>
      </c>
      <c r="D331" s="34" t="s">
        <v>162</v>
      </c>
      <c r="E331" s="397">
        <v>5</v>
      </c>
      <c r="F331" s="397">
        <f>E331*(1-F$322)+1</f>
        <v>5</v>
      </c>
      <c r="G331" s="397">
        <f t="shared" ref="G331:AN331" si="114">F331*(1-G$322)+1</f>
        <v>5</v>
      </c>
      <c r="H331" s="397">
        <f t="shared" si="114"/>
        <v>5</v>
      </c>
      <c r="I331" s="397">
        <f t="shared" si="114"/>
        <v>5</v>
      </c>
      <c r="J331" s="397">
        <f t="shared" si="114"/>
        <v>5</v>
      </c>
      <c r="K331" s="397">
        <f t="shared" si="114"/>
        <v>5</v>
      </c>
      <c r="L331" s="397">
        <f t="shared" si="114"/>
        <v>5</v>
      </c>
      <c r="M331" s="397">
        <f t="shared" si="114"/>
        <v>5</v>
      </c>
      <c r="N331" s="397">
        <f t="shared" si="114"/>
        <v>5</v>
      </c>
      <c r="O331" s="397">
        <f t="shared" si="114"/>
        <v>5</v>
      </c>
      <c r="P331" s="397">
        <f t="shared" si="114"/>
        <v>5</v>
      </c>
      <c r="Q331" s="397">
        <f t="shared" si="114"/>
        <v>5</v>
      </c>
      <c r="R331" s="397">
        <f t="shared" si="114"/>
        <v>5</v>
      </c>
      <c r="S331" s="397">
        <f t="shared" si="114"/>
        <v>5</v>
      </c>
      <c r="T331" s="397">
        <f t="shared" si="114"/>
        <v>5</v>
      </c>
      <c r="U331" s="397">
        <f t="shared" si="114"/>
        <v>5</v>
      </c>
      <c r="V331" s="397">
        <f t="shared" si="114"/>
        <v>5</v>
      </c>
      <c r="W331" s="397">
        <f t="shared" si="114"/>
        <v>5</v>
      </c>
      <c r="X331" s="397">
        <f t="shared" si="114"/>
        <v>5</v>
      </c>
      <c r="Y331" s="397">
        <f t="shared" si="114"/>
        <v>5</v>
      </c>
      <c r="Z331" s="397">
        <f t="shared" si="114"/>
        <v>5</v>
      </c>
      <c r="AA331" s="397">
        <f t="shared" si="114"/>
        <v>5</v>
      </c>
      <c r="AB331" s="397">
        <f t="shared" si="114"/>
        <v>5</v>
      </c>
      <c r="AC331" s="397">
        <f t="shared" si="114"/>
        <v>5</v>
      </c>
      <c r="AD331" s="397">
        <f t="shared" si="114"/>
        <v>5</v>
      </c>
      <c r="AE331" s="397">
        <f t="shared" si="114"/>
        <v>5</v>
      </c>
      <c r="AF331" s="397">
        <f t="shared" si="114"/>
        <v>5</v>
      </c>
      <c r="AG331" s="397">
        <f t="shared" si="114"/>
        <v>5</v>
      </c>
      <c r="AH331" s="397">
        <f t="shared" si="114"/>
        <v>5</v>
      </c>
      <c r="AI331" s="397">
        <f t="shared" si="114"/>
        <v>5</v>
      </c>
      <c r="AJ331" s="397">
        <f t="shared" si="114"/>
        <v>5</v>
      </c>
      <c r="AK331" s="397">
        <f t="shared" si="114"/>
        <v>5</v>
      </c>
      <c r="AL331" s="397">
        <f t="shared" si="114"/>
        <v>5</v>
      </c>
      <c r="AM331" s="397">
        <f t="shared" si="114"/>
        <v>5</v>
      </c>
      <c r="AN331" s="397">
        <f t="shared" si="114"/>
        <v>5</v>
      </c>
      <c r="AP331" s="20"/>
    </row>
    <row r="332" spans="2:42" x14ac:dyDescent="0.25">
      <c r="C332" s="20" t="s">
        <v>392</v>
      </c>
      <c r="D332" s="34" t="s">
        <v>162</v>
      </c>
      <c r="E332" s="398">
        <v>4</v>
      </c>
      <c r="F332" s="398">
        <f t="shared" ref="F332:AN332" si="115">E332*(1-F$322)+1</f>
        <v>4.2</v>
      </c>
      <c r="G332" s="398">
        <f t="shared" si="115"/>
        <v>4.3600000000000003</v>
      </c>
      <c r="H332" s="398">
        <f t="shared" si="115"/>
        <v>4.4880000000000004</v>
      </c>
      <c r="I332" s="398">
        <f t="shared" si="115"/>
        <v>4.5904000000000007</v>
      </c>
      <c r="J332" s="398">
        <f t="shared" si="115"/>
        <v>4.6723200000000009</v>
      </c>
      <c r="K332" s="398">
        <f t="shared" si="115"/>
        <v>4.7378560000000007</v>
      </c>
      <c r="L332" s="398">
        <f t="shared" si="115"/>
        <v>4.7902848000000002</v>
      </c>
      <c r="M332" s="398">
        <f t="shared" si="115"/>
        <v>4.8322278399999998</v>
      </c>
      <c r="N332" s="398">
        <f t="shared" si="115"/>
        <v>4.8657822720000006</v>
      </c>
      <c r="O332" s="398">
        <f t="shared" si="115"/>
        <v>4.8926258176000008</v>
      </c>
      <c r="P332" s="398">
        <f t="shared" si="115"/>
        <v>4.9141006540800003</v>
      </c>
      <c r="Q332" s="398">
        <f t="shared" si="115"/>
        <v>4.9312805232640002</v>
      </c>
      <c r="R332" s="398">
        <f t="shared" si="115"/>
        <v>4.9450244186112009</v>
      </c>
      <c r="S332" s="398">
        <f t="shared" si="115"/>
        <v>4.9560195348889611</v>
      </c>
      <c r="T332" s="398">
        <f t="shared" si="115"/>
        <v>4.964815627911169</v>
      </c>
      <c r="U332" s="398">
        <f t="shared" si="115"/>
        <v>4.9718525023289359</v>
      </c>
      <c r="V332" s="398">
        <f t="shared" si="115"/>
        <v>4.9774820018631489</v>
      </c>
      <c r="W332" s="398">
        <f t="shared" si="115"/>
        <v>4.9819856014905195</v>
      </c>
      <c r="X332" s="398">
        <f t="shared" si="115"/>
        <v>4.9855884811924156</v>
      </c>
      <c r="Y332" s="398">
        <f t="shared" si="115"/>
        <v>4.9884707849539325</v>
      </c>
      <c r="Z332" s="398">
        <f t="shared" si="115"/>
        <v>4.9907766279631467</v>
      </c>
      <c r="AA332" s="398">
        <f t="shared" si="115"/>
        <v>4.9926213023705177</v>
      </c>
      <c r="AB332" s="398">
        <f t="shared" si="115"/>
        <v>4.9940970418964143</v>
      </c>
      <c r="AC332" s="398">
        <f t="shared" si="115"/>
        <v>4.9952776335171318</v>
      </c>
      <c r="AD332" s="398">
        <f t="shared" si="115"/>
        <v>4.9962221068137058</v>
      </c>
      <c r="AE332" s="398">
        <f t="shared" si="115"/>
        <v>4.9969776854509647</v>
      </c>
      <c r="AF332" s="398">
        <f t="shared" si="115"/>
        <v>4.9975821483607721</v>
      </c>
      <c r="AG332" s="398">
        <f t="shared" si="115"/>
        <v>4.9980657186886184</v>
      </c>
      <c r="AH332" s="398">
        <f t="shared" si="115"/>
        <v>4.9984525749508943</v>
      </c>
      <c r="AI332" s="398">
        <f t="shared" si="115"/>
        <v>4.9987620599607157</v>
      </c>
      <c r="AJ332" s="398">
        <f t="shared" si="115"/>
        <v>4.9990096479685722</v>
      </c>
      <c r="AK332" s="398">
        <f t="shared" si="115"/>
        <v>4.9992077183748584</v>
      </c>
      <c r="AL332" s="398">
        <f t="shared" si="115"/>
        <v>4.9993661746998868</v>
      </c>
      <c r="AM332" s="398">
        <f t="shared" si="115"/>
        <v>4.999492939759909</v>
      </c>
      <c r="AN332" s="398">
        <f t="shared" si="115"/>
        <v>4.9995943518079269</v>
      </c>
      <c r="AP332" s="21"/>
    </row>
    <row r="333" spans="2:42" x14ac:dyDescent="0.25">
      <c r="C333" s="20" t="s">
        <v>454</v>
      </c>
      <c r="D333" s="34" t="s">
        <v>162</v>
      </c>
      <c r="E333" s="398">
        <v>3</v>
      </c>
      <c r="F333" s="398">
        <f t="shared" ref="F333:AN333" si="116">E333*(1-F$322)+1</f>
        <v>3.4000000000000004</v>
      </c>
      <c r="G333" s="398">
        <f t="shared" si="116"/>
        <v>3.7200000000000006</v>
      </c>
      <c r="H333" s="398">
        <f t="shared" si="116"/>
        <v>3.9760000000000009</v>
      </c>
      <c r="I333" s="398">
        <f t="shared" si="116"/>
        <v>4.1808000000000014</v>
      </c>
      <c r="J333" s="398">
        <f t="shared" si="116"/>
        <v>4.3446400000000018</v>
      </c>
      <c r="K333" s="398">
        <f t="shared" si="116"/>
        <v>4.4757120000000015</v>
      </c>
      <c r="L333" s="398">
        <f t="shared" si="116"/>
        <v>4.5805696000000014</v>
      </c>
      <c r="M333" s="398">
        <f t="shared" si="116"/>
        <v>4.6644556800000014</v>
      </c>
      <c r="N333" s="398">
        <f t="shared" si="116"/>
        <v>4.7315645440000011</v>
      </c>
      <c r="O333" s="398">
        <f t="shared" si="116"/>
        <v>4.7852516352000016</v>
      </c>
      <c r="P333" s="398">
        <f t="shared" si="116"/>
        <v>4.8282013081600015</v>
      </c>
      <c r="Q333" s="398">
        <f t="shared" si="116"/>
        <v>4.8625610465280014</v>
      </c>
      <c r="R333" s="398">
        <f t="shared" si="116"/>
        <v>4.8900488372224018</v>
      </c>
      <c r="S333" s="398">
        <f t="shared" si="116"/>
        <v>4.9120390697779222</v>
      </c>
      <c r="T333" s="398">
        <f t="shared" si="116"/>
        <v>4.9296312558223381</v>
      </c>
      <c r="U333" s="398">
        <f t="shared" si="116"/>
        <v>4.9437050046578701</v>
      </c>
      <c r="V333" s="398">
        <f t="shared" si="116"/>
        <v>4.9549640037262961</v>
      </c>
      <c r="W333" s="398">
        <f t="shared" si="116"/>
        <v>4.9639712029810372</v>
      </c>
      <c r="X333" s="398">
        <f t="shared" si="116"/>
        <v>4.9711769623848294</v>
      </c>
      <c r="Y333" s="398">
        <f t="shared" si="116"/>
        <v>4.9769415699078632</v>
      </c>
      <c r="Z333" s="398">
        <f t="shared" si="116"/>
        <v>4.9815532559262907</v>
      </c>
      <c r="AA333" s="398">
        <f t="shared" si="116"/>
        <v>4.9852426047410328</v>
      </c>
      <c r="AB333" s="398">
        <f t="shared" si="116"/>
        <v>4.9881940837928269</v>
      </c>
      <c r="AC333" s="398">
        <f t="shared" si="116"/>
        <v>4.9905552670342619</v>
      </c>
      <c r="AD333" s="398">
        <f t="shared" si="116"/>
        <v>4.9924442136274099</v>
      </c>
      <c r="AE333" s="398">
        <f t="shared" si="116"/>
        <v>4.9939553709019275</v>
      </c>
      <c r="AF333" s="398">
        <f t="shared" si="116"/>
        <v>4.9951642967215424</v>
      </c>
      <c r="AG333" s="398">
        <f t="shared" si="116"/>
        <v>4.9961314373772341</v>
      </c>
      <c r="AH333" s="398">
        <f t="shared" si="116"/>
        <v>4.9969051499017869</v>
      </c>
      <c r="AI333" s="398">
        <f t="shared" si="116"/>
        <v>4.9975241199214295</v>
      </c>
      <c r="AJ333" s="398">
        <f t="shared" si="116"/>
        <v>4.9980192959371443</v>
      </c>
      <c r="AK333" s="398">
        <f t="shared" si="116"/>
        <v>4.9984154367497151</v>
      </c>
      <c r="AL333" s="398">
        <f t="shared" si="116"/>
        <v>4.9987323493997717</v>
      </c>
      <c r="AM333" s="398">
        <f t="shared" si="116"/>
        <v>4.9989858795198181</v>
      </c>
      <c r="AN333" s="398">
        <f t="shared" si="116"/>
        <v>4.9991887036158547</v>
      </c>
      <c r="AP333" s="21"/>
    </row>
    <row r="334" spans="2:42" x14ac:dyDescent="0.25">
      <c r="C334" s="21" t="s">
        <v>455</v>
      </c>
      <c r="D334" s="34" t="s">
        <v>162</v>
      </c>
      <c r="E334" s="398">
        <v>2</v>
      </c>
      <c r="F334" s="398">
        <f t="shared" ref="F334:AN334" si="117">E334*(1-F$322)+1</f>
        <v>2.6</v>
      </c>
      <c r="G334" s="398">
        <f t="shared" si="117"/>
        <v>3.08</v>
      </c>
      <c r="H334" s="398">
        <f t="shared" si="117"/>
        <v>3.4640000000000004</v>
      </c>
      <c r="I334" s="398">
        <f t="shared" si="117"/>
        <v>3.7712000000000003</v>
      </c>
      <c r="J334" s="398">
        <f t="shared" si="117"/>
        <v>4.016960000000001</v>
      </c>
      <c r="K334" s="398">
        <f t="shared" si="117"/>
        <v>4.2135680000000004</v>
      </c>
      <c r="L334" s="398">
        <f t="shared" si="117"/>
        <v>4.3708544000000007</v>
      </c>
      <c r="M334" s="398">
        <f t="shared" si="117"/>
        <v>4.4966835200000013</v>
      </c>
      <c r="N334" s="398">
        <f t="shared" si="117"/>
        <v>4.5973468160000017</v>
      </c>
      <c r="O334" s="398">
        <f t="shared" si="117"/>
        <v>4.6778774528000016</v>
      </c>
      <c r="P334" s="398">
        <f t="shared" si="117"/>
        <v>4.7423019622400009</v>
      </c>
      <c r="Q334" s="398">
        <f t="shared" si="117"/>
        <v>4.7938415697920007</v>
      </c>
      <c r="R334" s="398">
        <f t="shared" si="117"/>
        <v>4.8350732558336009</v>
      </c>
      <c r="S334" s="398">
        <f t="shared" si="117"/>
        <v>4.8680586046668815</v>
      </c>
      <c r="T334" s="398">
        <f t="shared" si="117"/>
        <v>4.8944468837335053</v>
      </c>
      <c r="U334" s="398">
        <f t="shared" si="117"/>
        <v>4.9155575069868043</v>
      </c>
      <c r="V334" s="398">
        <f t="shared" si="117"/>
        <v>4.9324460055894441</v>
      </c>
      <c r="W334" s="398">
        <f t="shared" si="117"/>
        <v>4.9459568044715549</v>
      </c>
      <c r="X334" s="398">
        <f t="shared" si="117"/>
        <v>4.9567654435772441</v>
      </c>
      <c r="Y334" s="398">
        <f t="shared" si="117"/>
        <v>4.9654123548617957</v>
      </c>
      <c r="Z334" s="398">
        <f t="shared" si="117"/>
        <v>4.9723298838894365</v>
      </c>
      <c r="AA334" s="398">
        <f t="shared" si="117"/>
        <v>4.9778639071115496</v>
      </c>
      <c r="AB334" s="398">
        <f t="shared" si="117"/>
        <v>4.9822911256892404</v>
      </c>
      <c r="AC334" s="398">
        <f t="shared" si="117"/>
        <v>4.9858329005513919</v>
      </c>
      <c r="AD334" s="398">
        <f t="shared" si="117"/>
        <v>4.9886663204411139</v>
      </c>
      <c r="AE334" s="398">
        <f t="shared" si="117"/>
        <v>4.9909330563528913</v>
      </c>
      <c r="AF334" s="398">
        <f t="shared" si="117"/>
        <v>4.9927464450823127</v>
      </c>
      <c r="AG334" s="398">
        <f t="shared" si="117"/>
        <v>4.9941971560658498</v>
      </c>
      <c r="AH334" s="398">
        <f t="shared" si="117"/>
        <v>4.9953577248526795</v>
      </c>
      <c r="AI334" s="398">
        <f t="shared" si="117"/>
        <v>4.9962861798821443</v>
      </c>
      <c r="AJ334" s="398">
        <f t="shared" si="117"/>
        <v>4.9970289439057156</v>
      </c>
      <c r="AK334" s="398">
        <f t="shared" si="117"/>
        <v>4.9976231551245727</v>
      </c>
      <c r="AL334" s="398">
        <f t="shared" si="117"/>
        <v>4.9980985240996585</v>
      </c>
      <c r="AM334" s="398">
        <f t="shared" si="117"/>
        <v>4.9984788192797271</v>
      </c>
      <c r="AN334" s="398">
        <f t="shared" si="117"/>
        <v>4.9987830554237824</v>
      </c>
      <c r="AP334" s="21"/>
    </row>
    <row r="335" spans="2:42" x14ac:dyDescent="0.25">
      <c r="C335" s="21" t="s">
        <v>393</v>
      </c>
      <c r="D335" s="34" t="s">
        <v>162</v>
      </c>
      <c r="E335" s="398">
        <v>1</v>
      </c>
      <c r="F335" s="398">
        <f t="shared" ref="F335:AN335" si="118">E335*(1-F$322)+1</f>
        <v>1.8</v>
      </c>
      <c r="G335" s="398">
        <f t="shared" si="118"/>
        <v>2.4400000000000004</v>
      </c>
      <c r="H335" s="398">
        <f t="shared" si="118"/>
        <v>2.9520000000000004</v>
      </c>
      <c r="I335" s="398">
        <f t="shared" si="118"/>
        <v>3.3616000000000006</v>
      </c>
      <c r="J335" s="398">
        <f t="shared" si="118"/>
        <v>3.6892800000000006</v>
      </c>
      <c r="K335" s="398">
        <f t="shared" si="118"/>
        <v>3.9514240000000007</v>
      </c>
      <c r="L335" s="398">
        <f t="shared" si="118"/>
        <v>4.1611392000000009</v>
      </c>
      <c r="M335" s="398">
        <f t="shared" si="118"/>
        <v>4.3289113600000011</v>
      </c>
      <c r="N335" s="398">
        <f t="shared" si="118"/>
        <v>4.4631290880000005</v>
      </c>
      <c r="O335" s="398">
        <f t="shared" si="118"/>
        <v>4.5705032704000006</v>
      </c>
      <c r="P335" s="398">
        <f t="shared" si="118"/>
        <v>4.6564026163200012</v>
      </c>
      <c r="Q335" s="398">
        <f t="shared" si="118"/>
        <v>4.7251220930560009</v>
      </c>
      <c r="R335" s="398">
        <f t="shared" si="118"/>
        <v>4.7800976744448009</v>
      </c>
      <c r="S335" s="398">
        <f t="shared" si="118"/>
        <v>4.8240781395558407</v>
      </c>
      <c r="T335" s="398">
        <f t="shared" si="118"/>
        <v>4.8592625116446726</v>
      </c>
      <c r="U335" s="398">
        <f t="shared" si="118"/>
        <v>4.8874100093157384</v>
      </c>
      <c r="V335" s="398">
        <f t="shared" si="118"/>
        <v>4.9099280074525904</v>
      </c>
      <c r="W335" s="398">
        <f t="shared" si="118"/>
        <v>4.9279424059620727</v>
      </c>
      <c r="X335" s="398">
        <f t="shared" si="118"/>
        <v>4.9423539247696588</v>
      </c>
      <c r="Y335" s="398">
        <f t="shared" si="118"/>
        <v>4.9538831398157273</v>
      </c>
      <c r="Z335" s="398">
        <f t="shared" si="118"/>
        <v>4.9631065118525814</v>
      </c>
      <c r="AA335" s="398">
        <f t="shared" si="118"/>
        <v>4.9704852094820655</v>
      </c>
      <c r="AB335" s="398">
        <f t="shared" si="118"/>
        <v>4.9763881675856521</v>
      </c>
      <c r="AC335" s="398">
        <f t="shared" si="118"/>
        <v>4.981110534068522</v>
      </c>
      <c r="AD335" s="398">
        <f t="shared" si="118"/>
        <v>4.984888427254818</v>
      </c>
      <c r="AE335" s="398">
        <f t="shared" si="118"/>
        <v>4.9879107418038551</v>
      </c>
      <c r="AF335" s="398">
        <f t="shared" si="118"/>
        <v>4.9903285934430848</v>
      </c>
      <c r="AG335" s="398">
        <f t="shared" si="118"/>
        <v>4.9922628747544682</v>
      </c>
      <c r="AH335" s="398">
        <f t="shared" si="118"/>
        <v>4.9938102998035747</v>
      </c>
      <c r="AI335" s="398">
        <f t="shared" si="118"/>
        <v>4.9950482398428599</v>
      </c>
      <c r="AJ335" s="398">
        <f t="shared" si="118"/>
        <v>4.9960385918742887</v>
      </c>
      <c r="AK335" s="398">
        <f t="shared" si="118"/>
        <v>4.9968308734994311</v>
      </c>
      <c r="AL335" s="398">
        <f t="shared" si="118"/>
        <v>4.9974646987995452</v>
      </c>
      <c r="AM335" s="398">
        <f t="shared" si="118"/>
        <v>4.9979717590396362</v>
      </c>
      <c r="AN335" s="398">
        <f t="shared" si="118"/>
        <v>4.9983774072317093</v>
      </c>
      <c r="AP335" s="21"/>
    </row>
    <row r="336" spans="2:42" x14ac:dyDescent="0.25">
      <c r="C336" s="22" t="s">
        <v>456</v>
      </c>
      <c r="D336" s="34" t="s">
        <v>162</v>
      </c>
      <c r="E336" s="399">
        <v>0</v>
      </c>
      <c r="F336" s="399">
        <f t="shared" ref="F336:AN336" si="119">E336*(1-F$322)+1</f>
        <v>1</v>
      </c>
      <c r="G336" s="399">
        <f t="shared" si="119"/>
        <v>1.8</v>
      </c>
      <c r="H336" s="399">
        <f t="shared" si="119"/>
        <v>2.4400000000000004</v>
      </c>
      <c r="I336" s="399">
        <f t="shared" si="119"/>
        <v>2.9520000000000004</v>
      </c>
      <c r="J336" s="399">
        <f t="shared" si="119"/>
        <v>3.3616000000000006</v>
      </c>
      <c r="K336" s="399">
        <f t="shared" si="119"/>
        <v>3.6892800000000006</v>
      </c>
      <c r="L336" s="399">
        <f t="shared" si="119"/>
        <v>3.9514240000000007</v>
      </c>
      <c r="M336" s="399">
        <f t="shared" si="119"/>
        <v>4.1611392000000009</v>
      </c>
      <c r="N336" s="399">
        <f t="shared" si="119"/>
        <v>4.3289113600000011</v>
      </c>
      <c r="O336" s="399">
        <f t="shared" si="119"/>
        <v>4.4631290880000005</v>
      </c>
      <c r="P336" s="399">
        <f t="shared" si="119"/>
        <v>4.5705032704000006</v>
      </c>
      <c r="Q336" s="399">
        <f t="shared" si="119"/>
        <v>4.6564026163200012</v>
      </c>
      <c r="R336" s="399">
        <f t="shared" si="119"/>
        <v>4.7251220930560009</v>
      </c>
      <c r="S336" s="399">
        <f t="shared" si="119"/>
        <v>4.7800976744448009</v>
      </c>
      <c r="T336" s="399">
        <f t="shared" si="119"/>
        <v>4.8240781395558407</v>
      </c>
      <c r="U336" s="399">
        <f t="shared" si="119"/>
        <v>4.8592625116446726</v>
      </c>
      <c r="V336" s="399">
        <f t="shared" si="119"/>
        <v>4.8874100093157384</v>
      </c>
      <c r="W336" s="399">
        <f t="shared" si="119"/>
        <v>4.9099280074525904</v>
      </c>
      <c r="X336" s="399">
        <f t="shared" si="119"/>
        <v>4.9279424059620727</v>
      </c>
      <c r="Y336" s="399">
        <f t="shared" si="119"/>
        <v>4.9423539247696588</v>
      </c>
      <c r="Z336" s="399">
        <f t="shared" si="119"/>
        <v>4.9538831398157273</v>
      </c>
      <c r="AA336" s="399">
        <f t="shared" si="119"/>
        <v>4.9631065118525814</v>
      </c>
      <c r="AB336" s="399">
        <f t="shared" si="119"/>
        <v>4.9704852094820655</v>
      </c>
      <c r="AC336" s="399">
        <f t="shared" si="119"/>
        <v>4.9763881675856521</v>
      </c>
      <c r="AD336" s="399">
        <f t="shared" si="119"/>
        <v>4.981110534068522</v>
      </c>
      <c r="AE336" s="399">
        <f t="shared" si="119"/>
        <v>4.984888427254818</v>
      </c>
      <c r="AF336" s="399">
        <f t="shared" si="119"/>
        <v>4.9879107418038551</v>
      </c>
      <c r="AG336" s="399">
        <f t="shared" si="119"/>
        <v>4.9903285934430848</v>
      </c>
      <c r="AH336" s="399">
        <f t="shared" si="119"/>
        <v>4.9922628747544682</v>
      </c>
      <c r="AI336" s="399">
        <f t="shared" si="119"/>
        <v>4.9938102998035747</v>
      </c>
      <c r="AJ336" s="399">
        <f t="shared" si="119"/>
        <v>4.9950482398428599</v>
      </c>
      <c r="AK336" s="399">
        <f t="shared" si="119"/>
        <v>4.9960385918742887</v>
      </c>
      <c r="AL336" s="399">
        <f t="shared" si="119"/>
        <v>4.9968308734994311</v>
      </c>
      <c r="AM336" s="399">
        <f t="shared" si="119"/>
        <v>4.9974646987995452</v>
      </c>
      <c r="AN336" s="399">
        <f t="shared" si="119"/>
        <v>4.9979717590396362</v>
      </c>
      <c r="AP336" s="26"/>
    </row>
    <row r="337" spans="2:42" s="74" customFormat="1" x14ac:dyDescent="0.25">
      <c r="B337" s="99" t="s">
        <v>9</v>
      </c>
      <c r="C337" s="311" t="s">
        <v>628</v>
      </c>
      <c r="D337" s="318"/>
      <c r="E337" s="402"/>
      <c r="F337" s="402"/>
      <c r="G337" s="402"/>
      <c r="H337" s="402"/>
      <c r="I337" s="402"/>
      <c r="J337" s="402"/>
      <c r="K337" s="402"/>
      <c r="L337" s="402"/>
      <c r="M337" s="402"/>
      <c r="N337" s="402"/>
      <c r="O337" s="402"/>
      <c r="P337" s="402"/>
      <c r="Q337" s="402"/>
      <c r="R337" s="402"/>
      <c r="S337" s="402"/>
      <c r="T337" s="402"/>
      <c r="U337" s="402"/>
      <c r="V337" s="402"/>
      <c r="W337" s="402"/>
      <c r="X337" s="402"/>
      <c r="Y337" s="402"/>
      <c r="Z337" s="402"/>
      <c r="AA337" s="402"/>
      <c r="AB337" s="402"/>
      <c r="AC337" s="402"/>
      <c r="AD337" s="402"/>
      <c r="AE337" s="402"/>
      <c r="AF337" s="402"/>
      <c r="AG337" s="402"/>
      <c r="AH337" s="402"/>
      <c r="AI337" s="402"/>
      <c r="AJ337" s="402"/>
      <c r="AK337" s="402"/>
      <c r="AL337" s="402"/>
      <c r="AM337" s="402"/>
      <c r="AN337" s="402"/>
      <c r="AP337" s="311"/>
    </row>
    <row r="338" spans="2:42" x14ac:dyDescent="0.25">
      <c r="C338" s="20" t="s">
        <v>600</v>
      </c>
      <c r="D338" s="34" t="s">
        <v>162</v>
      </c>
      <c r="E338" s="397">
        <v>5</v>
      </c>
      <c r="F338" s="397">
        <f>E338*(1-F$322)+1</f>
        <v>5</v>
      </c>
      <c r="G338" s="397">
        <f t="shared" ref="G338:AN338" si="120">F338*(1-G$322)+1</f>
        <v>5</v>
      </c>
      <c r="H338" s="397">
        <f t="shared" si="120"/>
        <v>5</v>
      </c>
      <c r="I338" s="397">
        <f t="shared" si="120"/>
        <v>5</v>
      </c>
      <c r="J338" s="397">
        <f t="shared" si="120"/>
        <v>5</v>
      </c>
      <c r="K338" s="397">
        <f t="shared" si="120"/>
        <v>5</v>
      </c>
      <c r="L338" s="397">
        <f t="shared" si="120"/>
        <v>5</v>
      </c>
      <c r="M338" s="397">
        <f t="shared" si="120"/>
        <v>5</v>
      </c>
      <c r="N338" s="397">
        <f t="shared" si="120"/>
        <v>5</v>
      </c>
      <c r="O338" s="397">
        <f t="shared" si="120"/>
        <v>5</v>
      </c>
      <c r="P338" s="397">
        <f t="shared" si="120"/>
        <v>5</v>
      </c>
      <c r="Q338" s="397">
        <f t="shared" si="120"/>
        <v>5</v>
      </c>
      <c r="R338" s="397">
        <f t="shared" si="120"/>
        <v>5</v>
      </c>
      <c r="S338" s="397">
        <f t="shared" si="120"/>
        <v>5</v>
      </c>
      <c r="T338" s="397">
        <f t="shared" si="120"/>
        <v>5</v>
      </c>
      <c r="U338" s="397">
        <f t="shared" si="120"/>
        <v>5</v>
      </c>
      <c r="V338" s="397">
        <f t="shared" si="120"/>
        <v>5</v>
      </c>
      <c r="W338" s="397">
        <f t="shared" si="120"/>
        <v>5</v>
      </c>
      <c r="X338" s="397">
        <f t="shared" si="120"/>
        <v>5</v>
      </c>
      <c r="Y338" s="397">
        <f t="shared" si="120"/>
        <v>5</v>
      </c>
      <c r="Z338" s="397">
        <f t="shared" si="120"/>
        <v>5</v>
      </c>
      <c r="AA338" s="397">
        <f t="shared" si="120"/>
        <v>5</v>
      </c>
      <c r="AB338" s="397">
        <f t="shared" si="120"/>
        <v>5</v>
      </c>
      <c r="AC338" s="397">
        <f t="shared" si="120"/>
        <v>5</v>
      </c>
      <c r="AD338" s="397">
        <f t="shared" si="120"/>
        <v>5</v>
      </c>
      <c r="AE338" s="397">
        <f t="shared" si="120"/>
        <v>5</v>
      </c>
      <c r="AF338" s="397">
        <f t="shared" si="120"/>
        <v>5</v>
      </c>
      <c r="AG338" s="397">
        <f t="shared" si="120"/>
        <v>5</v>
      </c>
      <c r="AH338" s="397">
        <f t="shared" si="120"/>
        <v>5</v>
      </c>
      <c r="AI338" s="397">
        <f t="shared" si="120"/>
        <v>5</v>
      </c>
      <c r="AJ338" s="397">
        <f t="shared" si="120"/>
        <v>5</v>
      </c>
      <c r="AK338" s="397">
        <f t="shared" si="120"/>
        <v>5</v>
      </c>
      <c r="AL338" s="397">
        <f t="shared" si="120"/>
        <v>5</v>
      </c>
      <c r="AM338" s="397">
        <f t="shared" si="120"/>
        <v>5</v>
      </c>
      <c r="AN338" s="397">
        <f t="shared" si="120"/>
        <v>5</v>
      </c>
      <c r="AP338" s="20"/>
    </row>
    <row r="339" spans="2:42" x14ac:dyDescent="0.25">
      <c r="C339" s="20" t="s">
        <v>392</v>
      </c>
      <c r="D339" s="34" t="s">
        <v>162</v>
      </c>
      <c r="E339" s="398">
        <v>4</v>
      </c>
      <c r="F339" s="398">
        <f t="shared" ref="F339:AN339" si="121">E339*(1-F$322)+1</f>
        <v>4.2</v>
      </c>
      <c r="G339" s="398">
        <f t="shared" si="121"/>
        <v>4.3600000000000003</v>
      </c>
      <c r="H339" s="398">
        <f t="shared" si="121"/>
        <v>4.4880000000000004</v>
      </c>
      <c r="I339" s="398">
        <f t="shared" si="121"/>
        <v>4.5904000000000007</v>
      </c>
      <c r="J339" s="398">
        <f t="shared" si="121"/>
        <v>4.6723200000000009</v>
      </c>
      <c r="K339" s="398">
        <f t="shared" si="121"/>
        <v>4.7378560000000007</v>
      </c>
      <c r="L339" s="398">
        <f t="shared" si="121"/>
        <v>4.7902848000000002</v>
      </c>
      <c r="M339" s="398">
        <f t="shared" si="121"/>
        <v>4.8322278399999998</v>
      </c>
      <c r="N339" s="398">
        <f t="shared" si="121"/>
        <v>4.8657822720000006</v>
      </c>
      <c r="O339" s="398">
        <f t="shared" si="121"/>
        <v>4.8926258176000008</v>
      </c>
      <c r="P339" s="398">
        <f t="shared" si="121"/>
        <v>4.9141006540800003</v>
      </c>
      <c r="Q339" s="398">
        <f t="shared" si="121"/>
        <v>4.9312805232640002</v>
      </c>
      <c r="R339" s="398">
        <f t="shared" si="121"/>
        <v>4.9450244186112009</v>
      </c>
      <c r="S339" s="398">
        <f t="shared" si="121"/>
        <v>4.9560195348889611</v>
      </c>
      <c r="T339" s="398">
        <f t="shared" si="121"/>
        <v>4.964815627911169</v>
      </c>
      <c r="U339" s="398">
        <f t="shared" si="121"/>
        <v>4.9718525023289359</v>
      </c>
      <c r="V339" s="398">
        <f t="shared" si="121"/>
        <v>4.9774820018631489</v>
      </c>
      <c r="W339" s="398">
        <f t="shared" si="121"/>
        <v>4.9819856014905195</v>
      </c>
      <c r="X339" s="398">
        <f t="shared" si="121"/>
        <v>4.9855884811924156</v>
      </c>
      <c r="Y339" s="398">
        <f t="shared" si="121"/>
        <v>4.9884707849539325</v>
      </c>
      <c r="Z339" s="398">
        <f t="shared" si="121"/>
        <v>4.9907766279631467</v>
      </c>
      <c r="AA339" s="398">
        <f t="shared" si="121"/>
        <v>4.9926213023705177</v>
      </c>
      <c r="AB339" s="398">
        <f t="shared" si="121"/>
        <v>4.9940970418964143</v>
      </c>
      <c r="AC339" s="398">
        <f t="shared" si="121"/>
        <v>4.9952776335171318</v>
      </c>
      <c r="AD339" s="398">
        <f t="shared" si="121"/>
        <v>4.9962221068137058</v>
      </c>
      <c r="AE339" s="398">
        <f t="shared" si="121"/>
        <v>4.9969776854509647</v>
      </c>
      <c r="AF339" s="398">
        <f t="shared" si="121"/>
        <v>4.9975821483607721</v>
      </c>
      <c r="AG339" s="398">
        <f t="shared" si="121"/>
        <v>4.9980657186886184</v>
      </c>
      <c r="AH339" s="398">
        <f t="shared" si="121"/>
        <v>4.9984525749508943</v>
      </c>
      <c r="AI339" s="398">
        <f t="shared" si="121"/>
        <v>4.9987620599607157</v>
      </c>
      <c r="AJ339" s="398">
        <f t="shared" si="121"/>
        <v>4.9990096479685722</v>
      </c>
      <c r="AK339" s="398">
        <f t="shared" si="121"/>
        <v>4.9992077183748584</v>
      </c>
      <c r="AL339" s="398">
        <f t="shared" si="121"/>
        <v>4.9993661746998868</v>
      </c>
      <c r="AM339" s="398">
        <f t="shared" si="121"/>
        <v>4.999492939759909</v>
      </c>
      <c r="AN339" s="398">
        <f t="shared" si="121"/>
        <v>4.9995943518079269</v>
      </c>
      <c r="AP339" s="21"/>
    </row>
    <row r="340" spans="2:42" x14ac:dyDescent="0.25">
      <c r="C340" s="20" t="s">
        <v>454</v>
      </c>
      <c r="D340" s="34" t="s">
        <v>162</v>
      </c>
      <c r="E340" s="398">
        <v>3</v>
      </c>
      <c r="F340" s="398">
        <f t="shared" ref="F340:AN340" si="122">E340*(1-F$322)+1</f>
        <v>3.4000000000000004</v>
      </c>
      <c r="G340" s="398">
        <f t="shared" si="122"/>
        <v>3.7200000000000006</v>
      </c>
      <c r="H340" s="398">
        <f t="shared" si="122"/>
        <v>3.9760000000000009</v>
      </c>
      <c r="I340" s="398">
        <f t="shared" si="122"/>
        <v>4.1808000000000014</v>
      </c>
      <c r="J340" s="398">
        <f t="shared" si="122"/>
        <v>4.3446400000000018</v>
      </c>
      <c r="K340" s="398">
        <f t="shared" si="122"/>
        <v>4.4757120000000015</v>
      </c>
      <c r="L340" s="398">
        <f t="shared" si="122"/>
        <v>4.5805696000000014</v>
      </c>
      <c r="M340" s="398">
        <f t="shared" si="122"/>
        <v>4.6644556800000014</v>
      </c>
      <c r="N340" s="398">
        <f t="shared" si="122"/>
        <v>4.7315645440000011</v>
      </c>
      <c r="O340" s="398">
        <f t="shared" si="122"/>
        <v>4.7852516352000016</v>
      </c>
      <c r="P340" s="398">
        <f t="shared" si="122"/>
        <v>4.8282013081600015</v>
      </c>
      <c r="Q340" s="398">
        <f t="shared" si="122"/>
        <v>4.8625610465280014</v>
      </c>
      <c r="R340" s="398">
        <f t="shared" si="122"/>
        <v>4.8900488372224018</v>
      </c>
      <c r="S340" s="398">
        <f t="shared" si="122"/>
        <v>4.9120390697779222</v>
      </c>
      <c r="T340" s="398">
        <f t="shared" si="122"/>
        <v>4.9296312558223381</v>
      </c>
      <c r="U340" s="398">
        <f t="shared" si="122"/>
        <v>4.9437050046578701</v>
      </c>
      <c r="V340" s="398">
        <f t="shared" si="122"/>
        <v>4.9549640037262961</v>
      </c>
      <c r="W340" s="398">
        <f t="shared" si="122"/>
        <v>4.9639712029810372</v>
      </c>
      <c r="X340" s="398">
        <f t="shared" si="122"/>
        <v>4.9711769623848294</v>
      </c>
      <c r="Y340" s="398">
        <f t="shared" si="122"/>
        <v>4.9769415699078632</v>
      </c>
      <c r="Z340" s="398">
        <f t="shared" si="122"/>
        <v>4.9815532559262907</v>
      </c>
      <c r="AA340" s="398">
        <f t="shared" si="122"/>
        <v>4.9852426047410328</v>
      </c>
      <c r="AB340" s="398">
        <f t="shared" si="122"/>
        <v>4.9881940837928269</v>
      </c>
      <c r="AC340" s="398">
        <f t="shared" si="122"/>
        <v>4.9905552670342619</v>
      </c>
      <c r="AD340" s="398">
        <f t="shared" si="122"/>
        <v>4.9924442136274099</v>
      </c>
      <c r="AE340" s="398">
        <f t="shared" si="122"/>
        <v>4.9939553709019275</v>
      </c>
      <c r="AF340" s="398">
        <f t="shared" si="122"/>
        <v>4.9951642967215424</v>
      </c>
      <c r="AG340" s="398">
        <f t="shared" si="122"/>
        <v>4.9961314373772341</v>
      </c>
      <c r="AH340" s="398">
        <f t="shared" si="122"/>
        <v>4.9969051499017869</v>
      </c>
      <c r="AI340" s="398">
        <f t="shared" si="122"/>
        <v>4.9975241199214295</v>
      </c>
      <c r="AJ340" s="398">
        <f t="shared" si="122"/>
        <v>4.9980192959371443</v>
      </c>
      <c r="AK340" s="398">
        <f t="shared" si="122"/>
        <v>4.9984154367497151</v>
      </c>
      <c r="AL340" s="398">
        <f t="shared" si="122"/>
        <v>4.9987323493997717</v>
      </c>
      <c r="AM340" s="398">
        <f t="shared" si="122"/>
        <v>4.9989858795198181</v>
      </c>
      <c r="AN340" s="398">
        <f t="shared" si="122"/>
        <v>4.9991887036158547</v>
      </c>
      <c r="AP340" s="21"/>
    </row>
    <row r="341" spans="2:42" x14ac:dyDescent="0.25">
      <c r="C341" s="21" t="s">
        <v>455</v>
      </c>
      <c r="D341" s="34" t="s">
        <v>162</v>
      </c>
      <c r="E341" s="398">
        <v>2</v>
      </c>
      <c r="F341" s="398">
        <f t="shared" ref="F341:AN341" si="123">E341*(1-F$322)+1</f>
        <v>2.6</v>
      </c>
      <c r="G341" s="398">
        <f t="shared" si="123"/>
        <v>3.08</v>
      </c>
      <c r="H341" s="398">
        <f t="shared" si="123"/>
        <v>3.4640000000000004</v>
      </c>
      <c r="I341" s="398">
        <f t="shared" si="123"/>
        <v>3.7712000000000003</v>
      </c>
      <c r="J341" s="398">
        <f t="shared" si="123"/>
        <v>4.016960000000001</v>
      </c>
      <c r="K341" s="398">
        <f t="shared" si="123"/>
        <v>4.2135680000000004</v>
      </c>
      <c r="L341" s="398">
        <f t="shared" si="123"/>
        <v>4.3708544000000007</v>
      </c>
      <c r="M341" s="398">
        <f t="shared" si="123"/>
        <v>4.4966835200000013</v>
      </c>
      <c r="N341" s="398">
        <f t="shared" si="123"/>
        <v>4.5973468160000017</v>
      </c>
      <c r="O341" s="398">
        <f t="shared" si="123"/>
        <v>4.6778774528000016</v>
      </c>
      <c r="P341" s="398">
        <f t="shared" si="123"/>
        <v>4.7423019622400009</v>
      </c>
      <c r="Q341" s="398">
        <f t="shared" si="123"/>
        <v>4.7938415697920007</v>
      </c>
      <c r="R341" s="398">
        <f t="shared" si="123"/>
        <v>4.8350732558336009</v>
      </c>
      <c r="S341" s="398">
        <f t="shared" si="123"/>
        <v>4.8680586046668815</v>
      </c>
      <c r="T341" s="398">
        <f t="shared" si="123"/>
        <v>4.8944468837335053</v>
      </c>
      <c r="U341" s="398">
        <f t="shared" si="123"/>
        <v>4.9155575069868043</v>
      </c>
      <c r="V341" s="398">
        <f t="shared" si="123"/>
        <v>4.9324460055894441</v>
      </c>
      <c r="W341" s="398">
        <f t="shared" si="123"/>
        <v>4.9459568044715549</v>
      </c>
      <c r="X341" s="398">
        <f t="shared" si="123"/>
        <v>4.9567654435772441</v>
      </c>
      <c r="Y341" s="398">
        <f t="shared" si="123"/>
        <v>4.9654123548617957</v>
      </c>
      <c r="Z341" s="398">
        <f t="shared" si="123"/>
        <v>4.9723298838894365</v>
      </c>
      <c r="AA341" s="398">
        <f t="shared" si="123"/>
        <v>4.9778639071115496</v>
      </c>
      <c r="AB341" s="398">
        <f t="shared" si="123"/>
        <v>4.9822911256892404</v>
      </c>
      <c r="AC341" s="398">
        <f t="shared" si="123"/>
        <v>4.9858329005513919</v>
      </c>
      <c r="AD341" s="398">
        <f t="shared" si="123"/>
        <v>4.9886663204411139</v>
      </c>
      <c r="AE341" s="398">
        <f t="shared" si="123"/>
        <v>4.9909330563528913</v>
      </c>
      <c r="AF341" s="398">
        <f t="shared" si="123"/>
        <v>4.9927464450823127</v>
      </c>
      <c r="AG341" s="398">
        <f t="shared" si="123"/>
        <v>4.9941971560658498</v>
      </c>
      <c r="AH341" s="398">
        <f t="shared" si="123"/>
        <v>4.9953577248526795</v>
      </c>
      <c r="AI341" s="398">
        <f t="shared" si="123"/>
        <v>4.9962861798821443</v>
      </c>
      <c r="AJ341" s="398">
        <f t="shared" si="123"/>
        <v>4.9970289439057156</v>
      </c>
      <c r="AK341" s="398">
        <f t="shared" si="123"/>
        <v>4.9976231551245727</v>
      </c>
      <c r="AL341" s="398">
        <f t="shared" si="123"/>
        <v>4.9980985240996585</v>
      </c>
      <c r="AM341" s="398">
        <f t="shared" si="123"/>
        <v>4.9984788192797271</v>
      </c>
      <c r="AN341" s="398">
        <f t="shared" si="123"/>
        <v>4.9987830554237824</v>
      </c>
      <c r="AP341" s="21"/>
    </row>
    <row r="342" spans="2:42" x14ac:dyDescent="0.25">
      <c r="C342" s="21" t="s">
        <v>393</v>
      </c>
      <c r="D342" s="34" t="s">
        <v>162</v>
      </c>
      <c r="E342" s="398">
        <v>1</v>
      </c>
      <c r="F342" s="398">
        <f t="shared" ref="F342:AN342" si="124">E342*(1-F$322)+1</f>
        <v>1.8</v>
      </c>
      <c r="G342" s="398">
        <f t="shared" si="124"/>
        <v>2.4400000000000004</v>
      </c>
      <c r="H342" s="398">
        <f t="shared" si="124"/>
        <v>2.9520000000000004</v>
      </c>
      <c r="I342" s="398">
        <f t="shared" si="124"/>
        <v>3.3616000000000006</v>
      </c>
      <c r="J342" s="398">
        <f t="shared" si="124"/>
        <v>3.6892800000000006</v>
      </c>
      <c r="K342" s="398">
        <f t="shared" si="124"/>
        <v>3.9514240000000007</v>
      </c>
      <c r="L342" s="398">
        <f t="shared" si="124"/>
        <v>4.1611392000000009</v>
      </c>
      <c r="M342" s="398">
        <f t="shared" si="124"/>
        <v>4.3289113600000011</v>
      </c>
      <c r="N342" s="398">
        <f t="shared" si="124"/>
        <v>4.4631290880000005</v>
      </c>
      <c r="O342" s="398">
        <f t="shared" si="124"/>
        <v>4.5705032704000006</v>
      </c>
      <c r="P342" s="398">
        <f t="shared" si="124"/>
        <v>4.6564026163200012</v>
      </c>
      <c r="Q342" s="398">
        <f t="shared" si="124"/>
        <v>4.7251220930560009</v>
      </c>
      <c r="R342" s="398">
        <f t="shared" si="124"/>
        <v>4.7800976744448009</v>
      </c>
      <c r="S342" s="398">
        <f t="shared" si="124"/>
        <v>4.8240781395558407</v>
      </c>
      <c r="T342" s="398">
        <f t="shared" si="124"/>
        <v>4.8592625116446726</v>
      </c>
      <c r="U342" s="398">
        <f t="shared" si="124"/>
        <v>4.8874100093157384</v>
      </c>
      <c r="V342" s="398">
        <f t="shared" si="124"/>
        <v>4.9099280074525904</v>
      </c>
      <c r="W342" s="398">
        <f t="shared" si="124"/>
        <v>4.9279424059620727</v>
      </c>
      <c r="X342" s="398">
        <f t="shared" si="124"/>
        <v>4.9423539247696588</v>
      </c>
      <c r="Y342" s="398">
        <f t="shared" si="124"/>
        <v>4.9538831398157273</v>
      </c>
      <c r="Z342" s="398">
        <f t="shared" si="124"/>
        <v>4.9631065118525814</v>
      </c>
      <c r="AA342" s="398">
        <f t="shared" si="124"/>
        <v>4.9704852094820655</v>
      </c>
      <c r="AB342" s="398">
        <f t="shared" si="124"/>
        <v>4.9763881675856521</v>
      </c>
      <c r="AC342" s="398">
        <f t="shared" si="124"/>
        <v>4.981110534068522</v>
      </c>
      <c r="AD342" s="398">
        <f t="shared" si="124"/>
        <v>4.984888427254818</v>
      </c>
      <c r="AE342" s="398">
        <f t="shared" si="124"/>
        <v>4.9879107418038551</v>
      </c>
      <c r="AF342" s="398">
        <f t="shared" si="124"/>
        <v>4.9903285934430848</v>
      </c>
      <c r="AG342" s="398">
        <f t="shared" si="124"/>
        <v>4.9922628747544682</v>
      </c>
      <c r="AH342" s="398">
        <f t="shared" si="124"/>
        <v>4.9938102998035747</v>
      </c>
      <c r="AI342" s="398">
        <f t="shared" si="124"/>
        <v>4.9950482398428599</v>
      </c>
      <c r="AJ342" s="398">
        <f t="shared" si="124"/>
        <v>4.9960385918742887</v>
      </c>
      <c r="AK342" s="398">
        <f t="shared" si="124"/>
        <v>4.9968308734994311</v>
      </c>
      <c r="AL342" s="398">
        <f t="shared" si="124"/>
        <v>4.9974646987995452</v>
      </c>
      <c r="AM342" s="398">
        <f t="shared" si="124"/>
        <v>4.9979717590396362</v>
      </c>
      <c r="AN342" s="398">
        <f t="shared" si="124"/>
        <v>4.9983774072317093</v>
      </c>
      <c r="AP342" s="21"/>
    </row>
    <row r="343" spans="2:42" x14ac:dyDescent="0.25">
      <c r="C343" s="22" t="s">
        <v>456</v>
      </c>
      <c r="D343" s="34" t="s">
        <v>162</v>
      </c>
      <c r="E343" s="399">
        <v>0</v>
      </c>
      <c r="F343" s="399">
        <f t="shared" ref="F343:AN343" si="125">E343*(1-F$322)+1</f>
        <v>1</v>
      </c>
      <c r="G343" s="399">
        <f t="shared" si="125"/>
        <v>1.8</v>
      </c>
      <c r="H343" s="399">
        <f t="shared" si="125"/>
        <v>2.4400000000000004</v>
      </c>
      <c r="I343" s="399">
        <f t="shared" si="125"/>
        <v>2.9520000000000004</v>
      </c>
      <c r="J343" s="399">
        <f t="shared" si="125"/>
        <v>3.3616000000000006</v>
      </c>
      <c r="K343" s="399">
        <f t="shared" si="125"/>
        <v>3.6892800000000006</v>
      </c>
      <c r="L343" s="399">
        <f t="shared" si="125"/>
        <v>3.9514240000000007</v>
      </c>
      <c r="M343" s="399">
        <f t="shared" si="125"/>
        <v>4.1611392000000009</v>
      </c>
      <c r="N343" s="399">
        <f t="shared" si="125"/>
        <v>4.3289113600000011</v>
      </c>
      <c r="O343" s="399">
        <f t="shared" si="125"/>
        <v>4.4631290880000005</v>
      </c>
      <c r="P343" s="399">
        <f t="shared" si="125"/>
        <v>4.5705032704000006</v>
      </c>
      <c r="Q343" s="399">
        <f t="shared" si="125"/>
        <v>4.6564026163200012</v>
      </c>
      <c r="R343" s="399">
        <f t="shared" si="125"/>
        <v>4.7251220930560009</v>
      </c>
      <c r="S343" s="399">
        <f t="shared" si="125"/>
        <v>4.7800976744448009</v>
      </c>
      <c r="T343" s="399">
        <f t="shared" si="125"/>
        <v>4.8240781395558407</v>
      </c>
      <c r="U343" s="399">
        <f t="shared" si="125"/>
        <v>4.8592625116446726</v>
      </c>
      <c r="V343" s="399">
        <f t="shared" si="125"/>
        <v>4.8874100093157384</v>
      </c>
      <c r="W343" s="399">
        <f t="shared" si="125"/>
        <v>4.9099280074525904</v>
      </c>
      <c r="X343" s="399">
        <f t="shared" si="125"/>
        <v>4.9279424059620727</v>
      </c>
      <c r="Y343" s="399">
        <f t="shared" si="125"/>
        <v>4.9423539247696588</v>
      </c>
      <c r="Z343" s="399">
        <f t="shared" si="125"/>
        <v>4.9538831398157273</v>
      </c>
      <c r="AA343" s="399">
        <f t="shared" si="125"/>
        <v>4.9631065118525814</v>
      </c>
      <c r="AB343" s="399">
        <f t="shared" si="125"/>
        <v>4.9704852094820655</v>
      </c>
      <c r="AC343" s="399">
        <f t="shared" si="125"/>
        <v>4.9763881675856521</v>
      </c>
      <c r="AD343" s="399">
        <f t="shared" si="125"/>
        <v>4.981110534068522</v>
      </c>
      <c r="AE343" s="399">
        <f t="shared" si="125"/>
        <v>4.984888427254818</v>
      </c>
      <c r="AF343" s="399">
        <f t="shared" si="125"/>
        <v>4.9879107418038551</v>
      </c>
      <c r="AG343" s="399">
        <f t="shared" si="125"/>
        <v>4.9903285934430848</v>
      </c>
      <c r="AH343" s="399">
        <f t="shared" si="125"/>
        <v>4.9922628747544682</v>
      </c>
      <c r="AI343" s="399">
        <f t="shared" si="125"/>
        <v>4.9938102998035747</v>
      </c>
      <c r="AJ343" s="399">
        <f t="shared" si="125"/>
        <v>4.9950482398428599</v>
      </c>
      <c r="AK343" s="399">
        <f t="shared" si="125"/>
        <v>4.9960385918742887</v>
      </c>
      <c r="AL343" s="399">
        <f t="shared" si="125"/>
        <v>4.9968308734994311</v>
      </c>
      <c r="AM343" s="399">
        <f t="shared" si="125"/>
        <v>4.9974646987995452</v>
      </c>
      <c r="AN343" s="399">
        <f t="shared" si="125"/>
        <v>4.9979717590396362</v>
      </c>
      <c r="AP343" s="26"/>
    </row>
    <row r="344" spans="2:42" s="74" customFormat="1" x14ac:dyDescent="0.25">
      <c r="B344" s="99" t="s">
        <v>9</v>
      </c>
      <c r="C344" s="311" t="s">
        <v>629</v>
      </c>
      <c r="D344" s="318"/>
      <c r="E344" s="402"/>
      <c r="F344" s="402"/>
      <c r="G344" s="402"/>
      <c r="H344" s="402"/>
      <c r="I344" s="402"/>
      <c r="J344" s="402"/>
      <c r="K344" s="402"/>
      <c r="L344" s="402"/>
      <c r="M344" s="402"/>
      <c r="N344" s="402"/>
      <c r="O344" s="402"/>
      <c r="P344" s="402"/>
      <c r="Q344" s="402"/>
      <c r="R344" s="402"/>
      <c r="S344" s="402"/>
      <c r="T344" s="402"/>
      <c r="U344" s="402"/>
      <c r="V344" s="402"/>
      <c r="W344" s="402"/>
      <c r="X344" s="402"/>
      <c r="Y344" s="402"/>
      <c r="Z344" s="402"/>
      <c r="AA344" s="402"/>
      <c r="AB344" s="402"/>
      <c r="AC344" s="402"/>
      <c r="AD344" s="402"/>
      <c r="AE344" s="402"/>
      <c r="AF344" s="402"/>
      <c r="AG344" s="402"/>
      <c r="AH344" s="402"/>
      <c r="AI344" s="402"/>
      <c r="AJ344" s="402"/>
      <c r="AK344" s="402"/>
      <c r="AL344" s="402"/>
      <c r="AM344" s="402"/>
      <c r="AN344" s="402"/>
      <c r="AP344" s="311"/>
    </row>
    <row r="345" spans="2:42" x14ac:dyDescent="0.25">
      <c r="C345" s="20" t="s">
        <v>600</v>
      </c>
      <c r="D345" s="34" t="s">
        <v>162</v>
      </c>
      <c r="E345" s="397">
        <v>5</v>
      </c>
      <c r="F345" s="397">
        <f>E345*(1-F$322)+1</f>
        <v>5</v>
      </c>
      <c r="G345" s="397">
        <f t="shared" ref="G345:AN345" si="126">F345*(1-G$322)+1</f>
        <v>5</v>
      </c>
      <c r="H345" s="397">
        <f t="shared" si="126"/>
        <v>5</v>
      </c>
      <c r="I345" s="397">
        <f t="shared" si="126"/>
        <v>5</v>
      </c>
      <c r="J345" s="397">
        <f t="shared" si="126"/>
        <v>5</v>
      </c>
      <c r="K345" s="397">
        <f t="shared" si="126"/>
        <v>5</v>
      </c>
      <c r="L345" s="397">
        <f t="shared" si="126"/>
        <v>5</v>
      </c>
      <c r="M345" s="397">
        <f t="shared" si="126"/>
        <v>5</v>
      </c>
      <c r="N345" s="397">
        <f t="shared" si="126"/>
        <v>5</v>
      </c>
      <c r="O345" s="397">
        <f t="shared" si="126"/>
        <v>5</v>
      </c>
      <c r="P345" s="397">
        <f t="shared" si="126"/>
        <v>5</v>
      </c>
      <c r="Q345" s="397">
        <f t="shared" si="126"/>
        <v>5</v>
      </c>
      <c r="R345" s="397">
        <f t="shared" si="126"/>
        <v>5</v>
      </c>
      <c r="S345" s="397">
        <f t="shared" si="126"/>
        <v>5</v>
      </c>
      <c r="T345" s="397">
        <f t="shared" si="126"/>
        <v>5</v>
      </c>
      <c r="U345" s="397">
        <f t="shared" si="126"/>
        <v>5</v>
      </c>
      <c r="V345" s="397">
        <f t="shared" si="126"/>
        <v>5</v>
      </c>
      <c r="W345" s="397">
        <f t="shared" si="126"/>
        <v>5</v>
      </c>
      <c r="X345" s="397">
        <f t="shared" si="126"/>
        <v>5</v>
      </c>
      <c r="Y345" s="397">
        <f t="shared" si="126"/>
        <v>5</v>
      </c>
      <c r="Z345" s="397">
        <f t="shared" si="126"/>
        <v>5</v>
      </c>
      <c r="AA345" s="397">
        <f t="shared" si="126"/>
        <v>5</v>
      </c>
      <c r="AB345" s="397">
        <f t="shared" si="126"/>
        <v>5</v>
      </c>
      <c r="AC345" s="397">
        <f t="shared" si="126"/>
        <v>5</v>
      </c>
      <c r="AD345" s="397">
        <f t="shared" si="126"/>
        <v>5</v>
      </c>
      <c r="AE345" s="397">
        <f t="shared" si="126"/>
        <v>5</v>
      </c>
      <c r="AF345" s="397">
        <f t="shared" si="126"/>
        <v>5</v>
      </c>
      <c r="AG345" s="397">
        <f t="shared" si="126"/>
        <v>5</v>
      </c>
      <c r="AH345" s="397">
        <f t="shared" si="126"/>
        <v>5</v>
      </c>
      <c r="AI345" s="397">
        <f t="shared" si="126"/>
        <v>5</v>
      </c>
      <c r="AJ345" s="397">
        <f t="shared" si="126"/>
        <v>5</v>
      </c>
      <c r="AK345" s="397">
        <f t="shared" si="126"/>
        <v>5</v>
      </c>
      <c r="AL345" s="397">
        <f t="shared" si="126"/>
        <v>5</v>
      </c>
      <c r="AM345" s="397">
        <f t="shared" si="126"/>
        <v>5</v>
      </c>
      <c r="AN345" s="397">
        <f t="shared" si="126"/>
        <v>5</v>
      </c>
      <c r="AP345" s="20"/>
    </row>
    <row r="346" spans="2:42" x14ac:dyDescent="0.25">
      <c r="C346" s="20" t="s">
        <v>392</v>
      </c>
      <c r="D346" s="34" t="s">
        <v>162</v>
      </c>
      <c r="E346" s="398">
        <v>4</v>
      </c>
      <c r="F346" s="398">
        <f t="shared" ref="F346:AN346" si="127">E346*(1-F$322)+1</f>
        <v>4.2</v>
      </c>
      <c r="G346" s="398">
        <f t="shared" si="127"/>
        <v>4.3600000000000003</v>
      </c>
      <c r="H346" s="398">
        <f t="shared" si="127"/>
        <v>4.4880000000000004</v>
      </c>
      <c r="I346" s="398">
        <f t="shared" si="127"/>
        <v>4.5904000000000007</v>
      </c>
      <c r="J346" s="398">
        <f t="shared" si="127"/>
        <v>4.6723200000000009</v>
      </c>
      <c r="K346" s="398">
        <f t="shared" si="127"/>
        <v>4.7378560000000007</v>
      </c>
      <c r="L346" s="398">
        <f t="shared" si="127"/>
        <v>4.7902848000000002</v>
      </c>
      <c r="M346" s="398">
        <f t="shared" si="127"/>
        <v>4.8322278399999998</v>
      </c>
      <c r="N346" s="398">
        <f t="shared" si="127"/>
        <v>4.8657822720000006</v>
      </c>
      <c r="O346" s="398">
        <f t="shared" si="127"/>
        <v>4.8926258176000008</v>
      </c>
      <c r="P346" s="398">
        <f t="shared" si="127"/>
        <v>4.9141006540800003</v>
      </c>
      <c r="Q346" s="398">
        <f t="shared" si="127"/>
        <v>4.9312805232640002</v>
      </c>
      <c r="R346" s="398">
        <f t="shared" si="127"/>
        <v>4.9450244186112009</v>
      </c>
      <c r="S346" s="398">
        <f t="shared" si="127"/>
        <v>4.9560195348889611</v>
      </c>
      <c r="T346" s="398">
        <f t="shared" si="127"/>
        <v>4.964815627911169</v>
      </c>
      <c r="U346" s="398">
        <f t="shared" si="127"/>
        <v>4.9718525023289359</v>
      </c>
      <c r="V346" s="398">
        <f t="shared" si="127"/>
        <v>4.9774820018631489</v>
      </c>
      <c r="W346" s="398">
        <f t="shared" si="127"/>
        <v>4.9819856014905195</v>
      </c>
      <c r="X346" s="398">
        <f t="shared" si="127"/>
        <v>4.9855884811924156</v>
      </c>
      <c r="Y346" s="398">
        <f t="shared" si="127"/>
        <v>4.9884707849539325</v>
      </c>
      <c r="Z346" s="398">
        <f t="shared" si="127"/>
        <v>4.9907766279631467</v>
      </c>
      <c r="AA346" s="398">
        <f t="shared" si="127"/>
        <v>4.9926213023705177</v>
      </c>
      <c r="AB346" s="398">
        <f t="shared" si="127"/>
        <v>4.9940970418964143</v>
      </c>
      <c r="AC346" s="398">
        <f t="shared" si="127"/>
        <v>4.9952776335171318</v>
      </c>
      <c r="AD346" s="398">
        <f t="shared" si="127"/>
        <v>4.9962221068137058</v>
      </c>
      <c r="AE346" s="398">
        <f t="shared" si="127"/>
        <v>4.9969776854509647</v>
      </c>
      <c r="AF346" s="398">
        <f t="shared" si="127"/>
        <v>4.9975821483607721</v>
      </c>
      <c r="AG346" s="398">
        <f t="shared" si="127"/>
        <v>4.9980657186886184</v>
      </c>
      <c r="AH346" s="398">
        <f t="shared" si="127"/>
        <v>4.9984525749508943</v>
      </c>
      <c r="AI346" s="398">
        <f t="shared" si="127"/>
        <v>4.9987620599607157</v>
      </c>
      <c r="AJ346" s="398">
        <f t="shared" si="127"/>
        <v>4.9990096479685722</v>
      </c>
      <c r="AK346" s="398">
        <f t="shared" si="127"/>
        <v>4.9992077183748584</v>
      </c>
      <c r="AL346" s="398">
        <f t="shared" si="127"/>
        <v>4.9993661746998868</v>
      </c>
      <c r="AM346" s="398">
        <f t="shared" si="127"/>
        <v>4.999492939759909</v>
      </c>
      <c r="AN346" s="398">
        <f t="shared" si="127"/>
        <v>4.9995943518079269</v>
      </c>
      <c r="AP346" s="21"/>
    </row>
    <row r="347" spans="2:42" x14ac:dyDescent="0.25">
      <c r="C347" s="20" t="s">
        <v>454</v>
      </c>
      <c r="D347" s="34" t="s">
        <v>162</v>
      </c>
      <c r="E347" s="398">
        <v>3</v>
      </c>
      <c r="F347" s="398">
        <f t="shared" ref="F347:AN347" si="128">E347*(1-F$322)+1</f>
        <v>3.4000000000000004</v>
      </c>
      <c r="G347" s="398">
        <f t="shared" si="128"/>
        <v>3.7200000000000006</v>
      </c>
      <c r="H347" s="398">
        <f t="shared" si="128"/>
        <v>3.9760000000000009</v>
      </c>
      <c r="I347" s="398">
        <f t="shared" si="128"/>
        <v>4.1808000000000014</v>
      </c>
      <c r="J347" s="398">
        <f t="shared" si="128"/>
        <v>4.3446400000000018</v>
      </c>
      <c r="K347" s="398">
        <f t="shared" si="128"/>
        <v>4.4757120000000015</v>
      </c>
      <c r="L347" s="398">
        <f t="shared" si="128"/>
        <v>4.5805696000000014</v>
      </c>
      <c r="M347" s="398">
        <f t="shared" si="128"/>
        <v>4.6644556800000014</v>
      </c>
      <c r="N347" s="398">
        <f t="shared" si="128"/>
        <v>4.7315645440000011</v>
      </c>
      <c r="O347" s="398">
        <f t="shared" si="128"/>
        <v>4.7852516352000016</v>
      </c>
      <c r="P347" s="398">
        <f t="shared" si="128"/>
        <v>4.8282013081600015</v>
      </c>
      <c r="Q347" s="398">
        <f t="shared" si="128"/>
        <v>4.8625610465280014</v>
      </c>
      <c r="R347" s="398">
        <f t="shared" si="128"/>
        <v>4.8900488372224018</v>
      </c>
      <c r="S347" s="398">
        <f t="shared" si="128"/>
        <v>4.9120390697779222</v>
      </c>
      <c r="T347" s="398">
        <f t="shared" si="128"/>
        <v>4.9296312558223381</v>
      </c>
      <c r="U347" s="398">
        <f t="shared" si="128"/>
        <v>4.9437050046578701</v>
      </c>
      <c r="V347" s="398">
        <f t="shared" si="128"/>
        <v>4.9549640037262961</v>
      </c>
      <c r="W347" s="398">
        <f t="shared" si="128"/>
        <v>4.9639712029810372</v>
      </c>
      <c r="X347" s="398">
        <f t="shared" si="128"/>
        <v>4.9711769623848294</v>
      </c>
      <c r="Y347" s="398">
        <f t="shared" si="128"/>
        <v>4.9769415699078632</v>
      </c>
      <c r="Z347" s="398">
        <f t="shared" si="128"/>
        <v>4.9815532559262907</v>
      </c>
      <c r="AA347" s="398">
        <f t="shared" si="128"/>
        <v>4.9852426047410328</v>
      </c>
      <c r="AB347" s="398">
        <f t="shared" si="128"/>
        <v>4.9881940837928269</v>
      </c>
      <c r="AC347" s="398">
        <f t="shared" si="128"/>
        <v>4.9905552670342619</v>
      </c>
      <c r="AD347" s="398">
        <f t="shared" si="128"/>
        <v>4.9924442136274099</v>
      </c>
      <c r="AE347" s="398">
        <f t="shared" si="128"/>
        <v>4.9939553709019275</v>
      </c>
      <c r="AF347" s="398">
        <f t="shared" si="128"/>
        <v>4.9951642967215424</v>
      </c>
      <c r="AG347" s="398">
        <f t="shared" si="128"/>
        <v>4.9961314373772341</v>
      </c>
      <c r="AH347" s="398">
        <f t="shared" si="128"/>
        <v>4.9969051499017869</v>
      </c>
      <c r="AI347" s="398">
        <f t="shared" si="128"/>
        <v>4.9975241199214295</v>
      </c>
      <c r="AJ347" s="398">
        <f t="shared" si="128"/>
        <v>4.9980192959371443</v>
      </c>
      <c r="AK347" s="398">
        <f t="shared" si="128"/>
        <v>4.9984154367497151</v>
      </c>
      <c r="AL347" s="398">
        <f t="shared" si="128"/>
        <v>4.9987323493997717</v>
      </c>
      <c r="AM347" s="398">
        <f t="shared" si="128"/>
        <v>4.9989858795198181</v>
      </c>
      <c r="AN347" s="398">
        <f t="shared" si="128"/>
        <v>4.9991887036158547</v>
      </c>
      <c r="AP347" s="21"/>
    </row>
    <row r="348" spans="2:42" x14ac:dyDescent="0.25">
      <c r="C348" s="21" t="s">
        <v>455</v>
      </c>
      <c r="D348" s="34" t="s">
        <v>162</v>
      </c>
      <c r="E348" s="398">
        <v>2</v>
      </c>
      <c r="F348" s="398">
        <f t="shared" ref="F348:AN348" si="129">E348*(1-F$322)+1</f>
        <v>2.6</v>
      </c>
      <c r="G348" s="398">
        <f t="shared" si="129"/>
        <v>3.08</v>
      </c>
      <c r="H348" s="398">
        <f t="shared" si="129"/>
        <v>3.4640000000000004</v>
      </c>
      <c r="I348" s="398">
        <f t="shared" si="129"/>
        <v>3.7712000000000003</v>
      </c>
      <c r="J348" s="398">
        <f t="shared" si="129"/>
        <v>4.016960000000001</v>
      </c>
      <c r="K348" s="398">
        <f t="shared" si="129"/>
        <v>4.2135680000000004</v>
      </c>
      <c r="L348" s="398">
        <f t="shared" si="129"/>
        <v>4.3708544000000007</v>
      </c>
      <c r="M348" s="398">
        <f t="shared" si="129"/>
        <v>4.4966835200000013</v>
      </c>
      <c r="N348" s="398">
        <f t="shared" si="129"/>
        <v>4.5973468160000017</v>
      </c>
      <c r="O348" s="398">
        <f t="shared" si="129"/>
        <v>4.6778774528000016</v>
      </c>
      <c r="P348" s="398">
        <f t="shared" si="129"/>
        <v>4.7423019622400009</v>
      </c>
      <c r="Q348" s="398">
        <f t="shared" si="129"/>
        <v>4.7938415697920007</v>
      </c>
      <c r="R348" s="398">
        <f t="shared" si="129"/>
        <v>4.8350732558336009</v>
      </c>
      <c r="S348" s="398">
        <f t="shared" si="129"/>
        <v>4.8680586046668815</v>
      </c>
      <c r="T348" s="398">
        <f t="shared" si="129"/>
        <v>4.8944468837335053</v>
      </c>
      <c r="U348" s="398">
        <f t="shared" si="129"/>
        <v>4.9155575069868043</v>
      </c>
      <c r="V348" s="398">
        <f t="shared" si="129"/>
        <v>4.9324460055894441</v>
      </c>
      <c r="W348" s="398">
        <f t="shared" si="129"/>
        <v>4.9459568044715549</v>
      </c>
      <c r="X348" s="398">
        <f t="shared" si="129"/>
        <v>4.9567654435772441</v>
      </c>
      <c r="Y348" s="398">
        <f t="shared" si="129"/>
        <v>4.9654123548617957</v>
      </c>
      <c r="Z348" s="398">
        <f t="shared" si="129"/>
        <v>4.9723298838894365</v>
      </c>
      <c r="AA348" s="398">
        <f t="shared" si="129"/>
        <v>4.9778639071115496</v>
      </c>
      <c r="AB348" s="398">
        <f t="shared" si="129"/>
        <v>4.9822911256892404</v>
      </c>
      <c r="AC348" s="398">
        <f t="shared" si="129"/>
        <v>4.9858329005513919</v>
      </c>
      <c r="AD348" s="398">
        <f t="shared" si="129"/>
        <v>4.9886663204411139</v>
      </c>
      <c r="AE348" s="398">
        <f t="shared" si="129"/>
        <v>4.9909330563528913</v>
      </c>
      <c r="AF348" s="398">
        <f t="shared" si="129"/>
        <v>4.9927464450823127</v>
      </c>
      <c r="AG348" s="398">
        <f t="shared" si="129"/>
        <v>4.9941971560658498</v>
      </c>
      <c r="AH348" s="398">
        <f t="shared" si="129"/>
        <v>4.9953577248526795</v>
      </c>
      <c r="AI348" s="398">
        <f t="shared" si="129"/>
        <v>4.9962861798821443</v>
      </c>
      <c r="AJ348" s="398">
        <f t="shared" si="129"/>
        <v>4.9970289439057156</v>
      </c>
      <c r="AK348" s="398">
        <f t="shared" si="129"/>
        <v>4.9976231551245727</v>
      </c>
      <c r="AL348" s="398">
        <f t="shared" si="129"/>
        <v>4.9980985240996585</v>
      </c>
      <c r="AM348" s="398">
        <f t="shared" si="129"/>
        <v>4.9984788192797271</v>
      </c>
      <c r="AN348" s="398">
        <f t="shared" si="129"/>
        <v>4.9987830554237824</v>
      </c>
      <c r="AP348" s="21"/>
    </row>
    <row r="349" spans="2:42" x14ac:dyDescent="0.25">
      <c r="C349" s="21" t="s">
        <v>393</v>
      </c>
      <c r="D349" s="34" t="s">
        <v>162</v>
      </c>
      <c r="E349" s="398">
        <v>1</v>
      </c>
      <c r="F349" s="398">
        <f t="shared" ref="F349:AN349" si="130">E349*(1-F$322)+1</f>
        <v>1.8</v>
      </c>
      <c r="G349" s="398">
        <f t="shared" si="130"/>
        <v>2.4400000000000004</v>
      </c>
      <c r="H349" s="398">
        <f t="shared" si="130"/>
        <v>2.9520000000000004</v>
      </c>
      <c r="I349" s="398">
        <f t="shared" si="130"/>
        <v>3.3616000000000006</v>
      </c>
      <c r="J349" s="398">
        <f t="shared" si="130"/>
        <v>3.6892800000000006</v>
      </c>
      <c r="K349" s="398">
        <f t="shared" si="130"/>
        <v>3.9514240000000007</v>
      </c>
      <c r="L349" s="398">
        <f t="shared" si="130"/>
        <v>4.1611392000000009</v>
      </c>
      <c r="M349" s="398">
        <f t="shared" si="130"/>
        <v>4.3289113600000011</v>
      </c>
      <c r="N349" s="398">
        <f t="shared" si="130"/>
        <v>4.4631290880000005</v>
      </c>
      <c r="O349" s="398">
        <f t="shared" si="130"/>
        <v>4.5705032704000006</v>
      </c>
      <c r="P349" s="398">
        <f t="shared" si="130"/>
        <v>4.6564026163200012</v>
      </c>
      <c r="Q349" s="398">
        <f t="shared" si="130"/>
        <v>4.7251220930560009</v>
      </c>
      <c r="R349" s="398">
        <f t="shared" si="130"/>
        <v>4.7800976744448009</v>
      </c>
      <c r="S349" s="398">
        <f t="shared" si="130"/>
        <v>4.8240781395558407</v>
      </c>
      <c r="T349" s="398">
        <f t="shared" si="130"/>
        <v>4.8592625116446726</v>
      </c>
      <c r="U349" s="398">
        <f t="shared" si="130"/>
        <v>4.8874100093157384</v>
      </c>
      <c r="V349" s="398">
        <f t="shared" si="130"/>
        <v>4.9099280074525904</v>
      </c>
      <c r="W349" s="398">
        <f t="shared" si="130"/>
        <v>4.9279424059620727</v>
      </c>
      <c r="X349" s="398">
        <f t="shared" si="130"/>
        <v>4.9423539247696588</v>
      </c>
      <c r="Y349" s="398">
        <f t="shared" si="130"/>
        <v>4.9538831398157273</v>
      </c>
      <c r="Z349" s="398">
        <f t="shared" si="130"/>
        <v>4.9631065118525814</v>
      </c>
      <c r="AA349" s="398">
        <f t="shared" si="130"/>
        <v>4.9704852094820655</v>
      </c>
      <c r="AB349" s="398">
        <f t="shared" si="130"/>
        <v>4.9763881675856521</v>
      </c>
      <c r="AC349" s="398">
        <f t="shared" si="130"/>
        <v>4.981110534068522</v>
      </c>
      <c r="AD349" s="398">
        <f t="shared" si="130"/>
        <v>4.984888427254818</v>
      </c>
      <c r="AE349" s="398">
        <f t="shared" si="130"/>
        <v>4.9879107418038551</v>
      </c>
      <c r="AF349" s="398">
        <f t="shared" si="130"/>
        <v>4.9903285934430848</v>
      </c>
      <c r="AG349" s="398">
        <f t="shared" si="130"/>
        <v>4.9922628747544682</v>
      </c>
      <c r="AH349" s="398">
        <f t="shared" si="130"/>
        <v>4.9938102998035747</v>
      </c>
      <c r="AI349" s="398">
        <f t="shared" si="130"/>
        <v>4.9950482398428599</v>
      </c>
      <c r="AJ349" s="398">
        <f t="shared" si="130"/>
        <v>4.9960385918742887</v>
      </c>
      <c r="AK349" s="398">
        <f t="shared" si="130"/>
        <v>4.9968308734994311</v>
      </c>
      <c r="AL349" s="398">
        <f t="shared" si="130"/>
        <v>4.9974646987995452</v>
      </c>
      <c r="AM349" s="398">
        <f t="shared" si="130"/>
        <v>4.9979717590396362</v>
      </c>
      <c r="AN349" s="398">
        <f t="shared" si="130"/>
        <v>4.9983774072317093</v>
      </c>
      <c r="AP349" s="21"/>
    </row>
    <row r="350" spans="2:42" x14ac:dyDescent="0.25">
      <c r="C350" s="22" t="s">
        <v>456</v>
      </c>
      <c r="D350" s="34" t="s">
        <v>162</v>
      </c>
      <c r="E350" s="399">
        <v>0</v>
      </c>
      <c r="F350" s="399">
        <f t="shared" ref="F350:AN350" si="131">E350*(1-F$322)+1</f>
        <v>1</v>
      </c>
      <c r="G350" s="399">
        <f t="shared" si="131"/>
        <v>1.8</v>
      </c>
      <c r="H350" s="399">
        <f t="shared" si="131"/>
        <v>2.4400000000000004</v>
      </c>
      <c r="I350" s="399">
        <f t="shared" si="131"/>
        <v>2.9520000000000004</v>
      </c>
      <c r="J350" s="399">
        <f t="shared" si="131"/>
        <v>3.3616000000000006</v>
      </c>
      <c r="K350" s="399">
        <f t="shared" si="131"/>
        <v>3.6892800000000006</v>
      </c>
      <c r="L350" s="399">
        <f t="shared" si="131"/>
        <v>3.9514240000000007</v>
      </c>
      <c r="M350" s="399">
        <f t="shared" si="131"/>
        <v>4.1611392000000009</v>
      </c>
      <c r="N350" s="399">
        <f t="shared" si="131"/>
        <v>4.3289113600000011</v>
      </c>
      <c r="O350" s="399">
        <f t="shared" si="131"/>
        <v>4.4631290880000005</v>
      </c>
      <c r="P350" s="399">
        <f t="shared" si="131"/>
        <v>4.5705032704000006</v>
      </c>
      <c r="Q350" s="399">
        <f t="shared" si="131"/>
        <v>4.6564026163200012</v>
      </c>
      <c r="R350" s="399">
        <f t="shared" si="131"/>
        <v>4.7251220930560009</v>
      </c>
      <c r="S350" s="399">
        <f t="shared" si="131"/>
        <v>4.7800976744448009</v>
      </c>
      <c r="T350" s="399">
        <f t="shared" si="131"/>
        <v>4.8240781395558407</v>
      </c>
      <c r="U350" s="399">
        <f t="shared" si="131"/>
        <v>4.8592625116446726</v>
      </c>
      <c r="V350" s="399">
        <f t="shared" si="131"/>
        <v>4.8874100093157384</v>
      </c>
      <c r="W350" s="399">
        <f t="shared" si="131"/>
        <v>4.9099280074525904</v>
      </c>
      <c r="X350" s="399">
        <f t="shared" si="131"/>
        <v>4.9279424059620727</v>
      </c>
      <c r="Y350" s="399">
        <f t="shared" si="131"/>
        <v>4.9423539247696588</v>
      </c>
      <c r="Z350" s="399">
        <f t="shared" si="131"/>
        <v>4.9538831398157273</v>
      </c>
      <c r="AA350" s="399">
        <f t="shared" si="131"/>
        <v>4.9631065118525814</v>
      </c>
      <c r="AB350" s="399">
        <f t="shared" si="131"/>
        <v>4.9704852094820655</v>
      </c>
      <c r="AC350" s="399">
        <f t="shared" si="131"/>
        <v>4.9763881675856521</v>
      </c>
      <c r="AD350" s="399">
        <f t="shared" si="131"/>
        <v>4.981110534068522</v>
      </c>
      <c r="AE350" s="399">
        <f t="shared" si="131"/>
        <v>4.984888427254818</v>
      </c>
      <c r="AF350" s="399">
        <f t="shared" si="131"/>
        <v>4.9879107418038551</v>
      </c>
      <c r="AG350" s="399">
        <f t="shared" si="131"/>
        <v>4.9903285934430848</v>
      </c>
      <c r="AH350" s="399">
        <f t="shared" si="131"/>
        <v>4.9922628747544682</v>
      </c>
      <c r="AI350" s="399">
        <f t="shared" si="131"/>
        <v>4.9938102998035747</v>
      </c>
      <c r="AJ350" s="399">
        <f t="shared" si="131"/>
        <v>4.9950482398428599</v>
      </c>
      <c r="AK350" s="399">
        <f t="shared" si="131"/>
        <v>4.9960385918742887</v>
      </c>
      <c r="AL350" s="399">
        <f t="shared" si="131"/>
        <v>4.9968308734994311</v>
      </c>
      <c r="AM350" s="399">
        <f t="shared" si="131"/>
        <v>4.9974646987995452</v>
      </c>
      <c r="AN350" s="399">
        <f t="shared" si="131"/>
        <v>4.9979717590396362</v>
      </c>
      <c r="AP350" s="26"/>
    </row>
    <row r="351" spans="2:42" s="74" customFormat="1" x14ac:dyDescent="0.25">
      <c r="B351" s="99" t="s">
        <v>9</v>
      </c>
      <c r="C351" s="312" t="str">
        <f>'4.2 Sector Mapping'!$B$6</f>
        <v>Communication, Media and Technology</v>
      </c>
      <c r="D351" s="317"/>
      <c r="E351" s="312"/>
      <c r="F351" s="312"/>
      <c r="G351" s="312"/>
      <c r="H351" s="312"/>
      <c r="I351" s="312"/>
      <c r="J351" s="312"/>
      <c r="K351" s="312"/>
      <c r="L351" s="312"/>
      <c r="M351" s="312"/>
      <c r="N351" s="312"/>
      <c r="O351" s="312"/>
      <c r="P351" s="312"/>
      <c r="Q351" s="312"/>
      <c r="R351" s="312"/>
      <c r="S351" s="312"/>
      <c r="T351" s="312"/>
      <c r="U351" s="312"/>
      <c r="V351" s="312"/>
      <c r="W351" s="312"/>
      <c r="X351" s="312"/>
      <c r="Y351" s="312"/>
      <c r="Z351" s="312"/>
      <c r="AA351" s="312"/>
      <c r="AB351" s="312"/>
      <c r="AC351" s="312"/>
      <c r="AD351" s="312"/>
      <c r="AE351" s="312"/>
      <c r="AF351" s="312"/>
      <c r="AG351" s="312"/>
      <c r="AH351" s="312"/>
      <c r="AI351" s="312"/>
      <c r="AJ351" s="312"/>
      <c r="AK351" s="312"/>
      <c r="AL351" s="312"/>
      <c r="AM351" s="312"/>
      <c r="AN351" s="312"/>
      <c r="AP351" s="312"/>
    </row>
    <row r="352" spans="2:42" s="86" customFormat="1" x14ac:dyDescent="0.25">
      <c r="B352" s="3"/>
      <c r="C352" s="243" t="s">
        <v>625</v>
      </c>
      <c r="D352" s="36" t="s">
        <v>162</v>
      </c>
      <c r="E352" s="309">
        <v>1</v>
      </c>
      <c r="F352" s="309">
        <v>1</v>
      </c>
      <c r="G352" s="309">
        <f>ROUND(M352/2,0)</f>
        <v>1</v>
      </c>
      <c r="H352" s="309">
        <f>G352</f>
        <v>1</v>
      </c>
      <c r="I352" s="309">
        <f>H352</f>
        <v>1</v>
      </c>
      <c r="J352" s="309">
        <f>ROUND(AVERAGE(I352,M352),0)</f>
        <v>2</v>
      </c>
      <c r="K352" s="309">
        <f>J352</f>
        <v>2</v>
      </c>
      <c r="L352" s="309">
        <f>K352</f>
        <v>2</v>
      </c>
      <c r="M352" s="309">
        <f>N352</f>
        <v>2</v>
      </c>
      <c r="N352" s="309">
        <f>P352</f>
        <v>2</v>
      </c>
      <c r="O352" s="309">
        <f>P352</f>
        <v>2</v>
      </c>
      <c r="P352" s="309">
        <f>'Back-end Overview of Use Cases'!C4</f>
        <v>2</v>
      </c>
      <c r="Q352" s="309">
        <f>ROUND(IF($AB352-$P352=1,$P352,$P352+($AB352-$P352)/3),0)</f>
        <v>3</v>
      </c>
      <c r="R352" s="309">
        <f>ROUND(IF($AB352-$P352=1,$P352,$P352+($AB352-$P352)/3),0)</f>
        <v>3</v>
      </c>
      <c r="S352" s="309">
        <f>ROUND(IF($AB352-$P352=1,$P352,$P352+($AB352-$P352)/3),0)</f>
        <v>3</v>
      </c>
      <c r="T352" s="309">
        <f>ROUND(IF($AB352-$P352=1,$P352,$P352+($AB352-$P352)/3),0)</f>
        <v>3</v>
      </c>
      <c r="U352" s="309">
        <f>ROUND(AVERAGE(T352,Y352),0)</f>
        <v>4</v>
      </c>
      <c r="V352" s="309">
        <f>U352</f>
        <v>4</v>
      </c>
      <c r="W352" s="309">
        <f>V352</f>
        <v>4</v>
      </c>
      <c r="X352" s="309">
        <f>W352</f>
        <v>4</v>
      </c>
      <c r="Y352" s="309">
        <f>Z352</f>
        <v>5</v>
      </c>
      <c r="Z352" s="309">
        <f>AA352</f>
        <v>5</v>
      </c>
      <c r="AA352" s="309">
        <f>AB352</f>
        <v>5</v>
      </c>
      <c r="AB352" s="309">
        <f>'Back-end Overview of Use Cases'!D4</f>
        <v>5</v>
      </c>
      <c r="AC352" s="309">
        <f>ROUND(IF($AN352-$AB352=1,$AB352,$AB352+($AN352-$AB352)/3),0)</f>
        <v>9</v>
      </c>
      <c r="AD352" s="309">
        <f>ROUND(IF($AN352-$AB352=1,$AB352,$AB352+($AN352-$AB352)/3),0)</f>
        <v>9</v>
      </c>
      <c r="AE352" s="309">
        <f>ROUND(IF($AN352-$AB352=1,$AB352,$AB352+($AN352-$AB352)/3),0)</f>
        <v>9</v>
      </c>
      <c r="AF352" s="309">
        <f>ROUND(IF($AN352-$AB352=1,$AB352,$AB352+($AN352-$AB352)/3),0)</f>
        <v>9</v>
      </c>
      <c r="AG352" s="309">
        <f>ROUND(AVERAGE(AF352,AK352),0)</f>
        <v>13</v>
      </c>
      <c r="AH352" s="309">
        <f>AG352</f>
        <v>13</v>
      </c>
      <c r="AI352" s="309">
        <f>AH352</f>
        <v>13</v>
      </c>
      <c r="AJ352" s="309">
        <f>AI352</f>
        <v>13</v>
      </c>
      <c r="AK352" s="309">
        <f>AN352</f>
        <v>17</v>
      </c>
      <c r="AL352" s="309">
        <f>AN352</f>
        <v>17</v>
      </c>
      <c r="AM352" s="309">
        <f>AN352</f>
        <v>17</v>
      </c>
      <c r="AN352" s="309">
        <f>'Back-end Overview of Use Cases'!E4</f>
        <v>17</v>
      </c>
      <c r="AP352" s="243"/>
    </row>
    <row r="353" spans="2:42" x14ac:dyDescent="0.25">
      <c r="C353" s="299" t="s">
        <v>691</v>
      </c>
      <c r="D353" s="330" t="s">
        <v>29</v>
      </c>
      <c r="E353" s="421">
        <v>0</v>
      </c>
      <c r="F353" s="421">
        <v>0.2</v>
      </c>
      <c r="G353" s="421">
        <v>0.2</v>
      </c>
      <c r="H353" s="421">
        <v>0.2</v>
      </c>
      <c r="I353" s="421">
        <v>0.2</v>
      </c>
      <c r="J353" s="421">
        <v>0.2</v>
      </c>
      <c r="K353" s="421">
        <v>0.2</v>
      </c>
      <c r="L353" s="421">
        <v>0.2</v>
      </c>
      <c r="M353" s="421">
        <v>0.2</v>
      </c>
      <c r="N353" s="421">
        <v>0.2</v>
      </c>
      <c r="O353" s="421">
        <v>0.2</v>
      </c>
      <c r="P353" s="421">
        <v>0.2</v>
      </c>
      <c r="Q353" s="421">
        <v>0.2</v>
      </c>
      <c r="R353" s="421">
        <v>0.2</v>
      </c>
      <c r="S353" s="421">
        <v>0.2</v>
      </c>
      <c r="T353" s="421">
        <v>0.2</v>
      </c>
      <c r="U353" s="421">
        <v>0.2</v>
      </c>
      <c r="V353" s="421">
        <v>0.2</v>
      </c>
      <c r="W353" s="421">
        <v>0.2</v>
      </c>
      <c r="X353" s="421">
        <v>0.2</v>
      </c>
      <c r="Y353" s="421">
        <v>0.2</v>
      </c>
      <c r="Z353" s="421">
        <v>0.2</v>
      </c>
      <c r="AA353" s="421">
        <v>0.2</v>
      </c>
      <c r="AB353" s="421">
        <v>0.2</v>
      </c>
      <c r="AC353" s="421">
        <v>0.2</v>
      </c>
      <c r="AD353" s="421">
        <v>0.2</v>
      </c>
      <c r="AE353" s="421">
        <v>0.2</v>
      </c>
      <c r="AF353" s="421">
        <v>0.2</v>
      </c>
      <c r="AG353" s="421">
        <v>0.2</v>
      </c>
      <c r="AH353" s="421">
        <v>0.2</v>
      </c>
      <c r="AI353" s="421">
        <v>0.2</v>
      </c>
      <c r="AJ353" s="421">
        <v>0.2</v>
      </c>
      <c r="AK353" s="421">
        <v>0.2</v>
      </c>
      <c r="AL353" s="421">
        <v>0.2</v>
      </c>
      <c r="AM353" s="421">
        <v>0.2</v>
      </c>
      <c r="AN353" s="421">
        <v>0.2</v>
      </c>
      <c r="AP353" s="299"/>
    </row>
    <row r="354" spans="2:42" s="74" customFormat="1" x14ac:dyDescent="0.25">
      <c r="B354" s="99" t="s">
        <v>9</v>
      </c>
      <c r="C354" s="311" t="s">
        <v>626</v>
      </c>
      <c r="D354" s="318"/>
      <c r="E354" s="311"/>
      <c r="F354" s="311"/>
      <c r="G354" s="311"/>
      <c r="H354" s="311"/>
      <c r="I354" s="311"/>
      <c r="J354" s="311"/>
      <c r="K354" s="311"/>
      <c r="L354" s="311"/>
      <c r="M354" s="311"/>
      <c r="N354" s="311"/>
      <c r="O354" s="311"/>
      <c r="P354" s="311"/>
      <c r="Q354" s="311"/>
      <c r="R354" s="311"/>
      <c r="S354" s="311"/>
      <c r="T354" s="311"/>
      <c r="U354" s="311"/>
      <c r="V354" s="311"/>
      <c r="W354" s="311"/>
      <c r="X354" s="311"/>
      <c r="Y354" s="311"/>
      <c r="Z354" s="311"/>
      <c r="AA354" s="311"/>
      <c r="AB354" s="311"/>
      <c r="AC354" s="311"/>
      <c r="AD354" s="311"/>
      <c r="AE354" s="311"/>
      <c r="AF354" s="311"/>
      <c r="AG354" s="311"/>
      <c r="AH354" s="311"/>
      <c r="AI354" s="311"/>
      <c r="AJ354" s="311"/>
      <c r="AK354" s="311"/>
      <c r="AL354" s="311"/>
      <c r="AM354" s="311"/>
      <c r="AN354" s="311"/>
      <c r="AP354" s="311"/>
    </row>
    <row r="355" spans="2:42" x14ac:dyDescent="0.25">
      <c r="C355" s="20" t="s">
        <v>600</v>
      </c>
      <c r="D355" s="34" t="s">
        <v>162</v>
      </c>
      <c r="E355" s="397">
        <v>5</v>
      </c>
      <c r="F355" s="397">
        <f>E355*(1-F$353)+1</f>
        <v>5</v>
      </c>
      <c r="G355" s="397">
        <f t="shared" ref="G355:AN360" si="132">F355*(1-G$353)+1</f>
        <v>5</v>
      </c>
      <c r="H355" s="397">
        <f t="shared" si="132"/>
        <v>5</v>
      </c>
      <c r="I355" s="397">
        <f t="shared" si="132"/>
        <v>5</v>
      </c>
      <c r="J355" s="397">
        <f t="shared" si="132"/>
        <v>5</v>
      </c>
      <c r="K355" s="397">
        <f t="shared" si="132"/>
        <v>5</v>
      </c>
      <c r="L355" s="397">
        <f t="shared" si="132"/>
        <v>5</v>
      </c>
      <c r="M355" s="397">
        <f t="shared" si="132"/>
        <v>5</v>
      </c>
      <c r="N355" s="397">
        <f t="shared" si="132"/>
        <v>5</v>
      </c>
      <c r="O355" s="397">
        <f t="shared" si="132"/>
        <v>5</v>
      </c>
      <c r="P355" s="397">
        <f t="shared" si="132"/>
        <v>5</v>
      </c>
      <c r="Q355" s="397">
        <f t="shared" si="132"/>
        <v>5</v>
      </c>
      <c r="R355" s="397">
        <f t="shared" si="132"/>
        <v>5</v>
      </c>
      <c r="S355" s="397">
        <f t="shared" si="132"/>
        <v>5</v>
      </c>
      <c r="T355" s="397">
        <f t="shared" si="132"/>
        <v>5</v>
      </c>
      <c r="U355" s="397">
        <f t="shared" si="132"/>
        <v>5</v>
      </c>
      <c r="V355" s="397">
        <f t="shared" si="132"/>
        <v>5</v>
      </c>
      <c r="W355" s="397">
        <f t="shared" si="132"/>
        <v>5</v>
      </c>
      <c r="X355" s="397">
        <f t="shared" si="132"/>
        <v>5</v>
      </c>
      <c r="Y355" s="397">
        <f t="shared" si="132"/>
        <v>5</v>
      </c>
      <c r="Z355" s="397">
        <f t="shared" si="132"/>
        <v>5</v>
      </c>
      <c r="AA355" s="397">
        <f t="shared" si="132"/>
        <v>5</v>
      </c>
      <c r="AB355" s="397">
        <f t="shared" si="132"/>
        <v>5</v>
      </c>
      <c r="AC355" s="397">
        <f t="shared" si="132"/>
        <v>5</v>
      </c>
      <c r="AD355" s="397">
        <f t="shared" si="132"/>
        <v>5</v>
      </c>
      <c r="AE355" s="397">
        <f t="shared" si="132"/>
        <v>5</v>
      </c>
      <c r="AF355" s="397">
        <f t="shared" si="132"/>
        <v>5</v>
      </c>
      <c r="AG355" s="397">
        <f t="shared" si="132"/>
        <v>5</v>
      </c>
      <c r="AH355" s="397">
        <f t="shared" si="132"/>
        <v>5</v>
      </c>
      <c r="AI355" s="397">
        <f t="shared" si="132"/>
        <v>5</v>
      </c>
      <c r="AJ355" s="397">
        <f t="shared" si="132"/>
        <v>5</v>
      </c>
      <c r="AK355" s="397">
        <f t="shared" si="132"/>
        <v>5</v>
      </c>
      <c r="AL355" s="397">
        <f t="shared" si="132"/>
        <v>5</v>
      </c>
      <c r="AM355" s="397">
        <f t="shared" si="132"/>
        <v>5</v>
      </c>
      <c r="AN355" s="397">
        <f t="shared" si="132"/>
        <v>5</v>
      </c>
      <c r="AP355" s="20"/>
    </row>
    <row r="356" spans="2:42" x14ac:dyDescent="0.25">
      <c r="C356" s="20" t="s">
        <v>392</v>
      </c>
      <c r="D356" s="34" t="s">
        <v>162</v>
      </c>
      <c r="E356" s="398">
        <v>4</v>
      </c>
      <c r="F356" s="398">
        <f t="shared" ref="F356:U360" si="133">E356*(1-F$353)+1</f>
        <v>4.2</v>
      </c>
      <c r="G356" s="398">
        <f t="shared" si="133"/>
        <v>4.3600000000000003</v>
      </c>
      <c r="H356" s="398">
        <f t="shared" si="133"/>
        <v>4.4880000000000004</v>
      </c>
      <c r="I356" s="398">
        <f t="shared" si="133"/>
        <v>4.5904000000000007</v>
      </c>
      <c r="J356" s="398">
        <f t="shared" si="133"/>
        <v>4.6723200000000009</v>
      </c>
      <c r="K356" s="398">
        <f t="shared" si="133"/>
        <v>4.7378560000000007</v>
      </c>
      <c r="L356" s="398">
        <f t="shared" si="133"/>
        <v>4.7902848000000002</v>
      </c>
      <c r="M356" s="398">
        <f t="shared" si="133"/>
        <v>4.8322278399999998</v>
      </c>
      <c r="N356" s="398">
        <f t="shared" si="133"/>
        <v>4.8657822720000006</v>
      </c>
      <c r="O356" s="398">
        <f t="shared" si="133"/>
        <v>4.8926258176000008</v>
      </c>
      <c r="P356" s="398">
        <f t="shared" si="133"/>
        <v>4.9141006540800003</v>
      </c>
      <c r="Q356" s="398">
        <f t="shared" si="133"/>
        <v>4.9312805232640002</v>
      </c>
      <c r="R356" s="398">
        <f t="shared" si="133"/>
        <v>4.9450244186112009</v>
      </c>
      <c r="S356" s="398">
        <f t="shared" si="133"/>
        <v>4.9560195348889611</v>
      </c>
      <c r="T356" s="398">
        <f t="shared" si="133"/>
        <v>4.964815627911169</v>
      </c>
      <c r="U356" s="398">
        <f t="shared" si="133"/>
        <v>4.9718525023289359</v>
      </c>
      <c r="V356" s="398">
        <f t="shared" si="132"/>
        <v>4.9774820018631489</v>
      </c>
      <c r="W356" s="398">
        <f t="shared" si="132"/>
        <v>4.9819856014905195</v>
      </c>
      <c r="X356" s="398">
        <f t="shared" si="132"/>
        <v>4.9855884811924156</v>
      </c>
      <c r="Y356" s="398">
        <f t="shared" si="132"/>
        <v>4.9884707849539325</v>
      </c>
      <c r="Z356" s="398">
        <f t="shared" si="132"/>
        <v>4.9907766279631467</v>
      </c>
      <c r="AA356" s="398">
        <f t="shared" si="132"/>
        <v>4.9926213023705177</v>
      </c>
      <c r="AB356" s="398">
        <f t="shared" si="132"/>
        <v>4.9940970418964143</v>
      </c>
      <c r="AC356" s="398">
        <f t="shared" si="132"/>
        <v>4.9952776335171318</v>
      </c>
      <c r="AD356" s="398">
        <f t="shared" si="132"/>
        <v>4.9962221068137058</v>
      </c>
      <c r="AE356" s="398">
        <f t="shared" si="132"/>
        <v>4.9969776854509647</v>
      </c>
      <c r="AF356" s="398">
        <f t="shared" si="132"/>
        <v>4.9975821483607721</v>
      </c>
      <c r="AG356" s="398">
        <f t="shared" si="132"/>
        <v>4.9980657186886184</v>
      </c>
      <c r="AH356" s="398">
        <f t="shared" si="132"/>
        <v>4.9984525749508943</v>
      </c>
      <c r="AI356" s="398">
        <f t="shared" si="132"/>
        <v>4.9987620599607157</v>
      </c>
      <c r="AJ356" s="398">
        <f t="shared" si="132"/>
        <v>4.9990096479685722</v>
      </c>
      <c r="AK356" s="398">
        <f t="shared" si="132"/>
        <v>4.9992077183748584</v>
      </c>
      <c r="AL356" s="398">
        <f t="shared" si="132"/>
        <v>4.9993661746998868</v>
      </c>
      <c r="AM356" s="398">
        <f t="shared" si="132"/>
        <v>4.999492939759909</v>
      </c>
      <c r="AN356" s="398">
        <f t="shared" si="132"/>
        <v>4.9995943518079269</v>
      </c>
      <c r="AP356" s="21"/>
    </row>
    <row r="357" spans="2:42" x14ac:dyDescent="0.25">
      <c r="C357" s="20" t="s">
        <v>454</v>
      </c>
      <c r="D357" s="34" t="s">
        <v>162</v>
      </c>
      <c r="E357" s="398">
        <v>3</v>
      </c>
      <c r="F357" s="398">
        <f t="shared" si="133"/>
        <v>3.4000000000000004</v>
      </c>
      <c r="G357" s="398">
        <f t="shared" si="132"/>
        <v>3.7200000000000006</v>
      </c>
      <c r="H357" s="398">
        <f t="shared" si="132"/>
        <v>3.9760000000000009</v>
      </c>
      <c r="I357" s="398">
        <f t="shared" si="132"/>
        <v>4.1808000000000014</v>
      </c>
      <c r="J357" s="398">
        <f t="shared" si="132"/>
        <v>4.3446400000000018</v>
      </c>
      <c r="K357" s="398">
        <f t="shared" si="132"/>
        <v>4.4757120000000015</v>
      </c>
      <c r="L357" s="398">
        <f t="shared" si="132"/>
        <v>4.5805696000000014</v>
      </c>
      <c r="M357" s="398">
        <f t="shared" si="132"/>
        <v>4.6644556800000014</v>
      </c>
      <c r="N357" s="398">
        <f t="shared" si="132"/>
        <v>4.7315645440000011</v>
      </c>
      <c r="O357" s="398">
        <f t="shared" si="132"/>
        <v>4.7852516352000016</v>
      </c>
      <c r="P357" s="398">
        <f t="shared" si="132"/>
        <v>4.8282013081600015</v>
      </c>
      <c r="Q357" s="398">
        <f t="shared" si="132"/>
        <v>4.8625610465280014</v>
      </c>
      <c r="R357" s="398">
        <f t="shared" si="132"/>
        <v>4.8900488372224018</v>
      </c>
      <c r="S357" s="398">
        <f t="shared" si="132"/>
        <v>4.9120390697779222</v>
      </c>
      <c r="T357" s="398">
        <f t="shared" si="132"/>
        <v>4.9296312558223381</v>
      </c>
      <c r="U357" s="398">
        <f t="shared" si="132"/>
        <v>4.9437050046578701</v>
      </c>
      <c r="V357" s="398">
        <f t="shared" si="132"/>
        <v>4.9549640037262961</v>
      </c>
      <c r="W357" s="398">
        <f t="shared" si="132"/>
        <v>4.9639712029810372</v>
      </c>
      <c r="X357" s="398">
        <f t="shared" si="132"/>
        <v>4.9711769623848294</v>
      </c>
      <c r="Y357" s="398">
        <f t="shared" si="132"/>
        <v>4.9769415699078632</v>
      </c>
      <c r="Z357" s="398">
        <f t="shared" si="132"/>
        <v>4.9815532559262907</v>
      </c>
      <c r="AA357" s="398">
        <f t="shared" si="132"/>
        <v>4.9852426047410328</v>
      </c>
      <c r="AB357" s="398">
        <f t="shared" si="132"/>
        <v>4.9881940837928269</v>
      </c>
      <c r="AC357" s="398">
        <f t="shared" si="132"/>
        <v>4.9905552670342619</v>
      </c>
      <c r="AD357" s="398">
        <f t="shared" si="132"/>
        <v>4.9924442136274099</v>
      </c>
      <c r="AE357" s="398">
        <f t="shared" si="132"/>
        <v>4.9939553709019275</v>
      </c>
      <c r="AF357" s="398">
        <f t="shared" si="132"/>
        <v>4.9951642967215424</v>
      </c>
      <c r="AG357" s="398">
        <f t="shared" si="132"/>
        <v>4.9961314373772341</v>
      </c>
      <c r="AH357" s="398">
        <f t="shared" si="132"/>
        <v>4.9969051499017869</v>
      </c>
      <c r="AI357" s="398">
        <f t="shared" si="132"/>
        <v>4.9975241199214295</v>
      </c>
      <c r="AJ357" s="398">
        <f t="shared" si="132"/>
        <v>4.9980192959371443</v>
      </c>
      <c r="AK357" s="398">
        <f t="shared" si="132"/>
        <v>4.9984154367497151</v>
      </c>
      <c r="AL357" s="398">
        <f t="shared" si="132"/>
        <v>4.9987323493997717</v>
      </c>
      <c r="AM357" s="398">
        <f t="shared" si="132"/>
        <v>4.9989858795198181</v>
      </c>
      <c r="AN357" s="398">
        <f t="shared" si="132"/>
        <v>4.9991887036158547</v>
      </c>
      <c r="AP357" s="21"/>
    </row>
    <row r="358" spans="2:42" x14ac:dyDescent="0.25">
      <c r="C358" s="21" t="s">
        <v>455</v>
      </c>
      <c r="D358" s="34" t="s">
        <v>162</v>
      </c>
      <c r="E358" s="398">
        <v>2</v>
      </c>
      <c r="F358" s="398">
        <f t="shared" si="133"/>
        <v>2.6</v>
      </c>
      <c r="G358" s="398">
        <f t="shared" si="132"/>
        <v>3.08</v>
      </c>
      <c r="H358" s="398">
        <f t="shared" si="132"/>
        <v>3.4640000000000004</v>
      </c>
      <c r="I358" s="398">
        <f t="shared" si="132"/>
        <v>3.7712000000000003</v>
      </c>
      <c r="J358" s="398">
        <f t="shared" si="132"/>
        <v>4.016960000000001</v>
      </c>
      <c r="K358" s="398">
        <f t="shared" si="132"/>
        <v>4.2135680000000004</v>
      </c>
      <c r="L358" s="398">
        <f t="shared" si="132"/>
        <v>4.3708544000000007</v>
      </c>
      <c r="M358" s="398">
        <f t="shared" si="132"/>
        <v>4.4966835200000013</v>
      </c>
      <c r="N358" s="398">
        <f t="shared" si="132"/>
        <v>4.5973468160000017</v>
      </c>
      <c r="O358" s="398">
        <f t="shared" si="132"/>
        <v>4.6778774528000016</v>
      </c>
      <c r="P358" s="398">
        <f t="shared" si="132"/>
        <v>4.7423019622400009</v>
      </c>
      <c r="Q358" s="398">
        <f t="shared" si="132"/>
        <v>4.7938415697920007</v>
      </c>
      <c r="R358" s="398">
        <f t="shared" si="132"/>
        <v>4.8350732558336009</v>
      </c>
      <c r="S358" s="398">
        <f t="shared" si="132"/>
        <v>4.8680586046668815</v>
      </c>
      <c r="T358" s="398">
        <f t="shared" si="132"/>
        <v>4.8944468837335053</v>
      </c>
      <c r="U358" s="398">
        <f t="shared" si="132"/>
        <v>4.9155575069868043</v>
      </c>
      <c r="V358" s="398">
        <f t="shared" si="132"/>
        <v>4.9324460055894441</v>
      </c>
      <c r="W358" s="398">
        <f t="shared" si="132"/>
        <v>4.9459568044715549</v>
      </c>
      <c r="X358" s="398">
        <f t="shared" si="132"/>
        <v>4.9567654435772441</v>
      </c>
      <c r="Y358" s="398">
        <f t="shared" si="132"/>
        <v>4.9654123548617957</v>
      </c>
      <c r="Z358" s="398">
        <f t="shared" si="132"/>
        <v>4.9723298838894365</v>
      </c>
      <c r="AA358" s="398">
        <f t="shared" si="132"/>
        <v>4.9778639071115496</v>
      </c>
      <c r="AB358" s="398">
        <f t="shared" si="132"/>
        <v>4.9822911256892404</v>
      </c>
      <c r="AC358" s="398">
        <f t="shared" si="132"/>
        <v>4.9858329005513919</v>
      </c>
      <c r="AD358" s="398">
        <f t="shared" si="132"/>
        <v>4.9886663204411139</v>
      </c>
      <c r="AE358" s="398">
        <f t="shared" si="132"/>
        <v>4.9909330563528913</v>
      </c>
      <c r="AF358" s="398">
        <f t="shared" si="132"/>
        <v>4.9927464450823127</v>
      </c>
      <c r="AG358" s="398">
        <f t="shared" si="132"/>
        <v>4.9941971560658498</v>
      </c>
      <c r="AH358" s="398">
        <f t="shared" si="132"/>
        <v>4.9953577248526795</v>
      </c>
      <c r="AI358" s="398">
        <f t="shared" si="132"/>
        <v>4.9962861798821443</v>
      </c>
      <c r="AJ358" s="398">
        <f t="shared" si="132"/>
        <v>4.9970289439057156</v>
      </c>
      <c r="AK358" s="398">
        <f t="shared" si="132"/>
        <v>4.9976231551245727</v>
      </c>
      <c r="AL358" s="398">
        <f t="shared" si="132"/>
        <v>4.9980985240996585</v>
      </c>
      <c r="AM358" s="398">
        <f t="shared" si="132"/>
        <v>4.9984788192797271</v>
      </c>
      <c r="AN358" s="398">
        <f t="shared" si="132"/>
        <v>4.9987830554237824</v>
      </c>
      <c r="AP358" s="21"/>
    </row>
    <row r="359" spans="2:42" x14ac:dyDescent="0.25">
      <c r="C359" s="21" t="s">
        <v>393</v>
      </c>
      <c r="D359" s="34" t="s">
        <v>162</v>
      </c>
      <c r="E359" s="398">
        <v>1</v>
      </c>
      <c r="F359" s="398">
        <f t="shared" si="133"/>
        <v>1.8</v>
      </c>
      <c r="G359" s="398">
        <f t="shared" si="132"/>
        <v>2.4400000000000004</v>
      </c>
      <c r="H359" s="398">
        <f t="shared" si="132"/>
        <v>2.9520000000000004</v>
      </c>
      <c r="I359" s="398">
        <f t="shared" si="132"/>
        <v>3.3616000000000006</v>
      </c>
      <c r="J359" s="398">
        <f t="shared" si="132"/>
        <v>3.6892800000000006</v>
      </c>
      <c r="K359" s="398">
        <f t="shared" si="132"/>
        <v>3.9514240000000007</v>
      </c>
      <c r="L359" s="398">
        <f t="shared" si="132"/>
        <v>4.1611392000000009</v>
      </c>
      <c r="M359" s="398">
        <f t="shared" si="132"/>
        <v>4.3289113600000011</v>
      </c>
      <c r="N359" s="398">
        <f t="shared" si="132"/>
        <v>4.4631290880000005</v>
      </c>
      <c r="O359" s="398">
        <f t="shared" si="132"/>
        <v>4.5705032704000006</v>
      </c>
      <c r="P359" s="398">
        <f t="shared" si="132"/>
        <v>4.6564026163200012</v>
      </c>
      <c r="Q359" s="398">
        <f t="shared" si="132"/>
        <v>4.7251220930560009</v>
      </c>
      <c r="R359" s="398">
        <f t="shared" si="132"/>
        <v>4.7800976744448009</v>
      </c>
      <c r="S359" s="398">
        <f t="shared" si="132"/>
        <v>4.8240781395558407</v>
      </c>
      <c r="T359" s="398">
        <f t="shared" si="132"/>
        <v>4.8592625116446726</v>
      </c>
      <c r="U359" s="398">
        <f t="shared" si="132"/>
        <v>4.8874100093157384</v>
      </c>
      <c r="V359" s="398">
        <f t="shared" si="132"/>
        <v>4.9099280074525904</v>
      </c>
      <c r="W359" s="398">
        <f t="shared" si="132"/>
        <v>4.9279424059620727</v>
      </c>
      <c r="X359" s="398">
        <f t="shared" si="132"/>
        <v>4.9423539247696588</v>
      </c>
      <c r="Y359" s="398">
        <f t="shared" si="132"/>
        <v>4.9538831398157273</v>
      </c>
      <c r="Z359" s="398">
        <f t="shared" si="132"/>
        <v>4.9631065118525814</v>
      </c>
      <c r="AA359" s="398">
        <f t="shared" si="132"/>
        <v>4.9704852094820655</v>
      </c>
      <c r="AB359" s="398">
        <f t="shared" si="132"/>
        <v>4.9763881675856521</v>
      </c>
      <c r="AC359" s="398">
        <f t="shared" si="132"/>
        <v>4.981110534068522</v>
      </c>
      <c r="AD359" s="398">
        <f t="shared" si="132"/>
        <v>4.984888427254818</v>
      </c>
      <c r="AE359" s="398">
        <f t="shared" si="132"/>
        <v>4.9879107418038551</v>
      </c>
      <c r="AF359" s="398">
        <f t="shared" si="132"/>
        <v>4.9903285934430848</v>
      </c>
      <c r="AG359" s="398">
        <f t="shared" si="132"/>
        <v>4.9922628747544682</v>
      </c>
      <c r="AH359" s="398">
        <f t="shared" si="132"/>
        <v>4.9938102998035747</v>
      </c>
      <c r="AI359" s="398">
        <f t="shared" si="132"/>
        <v>4.9950482398428599</v>
      </c>
      <c r="AJ359" s="398">
        <f t="shared" si="132"/>
        <v>4.9960385918742887</v>
      </c>
      <c r="AK359" s="398">
        <f t="shared" si="132"/>
        <v>4.9968308734994311</v>
      </c>
      <c r="AL359" s="398">
        <f t="shared" si="132"/>
        <v>4.9974646987995452</v>
      </c>
      <c r="AM359" s="398">
        <f t="shared" si="132"/>
        <v>4.9979717590396362</v>
      </c>
      <c r="AN359" s="398">
        <f t="shared" si="132"/>
        <v>4.9983774072317093</v>
      </c>
      <c r="AP359" s="21"/>
    </row>
    <row r="360" spans="2:42" x14ac:dyDescent="0.25">
      <c r="C360" s="22" t="s">
        <v>456</v>
      </c>
      <c r="D360" s="34" t="s">
        <v>162</v>
      </c>
      <c r="E360" s="399">
        <v>0</v>
      </c>
      <c r="F360" s="399">
        <f t="shared" si="133"/>
        <v>1</v>
      </c>
      <c r="G360" s="399">
        <f t="shared" si="132"/>
        <v>1.8</v>
      </c>
      <c r="H360" s="399">
        <f t="shared" si="132"/>
        <v>2.4400000000000004</v>
      </c>
      <c r="I360" s="399">
        <f t="shared" si="132"/>
        <v>2.9520000000000004</v>
      </c>
      <c r="J360" s="399">
        <f t="shared" si="132"/>
        <v>3.3616000000000006</v>
      </c>
      <c r="K360" s="399">
        <f t="shared" si="132"/>
        <v>3.6892800000000006</v>
      </c>
      <c r="L360" s="399">
        <f t="shared" si="132"/>
        <v>3.9514240000000007</v>
      </c>
      <c r="M360" s="399">
        <f t="shared" si="132"/>
        <v>4.1611392000000009</v>
      </c>
      <c r="N360" s="399">
        <f t="shared" si="132"/>
        <v>4.3289113600000011</v>
      </c>
      <c r="O360" s="399">
        <f t="shared" si="132"/>
        <v>4.4631290880000005</v>
      </c>
      <c r="P360" s="399">
        <f t="shared" si="132"/>
        <v>4.5705032704000006</v>
      </c>
      <c r="Q360" s="399">
        <f t="shared" si="132"/>
        <v>4.6564026163200012</v>
      </c>
      <c r="R360" s="399">
        <f t="shared" si="132"/>
        <v>4.7251220930560009</v>
      </c>
      <c r="S360" s="399">
        <f t="shared" si="132"/>
        <v>4.7800976744448009</v>
      </c>
      <c r="T360" s="399">
        <f t="shared" si="132"/>
        <v>4.8240781395558407</v>
      </c>
      <c r="U360" s="399">
        <f t="shared" si="132"/>
        <v>4.8592625116446726</v>
      </c>
      <c r="V360" s="399">
        <f t="shared" si="132"/>
        <v>4.8874100093157384</v>
      </c>
      <c r="W360" s="399">
        <f t="shared" si="132"/>
        <v>4.9099280074525904</v>
      </c>
      <c r="X360" s="399">
        <f t="shared" si="132"/>
        <v>4.9279424059620727</v>
      </c>
      <c r="Y360" s="399">
        <f t="shared" si="132"/>
        <v>4.9423539247696588</v>
      </c>
      <c r="Z360" s="399">
        <f t="shared" si="132"/>
        <v>4.9538831398157273</v>
      </c>
      <c r="AA360" s="399">
        <f t="shared" si="132"/>
        <v>4.9631065118525814</v>
      </c>
      <c r="AB360" s="399">
        <f t="shared" si="132"/>
        <v>4.9704852094820655</v>
      </c>
      <c r="AC360" s="399">
        <f t="shared" si="132"/>
        <v>4.9763881675856521</v>
      </c>
      <c r="AD360" s="399">
        <f t="shared" si="132"/>
        <v>4.981110534068522</v>
      </c>
      <c r="AE360" s="399">
        <f t="shared" si="132"/>
        <v>4.984888427254818</v>
      </c>
      <c r="AF360" s="399">
        <f t="shared" si="132"/>
        <v>4.9879107418038551</v>
      </c>
      <c r="AG360" s="399">
        <f t="shared" si="132"/>
        <v>4.9903285934430848</v>
      </c>
      <c r="AH360" s="399">
        <f t="shared" si="132"/>
        <v>4.9922628747544682</v>
      </c>
      <c r="AI360" s="399">
        <f t="shared" si="132"/>
        <v>4.9938102998035747</v>
      </c>
      <c r="AJ360" s="399">
        <f t="shared" si="132"/>
        <v>4.9950482398428599</v>
      </c>
      <c r="AK360" s="399">
        <f t="shared" si="132"/>
        <v>4.9960385918742887</v>
      </c>
      <c r="AL360" s="399">
        <f t="shared" si="132"/>
        <v>4.9968308734994311</v>
      </c>
      <c r="AM360" s="399">
        <f t="shared" si="132"/>
        <v>4.9974646987995452</v>
      </c>
      <c r="AN360" s="399">
        <f t="shared" si="132"/>
        <v>4.9979717590396362</v>
      </c>
      <c r="AP360" s="26"/>
    </row>
    <row r="361" spans="2:42" s="74" customFormat="1" x14ac:dyDescent="0.25">
      <c r="B361" s="99" t="s">
        <v>9</v>
      </c>
      <c r="C361" s="311" t="s">
        <v>627</v>
      </c>
      <c r="D361" s="318"/>
      <c r="E361" s="402"/>
      <c r="F361" s="402"/>
      <c r="G361" s="402"/>
      <c r="H361" s="402"/>
      <c r="I361" s="402"/>
      <c r="J361" s="402"/>
      <c r="K361" s="402"/>
      <c r="L361" s="402"/>
      <c r="M361" s="402"/>
      <c r="N361" s="402"/>
      <c r="O361" s="402"/>
      <c r="P361" s="402"/>
      <c r="Q361" s="402"/>
      <c r="R361" s="402"/>
      <c r="S361" s="402"/>
      <c r="T361" s="402"/>
      <c r="U361" s="402"/>
      <c r="V361" s="402"/>
      <c r="W361" s="402"/>
      <c r="X361" s="402"/>
      <c r="Y361" s="402"/>
      <c r="Z361" s="402"/>
      <c r="AA361" s="402"/>
      <c r="AB361" s="402"/>
      <c r="AC361" s="402"/>
      <c r="AD361" s="402"/>
      <c r="AE361" s="402"/>
      <c r="AF361" s="402"/>
      <c r="AG361" s="402"/>
      <c r="AH361" s="402"/>
      <c r="AI361" s="402"/>
      <c r="AJ361" s="402"/>
      <c r="AK361" s="402"/>
      <c r="AL361" s="402"/>
      <c r="AM361" s="402"/>
      <c r="AN361" s="402"/>
      <c r="AP361" s="311"/>
    </row>
    <row r="362" spans="2:42" x14ac:dyDescent="0.25">
      <c r="C362" s="20" t="s">
        <v>600</v>
      </c>
      <c r="D362" s="34" t="s">
        <v>162</v>
      </c>
      <c r="E362" s="397">
        <v>5</v>
      </c>
      <c r="F362" s="397">
        <v>5</v>
      </c>
      <c r="G362" s="397">
        <v>5</v>
      </c>
      <c r="H362" s="397">
        <v>5</v>
      </c>
      <c r="I362" s="397">
        <v>5</v>
      </c>
      <c r="J362" s="397">
        <v>5</v>
      </c>
      <c r="K362" s="397">
        <v>5</v>
      </c>
      <c r="L362" s="397">
        <v>5</v>
      </c>
      <c r="M362" s="397">
        <v>5</v>
      </c>
      <c r="N362" s="397">
        <v>5</v>
      </c>
      <c r="O362" s="397">
        <v>5</v>
      </c>
      <c r="P362" s="397">
        <v>5</v>
      </c>
      <c r="Q362" s="397">
        <v>5</v>
      </c>
      <c r="R362" s="397">
        <v>5</v>
      </c>
      <c r="S362" s="397">
        <v>5</v>
      </c>
      <c r="T362" s="397">
        <v>5</v>
      </c>
      <c r="U362" s="397">
        <v>5</v>
      </c>
      <c r="V362" s="397">
        <v>5</v>
      </c>
      <c r="W362" s="397">
        <v>5</v>
      </c>
      <c r="X362" s="397">
        <v>5</v>
      </c>
      <c r="Y362" s="397">
        <v>5</v>
      </c>
      <c r="Z362" s="397">
        <v>5</v>
      </c>
      <c r="AA362" s="397">
        <v>5</v>
      </c>
      <c r="AB362" s="397">
        <v>5</v>
      </c>
      <c r="AC362" s="397">
        <v>5</v>
      </c>
      <c r="AD362" s="397">
        <v>5</v>
      </c>
      <c r="AE362" s="397">
        <v>5</v>
      </c>
      <c r="AF362" s="397">
        <v>5</v>
      </c>
      <c r="AG362" s="397">
        <v>5</v>
      </c>
      <c r="AH362" s="397">
        <v>5</v>
      </c>
      <c r="AI362" s="397">
        <v>5</v>
      </c>
      <c r="AJ362" s="397">
        <v>5</v>
      </c>
      <c r="AK362" s="397">
        <v>5</v>
      </c>
      <c r="AL362" s="397">
        <v>5</v>
      </c>
      <c r="AM362" s="397">
        <v>5</v>
      </c>
      <c r="AN362" s="397">
        <v>5</v>
      </c>
      <c r="AP362" s="20"/>
    </row>
    <row r="363" spans="2:42" x14ac:dyDescent="0.25">
      <c r="C363" s="20" t="s">
        <v>392</v>
      </c>
      <c r="D363" s="34" t="s">
        <v>162</v>
      </c>
      <c r="E363" s="398">
        <v>4</v>
      </c>
      <c r="F363" s="398">
        <v>4</v>
      </c>
      <c r="G363" s="398">
        <v>4</v>
      </c>
      <c r="H363" s="398">
        <v>4</v>
      </c>
      <c r="I363" s="398">
        <v>4</v>
      </c>
      <c r="J363" s="398">
        <v>4</v>
      </c>
      <c r="K363" s="398">
        <v>4</v>
      </c>
      <c r="L363" s="398">
        <v>4</v>
      </c>
      <c r="M363" s="398">
        <v>4</v>
      </c>
      <c r="N363" s="398">
        <v>4</v>
      </c>
      <c r="O363" s="398">
        <v>4</v>
      </c>
      <c r="P363" s="398">
        <v>4</v>
      </c>
      <c r="Q363" s="398">
        <v>4</v>
      </c>
      <c r="R363" s="398">
        <v>4</v>
      </c>
      <c r="S363" s="398">
        <v>4</v>
      </c>
      <c r="T363" s="398">
        <v>4</v>
      </c>
      <c r="U363" s="398">
        <v>4</v>
      </c>
      <c r="V363" s="398">
        <v>4</v>
      </c>
      <c r="W363" s="398">
        <v>4</v>
      </c>
      <c r="X363" s="398">
        <v>4</v>
      </c>
      <c r="Y363" s="398">
        <v>4</v>
      </c>
      <c r="Z363" s="398">
        <v>4</v>
      </c>
      <c r="AA363" s="398">
        <v>4</v>
      </c>
      <c r="AB363" s="398">
        <v>4</v>
      </c>
      <c r="AC363" s="398">
        <v>4</v>
      </c>
      <c r="AD363" s="398">
        <v>4</v>
      </c>
      <c r="AE363" s="398">
        <v>4</v>
      </c>
      <c r="AF363" s="398">
        <v>4</v>
      </c>
      <c r="AG363" s="398">
        <v>4</v>
      </c>
      <c r="AH363" s="398">
        <v>4</v>
      </c>
      <c r="AI363" s="398">
        <v>4</v>
      </c>
      <c r="AJ363" s="398">
        <v>4</v>
      </c>
      <c r="AK363" s="398">
        <v>4</v>
      </c>
      <c r="AL363" s="398">
        <v>4</v>
      </c>
      <c r="AM363" s="398">
        <v>4</v>
      </c>
      <c r="AN363" s="398">
        <v>4</v>
      </c>
      <c r="AP363" s="21"/>
    </row>
    <row r="364" spans="2:42" x14ac:dyDescent="0.25">
      <c r="C364" s="20" t="s">
        <v>454</v>
      </c>
      <c r="D364" s="34" t="s">
        <v>162</v>
      </c>
      <c r="E364" s="398">
        <v>3</v>
      </c>
      <c r="F364" s="398">
        <v>3</v>
      </c>
      <c r="G364" s="398">
        <v>3</v>
      </c>
      <c r="H364" s="398">
        <v>3</v>
      </c>
      <c r="I364" s="398">
        <v>3</v>
      </c>
      <c r="J364" s="398">
        <v>3</v>
      </c>
      <c r="K364" s="398">
        <v>3</v>
      </c>
      <c r="L364" s="398">
        <v>3</v>
      </c>
      <c r="M364" s="398">
        <v>3</v>
      </c>
      <c r="N364" s="398">
        <v>3</v>
      </c>
      <c r="O364" s="398">
        <v>3</v>
      </c>
      <c r="P364" s="398">
        <v>3</v>
      </c>
      <c r="Q364" s="398">
        <v>3</v>
      </c>
      <c r="R364" s="398">
        <v>3</v>
      </c>
      <c r="S364" s="398">
        <v>3</v>
      </c>
      <c r="T364" s="398">
        <v>3</v>
      </c>
      <c r="U364" s="398">
        <v>3</v>
      </c>
      <c r="V364" s="398">
        <v>3</v>
      </c>
      <c r="W364" s="398">
        <v>3</v>
      </c>
      <c r="X364" s="398">
        <v>3</v>
      </c>
      <c r="Y364" s="398">
        <v>3</v>
      </c>
      <c r="Z364" s="398">
        <v>3</v>
      </c>
      <c r="AA364" s="398">
        <v>3</v>
      </c>
      <c r="AB364" s="398">
        <v>3</v>
      </c>
      <c r="AC364" s="398">
        <v>3</v>
      </c>
      <c r="AD364" s="398">
        <v>3</v>
      </c>
      <c r="AE364" s="398">
        <v>3</v>
      </c>
      <c r="AF364" s="398">
        <v>3</v>
      </c>
      <c r="AG364" s="398">
        <v>3</v>
      </c>
      <c r="AH364" s="398">
        <v>3</v>
      </c>
      <c r="AI364" s="398">
        <v>3</v>
      </c>
      <c r="AJ364" s="398">
        <v>3</v>
      </c>
      <c r="AK364" s="398">
        <v>3</v>
      </c>
      <c r="AL364" s="398">
        <v>3</v>
      </c>
      <c r="AM364" s="398">
        <v>3</v>
      </c>
      <c r="AN364" s="398">
        <v>3</v>
      </c>
      <c r="AP364" s="21"/>
    </row>
    <row r="365" spans="2:42" x14ac:dyDescent="0.25">
      <c r="C365" s="21" t="s">
        <v>455</v>
      </c>
      <c r="D365" s="34" t="s">
        <v>162</v>
      </c>
      <c r="E365" s="398">
        <v>2</v>
      </c>
      <c r="F365" s="398">
        <v>2</v>
      </c>
      <c r="G365" s="398">
        <v>2</v>
      </c>
      <c r="H365" s="398">
        <v>2</v>
      </c>
      <c r="I365" s="398">
        <v>2</v>
      </c>
      <c r="J365" s="398">
        <v>2</v>
      </c>
      <c r="K365" s="398">
        <v>2</v>
      </c>
      <c r="L365" s="398">
        <v>2</v>
      </c>
      <c r="M365" s="398">
        <v>2</v>
      </c>
      <c r="N365" s="398">
        <v>2</v>
      </c>
      <c r="O365" s="398">
        <v>2</v>
      </c>
      <c r="P365" s="398">
        <v>2</v>
      </c>
      <c r="Q365" s="398">
        <v>2</v>
      </c>
      <c r="R365" s="398">
        <v>2</v>
      </c>
      <c r="S365" s="398">
        <v>2</v>
      </c>
      <c r="T365" s="398">
        <v>2</v>
      </c>
      <c r="U365" s="398">
        <v>2</v>
      </c>
      <c r="V365" s="398">
        <v>2</v>
      </c>
      <c r="W365" s="398">
        <v>2</v>
      </c>
      <c r="X365" s="398">
        <v>2</v>
      </c>
      <c r="Y365" s="398">
        <v>2</v>
      </c>
      <c r="Z365" s="398">
        <v>2</v>
      </c>
      <c r="AA365" s="398">
        <v>2</v>
      </c>
      <c r="AB365" s="398">
        <v>2</v>
      </c>
      <c r="AC365" s="398">
        <v>2</v>
      </c>
      <c r="AD365" s="398">
        <v>2</v>
      </c>
      <c r="AE365" s="398">
        <v>2</v>
      </c>
      <c r="AF365" s="398">
        <v>2</v>
      </c>
      <c r="AG365" s="398">
        <v>2</v>
      </c>
      <c r="AH365" s="398">
        <v>2</v>
      </c>
      <c r="AI365" s="398">
        <v>2</v>
      </c>
      <c r="AJ365" s="398">
        <v>2</v>
      </c>
      <c r="AK365" s="398">
        <v>2</v>
      </c>
      <c r="AL365" s="398">
        <v>2</v>
      </c>
      <c r="AM365" s="398">
        <v>2</v>
      </c>
      <c r="AN365" s="398">
        <v>2</v>
      </c>
      <c r="AP365" s="21"/>
    </row>
    <row r="366" spans="2:42" x14ac:dyDescent="0.25">
      <c r="C366" s="21" t="s">
        <v>393</v>
      </c>
      <c r="D366" s="34" t="s">
        <v>162</v>
      </c>
      <c r="E366" s="398">
        <v>1</v>
      </c>
      <c r="F366" s="398">
        <v>1</v>
      </c>
      <c r="G366" s="398">
        <v>1</v>
      </c>
      <c r="H366" s="398">
        <v>1</v>
      </c>
      <c r="I366" s="398">
        <v>1</v>
      </c>
      <c r="J366" s="398">
        <v>1</v>
      </c>
      <c r="K366" s="398">
        <v>1</v>
      </c>
      <c r="L366" s="398">
        <v>1</v>
      </c>
      <c r="M366" s="398">
        <v>1</v>
      </c>
      <c r="N366" s="398">
        <v>1</v>
      </c>
      <c r="O366" s="398">
        <v>1</v>
      </c>
      <c r="P366" s="398">
        <v>1</v>
      </c>
      <c r="Q366" s="398">
        <v>1</v>
      </c>
      <c r="R366" s="398">
        <v>1</v>
      </c>
      <c r="S366" s="398">
        <v>1</v>
      </c>
      <c r="T366" s="398">
        <v>1</v>
      </c>
      <c r="U366" s="398">
        <v>1</v>
      </c>
      <c r="V366" s="398">
        <v>1</v>
      </c>
      <c r="W366" s="398">
        <v>1</v>
      </c>
      <c r="X366" s="398">
        <v>1</v>
      </c>
      <c r="Y366" s="398">
        <v>1</v>
      </c>
      <c r="Z366" s="398">
        <v>1</v>
      </c>
      <c r="AA366" s="398">
        <v>1</v>
      </c>
      <c r="AB366" s="398">
        <v>1</v>
      </c>
      <c r="AC366" s="398">
        <v>1</v>
      </c>
      <c r="AD366" s="398">
        <v>1</v>
      </c>
      <c r="AE366" s="398">
        <v>1</v>
      </c>
      <c r="AF366" s="398">
        <v>1</v>
      </c>
      <c r="AG366" s="398">
        <v>1</v>
      </c>
      <c r="AH366" s="398">
        <v>1</v>
      </c>
      <c r="AI366" s="398">
        <v>1</v>
      </c>
      <c r="AJ366" s="398">
        <v>1</v>
      </c>
      <c r="AK366" s="398">
        <v>1</v>
      </c>
      <c r="AL366" s="398">
        <v>1</v>
      </c>
      <c r="AM366" s="398">
        <v>1</v>
      </c>
      <c r="AN366" s="398">
        <v>1</v>
      </c>
      <c r="AP366" s="21"/>
    </row>
    <row r="367" spans="2:42" x14ac:dyDescent="0.25">
      <c r="C367" s="22" t="s">
        <v>456</v>
      </c>
      <c r="D367" s="34" t="s">
        <v>162</v>
      </c>
      <c r="E367" s="399">
        <v>0</v>
      </c>
      <c r="F367" s="399">
        <v>0</v>
      </c>
      <c r="G367" s="399">
        <v>0</v>
      </c>
      <c r="H367" s="399">
        <v>0</v>
      </c>
      <c r="I367" s="399">
        <v>0</v>
      </c>
      <c r="J367" s="399">
        <v>0</v>
      </c>
      <c r="K367" s="399">
        <v>0</v>
      </c>
      <c r="L367" s="399">
        <v>0</v>
      </c>
      <c r="M367" s="399">
        <v>0</v>
      </c>
      <c r="N367" s="399">
        <v>0</v>
      </c>
      <c r="O367" s="399">
        <v>0</v>
      </c>
      <c r="P367" s="399">
        <v>0</v>
      </c>
      <c r="Q367" s="399">
        <v>0</v>
      </c>
      <c r="R367" s="399">
        <v>0</v>
      </c>
      <c r="S367" s="399">
        <v>0</v>
      </c>
      <c r="T367" s="399">
        <v>0</v>
      </c>
      <c r="U367" s="399">
        <v>0</v>
      </c>
      <c r="V367" s="399">
        <v>0</v>
      </c>
      <c r="W367" s="399">
        <v>0</v>
      </c>
      <c r="X367" s="399">
        <v>0</v>
      </c>
      <c r="Y367" s="399">
        <v>0</v>
      </c>
      <c r="Z367" s="399">
        <v>0</v>
      </c>
      <c r="AA367" s="399">
        <v>0</v>
      </c>
      <c r="AB367" s="399">
        <v>0</v>
      </c>
      <c r="AC367" s="399">
        <v>0</v>
      </c>
      <c r="AD367" s="399">
        <v>0</v>
      </c>
      <c r="AE367" s="399">
        <v>0</v>
      </c>
      <c r="AF367" s="399">
        <v>0</v>
      </c>
      <c r="AG367" s="399">
        <v>0</v>
      </c>
      <c r="AH367" s="399">
        <v>0</v>
      </c>
      <c r="AI367" s="399">
        <v>0</v>
      </c>
      <c r="AJ367" s="399">
        <v>0</v>
      </c>
      <c r="AK367" s="399">
        <v>0</v>
      </c>
      <c r="AL367" s="399">
        <v>0</v>
      </c>
      <c r="AM367" s="399">
        <v>0</v>
      </c>
      <c r="AN367" s="399">
        <v>0</v>
      </c>
      <c r="AP367" s="26"/>
    </row>
    <row r="368" spans="2:42" s="74" customFormat="1" x14ac:dyDescent="0.25">
      <c r="B368" s="99" t="s">
        <v>9</v>
      </c>
      <c r="C368" s="311" t="s">
        <v>628</v>
      </c>
      <c r="D368" s="318"/>
      <c r="E368" s="402"/>
      <c r="F368" s="402"/>
      <c r="G368" s="402"/>
      <c r="H368" s="402"/>
      <c r="I368" s="402"/>
      <c r="J368" s="402"/>
      <c r="K368" s="402"/>
      <c r="L368" s="402"/>
      <c r="M368" s="402"/>
      <c r="N368" s="402"/>
      <c r="O368" s="402"/>
      <c r="P368" s="402"/>
      <c r="Q368" s="402"/>
      <c r="R368" s="402"/>
      <c r="S368" s="402"/>
      <c r="T368" s="402"/>
      <c r="U368" s="402"/>
      <c r="V368" s="402"/>
      <c r="W368" s="402"/>
      <c r="X368" s="402"/>
      <c r="Y368" s="402"/>
      <c r="Z368" s="402"/>
      <c r="AA368" s="402"/>
      <c r="AB368" s="402"/>
      <c r="AC368" s="402"/>
      <c r="AD368" s="402"/>
      <c r="AE368" s="402"/>
      <c r="AF368" s="402"/>
      <c r="AG368" s="402"/>
      <c r="AH368" s="402"/>
      <c r="AI368" s="402"/>
      <c r="AJ368" s="402"/>
      <c r="AK368" s="402"/>
      <c r="AL368" s="402"/>
      <c r="AM368" s="402"/>
      <c r="AN368" s="402"/>
      <c r="AP368" s="311"/>
    </row>
    <row r="369" spans="2:42" x14ac:dyDescent="0.25">
      <c r="C369" s="20" t="s">
        <v>600</v>
      </c>
      <c r="D369" s="34" t="s">
        <v>162</v>
      </c>
      <c r="E369" s="397">
        <v>5</v>
      </c>
      <c r="F369" s="397">
        <v>5</v>
      </c>
      <c r="G369" s="397">
        <v>5</v>
      </c>
      <c r="H369" s="397">
        <v>5</v>
      </c>
      <c r="I369" s="397">
        <v>5</v>
      </c>
      <c r="J369" s="397">
        <v>5</v>
      </c>
      <c r="K369" s="397">
        <v>5</v>
      </c>
      <c r="L369" s="397">
        <v>5</v>
      </c>
      <c r="M369" s="397">
        <v>5</v>
      </c>
      <c r="N369" s="397">
        <v>5</v>
      </c>
      <c r="O369" s="397">
        <v>5</v>
      </c>
      <c r="P369" s="397">
        <v>5</v>
      </c>
      <c r="Q369" s="397">
        <v>5</v>
      </c>
      <c r="R369" s="397">
        <v>5</v>
      </c>
      <c r="S369" s="397">
        <v>5</v>
      </c>
      <c r="T369" s="397">
        <v>5</v>
      </c>
      <c r="U369" s="397">
        <v>5</v>
      </c>
      <c r="V369" s="397">
        <v>5</v>
      </c>
      <c r="W369" s="397">
        <v>5</v>
      </c>
      <c r="X369" s="397">
        <v>5</v>
      </c>
      <c r="Y369" s="397">
        <v>5</v>
      </c>
      <c r="Z369" s="397">
        <v>5</v>
      </c>
      <c r="AA369" s="397">
        <v>5</v>
      </c>
      <c r="AB369" s="397">
        <v>5</v>
      </c>
      <c r="AC369" s="397">
        <v>5</v>
      </c>
      <c r="AD369" s="397">
        <v>5</v>
      </c>
      <c r="AE369" s="397">
        <v>5</v>
      </c>
      <c r="AF369" s="397">
        <v>5</v>
      </c>
      <c r="AG369" s="397">
        <v>5</v>
      </c>
      <c r="AH369" s="397">
        <v>5</v>
      </c>
      <c r="AI369" s="397">
        <v>5</v>
      </c>
      <c r="AJ369" s="397">
        <v>5</v>
      </c>
      <c r="AK369" s="397">
        <v>5</v>
      </c>
      <c r="AL369" s="397">
        <v>5</v>
      </c>
      <c r="AM369" s="397">
        <v>5</v>
      </c>
      <c r="AN369" s="397">
        <v>5</v>
      </c>
      <c r="AP369" s="20"/>
    </row>
    <row r="370" spans="2:42" x14ac:dyDescent="0.25">
      <c r="C370" s="20" t="s">
        <v>392</v>
      </c>
      <c r="D370" s="34" t="s">
        <v>162</v>
      </c>
      <c r="E370" s="398">
        <v>4</v>
      </c>
      <c r="F370" s="398">
        <v>4</v>
      </c>
      <c r="G370" s="398">
        <v>4</v>
      </c>
      <c r="H370" s="398">
        <v>4</v>
      </c>
      <c r="I370" s="398">
        <v>4</v>
      </c>
      <c r="J370" s="398">
        <v>4</v>
      </c>
      <c r="K370" s="398">
        <v>4</v>
      </c>
      <c r="L370" s="398">
        <v>4</v>
      </c>
      <c r="M370" s="398">
        <v>4</v>
      </c>
      <c r="N370" s="398">
        <v>4</v>
      </c>
      <c r="O370" s="398">
        <v>4</v>
      </c>
      <c r="P370" s="398">
        <v>4</v>
      </c>
      <c r="Q370" s="398">
        <v>4</v>
      </c>
      <c r="R370" s="398">
        <v>4</v>
      </c>
      <c r="S370" s="398">
        <v>4</v>
      </c>
      <c r="T370" s="398">
        <v>4</v>
      </c>
      <c r="U370" s="398">
        <v>4</v>
      </c>
      <c r="V370" s="398">
        <v>4</v>
      </c>
      <c r="W370" s="398">
        <v>4</v>
      </c>
      <c r="X370" s="398">
        <v>4</v>
      </c>
      <c r="Y370" s="398">
        <v>4</v>
      </c>
      <c r="Z370" s="398">
        <v>4</v>
      </c>
      <c r="AA370" s="398">
        <v>4</v>
      </c>
      <c r="AB370" s="398">
        <v>4</v>
      </c>
      <c r="AC370" s="398">
        <v>4</v>
      </c>
      <c r="AD370" s="398">
        <v>4</v>
      </c>
      <c r="AE370" s="398">
        <v>4</v>
      </c>
      <c r="AF370" s="398">
        <v>4</v>
      </c>
      <c r="AG370" s="398">
        <v>4</v>
      </c>
      <c r="AH370" s="398">
        <v>4</v>
      </c>
      <c r="AI370" s="398">
        <v>4</v>
      </c>
      <c r="AJ370" s="398">
        <v>4</v>
      </c>
      <c r="AK370" s="398">
        <v>4</v>
      </c>
      <c r="AL370" s="398">
        <v>4</v>
      </c>
      <c r="AM370" s="398">
        <v>4</v>
      </c>
      <c r="AN370" s="398">
        <v>4</v>
      </c>
      <c r="AP370" s="21"/>
    </row>
    <row r="371" spans="2:42" x14ac:dyDescent="0.25">
      <c r="C371" s="20" t="s">
        <v>454</v>
      </c>
      <c r="D371" s="34" t="s">
        <v>162</v>
      </c>
      <c r="E371" s="398">
        <v>3</v>
      </c>
      <c r="F371" s="398">
        <v>3</v>
      </c>
      <c r="G371" s="398">
        <v>3</v>
      </c>
      <c r="H371" s="398">
        <v>3</v>
      </c>
      <c r="I371" s="398">
        <v>3</v>
      </c>
      <c r="J371" s="398">
        <v>3</v>
      </c>
      <c r="K371" s="398">
        <v>3</v>
      </c>
      <c r="L371" s="398">
        <v>3</v>
      </c>
      <c r="M371" s="398">
        <v>3</v>
      </c>
      <c r="N371" s="398">
        <v>3</v>
      </c>
      <c r="O371" s="398">
        <v>3</v>
      </c>
      <c r="P371" s="398">
        <v>3</v>
      </c>
      <c r="Q371" s="398">
        <v>3</v>
      </c>
      <c r="R371" s="398">
        <v>3</v>
      </c>
      <c r="S371" s="398">
        <v>3</v>
      </c>
      <c r="T371" s="398">
        <v>3</v>
      </c>
      <c r="U371" s="398">
        <v>3</v>
      </c>
      <c r="V371" s="398">
        <v>3</v>
      </c>
      <c r="W371" s="398">
        <v>3</v>
      </c>
      <c r="X371" s="398">
        <v>3</v>
      </c>
      <c r="Y371" s="398">
        <v>3</v>
      </c>
      <c r="Z371" s="398">
        <v>3</v>
      </c>
      <c r="AA371" s="398">
        <v>3</v>
      </c>
      <c r="AB371" s="398">
        <v>3</v>
      </c>
      <c r="AC371" s="398">
        <v>3</v>
      </c>
      <c r="AD371" s="398">
        <v>3</v>
      </c>
      <c r="AE371" s="398">
        <v>3</v>
      </c>
      <c r="AF371" s="398">
        <v>3</v>
      </c>
      <c r="AG371" s="398">
        <v>3</v>
      </c>
      <c r="AH371" s="398">
        <v>3</v>
      </c>
      <c r="AI371" s="398">
        <v>3</v>
      </c>
      <c r="AJ371" s="398">
        <v>3</v>
      </c>
      <c r="AK371" s="398">
        <v>3</v>
      </c>
      <c r="AL371" s="398">
        <v>3</v>
      </c>
      <c r="AM371" s="398">
        <v>3</v>
      </c>
      <c r="AN371" s="398">
        <v>3</v>
      </c>
      <c r="AP371" s="21"/>
    </row>
    <row r="372" spans="2:42" x14ac:dyDescent="0.25">
      <c r="C372" s="21" t="s">
        <v>455</v>
      </c>
      <c r="D372" s="34" t="s">
        <v>162</v>
      </c>
      <c r="E372" s="398">
        <v>2</v>
      </c>
      <c r="F372" s="398">
        <v>2</v>
      </c>
      <c r="G372" s="398">
        <v>2</v>
      </c>
      <c r="H372" s="398">
        <v>2</v>
      </c>
      <c r="I372" s="398">
        <v>2</v>
      </c>
      <c r="J372" s="398">
        <v>2</v>
      </c>
      <c r="K372" s="398">
        <v>2</v>
      </c>
      <c r="L372" s="398">
        <v>2</v>
      </c>
      <c r="M372" s="398">
        <v>2</v>
      </c>
      <c r="N372" s="398">
        <v>2</v>
      </c>
      <c r="O372" s="398">
        <v>2</v>
      </c>
      <c r="P372" s="398">
        <v>2</v>
      </c>
      <c r="Q372" s="398">
        <v>2</v>
      </c>
      <c r="R372" s="398">
        <v>2</v>
      </c>
      <c r="S372" s="398">
        <v>2</v>
      </c>
      <c r="T372" s="398">
        <v>2</v>
      </c>
      <c r="U372" s="398">
        <v>2</v>
      </c>
      <c r="V372" s="398">
        <v>2</v>
      </c>
      <c r="W372" s="398">
        <v>2</v>
      </c>
      <c r="X372" s="398">
        <v>2</v>
      </c>
      <c r="Y372" s="398">
        <v>2</v>
      </c>
      <c r="Z372" s="398">
        <v>2</v>
      </c>
      <c r="AA372" s="398">
        <v>2</v>
      </c>
      <c r="AB372" s="398">
        <v>2</v>
      </c>
      <c r="AC372" s="398">
        <v>2</v>
      </c>
      <c r="AD372" s="398">
        <v>2</v>
      </c>
      <c r="AE372" s="398">
        <v>2</v>
      </c>
      <c r="AF372" s="398">
        <v>2</v>
      </c>
      <c r="AG372" s="398">
        <v>2</v>
      </c>
      <c r="AH372" s="398">
        <v>2</v>
      </c>
      <c r="AI372" s="398">
        <v>2</v>
      </c>
      <c r="AJ372" s="398">
        <v>2</v>
      </c>
      <c r="AK372" s="398">
        <v>2</v>
      </c>
      <c r="AL372" s="398">
        <v>2</v>
      </c>
      <c r="AM372" s="398">
        <v>2</v>
      </c>
      <c r="AN372" s="398">
        <v>2</v>
      </c>
      <c r="AP372" s="21"/>
    </row>
    <row r="373" spans="2:42" x14ac:dyDescent="0.25">
      <c r="C373" s="21" t="s">
        <v>393</v>
      </c>
      <c r="D373" s="34" t="s">
        <v>162</v>
      </c>
      <c r="E373" s="398">
        <v>1</v>
      </c>
      <c r="F373" s="398">
        <v>1</v>
      </c>
      <c r="G373" s="398">
        <v>1</v>
      </c>
      <c r="H373" s="398">
        <v>1</v>
      </c>
      <c r="I373" s="398">
        <v>1</v>
      </c>
      <c r="J373" s="398">
        <v>1</v>
      </c>
      <c r="K373" s="398">
        <v>1</v>
      </c>
      <c r="L373" s="398">
        <v>1</v>
      </c>
      <c r="M373" s="398">
        <v>1</v>
      </c>
      <c r="N373" s="398">
        <v>1</v>
      </c>
      <c r="O373" s="398">
        <v>1</v>
      </c>
      <c r="P373" s="398">
        <v>1</v>
      </c>
      <c r="Q373" s="398">
        <v>1</v>
      </c>
      <c r="R373" s="398">
        <v>1</v>
      </c>
      <c r="S373" s="398">
        <v>1</v>
      </c>
      <c r="T373" s="398">
        <v>1</v>
      </c>
      <c r="U373" s="398">
        <v>1</v>
      </c>
      <c r="V373" s="398">
        <v>1</v>
      </c>
      <c r="W373" s="398">
        <v>1</v>
      </c>
      <c r="X373" s="398">
        <v>1</v>
      </c>
      <c r="Y373" s="398">
        <v>1</v>
      </c>
      <c r="Z373" s="398">
        <v>1</v>
      </c>
      <c r="AA373" s="398">
        <v>1</v>
      </c>
      <c r="AB373" s="398">
        <v>1</v>
      </c>
      <c r="AC373" s="398">
        <v>1</v>
      </c>
      <c r="AD373" s="398">
        <v>1</v>
      </c>
      <c r="AE373" s="398">
        <v>1</v>
      </c>
      <c r="AF373" s="398">
        <v>1</v>
      </c>
      <c r="AG373" s="398">
        <v>1</v>
      </c>
      <c r="AH373" s="398">
        <v>1</v>
      </c>
      <c r="AI373" s="398">
        <v>1</v>
      </c>
      <c r="AJ373" s="398">
        <v>1</v>
      </c>
      <c r="AK373" s="398">
        <v>1</v>
      </c>
      <c r="AL373" s="398">
        <v>1</v>
      </c>
      <c r="AM373" s="398">
        <v>1</v>
      </c>
      <c r="AN373" s="398">
        <v>1</v>
      </c>
      <c r="AP373" s="21"/>
    </row>
    <row r="374" spans="2:42" x14ac:dyDescent="0.25">
      <c r="C374" s="22" t="s">
        <v>456</v>
      </c>
      <c r="D374" s="34" t="s">
        <v>162</v>
      </c>
      <c r="E374" s="399">
        <v>0</v>
      </c>
      <c r="F374" s="399">
        <v>0</v>
      </c>
      <c r="G374" s="399">
        <v>0</v>
      </c>
      <c r="H374" s="399">
        <v>0</v>
      </c>
      <c r="I374" s="399">
        <v>0</v>
      </c>
      <c r="J374" s="399">
        <v>0</v>
      </c>
      <c r="K374" s="399">
        <v>0</v>
      </c>
      <c r="L374" s="399">
        <v>0</v>
      </c>
      <c r="M374" s="399">
        <v>0</v>
      </c>
      <c r="N374" s="399">
        <v>0</v>
      </c>
      <c r="O374" s="399">
        <v>0</v>
      </c>
      <c r="P374" s="399">
        <v>0</v>
      </c>
      <c r="Q374" s="399">
        <v>0</v>
      </c>
      <c r="R374" s="399">
        <v>0</v>
      </c>
      <c r="S374" s="399">
        <v>0</v>
      </c>
      <c r="T374" s="399">
        <v>0</v>
      </c>
      <c r="U374" s="399">
        <v>0</v>
      </c>
      <c r="V374" s="399">
        <v>0</v>
      </c>
      <c r="W374" s="399">
        <v>0</v>
      </c>
      <c r="X374" s="399">
        <v>0</v>
      </c>
      <c r="Y374" s="399">
        <v>0</v>
      </c>
      <c r="Z374" s="399">
        <v>0</v>
      </c>
      <c r="AA374" s="399">
        <v>0</v>
      </c>
      <c r="AB374" s="399">
        <v>0</v>
      </c>
      <c r="AC374" s="399">
        <v>0</v>
      </c>
      <c r="AD374" s="399">
        <v>0</v>
      </c>
      <c r="AE374" s="399">
        <v>0</v>
      </c>
      <c r="AF374" s="399">
        <v>0</v>
      </c>
      <c r="AG374" s="399">
        <v>0</v>
      </c>
      <c r="AH374" s="399">
        <v>0</v>
      </c>
      <c r="AI374" s="399">
        <v>0</v>
      </c>
      <c r="AJ374" s="399">
        <v>0</v>
      </c>
      <c r="AK374" s="399">
        <v>0</v>
      </c>
      <c r="AL374" s="399">
        <v>0</v>
      </c>
      <c r="AM374" s="399">
        <v>0</v>
      </c>
      <c r="AN374" s="399">
        <v>0</v>
      </c>
      <c r="AP374" s="26"/>
    </row>
    <row r="375" spans="2:42" s="74" customFormat="1" x14ac:dyDescent="0.25">
      <c r="B375" s="99" t="s">
        <v>9</v>
      </c>
      <c r="C375" s="311" t="s">
        <v>629</v>
      </c>
      <c r="D375" s="318"/>
      <c r="E375" s="402"/>
      <c r="F375" s="402"/>
      <c r="G375" s="402"/>
      <c r="H375" s="402"/>
      <c r="I375" s="402"/>
      <c r="J375" s="402"/>
      <c r="K375" s="402"/>
      <c r="L375" s="402"/>
      <c r="M375" s="402"/>
      <c r="N375" s="402"/>
      <c r="O375" s="402"/>
      <c r="P375" s="402"/>
      <c r="Q375" s="402"/>
      <c r="R375" s="402"/>
      <c r="S375" s="402"/>
      <c r="T375" s="402"/>
      <c r="U375" s="402"/>
      <c r="V375" s="402"/>
      <c r="W375" s="402"/>
      <c r="X375" s="402"/>
      <c r="Y375" s="402"/>
      <c r="Z375" s="402"/>
      <c r="AA375" s="402"/>
      <c r="AB375" s="402"/>
      <c r="AC375" s="402"/>
      <c r="AD375" s="402"/>
      <c r="AE375" s="402"/>
      <c r="AF375" s="402"/>
      <c r="AG375" s="402"/>
      <c r="AH375" s="402"/>
      <c r="AI375" s="402"/>
      <c r="AJ375" s="402"/>
      <c r="AK375" s="402"/>
      <c r="AL375" s="402"/>
      <c r="AM375" s="402"/>
      <c r="AN375" s="402"/>
      <c r="AP375" s="311"/>
    </row>
    <row r="376" spans="2:42" x14ac:dyDescent="0.25">
      <c r="C376" s="20" t="s">
        <v>600</v>
      </c>
      <c r="D376" s="34" t="s">
        <v>162</v>
      </c>
      <c r="E376" s="397">
        <v>5</v>
      </c>
      <c r="F376" s="397">
        <v>5</v>
      </c>
      <c r="G376" s="397">
        <v>5</v>
      </c>
      <c r="H376" s="397">
        <v>5</v>
      </c>
      <c r="I376" s="397">
        <v>5</v>
      </c>
      <c r="J376" s="397">
        <v>5</v>
      </c>
      <c r="K376" s="397">
        <v>5</v>
      </c>
      <c r="L376" s="397">
        <v>5</v>
      </c>
      <c r="M376" s="397">
        <v>5</v>
      </c>
      <c r="N376" s="397">
        <v>5</v>
      </c>
      <c r="O376" s="397">
        <v>5</v>
      </c>
      <c r="P376" s="397">
        <v>5</v>
      </c>
      <c r="Q376" s="397">
        <v>5</v>
      </c>
      <c r="R376" s="397">
        <v>5</v>
      </c>
      <c r="S376" s="397">
        <v>5</v>
      </c>
      <c r="T376" s="397">
        <v>5</v>
      </c>
      <c r="U376" s="397">
        <v>5</v>
      </c>
      <c r="V376" s="397">
        <v>5</v>
      </c>
      <c r="W376" s="397">
        <v>5</v>
      </c>
      <c r="X376" s="397">
        <v>5</v>
      </c>
      <c r="Y376" s="397">
        <v>5</v>
      </c>
      <c r="Z376" s="397">
        <v>5</v>
      </c>
      <c r="AA376" s="397">
        <v>5</v>
      </c>
      <c r="AB376" s="397">
        <v>5</v>
      </c>
      <c r="AC376" s="397">
        <v>5</v>
      </c>
      <c r="AD376" s="397">
        <v>5</v>
      </c>
      <c r="AE376" s="397">
        <v>5</v>
      </c>
      <c r="AF376" s="397">
        <v>5</v>
      </c>
      <c r="AG376" s="397">
        <v>5</v>
      </c>
      <c r="AH376" s="397">
        <v>5</v>
      </c>
      <c r="AI376" s="397">
        <v>5</v>
      </c>
      <c r="AJ376" s="397">
        <v>5</v>
      </c>
      <c r="AK376" s="397">
        <v>5</v>
      </c>
      <c r="AL376" s="397">
        <v>5</v>
      </c>
      <c r="AM376" s="397">
        <v>5</v>
      </c>
      <c r="AN376" s="397">
        <v>5</v>
      </c>
      <c r="AP376" s="20"/>
    </row>
    <row r="377" spans="2:42" x14ac:dyDescent="0.25">
      <c r="C377" s="20" t="s">
        <v>392</v>
      </c>
      <c r="D377" s="34" t="s">
        <v>162</v>
      </c>
      <c r="E377" s="398">
        <v>4</v>
      </c>
      <c r="F377" s="398">
        <v>4</v>
      </c>
      <c r="G377" s="398">
        <v>4</v>
      </c>
      <c r="H377" s="398">
        <v>4</v>
      </c>
      <c r="I377" s="398">
        <v>4</v>
      </c>
      <c r="J377" s="398">
        <v>4</v>
      </c>
      <c r="K377" s="398">
        <v>4</v>
      </c>
      <c r="L377" s="398">
        <v>4</v>
      </c>
      <c r="M377" s="398">
        <v>4</v>
      </c>
      <c r="N377" s="398">
        <v>4</v>
      </c>
      <c r="O377" s="398">
        <v>4</v>
      </c>
      <c r="P377" s="398">
        <v>4</v>
      </c>
      <c r="Q377" s="398">
        <v>4</v>
      </c>
      <c r="R377" s="398">
        <v>4</v>
      </c>
      <c r="S377" s="398">
        <v>4</v>
      </c>
      <c r="T377" s="398">
        <v>4</v>
      </c>
      <c r="U377" s="398">
        <v>4</v>
      </c>
      <c r="V377" s="398">
        <v>4</v>
      </c>
      <c r="W377" s="398">
        <v>4</v>
      </c>
      <c r="X377" s="398">
        <v>4</v>
      </c>
      <c r="Y377" s="398">
        <v>4</v>
      </c>
      <c r="Z377" s="398">
        <v>4</v>
      </c>
      <c r="AA377" s="398">
        <v>4</v>
      </c>
      <c r="AB377" s="398">
        <v>4</v>
      </c>
      <c r="AC377" s="398">
        <v>4</v>
      </c>
      <c r="AD377" s="398">
        <v>4</v>
      </c>
      <c r="AE377" s="398">
        <v>4</v>
      </c>
      <c r="AF377" s="398">
        <v>4</v>
      </c>
      <c r="AG377" s="398">
        <v>4</v>
      </c>
      <c r="AH377" s="398">
        <v>4</v>
      </c>
      <c r="AI377" s="398">
        <v>4</v>
      </c>
      <c r="AJ377" s="398">
        <v>4</v>
      </c>
      <c r="AK377" s="398">
        <v>4</v>
      </c>
      <c r="AL377" s="398">
        <v>4</v>
      </c>
      <c r="AM377" s="398">
        <v>4</v>
      </c>
      <c r="AN377" s="398">
        <v>4</v>
      </c>
      <c r="AP377" s="21"/>
    </row>
    <row r="378" spans="2:42" x14ac:dyDescent="0.25">
      <c r="C378" s="20" t="s">
        <v>454</v>
      </c>
      <c r="D378" s="34" t="s">
        <v>162</v>
      </c>
      <c r="E378" s="398">
        <v>3</v>
      </c>
      <c r="F378" s="398">
        <v>3</v>
      </c>
      <c r="G378" s="398">
        <v>3</v>
      </c>
      <c r="H378" s="398">
        <v>3</v>
      </c>
      <c r="I378" s="398">
        <v>3</v>
      </c>
      <c r="J378" s="398">
        <v>3</v>
      </c>
      <c r="K378" s="398">
        <v>3</v>
      </c>
      <c r="L378" s="398">
        <v>3</v>
      </c>
      <c r="M378" s="398">
        <v>3</v>
      </c>
      <c r="N378" s="398">
        <v>3</v>
      </c>
      <c r="O378" s="398">
        <v>3</v>
      </c>
      <c r="P378" s="398">
        <v>3</v>
      </c>
      <c r="Q378" s="398">
        <v>3</v>
      </c>
      <c r="R378" s="398">
        <v>3</v>
      </c>
      <c r="S378" s="398">
        <v>3</v>
      </c>
      <c r="T378" s="398">
        <v>3</v>
      </c>
      <c r="U378" s="398">
        <v>3</v>
      </c>
      <c r="V378" s="398">
        <v>3</v>
      </c>
      <c r="W378" s="398">
        <v>3</v>
      </c>
      <c r="X378" s="398">
        <v>3</v>
      </c>
      <c r="Y378" s="398">
        <v>3</v>
      </c>
      <c r="Z378" s="398">
        <v>3</v>
      </c>
      <c r="AA378" s="398">
        <v>3</v>
      </c>
      <c r="AB378" s="398">
        <v>3</v>
      </c>
      <c r="AC378" s="398">
        <v>3</v>
      </c>
      <c r="AD378" s="398">
        <v>3</v>
      </c>
      <c r="AE378" s="398">
        <v>3</v>
      </c>
      <c r="AF378" s="398">
        <v>3</v>
      </c>
      <c r="AG378" s="398">
        <v>3</v>
      </c>
      <c r="AH378" s="398">
        <v>3</v>
      </c>
      <c r="AI378" s="398">
        <v>3</v>
      </c>
      <c r="AJ378" s="398">
        <v>3</v>
      </c>
      <c r="AK378" s="398">
        <v>3</v>
      </c>
      <c r="AL378" s="398">
        <v>3</v>
      </c>
      <c r="AM378" s="398">
        <v>3</v>
      </c>
      <c r="AN378" s="398">
        <v>3</v>
      </c>
      <c r="AP378" s="21"/>
    </row>
    <row r="379" spans="2:42" x14ac:dyDescent="0.25">
      <c r="C379" s="21" t="s">
        <v>455</v>
      </c>
      <c r="D379" s="34" t="s">
        <v>162</v>
      </c>
      <c r="E379" s="398">
        <v>2</v>
      </c>
      <c r="F379" s="398">
        <v>2</v>
      </c>
      <c r="G379" s="398">
        <v>2</v>
      </c>
      <c r="H379" s="398">
        <v>2</v>
      </c>
      <c r="I379" s="398">
        <v>2</v>
      </c>
      <c r="J379" s="398">
        <v>2</v>
      </c>
      <c r="K379" s="398">
        <v>2</v>
      </c>
      <c r="L379" s="398">
        <v>2</v>
      </c>
      <c r="M379" s="398">
        <v>2</v>
      </c>
      <c r="N379" s="398">
        <v>2</v>
      </c>
      <c r="O379" s="398">
        <v>2</v>
      </c>
      <c r="P379" s="398">
        <v>2</v>
      </c>
      <c r="Q379" s="398">
        <v>2</v>
      </c>
      <c r="R379" s="398">
        <v>2</v>
      </c>
      <c r="S379" s="398">
        <v>2</v>
      </c>
      <c r="T379" s="398">
        <v>2</v>
      </c>
      <c r="U379" s="398">
        <v>2</v>
      </c>
      <c r="V379" s="398">
        <v>2</v>
      </c>
      <c r="W379" s="398">
        <v>2</v>
      </c>
      <c r="X379" s="398">
        <v>2</v>
      </c>
      <c r="Y379" s="398">
        <v>2</v>
      </c>
      <c r="Z379" s="398">
        <v>2</v>
      </c>
      <c r="AA379" s="398">
        <v>2</v>
      </c>
      <c r="AB379" s="398">
        <v>2</v>
      </c>
      <c r="AC379" s="398">
        <v>2</v>
      </c>
      <c r="AD379" s="398">
        <v>2</v>
      </c>
      <c r="AE379" s="398">
        <v>2</v>
      </c>
      <c r="AF379" s="398">
        <v>2</v>
      </c>
      <c r="AG379" s="398">
        <v>2</v>
      </c>
      <c r="AH379" s="398">
        <v>2</v>
      </c>
      <c r="AI379" s="398">
        <v>2</v>
      </c>
      <c r="AJ379" s="398">
        <v>2</v>
      </c>
      <c r="AK379" s="398">
        <v>2</v>
      </c>
      <c r="AL379" s="398">
        <v>2</v>
      </c>
      <c r="AM379" s="398">
        <v>2</v>
      </c>
      <c r="AN379" s="398">
        <v>2</v>
      </c>
      <c r="AP379" s="21"/>
    </row>
    <row r="380" spans="2:42" x14ac:dyDescent="0.25">
      <c r="C380" s="21" t="s">
        <v>393</v>
      </c>
      <c r="D380" s="34" t="s">
        <v>162</v>
      </c>
      <c r="E380" s="398">
        <v>1</v>
      </c>
      <c r="F380" s="398">
        <v>1</v>
      </c>
      <c r="G380" s="398">
        <v>1</v>
      </c>
      <c r="H380" s="398">
        <v>1</v>
      </c>
      <c r="I380" s="398">
        <v>1</v>
      </c>
      <c r="J380" s="398">
        <v>1</v>
      </c>
      <c r="K380" s="398">
        <v>1</v>
      </c>
      <c r="L380" s="398">
        <v>1</v>
      </c>
      <c r="M380" s="398">
        <v>1</v>
      </c>
      <c r="N380" s="398">
        <v>1</v>
      </c>
      <c r="O380" s="398">
        <v>1</v>
      </c>
      <c r="P380" s="398">
        <v>1</v>
      </c>
      <c r="Q380" s="398">
        <v>1</v>
      </c>
      <c r="R380" s="398">
        <v>1</v>
      </c>
      <c r="S380" s="398">
        <v>1</v>
      </c>
      <c r="T380" s="398">
        <v>1</v>
      </c>
      <c r="U380" s="398">
        <v>1</v>
      </c>
      <c r="V380" s="398">
        <v>1</v>
      </c>
      <c r="W380" s="398">
        <v>1</v>
      </c>
      <c r="X380" s="398">
        <v>1</v>
      </c>
      <c r="Y380" s="398">
        <v>1</v>
      </c>
      <c r="Z380" s="398">
        <v>1</v>
      </c>
      <c r="AA380" s="398">
        <v>1</v>
      </c>
      <c r="AB380" s="398">
        <v>1</v>
      </c>
      <c r="AC380" s="398">
        <v>1</v>
      </c>
      <c r="AD380" s="398">
        <v>1</v>
      </c>
      <c r="AE380" s="398">
        <v>1</v>
      </c>
      <c r="AF380" s="398">
        <v>1</v>
      </c>
      <c r="AG380" s="398">
        <v>1</v>
      </c>
      <c r="AH380" s="398">
        <v>1</v>
      </c>
      <c r="AI380" s="398">
        <v>1</v>
      </c>
      <c r="AJ380" s="398">
        <v>1</v>
      </c>
      <c r="AK380" s="398">
        <v>1</v>
      </c>
      <c r="AL380" s="398">
        <v>1</v>
      </c>
      <c r="AM380" s="398">
        <v>1</v>
      </c>
      <c r="AN380" s="398">
        <v>1</v>
      </c>
      <c r="AP380" s="21"/>
    </row>
    <row r="381" spans="2:42" x14ac:dyDescent="0.25">
      <c r="C381" s="22" t="s">
        <v>456</v>
      </c>
      <c r="D381" s="34" t="s">
        <v>162</v>
      </c>
      <c r="E381" s="399">
        <v>0</v>
      </c>
      <c r="F381" s="399">
        <v>0</v>
      </c>
      <c r="G381" s="399">
        <v>0</v>
      </c>
      <c r="H381" s="399">
        <v>0</v>
      </c>
      <c r="I381" s="399">
        <v>0</v>
      </c>
      <c r="J381" s="399">
        <v>0</v>
      </c>
      <c r="K381" s="399">
        <v>0</v>
      </c>
      <c r="L381" s="399">
        <v>0</v>
      </c>
      <c r="M381" s="399">
        <v>0</v>
      </c>
      <c r="N381" s="399">
        <v>0</v>
      </c>
      <c r="O381" s="399">
        <v>0</v>
      </c>
      <c r="P381" s="399">
        <v>0</v>
      </c>
      <c r="Q381" s="399">
        <v>0</v>
      </c>
      <c r="R381" s="399">
        <v>0</v>
      </c>
      <c r="S381" s="399">
        <v>0</v>
      </c>
      <c r="T381" s="399">
        <v>0</v>
      </c>
      <c r="U381" s="399">
        <v>0</v>
      </c>
      <c r="V381" s="399">
        <v>0</v>
      </c>
      <c r="W381" s="399">
        <v>0</v>
      </c>
      <c r="X381" s="399">
        <v>0</v>
      </c>
      <c r="Y381" s="399">
        <v>0</v>
      </c>
      <c r="Z381" s="399">
        <v>0</v>
      </c>
      <c r="AA381" s="399">
        <v>0</v>
      </c>
      <c r="AB381" s="399">
        <v>0</v>
      </c>
      <c r="AC381" s="399">
        <v>0</v>
      </c>
      <c r="AD381" s="399">
        <v>0</v>
      </c>
      <c r="AE381" s="399">
        <v>0</v>
      </c>
      <c r="AF381" s="399">
        <v>0</v>
      </c>
      <c r="AG381" s="399">
        <v>0</v>
      </c>
      <c r="AH381" s="399">
        <v>0</v>
      </c>
      <c r="AI381" s="399">
        <v>0</v>
      </c>
      <c r="AJ381" s="399">
        <v>0</v>
      </c>
      <c r="AK381" s="399">
        <v>0</v>
      </c>
      <c r="AL381" s="399">
        <v>0</v>
      </c>
      <c r="AM381" s="399">
        <v>0</v>
      </c>
      <c r="AN381" s="399">
        <v>0</v>
      </c>
      <c r="AP381" s="26"/>
    </row>
    <row r="382" spans="2:42" s="74" customFormat="1" x14ac:dyDescent="0.25">
      <c r="B382" s="99" t="s">
        <v>9</v>
      </c>
      <c r="C382" s="312" t="str">
        <f>'4.2 Sector Mapping'!$B$7</f>
        <v>Energy and Environment</v>
      </c>
      <c r="D382" s="317"/>
      <c r="E382" s="312"/>
      <c r="F382" s="312"/>
      <c r="G382" s="312"/>
      <c r="H382" s="312"/>
      <c r="I382" s="312"/>
      <c r="J382" s="312"/>
      <c r="K382" s="312"/>
      <c r="L382" s="312"/>
      <c r="M382" s="312"/>
      <c r="N382" s="312"/>
      <c r="O382" s="312"/>
      <c r="P382" s="312"/>
      <c r="Q382" s="312"/>
      <c r="R382" s="312"/>
      <c r="S382" s="312"/>
      <c r="T382" s="312"/>
      <c r="U382" s="312"/>
      <c r="V382" s="312"/>
      <c r="W382" s="312"/>
      <c r="X382" s="312"/>
      <c r="Y382" s="312"/>
      <c r="Z382" s="312"/>
      <c r="AA382" s="312"/>
      <c r="AB382" s="312"/>
      <c r="AC382" s="312"/>
      <c r="AD382" s="312"/>
      <c r="AE382" s="312"/>
      <c r="AF382" s="312"/>
      <c r="AG382" s="312"/>
      <c r="AH382" s="312"/>
      <c r="AI382" s="312"/>
      <c r="AJ382" s="312"/>
      <c r="AK382" s="312"/>
      <c r="AL382" s="312"/>
      <c r="AM382" s="312"/>
      <c r="AN382" s="312"/>
      <c r="AP382" s="312"/>
    </row>
    <row r="383" spans="2:42" s="86" customFormat="1" x14ac:dyDescent="0.25">
      <c r="B383" s="3"/>
      <c r="C383" s="243" t="s">
        <v>625</v>
      </c>
      <c r="D383" s="36" t="s">
        <v>162</v>
      </c>
      <c r="E383" s="309">
        <v>0</v>
      </c>
      <c r="F383" s="309">
        <v>0</v>
      </c>
      <c r="G383" s="309">
        <f>ROUND(H383/2,0)</f>
        <v>0</v>
      </c>
      <c r="H383" s="309">
        <f>ROUND(I383/2,0)</f>
        <v>0</v>
      </c>
      <c r="I383" s="309">
        <f>J383</f>
        <v>0</v>
      </c>
      <c r="J383" s="309">
        <f>K383</f>
        <v>0</v>
      </c>
      <c r="K383" s="309">
        <f>L383</f>
        <v>0</v>
      </c>
      <c r="L383" s="309">
        <f>ROUND(M383/2,0)</f>
        <v>0</v>
      </c>
      <c r="M383" s="309">
        <f>N383</f>
        <v>0</v>
      </c>
      <c r="N383" s="309">
        <f>P383</f>
        <v>0</v>
      </c>
      <c r="O383" s="309">
        <f>P383</f>
        <v>0</v>
      </c>
      <c r="P383" s="309">
        <f>'Back-end Overview of Use Cases'!C5</f>
        <v>0</v>
      </c>
      <c r="Q383" s="309">
        <f>ROUND(IF($AB383-$P383=1,$P383,$P383+($AB383-$P383)/3),0)</f>
        <v>1</v>
      </c>
      <c r="R383" s="309">
        <f>ROUND(IF($AB383-$P383=1,$P383,$P383+($AB383-$P383)/3),0)</f>
        <v>1</v>
      </c>
      <c r="S383" s="309">
        <f>ROUND(IF($AB383-$P383=1,$P383,$P383+($AB383-$P383)/3),0)</f>
        <v>1</v>
      </c>
      <c r="T383" s="309">
        <f>ROUND(IF($AB383-$P383=1,$P383,$P383+($AB383-$P383)/3),0)</f>
        <v>1</v>
      </c>
      <c r="U383" s="309">
        <f>ROUND(AVERAGE(T383,Y383),0)</f>
        <v>2</v>
      </c>
      <c r="V383" s="309">
        <f>U383</f>
        <v>2</v>
      </c>
      <c r="W383" s="309">
        <f>V383</f>
        <v>2</v>
      </c>
      <c r="X383" s="309">
        <f>W383</f>
        <v>2</v>
      </c>
      <c r="Y383" s="309">
        <f>Z383</f>
        <v>2</v>
      </c>
      <c r="Z383" s="309">
        <f>AA383</f>
        <v>2</v>
      </c>
      <c r="AA383" s="309">
        <f>AB383</f>
        <v>2</v>
      </c>
      <c r="AB383" s="309">
        <f>'Back-end Overview of Use Cases'!D5</f>
        <v>2</v>
      </c>
      <c r="AC383" s="309">
        <f>ROUND(IF($AN383-$AB383=1,$AB383,$AB383+($AN383-$AB383)/3),0)</f>
        <v>3</v>
      </c>
      <c r="AD383" s="309">
        <f>ROUND(IF($AN383-$AB383=1,$AB383,$AB383+($AN383-$AB383)/3),0)</f>
        <v>3</v>
      </c>
      <c r="AE383" s="309">
        <f>ROUND(IF($AN383-$AB383=1,$AB383,$AB383+($AN383-$AB383)/3),0)</f>
        <v>3</v>
      </c>
      <c r="AF383" s="309">
        <f>ROUND(IF($AN383-$AB383=1,$AB383,$AB383+($AN383-$AB383)/3),0)</f>
        <v>3</v>
      </c>
      <c r="AG383" s="309">
        <f>ROUND(AVERAGE(AF383,AK383),0)</f>
        <v>4</v>
      </c>
      <c r="AH383" s="309">
        <f>AG383</f>
        <v>4</v>
      </c>
      <c r="AI383" s="309">
        <f>AH383</f>
        <v>4</v>
      </c>
      <c r="AJ383" s="309">
        <f>AI383</f>
        <v>4</v>
      </c>
      <c r="AK383" s="309">
        <f>AN383</f>
        <v>5</v>
      </c>
      <c r="AL383" s="309">
        <f>AN383</f>
        <v>5</v>
      </c>
      <c r="AM383" s="309">
        <f>AN383</f>
        <v>5</v>
      </c>
      <c r="AN383" s="309">
        <f>'Back-end Overview of Use Cases'!E5</f>
        <v>5</v>
      </c>
      <c r="AP383" s="243"/>
    </row>
    <row r="384" spans="2:42" x14ac:dyDescent="0.25">
      <c r="C384" s="299" t="s">
        <v>691</v>
      </c>
      <c r="D384" s="330" t="s">
        <v>29</v>
      </c>
      <c r="E384" s="421">
        <v>0</v>
      </c>
      <c r="F384" s="421">
        <v>0.2</v>
      </c>
      <c r="G384" s="421">
        <v>0.2</v>
      </c>
      <c r="H384" s="421">
        <v>0.2</v>
      </c>
      <c r="I384" s="421">
        <v>0.2</v>
      </c>
      <c r="J384" s="421">
        <v>0.2</v>
      </c>
      <c r="K384" s="421">
        <v>0.2</v>
      </c>
      <c r="L384" s="421">
        <v>0.2</v>
      </c>
      <c r="M384" s="421">
        <v>0.2</v>
      </c>
      <c r="N384" s="421">
        <v>0.2</v>
      </c>
      <c r="O384" s="421">
        <v>0.2</v>
      </c>
      <c r="P384" s="421">
        <v>0.2</v>
      </c>
      <c r="Q384" s="421">
        <v>0.2</v>
      </c>
      <c r="R384" s="421">
        <v>0.2</v>
      </c>
      <c r="S384" s="421">
        <v>0.2</v>
      </c>
      <c r="T384" s="421">
        <v>0.2</v>
      </c>
      <c r="U384" s="421">
        <v>0.2</v>
      </c>
      <c r="V384" s="421">
        <v>0.2</v>
      </c>
      <c r="W384" s="421">
        <v>0.2</v>
      </c>
      <c r="X384" s="421">
        <v>0.2</v>
      </c>
      <c r="Y384" s="421">
        <v>0.2</v>
      </c>
      <c r="Z384" s="421">
        <v>0.2</v>
      </c>
      <c r="AA384" s="421">
        <v>0.2</v>
      </c>
      <c r="AB384" s="421">
        <v>0.2</v>
      </c>
      <c r="AC384" s="421">
        <v>0.2</v>
      </c>
      <c r="AD384" s="421">
        <v>0.2</v>
      </c>
      <c r="AE384" s="421">
        <v>0.2</v>
      </c>
      <c r="AF384" s="421">
        <v>0.2</v>
      </c>
      <c r="AG384" s="421">
        <v>0.2</v>
      </c>
      <c r="AH384" s="421">
        <v>0.2</v>
      </c>
      <c r="AI384" s="421">
        <v>0.2</v>
      </c>
      <c r="AJ384" s="421">
        <v>0.2</v>
      </c>
      <c r="AK384" s="421">
        <v>0.2</v>
      </c>
      <c r="AL384" s="421">
        <v>0.2</v>
      </c>
      <c r="AM384" s="421">
        <v>0.2</v>
      </c>
      <c r="AN384" s="421">
        <v>0.2</v>
      </c>
      <c r="AP384" s="299"/>
    </row>
    <row r="385" spans="2:42" s="74" customFormat="1" x14ac:dyDescent="0.25">
      <c r="B385" s="99" t="s">
        <v>9</v>
      </c>
      <c r="C385" s="311" t="s">
        <v>626</v>
      </c>
      <c r="D385" s="318"/>
      <c r="E385" s="311"/>
      <c r="F385" s="311"/>
      <c r="G385" s="311"/>
      <c r="H385" s="311"/>
      <c r="I385" s="311"/>
      <c r="J385" s="311"/>
      <c r="K385" s="311"/>
      <c r="L385" s="311"/>
      <c r="M385" s="311"/>
      <c r="N385" s="311"/>
      <c r="O385" s="311"/>
      <c r="P385" s="311"/>
      <c r="Q385" s="311"/>
      <c r="R385" s="311"/>
      <c r="S385" s="311"/>
      <c r="T385" s="311"/>
      <c r="U385" s="311"/>
      <c r="V385" s="311"/>
      <c r="W385" s="311"/>
      <c r="X385" s="311"/>
      <c r="Y385" s="311"/>
      <c r="Z385" s="311"/>
      <c r="AA385" s="311"/>
      <c r="AB385" s="311"/>
      <c r="AC385" s="311"/>
      <c r="AD385" s="311"/>
      <c r="AE385" s="311"/>
      <c r="AF385" s="311"/>
      <c r="AG385" s="311"/>
      <c r="AH385" s="311"/>
      <c r="AI385" s="311"/>
      <c r="AJ385" s="311"/>
      <c r="AK385" s="311"/>
      <c r="AL385" s="311"/>
      <c r="AM385" s="311"/>
      <c r="AN385" s="311"/>
      <c r="AP385" s="311"/>
    </row>
    <row r="386" spans="2:42" x14ac:dyDescent="0.25">
      <c r="C386" s="20" t="s">
        <v>600</v>
      </c>
      <c r="D386" s="34" t="s">
        <v>162</v>
      </c>
      <c r="E386" s="397">
        <v>5</v>
      </c>
      <c r="F386" s="397">
        <f>E386*(1-F$384)+1</f>
        <v>5</v>
      </c>
      <c r="G386" s="397">
        <f t="shared" ref="G386:AN391" si="134">F386*(1-G$384)+1</f>
        <v>5</v>
      </c>
      <c r="H386" s="397">
        <f t="shared" si="134"/>
        <v>5</v>
      </c>
      <c r="I386" s="397">
        <f t="shared" si="134"/>
        <v>5</v>
      </c>
      <c r="J386" s="397">
        <f t="shared" si="134"/>
        <v>5</v>
      </c>
      <c r="K386" s="397">
        <f t="shared" si="134"/>
        <v>5</v>
      </c>
      <c r="L386" s="397">
        <f t="shared" si="134"/>
        <v>5</v>
      </c>
      <c r="M386" s="397">
        <f t="shared" si="134"/>
        <v>5</v>
      </c>
      <c r="N386" s="397">
        <f t="shared" si="134"/>
        <v>5</v>
      </c>
      <c r="O386" s="397">
        <f t="shared" si="134"/>
        <v>5</v>
      </c>
      <c r="P386" s="397">
        <f t="shared" si="134"/>
        <v>5</v>
      </c>
      <c r="Q386" s="397">
        <f t="shared" si="134"/>
        <v>5</v>
      </c>
      <c r="R386" s="397">
        <f t="shared" si="134"/>
        <v>5</v>
      </c>
      <c r="S386" s="397">
        <f t="shared" si="134"/>
        <v>5</v>
      </c>
      <c r="T386" s="397">
        <f t="shared" si="134"/>
        <v>5</v>
      </c>
      <c r="U386" s="397">
        <f t="shared" si="134"/>
        <v>5</v>
      </c>
      <c r="V386" s="397">
        <f t="shared" si="134"/>
        <v>5</v>
      </c>
      <c r="W386" s="397">
        <f t="shared" si="134"/>
        <v>5</v>
      </c>
      <c r="X386" s="397">
        <f t="shared" si="134"/>
        <v>5</v>
      </c>
      <c r="Y386" s="397">
        <f t="shared" si="134"/>
        <v>5</v>
      </c>
      <c r="Z386" s="397">
        <f t="shared" si="134"/>
        <v>5</v>
      </c>
      <c r="AA386" s="397">
        <f t="shared" si="134"/>
        <v>5</v>
      </c>
      <c r="AB386" s="397">
        <f t="shared" si="134"/>
        <v>5</v>
      </c>
      <c r="AC386" s="397">
        <f t="shared" si="134"/>
        <v>5</v>
      </c>
      <c r="AD386" s="397">
        <f t="shared" si="134"/>
        <v>5</v>
      </c>
      <c r="AE386" s="397">
        <f t="shared" si="134"/>
        <v>5</v>
      </c>
      <c r="AF386" s="397">
        <f t="shared" si="134"/>
        <v>5</v>
      </c>
      <c r="AG386" s="397">
        <f t="shared" si="134"/>
        <v>5</v>
      </c>
      <c r="AH386" s="397">
        <f t="shared" si="134"/>
        <v>5</v>
      </c>
      <c r="AI386" s="397">
        <f t="shared" si="134"/>
        <v>5</v>
      </c>
      <c r="AJ386" s="397">
        <f t="shared" si="134"/>
        <v>5</v>
      </c>
      <c r="AK386" s="397">
        <f t="shared" si="134"/>
        <v>5</v>
      </c>
      <c r="AL386" s="397">
        <f t="shared" si="134"/>
        <v>5</v>
      </c>
      <c r="AM386" s="397">
        <f t="shared" si="134"/>
        <v>5</v>
      </c>
      <c r="AN386" s="397">
        <f t="shared" si="134"/>
        <v>5</v>
      </c>
      <c r="AP386" s="20"/>
    </row>
    <row r="387" spans="2:42" x14ac:dyDescent="0.25">
      <c r="C387" s="20" t="s">
        <v>392</v>
      </c>
      <c r="D387" s="34" t="s">
        <v>162</v>
      </c>
      <c r="E387" s="398">
        <v>4</v>
      </c>
      <c r="F387" s="398">
        <f t="shared" ref="F387:U391" si="135">E387*(1-F$384)+1</f>
        <v>4.2</v>
      </c>
      <c r="G387" s="398">
        <f t="shared" si="135"/>
        <v>4.3600000000000003</v>
      </c>
      <c r="H387" s="398">
        <f t="shared" si="135"/>
        <v>4.4880000000000004</v>
      </c>
      <c r="I387" s="398">
        <f t="shared" si="135"/>
        <v>4.5904000000000007</v>
      </c>
      <c r="J387" s="398">
        <f t="shared" si="135"/>
        <v>4.6723200000000009</v>
      </c>
      <c r="K387" s="398">
        <f t="shared" si="135"/>
        <v>4.7378560000000007</v>
      </c>
      <c r="L387" s="398">
        <f t="shared" si="135"/>
        <v>4.7902848000000002</v>
      </c>
      <c r="M387" s="398">
        <f t="shared" si="135"/>
        <v>4.8322278399999998</v>
      </c>
      <c r="N387" s="398">
        <f t="shared" si="135"/>
        <v>4.8657822720000006</v>
      </c>
      <c r="O387" s="398">
        <f t="shared" si="135"/>
        <v>4.8926258176000008</v>
      </c>
      <c r="P387" s="398">
        <f t="shared" si="135"/>
        <v>4.9141006540800003</v>
      </c>
      <c r="Q387" s="398">
        <f t="shared" si="135"/>
        <v>4.9312805232640002</v>
      </c>
      <c r="R387" s="398">
        <f t="shared" si="135"/>
        <v>4.9450244186112009</v>
      </c>
      <c r="S387" s="398">
        <f t="shared" si="135"/>
        <v>4.9560195348889611</v>
      </c>
      <c r="T387" s="398">
        <f t="shared" si="135"/>
        <v>4.964815627911169</v>
      </c>
      <c r="U387" s="398">
        <f t="shared" si="135"/>
        <v>4.9718525023289359</v>
      </c>
      <c r="V387" s="398">
        <f t="shared" si="134"/>
        <v>4.9774820018631489</v>
      </c>
      <c r="W387" s="398">
        <f t="shared" si="134"/>
        <v>4.9819856014905195</v>
      </c>
      <c r="X387" s="398">
        <f t="shared" si="134"/>
        <v>4.9855884811924156</v>
      </c>
      <c r="Y387" s="398">
        <f t="shared" si="134"/>
        <v>4.9884707849539325</v>
      </c>
      <c r="Z387" s="398">
        <f t="shared" si="134"/>
        <v>4.9907766279631467</v>
      </c>
      <c r="AA387" s="398">
        <f t="shared" si="134"/>
        <v>4.9926213023705177</v>
      </c>
      <c r="AB387" s="398">
        <f t="shared" si="134"/>
        <v>4.9940970418964143</v>
      </c>
      <c r="AC387" s="398">
        <f t="shared" si="134"/>
        <v>4.9952776335171318</v>
      </c>
      <c r="AD387" s="398">
        <f t="shared" si="134"/>
        <v>4.9962221068137058</v>
      </c>
      <c r="AE387" s="398">
        <f t="shared" si="134"/>
        <v>4.9969776854509647</v>
      </c>
      <c r="AF387" s="398">
        <f t="shared" si="134"/>
        <v>4.9975821483607721</v>
      </c>
      <c r="AG387" s="398">
        <f t="shared" si="134"/>
        <v>4.9980657186886184</v>
      </c>
      <c r="AH387" s="398">
        <f t="shared" si="134"/>
        <v>4.9984525749508943</v>
      </c>
      <c r="AI387" s="398">
        <f t="shared" si="134"/>
        <v>4.9987620599607157</v>
      </c>
      <c r="AJ387" s="398">
        <f t="shared" si="134"/>
        <v>4.9990096479685722</v>
      </c>
      <c r="AK387" s="398">
        <f t="shared" si="134"/>
        <v>4.9992077183748584</v>
      </c>
      <c r="AL387" s="398">
        <f t="shared" si="134"/>
        <v>4.9993661746998868</v>
      </c>
      <c r="AM387" s="398">
        <f t="shared" si="134"/>
        <v>4.999492939759909</v>
      </c>
      <c r="AN387" s="398">
        <f t="shared" si="134"/>
        <v>4.9995943518079269</v>
      </c>
      <c r="AP387" s="21"/>
    </row>
    <row r="388" spans="2:42" x14ac:dyDescent="0.25">
      <c r="C388" s="20" t="s">
        <v>454</v>
      </c>
      <c r="D388" s="34" t="s">
        <v>162</v>
      </c>
      <c r="E388" s="398">
        <v>3</v>
      </c>
      <c r="F388" s="398">
        <f t="shared" si="135"/>
        <v>3.4000000000000004</v>
      </c>
      <c r="G388" s="398">
        <f t="shared" si="134"/>
        <v>3.7200000000000006</v>
      </c>
      <c r="H388" s="398">
        <f t="shared" si="134"/>
        <v>3.9760000000000009</v>
      </c>
      <c r="I388" s="398">
        <f t="shared" si="134"/>
        <v>4.1808000000000014</v>
      </c>
      <c r="J388" s="398">
        <f t="shared" si="134"/>
        <v>4.3446400000000018</v>
      </c>
      <c r="K388" s="398">
        <f t="shared" si="134"/>
        <v>4.4757120000000015</v>
      </c>
      <c r="L388" s="398">
        <f t="shared" si="134"/>
        <v>4.5805696000000014</v>
      </c>
      <c r="M388" s="398">
        <f t="shared" si="134"/>
        <v>4.6644556800000014</v>
      </c>
      <c r="N388" s="398">
        <f t="shared" si="134"/>
        <v>4.7315645440000011</v>
      </c>
      <c r="O388" s="398">
        <f t="shared" si="134"/>
        <v>4.7852516352000016</v>
      </c>
      <c r="P388" s="398">
        <f t="shared" si="134"/>
        <v>4.8282013081600015</v>
      </c>
      <c r="Q388" s="398">
        <f t="shared" si="134"/>
        <v>4.8625610465280014</v>
      </c>
      <c r="R388" s="398">
        <f t="shared" si="134"/>
        <v>4.8900488372224018</v>
      </c>
      <c r="S388" s="398">
        <f t="shared" si="134"/>
        <v>4.9120390697779222</v>
      </c>
      <c r="T388" s="398">
        <f t="shared" si="134"/>
        <v>4.9296312558223381</v>
      </c>
      <c r="U388" s="398">
        <f t="shared" si="134"/>
        <v>4.9437050046578701</v>
      </c>
      <c r="V388" s="398">
        <f t="shared" si="134"/>
        <v>4.9549640037262961</v>
      </c>
      <c r="W388" s="398">
        <f t="shared" si="134"/>
        <v>4.9639712029810372</v>
      </c>
      <c r="X388" s="398">
        <f t="shared" si="134"/>
        <v>4.9711769623848294</v>
      </c>
      <c r="Y388" s="398">
        <f t="shared" si="134"/>
        <v>4.9769415699078632</v>
      </c>
      <c r="Z388" s="398">
        <f t="shared" si="134"/>
        <v>4.9815532559262907</v>
      </c>
      <c r="AA388" s="398">
        <f t="shared" si="134"/>
        <v>4.9852426047410328</v>
      </c>
      <c r="AB388" s="398">
        <f t="shared" si="134"/>
        <v>4.9881940837928269</v>
      </c>
      <c r="AC388" s="398">
        <f t="shared" si="134"/>
        <v>4.9905552670342619</v>
      </c>
      <c r="AD388" s="398">
        <f t="shared" si="134"/>
        <v>4.9924442136274099</v>
      </c>
      <c r="AE388" s="398">
        <f t="shared" si="134"/>
        <v>4.9939553709019275</v>
      </c>
      <c r="AF388" s="398">
        <f t="shared" si="134"/>
        <v>4.9951642967215424</v>
      </c>
      <c r="AG388" s="398">
        <f t="shared" si="134"/>
        <v>4.9961314373772341</v>
      </c>
      <c r="AH388" s="398">
        <f t="shared" si="134"/>
        <v>4.9969051499017869</v>
      </c>
      <c r="AI388" s="398">
        <f t="shared" si="134"/>
        <v>4.9975241199214295</v>
      </c>
      <c r="AJ388" s="398">
        <f t="shared" si="134"/>
        <v>4.9980192959371443</v>
      </c>
      <c r="AK388" s="398">
        <f t="shared" si="134"/>
        <v>4.9984154367497151</v>
      </c>
      <c r="AL388" s="398">
        <f t="shared" si="134"/>
        <v>4.9987323493997717</v>
      </c>
      <c r="AM388" s="398">
        <f t="shared" si="134"/>
        <v>4.9989858795198181</v>
      </c>
      <c r="AN388" s="398">
        <f t="shared" si="134"/>
        <v>4.9991887036158547</v>
      </c>
      <c r="AP388" s="21"/>
    </row>
    <row r="389" spans="2:42" x14ac:dyDescent="0.25">
      <c r="C389" s="21" t="s">
        <v>455</v>
      </c>
      <c r="D389" s="34" t="s">
        <v>162</v>
      </c>
      <c r="E389" s="398">
        <v>2</v>
      </c>
      <c r="F389" s="398">
        <f t="shared" si="135"/>
        <v>2.6</v>
      </c>
      <c r="G389" s="398">
        <f t="shared" si="134"/>
        <v>3.08</v>
      </c>
      <c r="H389" s="398">
        <f t="shared" si="134"/>
        <v>3.4640000000000004</v>
      </c>
      <c r="I389" s="398">
        <f t="shared" si="134"/>
        <v>3.7712000000000003</v>
      </c>
      <c r="J389" s="398">
        <f t="shared" si="134"/>
        <v>4.016960000000001</v>
      </c>
      <c r="K389" s="398">
        <f t="shared" si="134"/>
        <v>4.2135680000000004</v>
      </c>
      <c r="L389" s="398">
        <f t="shared" si="134"/>
        <v>4.3708544000000007</v>
      </c>
      <c r="M389" s="398">
        <f t="shared" si="134"/>
        <v>4.4966835200000013</v>
      </c>
      <c r="N389" s="398">
        <f t="shared" si="134"/>
        <v>4.5973468160000017</v>
      </c>
      <c r="O389" s="398">
        <f t="shared" si="134"/>
        <v>4.6778774528000016</v>
      </c>
      <c r="P389" s="398">
        <f t="shared" si="134"/>
        <v>4.7423019622400009</v>
      </c>
      <c r="Q389" s="398">
        <f t="shared" si="134"/>
        <v>4.7938415697920007</v>
      </c>
      <c r="R389" s="398">
        <f t="shared" si="134"/>
        <v>4.8350732558336009</v>
      </c>
      <c r="S389" s="398">
        <f t="shared" si="134"/>
        <v>4.8680586046668815</v>
      </c>
      <c r="T389" s="398">
        <f t="shared" si="134"/>
        <v>4.8944468837335053</v>
      </c>
      <c r="U389" s="398">
        <f t="shared" si="134"/>
        <v>4.9155575069868043</v>
      </c>
      <c r="V389" s="398">
        <f t="shared" si="134"/>
        <v>4.9324460055894441</v>
      </c>
      <c r="W389" s="398">
        <f t="shared" si="134"/>
        <v>4.9459568044715549</v>
      </c>
      <c r="X389" s="398">
        <f t="shared" si="134"/>
        <v>4.9567654435772441</v>
      </c>
      <c r="Y389" s="398">
        <f t="shared" si="134"/>
        <v>4.9654123548617957</v>
      </c>
      <c r="Z389" s="398">
        <f t="shared" si="134"/>
        <v>4.9723298838894365</v>
      </c>
      <c r="AA389" s="398">
        <f t="shared" si="134"/>
        <v>4.9778639071115496</v>
      </c>
      <c r="AB389" s="398">
        <f t="shared" si="134"/>
        <v>4.9822911256892404</v>
      </c>
      <c r="AC389" s="398">
        <f t="shared" si="134"/>
        <v>4.9858329005513919</v>
      </c>
      <c r="AD389" s="398">
        <f t="shared" si="134"/>
        <v>4.9886663204411139</v>
      </c>
      <c r="AE389" s="398">
        <f t="shared" si="134"/>
        <v>4.9909330563528913</v>
      </c>
      <c r="AF389" s="398">
        <f t="shared" si="134"/>
        <v>4.9927464450823127</v>
      </c>
      <c r="AG389" s="398">
        <f t="shared" si="134"/>
        <v>4.9941971560658498</v>
      </c>
      <c r="AH389" s="398">
        <f t="shared" si="134"/>
        <v>4.9953577248526795</v>
      </c>
      <c r="AI389" s="398">
        <f t="shared" si="134"/>
        <v>4.9962861798821443</v>
      </c>
      <c r="AJ389" s="398">
        <f t="shared" si="134"/>
        <v>4.9970289439057156</v>
      </c>
      <c r="AK389" s="398">
        <f t="shared" si="134"/>
        <v>4.9976231551245727</v>
      </c>
      <c r="AL389" s="398">
        <f t="shared" si="134"/>
        <v>4.9980985240996585</v>
      </c>
      <c r="AM389" s="398">
        <f t="shared" si="134"/>
        <v>4.9984788192797271</v>
      </c>
      <c r="AN389" s="398">
        <f t="shared" si="134"/>
        <v>4.9987830554237824</v>
      </c>
      <c r="AP389" s="21"/>
    </row>
    <row r="390" spans="2:42" x14ac:dyDescent="0.25">
      <c r="C390" s="21" t="s">
        <v>393</v>
      </c>
      <c r="D390" s="34" t="s">
        <v>162</v>
      </c>
      <c r="E390" s="398">
        <v>1</v>
      </c>
      <c r="F390" s="398">
        <f t="shared" si="135"/>
        <v>1.8</v>
      </c>
      <c r="G390" s="398">
        <f t="shared" si="134"/>
        <v>2.4400000000000004</v>
      </c>
      <c r="H390" s="398">
        <f t="shared" si="134"/>
        <v>2.9520000000000004</v>
      </c>
      <c r="I390" s="398">
        <f t="shared" si="134"/>
        <v>3.3616000000000006</v>
      </c>
      <c r="J390" s="398">
        <f t="shared" si="134"/>
        <v>3.6892800000000006</v>
      </c>
      <c r="K390" s="398">
        <f t="shared" si="134"/>
        <v>3.9514240000000007</v>
      </c>
      <c r="L390" s="398">
        <f t="shared" si="134"/>
        <v>4.1611392000000009</v>
      </c>
      <c r="M390" s="398">
        <f t="shared" si="134"/>
        <v>4.3289113600000011</v>
      </c>
      <c r="N390" s="398">
        <f t="shared" si="134"/>
        <v>4.4631290880000005</v>
      </c>
      <c r="O390" s="398">
        <f t="shared" si="134"/>
        <v>4.5705032704000006</v>
      </c>
      <c r="P390" s="398">
        <f t="shared" si="134"/>
        <v>4.6564026163200012</v>
      </c>
      <c r="Q390" s="398">
        <f t="shared" si="134"/>
        <v>4.7251220930560009</v>
      </c>
      <c r="R390" s="398">
        <f t="shared" si="134"/>
        <v>4.7800976744448009</v>
      </c>
      <c r="S390" s="398">
        <f t="shared" si="134"/>
        <v>4.8240781395558407</v>
      </c>
      <c r="T390" s="398">
        <f t="shared" si="134"/>
        <v>4.8592625116446726</v>
      </c>
      <c r="U390" s="398">
        <f t="shared" si="134"/>
        <v>4.8874100093157384</v>
      </c>
      <c r="V390" s="398">
        <f t="shared" si="134"/>
        <v>4.9099280074525904</v>
      </c>
      <c r="W390" s="398">
        <f t="shared" si="134"/>
        <v>4.9279424059620727</v>
      </c>
      <c r="X390" s="398">
        <f t="shared" si="134"/>
        <v>4.9423539247696588</v>
      </c>
      <c r="Y390" s="398">
        <f t="shared" si="134"/>
        <v>4.9538831398157273</v>
      </c>
      <c r="Z390" s="398">
        <f t="shared" si="134"/>
        <v>4.9631065118525814</v>
      </c>
      <c r="AA390" s="398">
        <f t="shared" si="134"/>
        <v>4.9704852094820655</v>
      </c>
      <c r="AB390" s="398">
        <f t="shared" si="134"/>
        <v>4.9763881675856521</v>
      </c>
      <c r="AC390" s="398">
        <f t="shared" si="134"/>
        <v>4.981110534068522</v>
      </c>
      <c r="AD390" s="398">
        <f t="shared" si="134"/>
        <v>4.984888427254818</v>
      </c>
      <c r="AE390" s="398">
        <f t="shared" si="134"/>
        <v>4.9879107418038551</v>
      </c>
      <c r="AF390" s="398">
        <f t="shared" si="134"/>
        <v>4.9903285934430848</v>
      </c>
      <c r="AG390" s="398">
        <f t="shared" si="134"/>
        <v>4.9922628747544682</v>
      </c>
      <c r="AH390" s="398">
        <f t="shared" si="134"/>
        <v>4.9938102998035747</v>
      </c>
      <c r="AI390" s="398">
        <f t="shared" si="134"/>
        <v>4.9950482398428599</v>
      </c>
      <c r="AJ390" s="398">
        <f t="shared" si="134"/>
        <v>4.9960385918742887</v>
      </c>
      <c r="AK390" s="398">
        <f t="shared" si="134"/>
        <v>4.9968308734994311</v>
      </c>
      <c r="AL390" s="398">
        <f t="shared" si="134"/>
        <v>4.9974646987995452</v>
      </c>
      <c r="AM390" s="398">
        <f t="shared" si="134"/>
        <v>4.9979717590396362</v>
      </c>
      <c r="AN390" s="398">
        <f t="shared" si="134"/>
        <v>4.9983774072317093</v>
      </c>
      <c r="AP390" s="21"/>
    </row>
    <row r="391" spans="2:42" x14ac:dyDescent="0.25">
      <c r="C391" s="22" t="s">
        <v>456</v>
      </c>
      <c r="D391" s="34" t="s">
        <v>162</v>
      </c>
      <c r="E391" s="399">
        <v>0</v>
      </c>
      <c r="F391" s="399">
        <f t="shared" si="135"/>
        <v>1</v>
      </c>
      <c r="G391" s="399">
        <f t="shared" si="134"/>
        <v>1.8</v>
      </c>
      <c r="H391" s="399">
        <f t="shared" si="134"/>
        <v>2.4400000000000004</v>
      </c>
      <c r="I391" s="399">
        <f t="shared" si="134"/>
        <v>2.9520000000000004</v>
      </c>
      <c r="J391" s="399">
        <f t="shared" si="134"/>
        <v>3.3616000000000006</v>
      </c>
      <c r="K391" s="399">
        <f t="shared" si="134"/>
        <v>3.6892800000000006</v>
      </c>
      <c r="L391" s="399">
        <f t="shared" si="134"/>
        <v>3.9514240000000007</v>
      </c>
      <c r="M391" s="399">
        <f t="shared" si="134"/>
        <v>4.1611392000000009</v>
      </c>
      <c r="N391" s="399">
        <f t="shared" si="134"/>
        <v>4.3289113600000011</v>
      </c>
      <c r="O391" s="399">
        <f t="shared" si="134"/>
        <v>4.4631290880000005</v>
      </c>
      <c r="P391" s="399">
        <f t="shared" si="134"/>
        <v>4.5705032704000006</v>
      </c>
      <c r="Q391" s="399">
        <f t="shared" si="134"/>
        <v>4.6564026163200012</v>
      </c>
      <c r="R391" s="399">
        <f t="shared" si="134"/>
        <v>4.7251220930560009</v>
      </c>
      <c r="S391" s="399">
        <f t="shared" si="134"/>
        <v>4.7800976744448009</v>
      </c>
      <c r="T391" s="399">
        <f t="shared" si="134"/>
        <v>4.8240781395558407</v>
      </c>
      <c r="U391" s="399">
        <f t="shared" si="134"/>
        <v>4.8592625116446726</v>
      </c>
      <c r="V391" s="399">
        <f t="shared" si="134"/>
        <v>4.8874100093157384</v>
      </c>
      <c r="W391" s="399">
        <f t="shared" si="134"/>
        <v>4.9099280074525904</v>
      </c>
      <c r="X391" s="399">
        <f t="shared" si="134"/>
        <v>4.9279424059620727</v>
      </c>
      <c r="Y391" s="399">
        <f t="shared" si="134"/>
        <v>4.9423539247696588</v>
      </c>
      <c r="Z391" s="399">
        <f t="shared" si="134"/>
        <v>4.9538831398157273</v>
      </c>
      <c r="AA391" s="399">
        <f t="shared" si="134"/>
        <v>4.9631065118525814</v>
      </c>
      <c r="AB391" s="399">
        <f t="shared" si="134"/>
        <v>4.9704852094820655</v>
      </c>
      <c r="AC391" s="399">
        <f t="shared" si="134"/>
        <v>4.9763881675856521</v>
      </c>
      <c r="AD391" s="399">
        <f t="shared" si="134"/>
        <v>4.981110534068522</v>
      </c>
      <c r="AE391" s="399">
        <f t="shared" si="134"/>
        <v>4.984888427254818</v>
      </c>
      <c r="AF391" s="399">
        <f t="shared" si="134"/>
        <v>4.9879107418038551</v>
      </c>
      <c r="AG391" s="399">
        <f t="shared" si="134"/>
        <v>4.9903285934430848</v>
      </c>
      <c r="AH391" s="399">
        <f t="shared" si="134"/>
        <v>4.9922628747544682</v>
      </c>
      <c r="AI391" s="399">
        <f t="shared" si="134"/>
        <v>4.9938102998035747</v>
      </c>
      <c r="AJ391" s="399">
        <f t="shared" si="134"/>
        <v>4.9950482398428599</v>
      </c>
      <c r="AK391" s="399">
        <f t="shared" si="134"/>
        <v>4.9960385918742887</v>
      </c>
      <c r="AL391" s="399">
        <f t="shared" si="134"/>
        <v>4.9968308734994311</v>
      </c>
      <c r="AM391" s="399">
        <f t="shared" si="134"/>
        <v>4.9974646987995452</v>
      </c>
      <c r="AN391" s="399">
        <f t="shared" si="134"/>
        <v>4.9979717590396362</v>
      </c>
      <c r="AP391" s="26"/>
    </row>
    <row r="392" spans="2:42" s="74" customFormat="1" x14ac:dyDescent="0.25">
      <c r="B392" s="99" t="s">
        <v>9</v>
      </c>
      <c r="C392" s="311" t="s">
        <v>627</v>
      </c>
      <c r="D392" s="318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402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402"/>
      <c r="AL392" s="402"/>
      <c r="AM392" s="402"/>
      <c r="AN392" s="402"/>
      <c r="AP392" s="311"/>
    </row>
    <row r="393" spans="2:42" x14ac:dyDescent="0.25">
      <c r="C393" s="20" t="s">
        <v>600</v>
      </c>
      <c r="D393" s="34" t="s">
        <v>162</v>
      </c>
      <c r="E393" s="397">
        <v>5</v>
      </c>
      <c r="F393" s="397">
        <f>E393*(1-F$384)+1</f>
        <v>5</v>
      </c>
      <c r="G393" s="397">
        <f t="shared" ref="G393:AN393" si="136">F393*(1-G$384)+1</f>
        <v>5</v>
      </c>
      <c r="H393" s="397">
        <f t="shared" si="136"/>
        <v>5</v>
      </c>
      <c r="I393" s="397">
        <f t="shared" si="136"/>
        <v>5</v>
      </c>
      <c r="J393" s="397">
        <f t="shared" si="136"/>
        <v>5</v>
      </c>
      <c r="K393" s="397">
        <f t="shared" si="136"/>
        <v>5</v>
      </c>
      <c r="L393" s="397">
        <f t="shared" si="136"/>
        <v>5</v>
      </c>
      <c r="M393" s="397">
        <f t="shared" si="136"/>
        <v>5</v>
      </c>
      <c r="N393" s="397">
        <f t="shared" si="136"/>
        <v>5</v>
      </c>
      <c r="O393" s="397">
        <f t="shared" si="136"/>
        <v>5</v>
      </c>
      <c r="P393" s="397">
        <f t="shared" si="136"/>
        <v>5</v>
      </c>
      <c r="Q393" s="397">
        <f t="shared" si="136"/>
        <v>5</v>
      </c>
      <c r="R393" s="397">
        <f t="shared" si="136"/>
        <v>5</v>
      </c>
      <c r="S393" s="397">
        <f t="shared" si="136"/>
        <v>5</v>
      </c>
      <c r="T393" s="397">
        <f t="shared" si="136"/>
        <v>5</v>
      </c>
      <c r="U393" s="397">
        <f t="shared" si="136"/>
        <v>5</v>
      </c>
      <c r="V393" s="397">
        <f t="shared" si="136"/>
        <v>5</v>
      </c>
      <c r="W393" s="397">
        <f t="shared" si="136"/>
        <v>5</v>
      </c>
      <c r="X393" s="397">
        <f t="shared" si="136"/>
        <v>5</v>
      </c>
      <c r="Y393" s="397">
        <f t="shared" si="136"/>
        <v>5</v>
      </c>
      <c r="Z393" s="397">
        <f t="shared" si="136"/>
        <v>5</v>
      </c>
      <c r="AA393" s="397">
        <f t="shared" si="136"/>
        <v>5</v>
      </c>
      <c r="AB393" s="397">
        <f t="shared" si="136"/>
        <v>5</v>
      </c>
      <c r="AC393" s="397">
        <f t="shared" si="136"/>
        <v>5</v>
      </c>
      <c r="AD393" s="397">
        <f t="shared" si="136"/>
        <v>5</v>
      </c>
      <c r="AE393" s="397">
        <f t="shared" si="136"/>
        <v>5</v>
      </c>
      <c r="AF393" s="397">
        <f t="shared" si="136"/>
        <v>5</v>
      </c>
      <c r="AG393" s="397">
        <f t="shared" si="136"/>
        <v>5</v>
      </c>
      <c r="AH393" s="397">
        <f t="shared" si="136"/>
        <v>5</v>
      </c>
      <c r="AI393" s="397">
        <f t="shared" si="136"/>
        <v>5</v>
      </c>
      <c r="AJ393" s="397">
        <f t="shared" si="136"/>
        <v>5</v>
      </c>
      <c r="AK393" s="397">
        <f t="shared" si="136"/>
        <v>5</v>
      </c>
      <c r="AL393" s="397">
        <f t="shared" si="136"/>
        <v>5</v>
      </c>
      <c r="AM393" s="397">
        <f t="shared" si="136"/>
        <v>5</v>
      </c>
      <c r="AN393" s="397">
        <f t="shared" si="136"/>
        <v>5</v>
      </c>
      <c r="AP393" s="20"/>
    </row>
    <row r="394" spans="2:42" x14ac:dyDescent="0.25">
      <c r="C394" s="20" t="s">
        <v>392</v>
      </c>
      <c r="D394" s="34" t="s">
        <v>162</v>
      </c>
      <c r="E394" s="398">
        <v>4</v>
      </c>
      <c r="F394" s="398">
        <f t="shared" ref="F394:AN394" si="137">E394*(1-F$384)+1</f>
        <v>4.2</v>
      </c>
      <c r="G394" s="398">
        <f t="shared" si="137"/>
        <v>4.3600000000000003</v>
      </c>
      <c r="H394" s="398">
        <f t="shared" si="137"/>
        <v>4.4880000000000004</v>
      </c>
      <c r="I394" s="398">
        <f t="shared" si="137"/>
        <v>4.5904000000000007</v>
      </c>
      <c r="J394" s="398">
        <f t="shared" si="137"/>
        <v>4.6723200000000009</v>
      </c>
      <c r="K394" s="398">
        <f t="shared" si="137"/>
        <v>4.7378560000000007</v>
      </c>
      <c r="L394" s="398">
        <f t="shared" si="137"/>
        <v>4.7902848000000002</v>
      </c>
      <c r="M394" s="398">
        <f t="shared" si="137"/>
        <v>4.8322278399999998</v>
      </c>
      <c r="N394" s="398">
        <f t="shared" si="137"/>
        <v>4.8657822720000006</v>
      </c>
      <c r="O394" s="398">
        <f t="shared" si="137"/>
        <v>4.8926258176000008</v>
      </c>
      <c r="P394" s="398">
        <f t="shared" si="137"/>
        <v>4.9141006540800003</v>
      </c>
      <c r="Q394" s="398">
        <f t="shared" si="137"/>
        <v>4.9312805232640002</v>
      </c>
      <c r="R394" s="398">
        <f t="shared" si="137"/>
        <v>4.9450244186112009</v>
      </c>
      <c r="S394" s="398">
        <f t="shared" si="137"/>
        <v>4.9560195348889611</v>
      </c>
      <c r="T394" s="398">
        <f t="shared" si="137"/>
        <v>4.964815627911169</v>
      </c>
      <c r="U394" s="398">
        <f t="shared" si="137"/>
        <v>4.9718525023289359</v>
      </c>
      <c r="V394" s="398">
        <f t="shared" si="137"/>
        <v>4.9774820018631489</v>
      </c>
      <c r="W394" s="398">
        <f t="shared" si="137"/>
        <v>4.9819856014905195</v>
      </c>
      <c r="X394" s="398">
        <f t="shared" si="137"/>
        <v>4.9855884811924156</v>
      </c>
      <c r="Y394" s="398">
        <f t="shared" si="137"/>
        <v>4.9884707849539325</v>
      </c>
      <c r="Z394" s="398">
        <f t="shared" si="137"/>
        <v>4.9907766279631467</v>
      </c>
      <c r="AA394" s="398">
        <f t="shared" si="137"/>
        <v>4.9926213023705177</v>
      </c>
      <c r="AB394" s="398">
        <f t="shared" si="137"/>
        <v>4.9940970418964143</v>
      </c>
      <c r="AC394" s="398">
        <f t="shared" si="137"/>
        <v>4.9952776335171318</v>
      </c>
      <c r="AD394" s="398">
        <f t="shared" si="137"/>
        <v>4.9962221068137058</v>
      </c>
      <c r="AE394" s="398">
        <f t="shared" si="137"/>
        <v>4.9969776854509647</v>
      </c>
      <c r="AF394" s="398">
        <f t="shared" si="137"/>
        <v>4.9975821483607721</v>
      </c>
      <c r="AG394" s="398">
        <f t="shared" si="137"/>
        <v>4.9980657186886184</v>
      </c>
      <c r="AH394" s="398">
        <f t="shared" si="137"/>
        <v>4.9984525749508943</v>
      </c>
      <c r="AI394" s="398">
        <f t="shared" si="137"/>
        <v>4.9987620599607157</v>
      </c>
      <c r="AJ394" s="398">
        <f t="shared" si="137"/>
        <v>4.9990096479685722</v>
      </c>
      <c r="AK394" s="398">
        <f t="shared" si="137"/>
        <v>4.9992077183748584</v>
      </c>
      <c r="AL394" s="398">
        <f t="shared" si="137"/>
        <v>4.9993661746998868</v>
      </c>
      <c r="AM394" s="398">
        <f t="shared" si="137"/>
        <v>4.999492939759909</v>
      </c>
      <c r="AN394" s="398">
        <f t="shared" si="137"/>
        <v>4.9995943518079269</v>
      </c>
      <c r="AP394" s="21"/>
    </row>
    <row r="395" spans="2:42" x14ac:dyDescent="0.25">
      <c r="C395" s="20" t="s">
        <v>454</v>
      </c>
      <c r="D395" s="34" t="s">
        <v>162</v>
      </c>
      <c r="E395" s="398">
        <v>3</v>
      </c>
      <c r="F395" s="398">
        <f t="shared" ref="F395:AN395" si="138">E395*(1-F$384)+1</f>
        <v>3.4000000000000004</v>
      </c>
      <c r="G395" s="398">
        <f t="shared" si="138"/>
        <v>3.7200000000000006</v>
      </c>
      <c r="H395" s="398">
        <f t="shared" si="138"/>
        <v>3.9760000000000009</v>
      </c>
      <c r="I395" s="398">
        <f t="shared" si="138"/>
        <v>4.1808000000000014</v>
      </c>
      <c r="J395" s="398">
        <f t="shared" si="138"/>
        <v>4.3446400000000018</v>
      </c>
      <c r="K395" s="398">
        <f t="shared" si="138"/>
        <v>4.4757120000000015</v>
      </c>
      <c r="L395" s="398">
        <f t="shared" si="138"/>
        <v>4.5805696000000014</v>
      </c>
      <c r="M395" s="398">
        <f t="shared" si="138"/>
        <v>4.6644556800000014</v>
      </c>
      <c r="N395" s="398">
        <f t="shared" si="138"/>
        <v>4.7315645440000011</v>
      </c>
      <c r="O395" s="398">
        <f t="shared" si="138"/>
        <v>4.7852516352000016</v>
      </c>
      <c r="P395" s="398">
        <f t="shared" si="138"/>
        <v>4.8282013081600015</v>
      </c>
      <c r="Q395" s="398">
        <f t="shared" si="138"/>
        <v>4.8625610465280014</v>
      </c>
      <c r="R395" s="398">
        <f t="shared" si="138"/>
        <v>4.8900488372224018</v>
      </c>
      <c r="S395" s="398">
        <f t="shared" si="138"/>
        <v>4.9120390697779222</v>
      </c>
      <c r="T395" s="398">
        <f t="shared" si="138"/>
        <v>4.9296312558223381</v>
      </c>
      <c r="U395" s="398">
        <f t="shared" si="138"/>
        <v>4.9437050046578701</v>
      </c>
      <c r="V395" s="398">
        <f t="shared" si="138"/>
        <v>4.9549640037262961</v>
      </c>
      <c r="W395" s="398">
        <f t="shared" si="138"/>
        <v>4.9639712029810372</v>
      </c>
      <c r="X395" s="398">
        <f t="shared" si="138"/>
        <v>4.9711769623848294</v>
      </c>
      <c r="Y395" s="398">
        <f t="shared" si="138"/>
        <v>4.9769415699078632</v>
      </c>
      <c r="Z395" s="398">
        <f t="shared" si="138"/>
        <v>4.9815532559262907</v>
      </c>
      <c r="AA395" s="398">
        <f t="shared" si="138"/>
        <v>4.9852426047410328</v>
      </c>
      <c r="AB395" s="398">
        <f t="shared" si="138"/>
        <v>4.9881940837928269</v>
      </c>
      <c r="AC395" s="398">
        <f t="shared" si="138"/>
        <v>4.9905552670342619</v>
      </c>
      <c r="AD395" s="398">
        <f t="shared" si="138"/>
        <v>4.9924442136274099</v>
      </c>
      <c r="AE395" s="398">
        <f t="shared" si="138"/>
        <v>4.9939553709019275</v>
      </c>
      <c r="AF395" s="398">
        <f t="shared" si="138"/>
        <v>4.9951642967215424</v>
      </c>
      <c r="AG395" s="398">
        <f t="shared" si="138"/>
        <v>4.9961314373772341</v>
      </c>
      <c r="AH395" s="398">
        <f t="shared" si="138"/>
        <v>4.9969051499017869</v>
      </c>
      <c r="AI395" s="398">
        <f t="shared" si="138"/>
        <v>4.9975241199214295</v>
      </c>
      <c r="AJ395" s="398">
        <f t="shared" si="138"/>
        <v>4.9980192959371443</v>
      </c>
      <c r="AK395" s="398">
        <f t="shared" si="138"/>
        <v>4.9984154367497151</v>
      </c>
      <c r="AL395" s="398">
        <f t="shared" si="138"/>
        <v>4.9987323493997717</v>
      </c>
      <c r="AM395" s="398">
        <f t="shared" si="138"/>
        <v>4.9989858795198181</v>
      </c>
      <c r="AN395" s="398">
        <f t="shared" si="138"/>
        <v>4.9991887036158547</v>
      </c>
      <c r="AP395" s="21"/>
    </row>
    <row r="396" spans="2:42" x14ac:dyDescent="0.25">
      <c r="C396" s="21" t="s">
        <v>455</v>
      </c>
      <c r="D396" s="34" t="s">
        <v>162</v>
      </c>
      <c r="E396" s="398">
        <v>2</v>
      </c>
      <c r="F396" s="398">
        <f t="shared" ref="F396:AN396" si="139">E396*(1-F$384)+1</f>
        <v>2.6</v>
      </c>
      <c r="G396" s="398">
        <f t="shared" si="139"/>
        <v>3.08</v>
      </c>
      <c r="H396" s="398">
        <f t="shared" si="139"/>
        <v>3.4640000000000004</v>
      </c>
      <c r="I396" s="398">
        <f t="shared" si="139"/>
        <v>3.7712000000000003</v>
      </c>
      <c r="J396" s="398">
        <f t="shared" si="139"/>
        <v>4.016960000000001</v>
      </c>
      <c r="K396" s="398">
        <f t="shared" si="139"/>
        <v>4.2135680000000004</v>
      </c>
      <c r="L396" s="398">
        <f t="shared" si="139"/>
        <v>4.3708544000000007</v>
      </c>
      <c r="M396" s="398">
        <f t="shared" si="139"/>
        <v>4.4966835200000013</v>
      </c>
      <c r="N396" s="398">
        <f t="shared" si="139"/>
        <v>4.5973468160000017</v>
      </c>
      <c r="O396" s="398">
        <f t="shared" si="139"/>
        <v>4.6778774528000016</v>
      </c>
      <c r="P396" s="398">
        <f t="shared" si="139"/>
        <v>4.7423019622400009</v>
      </c>
      <c r="Q396" s="398">
        <f t="shared" si="139"/>
        <v>4.7938415697920007</v>
      </c>
      <c r="R396" s="398">
        <f t="shared" si="139"/>
        <v>4.8350732558336009</v>
      </c>
      <c r="S396" s="398">
        <f t="shared" si="139"/>
        <v>4.8680586046668815</v>
      </c>
      <c r="T396" s="398">
        <f t="shared" si="139"/>
        <v>4.8944468837335053</v>
      </c>
      <c r="U396" s="398">
        <f t="shared" si="139"/>
        <v>4.9155575069868043</v>
      </c>
      <c r="V396" s="398">
        <f t="shared" si="139"/>
        <v>4.9324460055894441</v>
      </c>
      <c r="W396" s="398">
        <f t="shared" si="139"/>
        <v>4.9459568044715549</v>
      </c>
      <c r="X396" s="398">
        <f t="shared" si="139"/>
        <v>4.9567654435772441</v>
      </c>
      <c r="Y396" s="398">
        <f t="shared" si="139"/>
        <v>4.9654123548617957</v>
      </c>
      <c r="Z396" s="398">
        <f t="shared" si="139"/>
        <v>4.9723298838894365</v>
      </c>
      <c r="AA396" s="398">
        <f t="shared" si="139"/>
        <v>4.9778639071115496</v>
      </c>
      <c r="AB396" s="398">
        <f t="shared" si="139"/>
        <v>4.9822911256892404</v>
      </c>
      <c r="AC396" s="398">
        <f t="shared" si="139"/>
        <v>4.9858329005513919</v>
      </c>
      <c r="AD396" s="398">
        <f t="shared" si="139"/>
        <v>4.9886663204411139</v>
      </c>
      <c r="AE396" s="398">
        <f t="shared" si="139"/>
        <v>4.9909330563528913</v>
      </c>
      <c r="AF396" s="398">
        <f t="shared" si="139"/>
        <v>4.9927464450823127</v>
      </c>
      <c r="AG396" s="398">
        <f t="shared" si="139"/>
        <v>4.9941971560658498</v>
      </c>
      <c r="AH396" s="398">
        <f t="shared" si="139"/>
        <v>4.9953577248526795</v>
      </c>
      <c r="AI396" s="398">
        <f t="shared" si="139"/>
        <v>4.9962861798821443</v>
      </c>
      <c r="AJ396" s="398">
        <f t="shared" si="139"/>
        <v>4.9970289439057156</v>
      </c>
      <c r="AK396" s="398">
        <f t="shared" si="139"/>
        <v>4.9976231551245727</v>
      </c>
      <c r="AL396" s="398">
        <f t="shared" si="139"/>
        <v>4.9980985240996585</v>
      </c>
      <c r="AM396" s="398">
        <f t="shared" si="139"/>
        <v>4.9984788192797271</v>
      </c>
      <c r="AN396" s="398">
        <f t="shared" si="139"/>
        <v>4.9987830554237824</v>
      </c>
      <c r="AP396" s="21"/>
    </row>
    <row r="397" spans="2:42" x14ac:dyDescent="0.25">
      <c r="C397" s="21" t="s">
        <v>393</v>
      </c>
      <c r="D397" s="34" t="s">
        <v>162</v>
      </c>
      <c r="E397" s="398">
        <v>1</v>
      </c>
      <c r="F397" s="398">
        <f t="shared" ref="F397:AN397" si="140">E397*(1-F$384)+1</f>
        <v>1.8</v>
      </c>
      <c r="G397" s="398">
        <f t="shared" si="140"/>
        <v>2.4400000000000004</v>
      </c>
      <c r="H397" s="398">
        <f t="shared" si="140"/>
        <v>2.9520000000000004</v>
      </c>
      <c r="I397" s="398">
        <f t="shared" si="140"/>
        <v>3.3616000000000006</v>
      </c>
      <c r="J397" s="398">
        <f t="shared" si="140"/>
        <v>3.6892800000000006</v>
      </c>
      <c r="K397" s="398">
        <f t="shared" si="140"/>
        <v>3.9514240000000007</v>
      </c>
      <c r="L397" s="398">
        <f t="shared" si="140"/>
        <v>4.1611392000000009</v>
      </c>
      <c r="M397" s="398">
        <f t="shared" si="140"/>
        <v>4.3289113600000011</v>
      </c>
      <c r="N397" s="398">
        <f t="shared" si="140"/>
        <v>4.4631290880000005</v>
      </c>
      <c r="O397" s="398">
        <f t="shared" si="140"/>
        <v>4.5705032704000006</v>
      </c>
      <c r="P397" s="398">
        <f t="shared" si="140"/>
        <v>4.6564026163200012</v>
      </c>
      <c r="Q397" s="398">
        <f t="shared" si="140"/>
        <v>4.7251220930560009</v>
      </c>
      <c r="R397" s="398">
        <f t="shared" si="140"/>
        <v>4.7800976744448009</v>
      </c>
      <c r="S397" s="398">
        <f t="shared" si="140"/>
        <v>4.8240781395558407</v>
      </c>
      <c r="T397" s="398">
        <f t="shared" si="140"/>
        <v>4.8592625116446726</v>
      </c>
      <c r="U397" s="398">
        <f t="shared" si="140"/>
        <v>4.8874100093157384</v>
      </c>
      <c r="V397" s="398">
        <f t="shared" si="140"/>
        <v>4.9099280074525904</v>
      </c>
      <c r="W397" s="398">
        <f t="shared" si="140"/>
        <v>4.9279424059620727</v>
      </c>
      <c r="X397" s="398">
        <f t="shared" si="140"/>
        <v>4.9423539247696588</v>
      </c>
      <c r="Y397" s="398">
        <f t="shared" si="140"/>
        <v>4.9538831398157273</v>
      </c>
      <c r="Z397" s="398">
        <f t="shared" si="140"/>
        <v>4.9631065118525814</v>
      </c>
      <c r="AA397" s="398">
        <f t="shared" si="140"/>
        <v>4.9704852094820655</v>
      </c>
      <c r="AB397" s="398">
        <f t="shared" si="140"/>
        <v>4.9763881675856521</v>
      </c>
      <c r="AC397" s="398">
        <f t="shared" si="140"/>
        <v>4.981110534068522</v>
      </c>
      <c r="AD397" s="398">
        <f t="shared" si="140"/>
        <v>4.984888427254818</v>
      </c>
      <c r="AE397" s="398">
        <f t="shared" si="140"/>
        <v>4.9879107418038551</v>
      </c>
      <c r="AF397" s="398">
        <f t="shared" si="140"/>
        <v>4.9903285934430848</v>
      </c>
      <c r="AG397" s="398">
        <f t="shared" si="140"/>
        <v>4.9922628747544682</v>
      </c>
      <c r="AH397" s="398">
        <f t="shared" si="140"/>
        <v>4.9938102998035747</v>
      </c>
      <c r="AI397" s="398">
        <f t="shared" si="140"/>
        <v>4.9950482398428599</v>
      </c>
      <c r="AJ397" s="398">
        <f t="shared" si="140"/>
        <v>4.9960385918742887</v>
      </c>
      <c r="AK397" s="398">
        <f t="shared" si="140"/>
        <v>4.9968308734994311</v>
      </c>
      <c r="AL397" s="398">
        <f t="shared" si="140"/>
        <v>4.9974646987995452</v>
      </c>
      <c r="AM397" s="398">
        <f t="shared" si="140"/>
        <v>4.9979717590396362</v>
      </c>
      <c r="AN397" s="398">
        <f t="shared" si="140"/>
        <v>4.9983774072317093</v>
      </c>
      <c r="AP397" s="21"/>
    </row>
    <row r="398" spans="2:42" x14ac:dyDescent="0.25">
      <c r="C398" s="22" t="s">
        <v>456</v>
      </c>
      <c r="D398" s="34" t="s">
        <v>162</v>
      </c>
      <c r="E398" s="399">
        <v>0</v>
      </c>
      <c r="F398" s="399">
        <f t="shared" ref="F398:AN398" si="141">E398*(1-F$384)+1</f>
        <v>1</v>
      </c>
      <c r="G398" s="399">
        <f t="shared" si="141"/>
        <v>1.8</v>
      </c>
      <c r="H398" s="399">
        <f t="shared" si="141"/>
        <v>2.4400000000000004</v>
      </c>
      <c r="I398" s="399">
        <f t="shared" si="141"/>
        <v>2.9520000000000004</v>
      </c>
      <c r="J398" s="399">
        <f t="shared" si="141"/>
        <v>3.3616000000000006</v>
      </c>
      <c r="K398" s="399">
        <f t="shared" si="141"/>
        <v>3.6892800000000006</v>
      </c>
      <c r="L398" s="399">
        <f t="shared" si="141"/>
        <v>3.9514240000000007</v>
      </c>
      <c r="M398" s="399">
        <f t="shared" si="141"/>
        <v>4.1611392000000009</v>
      </c>
      <c r="N398" s="399">
        <f t="shared" si="141"/>
        <v>4.3289113600000011</v>
      </c>
      <c r="O398" s="399">
        <f t="shared" si="141"/>
        <v>4.4631290880000005</v>
      </c>
      <c r="P398" s="399">
        <f t="shared" si="141"/>
        <v>4.5705032704000006</v>
      </c>
      <c r="Q398" s="399">
        <f t="shared" si="141"/>
        <v>4.6564026163200012</v>
      </c>
      <c r="R398" s="399">
        <f t="shared" si="141"/>
        <v>4.7251220930560009</v>
      </c>
      <c r="S398" s="399">
        <f t="shared" si="141"/>
        <v>4.7800976744448009</v>
      </c>
      <c r="T398" s="399">
        <f t="shared" si="141"/>
        <v>4.8240781395558407</v>
      </c>
      <c r="U398" s="399">
        <f t="shared" si="141"/>
        <v>4.8592625116446726</v>
      </c>
      <c r="V398" s="399">
        <f t="shared" si="141"/>
        <v>4.8874100093157384</v>
      </c>
      <c r="W398" s="399">
        <f t="shared" si="141"/>
        <v>4.9099280074525904</v>
      </c>
      <c r="X398" s="399">
        <f t="shared" si="141"/>
        <v>4.9279424059620727</v>
      </c>
      <c r="Y398" s="399">
        <f t="shared" si="141"/>
        <v>4.9423539247696588</v>
      </c>
      <c r="Z398" s="399">
        <f t="shared" si="141"/>
        <v>4.9538831398157273</v>
      </c>
      <c r="AA398" s="399">
        <f t="shared" si="141"/>
        <v>4.9631065118525814</v>
      </c>
      <c r="AB398" s="399">
        <f t="shared" si="141"/>
        <v>4.9704852094820655</v>
      </c>
      <c r="AC398" s="399">
        <f t="shared" si="141"/>
        <v>4.9763881675856521</v>
      </c>
      <c r="AD398" s="399">
        <f t="shared" si="141"/>
        <v>4.981110534068522</v>
      </c>
      <c r="AE398" s="399">
        <f t="shared" si="141"/>
        <v>4.984888427254818</v>
      </c>
      <c r="AF398" s="399">
        <f t="shared" si="141"/>
        <v>4.9879107418038551</v>
      </c>
      <c r="AG398" s="399">
        <f t="shared" si="141"/>
        <v>4.9903285934430848</v>
      </c>
      <c r="AH398" s="399">
        <f t="shared" si="141"/>
        <v>4.9922628747544682</v>
      </c>
      <c r="AI398" s="399">
        <f t="shared" si="141"/>
        <v>4.9938102998035747</v>
      </c>
      <c r="AJ398" s="399">
        <f t="shared" si="141"/>
        <v>4.9950482398428599</v>
      </c>
      <c r="AK398" s="399">
        <f t="shared" si="141"/>
        <v>4.9960385918742887</v>
      </c>
      <c r="AL398" s="399">
        <f t="shared" si="141"/>
        <v>4.9968308734994311</v>
      </c>
      <c r="AM398" s="399">
        <f t="shared" si="141"/>
        <v>4.9974646987995452</v>
      </c>
      <c r="AN398" s="399">
        <f t="shared" si="141"/>
        <v>4.9979717590396362</v>
      </c>
      <c r="AP398" s="26"/>
    </row>
    <row r="399" spans="2:42" s="74" customFormat="1" x14ac:dyDescent="0.25">
      <c r="B399" s="99" t="s">
        <v>9</v>
      </c>
      <c r="C399" s="311" t="s">
        <v>628</v>
      </c>
      <c r="D399" s="318"/>
      <c r="E399" s="402"/>
      <c r="F399" s="402"/>
      <c r="G399" s="402"/>
      <c r="H399" s="402"/>
      <c r="I399" s="402"/>
      <c r="J399" s="402"/>
      <c r="K399" s="402"/>
      <c r="L399" s="402"/>
      <c r="M399" s="402"/>
      <c r="N399" s="402"/>
      <c r="O399" s="402"/>
      <c r="P399" s="402"/>
      <c r="Q399" s="402"/>
      <c r="R399" s="402"/>
      <c r="S399" s="402"/>
      <c r="T399" s="402"/>
      <c r="U399" s="402"/>
      <c r="V399" s="402"/>
      <c r="W399" s="402"/>
      <c r="X399" s="402"/>
      <c r="Y399" s="402"/>
      <c r="Z399" s="402"/>
      <c r="AA399" s="402"/>
      <c r="AB399" s="402"/>
      <c r="AC399" s="402"/>
      <c r="AD399" s="402"/>
      <c r="AE399" s="402"/>
      <c r="AF399" s="402"/>
      <c r="AG399" s="402"/>
      <c r="AH399" s="402"/>
      <c r="AI399" s="402"/>
      <c r="AJ399" s="402"/>
      <c r="AK399" s="402"/>
      <c r="AL399" s="402"/>
      <c r="AM399" s="402"/>
      <c r="AN399" s="402"/>
      <c r="AP399" s="311"/>
    </row>
    <row r="400" spans="2:42" x14ac:dyDescent="0.25">
      <c r="C400" s="20" t="s">
        <v>600</v>
      </c>
      <c r="D400" s="34" t="s">
        <v>162</v>
      </c>
      <c r="E400" s="397">
        <v>5</v>
      </c>
      <c r="F400" s="397">
        <f>E400*(1-F$384)+1</f>
        <v>5</v>
      </c>
      <c r="G400" s="397">
        <f t="shared" ref="G400:AN400" si="142">F400*(1-G$384)+1</f>
        <v>5</v>
      </c>
      <c r="H400" s="397">
        <f t="shared" si="142"/>
        <v>5</v>
      </c>
      <c r="I400" s="397">
        <f t="shared" si="142"/>
        <v>5</v>
      </c>
      <c r="J400" s="397">
        <f t="shared" si="142"/>
        <v>5</v>
      </c>
      <c r="K400" s="397">
        <f t="shared" si="142"/>
        <v>5</v>
      </c>
      <c r="L400" s="397">
        <f t="shared" si="142"/>
        <v>5</v>
      </c>
      <c r="M400" s="397">
        <f t="shared" si="142"/>
        <v>5</v>
      </c>
      <c r="N400" s="397">
        <f t="shared" si="142"/>
        <v>5</v>
      </c>
      <c r="O400" s="397">
        <f t="shared" si="142"/>
        <v>5</v>
      </c>
      <c r="P400" s="397">
        <f t="shared" si="142"/>
        <v>5</v>
      </c>
      <c r="Q400" s="397">
        <f t="shared" si="142"/>
        <v>5</v>
      </c>
      <c r="R400" s="397">
        <f t="shared" si="142"/>
        <v>5</v>
      </c>
      <c r="S400" s="397">
        <f t="shared" si="142"/>
        <v>5</v>
      </c>
      <c r="T400" s="397">
        <f t="shared" si="142"/>
        <v>5</v>
      </c>
      <c r="U400" s="397">
        <f t="shared" si="142"/>
        <v>5</v>
      </c>
      <c r="V400" s="397">
        <f t="shared" si="142"/>
        <v>5</v>
      </c>
      <c r="W400" s="397">
        <f t="shared" si="142"/>
        <v>5</v>
      </c>
      <c r="X400" s="397">
        <f t="shared" si="142"/>
        <v>5</v>
      </c>
      <c r="Y400" s="397">
        <f t="shared" si="142"/>
        <v>5</v>
      </c>
      <c r="Z400" s="397">
        <f t="shared" si="142"/>
        <v>5</v>
      </c>
      <c r="AA400" s="397">
        <f t="shared" si="142"/>
        <v>5</v>
      </c>
      <c r="AB400" s="397">
        <f t="shared" si="142"/>
        <v>5</v>
      </c>
      <c r="AC400" s="397">
        <f t="shared" si="142"/>
        <v>5</v>
      </c>
      <c r="AD400" s="397">
        <f t="shared" si="142"/>
        <v>5</v>
      </c>
      <c r="AE400" s="397">
        <f t="shared" si="142"/>
        <v>5</v>
      </c>
      <c r="AF400" s="397">
        <f t="shared" si="142"/>
        <v>5</v>
      </c>
      <c r="AG400" s="397">
        <f t="shared" si="142"/>
        <v>5</v>
      </c>
      <c r="AH400" s="397">
        <f t="shared" si="142"/>
        <v>5</v>
      </c>
      <c r="AI400" s="397">
        <f t="shared" si="142"/>
        <v>5</v>
      </c>
      <c r="AJ400" s="397">
        <f t="shared" si="142"/>
        <v>5</v>
      </c>
      <c r="AK400" s="397">
        <f t="shared" si="142"/>
        <v>5</v>
      </c>
      <c r="AL400" s="397">
        <f t="shared" si="142"/>
        <v>5</v>
      </c>
      <c r="AM400" s="397">
        <f t="shared" si="142"/>
        <v>5</v>
      </c>
      <c r="AN400" s="397">
        <f t="shared" si="142"/>
        <v>5</v>
      </c>
      <c r="AP400" s="20"/>
    </row>
    <row r="401" spans="2:42" x14ac:dyDescent="0.25">
      <c r="C401" s="20" t="s">
        <v>392</v>
      </c>
      <c r="D401" s="34" t="s">
        <v>162</v>
      </c>
      <c r="E401" s="398">
        <v>4</v>
      </c>
      <c r="F401" s="398">
        <f t="shared" ref="F401:AN401" si="143">E401*(1-F$384)+1</f>
        <v>4.2</v>
      </c>
      <c r="G401" s="398">
        <f t="shared" si="143"/>
        <v>4.3600000000000003</v>
      </c>
      <c r="H401" s="398">
        <f t="shared" si="143"/>
        <v>4.4880000000000004</v>
      </c>
      <c r="I401" s="398">
        <f t="shared" si="143"/>
        <v>4.5904000000000007</v>
      </c>
      <c r="J401" s="398">
        <f t="shared" si="143"/>
        <v>4.6723200000000009</v>
      </c>
      <c r="K401" s="398">
        <f t="shared" si="143"/>
        <v>4.7378560000000007</v>
      </c>
      <c r="L401" s="398">
        <f t="shared" si="143"/>
        <v>4.7902848000000002</v>
      </c>
      <c r="M401" s="398">
        <f t="shared" si="143"/>
        <v>4.8322278399999998</v>
      </c>
      <c r="N401" s="398">
        <f t="shared" si="143"/>
        <v>4.8657822720000006</v>
      </c>
      <c r="O401" s="398">
        <f t="shared" si="143"/>
        <v>4.8926258176000008</v>
      </c>
      <c r="P401" s="398">
        <f t="shared" si="143"/>
        <v>4.9141006540800003</v>
      </c>
      <c r="Q401" s="398">
        <f t="shared" si="143"/>
        <v>4.9312805232640002</v>
      </c>
      <c r="R401" s="398">
        <f t="shared" si="143"/>
        <v>4.9450244186112009</v>
      </c>
      <c r="S401" s="398">
        <f t="shared" si="143"/>
        <v>4.9560195348889611</v>
      </c>
      <c r="T401" s="398">
        <f t="shared" si="143"/>
        <v>4.964815627911169</v>
      </c>
      <c r="U401" s="398">
        <f t="shared" si="143"/>
        <v>4.9718525023289359</v>
      </c>
      <c r="V401" s="398">
        <f t="shared" si="143"/>
        <v>4.9774820018631489</v>
      </c>
      <c r="W401" s="398">
        <f t="shared" si="143"/>
        <v>4.9819856014905195</v>
      </c>
      <c r="X401" s="398">
        <f t="shared" si="143"/>
        <v>4.9855884811924156</v>
      </c>
      <c r="Y401" s="398">
        <f t="shared" si="143"/>
        <v>4.9884707849539325</v>
      </c>
      <c r="Z401" s="398">
        <f t="shared" si="143"/>
        <v>4.9907766279631467</v>
      </c>
      <c r="AA401" s="398">
        <f t="shared" si="143"/>
        <v>4.9926213023705177</v>
      </c>
      <c r="AB401" s="398">
        <f t="shared" si="143"/>
        <v>4.9940970418964143</v>
      </c>
      <c r="AC401" s="398">
        <f t="shared" si="143"/>
        <v>4.9952776335171318</v>
      </c>
      <c r="AD401" s="398">
        <f t="shared" si="143"/>
        <v>4.9962221068137058</v>
      </c>
      <c r="AE401" s="398">
        <f t="shared" si="143"/>
        <v>4.9969776854509647</v>
      </c>
      <c r="AF401" s="398">
        <f t="shared" si="143"/>
        <v>4.9975821483607721</v>
      </c>
      <c r="AG401" s="398">
        <f t="shared" si="143"/>
        <v>4.9980657186886184</v>
      </c>
      <c r="AH401" s="398">
        <f t="shared" si="143"/>
        <v>4.9984525749508943</v>
      </c>
      <c r="AI401" s="398">
        <f t="shared" si="143"/>
        <v>4.9987620599607157</v>
      </c>
      <c r="AJ401" s="398">
        <f t="shared" si="143"/>
        <v>4.9990096479685722</v>
      </c>
      <c r="AK401" s="398">
        <f t="shared" si="143"/>
        <v>4.9992077183748584</v>
      </c>
      <c r="AL401" s="398">
        <f t="shared" si="143"/>
        <v>4.9993661746998868</v>
      </c>
      <c r="AM401" s="398">
        <f t="shared" si="143"/>
        <v>4.999492939759909</v>
      </c>
      <c r="AN401" s="398">
        <f t="shared" si="143"/>
        <v>4.9995943518079269</v>
      </c>
      <c r="AP401" s="21"/>
    </row>
    <row r="402" spans="2:42" x14ac:dyDescent="0.25">
      <c r="C402" s="20" t="s">
        <v>454</v>
      </c>
      <c r="D402" s="34" t="s">
        <v>162</v>
      </c>
      <c r="E402" s="398">
        <v>3</v>
      </c>
      <c r="F402" s="398">
        <f t="shared" ref="F402:AN402" si="144">E402*(1-F$384)+1</f>
        <v>3.4000000000000004</v>
      </c>
      <c r="G402" s="398">
        <f t="shared" si="144"/>
        <v>3.7200000000000006</v>
      </c>
      <c r="H402" s="398">
        <f t="shared" si="144"/>
        <v>3.9760000000000009</v>
      </c>
      <c r="I402" s="398">
        <f t="shared" si="144"/>
        <v>4.1808000000000014</v>
      </c>
      <c r="J402" s="398">
        <f t="shared" si="144"/>
        <v>4.3446400000000018</v>
      </c>
      <c r="K402" s="398">
        <f t="shared" si="144"/>
        <v>4.4757120000000015</v>
      </c>
      <c r="L402" s="398">
        <f t="shared" si="144"/>
        <v>4.5805696000000014</v>
      </c>
      <c r="M402" s="398">
        <f t="shared" si="144"/>
        <v>4.6644556800000014</v>
      </c>
      <c r="N402" s="398">
        <f t="shared" si="144"/>
        <v>4.7315645440000011</v>
      </c>
      <c r="O402" s="398">
        <f t="shared" si="144"/>
        <v>4.7852516352000016</v>
      </c>
      <c r="P402" s="398">
        <f t="shared" si="144"/>
        <v>4.8282013081600015</v>
      </c>
      <c r="Q402" s="398">
        <f t="shared" si="144"/>
        <v>4.8625610465280014</v>
      </c>
      <c r="R402" s="398">
        <f t="shared" si="144"/>
        <v>4.8900488372224018</v>
      </c>
      <c r="S402" s="398">
        <f t="shared" si="144"/>
        <v>4.9120390697779222</v>
      </c>
      <c r="T402" s="398">
        <f t="shared" si="144"/>
        <v>4.9296312558223381</v>
      </c>
      <c r="U402" s="398">
        <f t="shared" si="144"/>
        <v>4.9437050046578701</v>
      </c>
      <c r="V402" s="398">
        <f t="shared" si="144"/>
        <v>4.9549640037262961</v>
      </c>
      <c r="W402" s="398">
        <f t="shared" si="144"/>
        <v>4.9639712029810372</v>
      </c>
      <c r="X402" s="398">
        <f t="shared" si="144"/>
        <v>4.9711769623848294</v>
      </c>
      <c r="Y402" s="398">
        <f t="shared" si="144"/>
        <v>4.9769415699078632</v>
      </c>
      <c r="Z402" s="398">
        <f t="shared" si="144"/>
        <v>4.9815532559262907</v>
      </c>
      <c r="AA402" s="398">
        <f t="shared" si="144"/>
        <v>4.9852426047410328</v>
      </c>
      <c r="AB402" s="398">
        <f t="shared" si="144"/>
        <v>4.9881940837928269</v>
      </c>
      <c r="AC402" s="398">
        <f t="shared" si="144"/>
        <v>4.9905552670342619</v>
      </c>
      <c r="AD402" s="398">
        <f t="shared" si="144"/>
        <v>4.9924442136274099</v>
      </c>
      <c r="AE402" s="398">
        <f t="shared" si="144"/>
        <v>4.9939553709019275</v>
      </c>
      <c r="AF402" s="398">
        <f t="shared" si="144"/>
        <v>4.9951642967215424</v>
      </c>
      <c r="AG402" s="398">
        <f t="shared" si="144"/>
        <v>4.9961314373772341</v>
      </c>
      <c r="AH402" s="398">
        <f t="shared" si="144"/>
        <v>4.9969051499017869</v>
      </c>
      <c r="AI402" s="398">
        <f t="shared" si="144"/>
        <v>4.9975241199214295</v>
      </c>
      <c r="AJ402" s="398">
        <f t="shared" si="144"/>
        <v>4.9980192959371443</v>
      </c>
      <c r="AK402" s="398">
        <f t="shared" si="144"/>
        <v>4.9984154367497151</v>
      </c>
      <c r="AL402" s="398">
        <f t="shared" si="144"/>
        <v>4.9987323493997717</v>
      </c>
      <c r="AM402" s="398">
        <f t="shared" si="144"/>
        <v>4.9989858795198181</v>
      </c>
      <c r="AN402" s="398">
        <f t="shared" si="144"/>
        <v>4.9991887036158547</v>
      </c>
      <c r="AP402" s="21"/>
    </row>
    <row r="403" spans="2:42" x14ac:dyDescent="0.25">
      <c r="C403" s="21" t="s">
        <v>455</v>
      </c>
      <c r="D403" s="34" t="s">
        <v>162</v>
      </c>
      <c r="E403" s="398">
        <v>2</v>
      </c>
      <c r="F403" s="398">
        <f t="shared" ref="F403:AN403" si="145">E403*(1-F$384)+1</f>
        <v>2.6</v>
      </c>
      <c r="G403" s="398">
        <f t="shared" si="145"/>
        <v>3.08</v>
      </c>
      <c r="H403" s="398">
        <f t="shared" si="145"/>
        <v>3.4640000000000004</v>
      </c>
      <c r="I403" s="398">
        <f t="shared" si="145"/>
        <v>3.7712000000000003</v>
      </c>
      <c r="J403" s="398">
        <f t="shared" si="145"/>
        <v>4.016960000000001</v>
      </c>
      <c r="K403" s="398">
        <f t="shared" si="145"/>
        <v>4.2135680000000004</v>
      </c>
      <c r="L403" s="398">
        <f t="shared" si="145"/>
        <v>4.3708544000000007</v>
      </c>
      <c r="M403" s="398">
        <f t="shared" si="145"/>
        <v>4.4966835200000013</v>
      </c>
      <c r="N403" s="398">
        <f t="shared" si="145"/>
        <v>4.5973468160000017</v>
      </c>
      <c r="O403" s="398">
        <f t="shared" si="145"/>
        <v>4.6778774528000016</v>
      </c>
      <c r="P403" s="398">
        <f t="shared" si="145"/>
        <v>4.7423019622400009</v>
      </c>
      <c r="Q403" s="398">
        <f t="shared" si="145"/>
        <v>4.7938415697920007</v>
      </c>
      <c r="R403" s="398">
        <f t="shared" si="145"/>
        <v>4.8350732558336009</v>
      </c>
      <c r="S403" s="398">
        <f t="shared" si="145"/>
        <v>4.8680586046668815</v>
      </c>
      <c r="T403" s="398">
        <f t="shared" si="145"/>
        <v>4.8944468837335053</v>
      </c>
      <c r="U403" s="398">
        <f t="shared" si="145"/>
        <v>4.9155575069868043</v>
      </c>
      <c r="V403" s="398">
        <f t="shared" si="145"/>
        <v>4.9324460055894441</v>
      </c>
      <c r="W403" s="398">
        <f t="shared" si="145"/>
        <v>4.9459568044715549</v>
      </c>
      <c r="X403" s="398">
        <f t="shared" si="145"/>
        <v>4.9567654435772441</v>
      </c>
      <c r="Y403" s="398">
        <f t="shared" si="145"/>
        <v>4.9654123548617957</v>
      </c>
      <c r="Z403" s="398">
        <f t="shared" si="145"/>
        <v>4.9723298838894365</v>
      </c>
      <c r="AA403" s="398">
        <f t="shared" si="145"/>
        <v>4.9778639071115496</v>
      </c>
      <c r="AB403" s="398">
        <f t="shared" si="145"/>
        <v>4.9822911256892404</v>
      </c>
      <c r="AC403" s="398">
        <f t="shared" si="145"/>
        <v>4.9858329005513919</v>
      </c>
      <c r="AD403" s="398">
        <f t="shared" si="145"/>
        <v>4.9886663204411139</v>
      </c>
      <c r="AE403" s="398">
        <f t="shared" si="145"/>
        <v>4.9909330563528913</v>
      </c>
      <c r="AF403" s="398">
        <f t="shared" si="145"/>
        <v>4.9927464450823127</v>
      </c>
      <c r="AG403" s="398">
        <f t="shared" si="145"/>
        <v>4.9941971560658498</v>
      </c>
      <c r="AH403" s="398">
        <f t="shared" si="145"/>
        <v>4.9953577248526795</v>
      </c>
      <c r="AI403" s="398">
        <f t="shared" si="145"/>
        <v>4.9962861798821443</v>
      </c>
      <c r="AJ403" s="398">
        <f t="shared" si="145"/>
        <v>4.9970289439057156</v>
      </c>
      <c r="AK403" s="398">
        <f t="shared" si="145"/>
        <v>4.9976231551245727</v>
      </c>
      <c r="AL403" s="398">
        <f t="shared" si="145"/>
        <v>4.9980985240996585</v>
      </c>
      <c r="AM403" s="398">
        <f t="shared" si="145"/>
        <v>4.9984788192797271</v>
      </c>
      <c r="AN403" s="398">
        <f t="shared" si="145"/>
        <v>4.9987830554237824</v>
      </c>
      <c r="AP403" s="21"/>
    </row>
    <row r="404" spans="2:42" x14ac:dyDescent="0.25">
      <c r="C404" s="21" t="s">
        <v>393</v>
      </c>
      <c r="D404" s="34" t="s">
        <v>162</v>
      </c>
      <c r="E404" s="398">
        <v>1</v>
      </c>
      <c r="F404" s="398">
        <f t="shared" ref="F404:AN404" si="146">E404*(1-F$384)+1</f>
        <v>1.8</v>
      </c>
      <c r="G404" s="398">
        <f t="shared" si="146"/>
        <v>2.4400000000000004</v>
      </c>
      <c r="H404" s="398">
        <f t="shared" si="146"/>
        <v>2.9520000000000004</v>
      </c>
      <c r="I404" s="398">
        <f t="shared" si="146"/>
        <v>3.3616000000000006</v>
      </c>
      <c r="J404" s="398">
        <f t="shared" si="146"/>
        <v>3.6892800000000006</v>
      </c>
      <c r="K404" s="398">
        <f t="shared" si="146"/>
        <v>3.9514240000000007</v>
      </c>
      <c r="L404" s="398">
        <f t="shared" si="146"/>
        <v>4.1611392000000009</v>
      </c>
      <c r="M404" s="398">
        <f t="shared" si="146"/>
        <v>4.3289113600000011</v>
      </c>
      <c r="N404" s="398">
        <f t="shared" si="146"/>
        <v>4.4631290880000005</v>
      </c>
      <c r="O404" s="398">
        <f t="shared" si="146"/>
        <v>4.5705032704000006</v>
      </c>
      <c r="P404" s="398">
        <f t="shared" si="146"/>
        <v>4.6564026163200012</v>
      </c>
      <c r="Q404" s="398">
        <f t="shared" si="146"/>
        <v>4.7251220930560009</v>
      </c>
      <c r="R404" s="398">
        <f t="shared" si="146"/>
        <v>4.7800976744448009</v>
      </c>
      <c r="S404" s="398">
        <f t="shared" si="146"/>
        <v>4.8240781395558407</v>
      </c>
      <c r="T404" s="398">
        <f t="shared" si="146"/>
        <v>4.8592625116446726</v>
      </c>
      <c r="U404" s="398">
        <f t="shared" si="146"/>
        <v>4.8874100093157384</v>
      </c>
      <c r="V404" s="398">
        <f t="shared" si="146"/>
        <v>4.9099280074525904</v>
      </c>
      <c r="W404" s="398">
        <f t="shared" si="146"/>
        <v>4.9279424059620727</v>
      </c>
      <c r="X404" s="398">
        <f t="shared" si="146"/>
        <v>4.9423539247696588</v>
      </c>
      <c r="Y404" s="398">
        <f t="shared" si="146"/>
        <v>4.9538831398157273</v>
      </c>
      <c r="Z404" s="398">
        <f t="shared" si="146"/>
        <v>4.9631065118525814</v>
      </c>
      <c r="AA404" s="398">
        <f t="shared" si="146"/>
        <v>4.9704852094820655</v>
      </c>
      <c r="AB404" s="398">
        <f t="shared" si="146"/>
        <v>4.9763881675856521</v>
      </c>
      <c r="AC404" s="398">
        <f t="shared" si="146"/>
        <v>4.981110534068522</v>
      </c>
      <c r="AD404" s="398">
        <f t="shared" si="146"/>
        <v>4.984888427254818</v>
      </c>
      <c r="AE404" s="398">
        <f t="shared" si="146"/>
        <v>4.9879107418038551</v>
      </c>
      <c r="AF404" s="398">
        <f t="shared" si="146"/>
        <v>4.9903285934430848</v>
      </c>
      <c r="AG404" s="398">
        <f t="shared" si="146"/>
        <v>4.9922628747544682</v>
      </c>
      <c r="AH404" s="398">
        <f t="shared" si="146"/>
        <v>4.9938102998035747</v>
      </c>
      <c r="AI404" s="398">
        <f t="shared" si="146"/>
        <v>4.9950482398428599</v>
      </c>
      <c r="AJ404" s="398">
        <f t="shared" si="146"/>
        <v>4.9960385918742887</v>
      </c>
      <c r="AK404" s="398">
        <f t="shared" si="146"/>
        <v>4.9968308734994311</v>
      </c>
      <c r="AL404" s="398">
        <f t="shared" si="146"/>
        <v>4.9974646987995452</v>
      </c>
      <c r="AM404" s="398">
        <f t="shared" si="146"/>
        <v>4.9979717590396362</v>
      </c>
      <c r="AN404" s="398">
        <f t="shared" si="146"/>
        <v>4.9983774072317093</v>
      </c>
      <c r="AP404" s="21"/>
    </row>
    <row r="405" spans="2:42" x14ac:dyDescent="0.25">
      <c r="C405" s="22" t="s">
        <v>456</v>
      </c>
      <c r="D405" s="34" t="s">
        <v>162</v>
      </c>
      <c r="E405" s="399">
        <v>0</v>
      </c>
      <c r="F405" s="399">
        <f t="shared" ref="F405:AN405" si="147">E405*(1-F$384)+1</f>
        <v>1</v>
      </c>
      <c r="G405" s="399">
        <f t="shared" si="147"/>
        <v>1.8</v>
      </c>
      <c r="H405" s="399">
        <f t="shared" si="147"/>
        <v>2.4400000000000004</v>
      </c>
      <c r="I405" s="399">
        <f t="shared" si="147"/>
        <v>2.9520000000000004</v>
      </c>
      <c r="J405" s="399">
        <f t="shared" si="147"/>
        <v>3.3616000000000006</v>
      </c>
      <c r="K405" s="399">
        <f t="shared" si="147"/>
        <v>3.6892800000000006</v>
      </c>
      <c r="L405" s="399">
        <f t="shared" si="147"/>
        <v>3.9514240000000007</v>
      </c>
      <c r="M405" s="399">
        <f t="shared" si="147"/>
        <v>4.1611392000000009</v>
      </c>
      <c r="N405" s="399">
        <f t="shared" si="147"/>
        <v>4.3289113600000011</v>
      </c>
      <c r="O405" s="399">
        <f t="shared" si="147"/>
        <v>4.4631290880000005</v>
      </c>
      <c r="P405" s="399">
        <f t="shared" si="147"/>
        <v>4.5705032704000006</v>
      </c>
      <c r="Q405" s="399">
        <f t="shared" si="147"/>
        <v>4.6564026163200012</v>
      </c>
      <c r="R405" s="399">
        <f t="shared" si="147"/>
        <v>4.7251220930560009</v>
      </c>
      <c r="S405" s="399">
        <f t="shared" si="147"/>
        <v>4.7800976744448009</v>
      </c>
      <c r="T405" s="399">
        <f t="shared" si="147"/>
        <v>4.8240781395558407</v>
      </c>
      <c r="U405" s="399">
        <f t="shared" si="147"/>
        <v>4.8592625116446726</v>
      </c>
      <c r="V405" s="399">
        <f t="shared" si="147"/>
        <v>4.8874100093157384</v>
      </c>
      <c r="W405" s="399">
        <f t="shared" si="147"/>
        <v>4.9099280074525904</v>
      </c>
      <c r="X405" s="399">
        <f t="shared" si="147"/>
        <v>4.9279424059620727</v>
      </c>
      <c r="Y405" s="399">
        <f t="shared" si="147"/>
        <v>4.9423539247696588</v>
      </c>
      <c r="Z405" s="399">
        <f t="shared" si="147"/>
        <v>4.9538831398157273</v>
      </c>
      <c r="AA405" s="399">
        <f t="shared" si="147"/>
        <v>4.9631065118525814</v>
      </c>
      <c r="AB405" s="399">
        <f t="shared" si="147"/>
        <v>4.9704852094820655</v>
      </c>
      <c r="AC405" s="399">
        <f t="shared" si="147"/>
        <v>4.9763881675856521</v>
      </c>
      <c r="AD405" s="399">
        <f t="shared" si="147"/>
        <v>4.981110534068522</v>
      </c>
      <c r="AE405" s="399">
        <f t="shared" si="147"/>
        <v>4.984888427254818</v>
      </c>
      <c r="AF405" s="399">
        <f t="shared" si="147"/>
        <v>4.9879107418038551</v>
      </c>
      <c r="AG405" s="399">
        <f t="shared" si="147"/>
        <v>4.9903285934430848</v>
      </c>
      <c r="AH405" s="399">
        <f t="shared" si="147"/>
        <v>4.9922628747544682</v>
      </c>
      <c r="AI405" s="399">
        <f t="shared" si="147"/>
        <v>4.9938102998035747</v>
      </c>
      <c r="AJ405" s="399">
        <f t="shared" si="147"/>
        <v>4.9950482398428599</v>
      </c>
      <c r="AK405" s="399">
        <f t="shared" si="147"/>
        <v>4.9960385918742887</v>
      </c>
      <c r="AL405" s="399">
        <f t="shared" si="147"/>
        <v>4.9968308734994311</v>
      </c>
      <c r="AM405" s="399">
        <f t="shared" si="147"/>
        <v>4.9974646987995452</v>
      </c>
      <c r="AN405" s="399">
        <f t="shared" si="147"/>
        <v>4.9979717590396362</v>
      </c>
      <c r="AP405" s="26"/>
    </row>
    <row r="406" spans="2:42" s="74" customFormat="1" x14ac:dyDescent="0.25">
      <c r="B406" s="99" t="s">
        <v>9</v>
      </c>
      <c r="C406" s="311" t="s">
        <v>629</v>
      </c>
      <c r="D406" s="318"/>
      <c r="E406" s="402"/>
      <c r="F406" s="402"/>
      <c r="G406" s="402"/>
      <c r="H406" s="402"/>
      <c r="I406" s="402"/>
      <c r="J406" s="402"/>
      <c r="K406" s="402"/>
      <c r="L406" s="402"/>
      <c r="M406" s="402"/>
      <c r="N406" s="402"/>
      <c r="O406" s="402"/>
      <c r="P406" s="402"/>
      <c r="Q406" s="402"/>
      <c r="R406" s="402"/>
      <c r="S406" s="402"/>
      <c r="T406" s="402"/>
      <c r="U406" s="402"/>
      <c r="V406" s="402"/>
      <c r="W406" s="402"/>
      <c r="X406" s="402"/>
      <c r="Y406" s="402"/>
      <c r="Z406" s="402"/>
      <c r="AA406" s="402"/>
      <c r="AB406" s="402"/>
      <c r="AC406" s="402"/>
      <c r="AD406" s="402"/>
      <c r="AE406" s="402"/>
      <c r="AF406" s="402"/>
      <c r="AG406" s="402"/>
      <c r="AH406" s="402"/>
      <c r="AI406" s="402"/>
      <c r="AJ406" s="402"/>
      <c r="AK406" s="402"/>
      <c r="AL406" s="402"/>
      <c r="AM406" s="402"/>
      <c r="AN406" s="402"/>
      <c r="AP406" s="311"/>
    </row>
    <row r="407" spans="2:42" x14ac:dyDescent="0.25">
      <c r="C407" s="20" t="s">
        <v>600</v>
      </c>
      <c r="D407" s="34" t="s">
        <v>162</v>
      </c>
      <c r="E407" s="397">
        <v>5</v>
      </c>
      <c r="F407" s="397">
        <f>E407*(1-F$384)+1</f>
        <v>5</v>
      </c>
      <c r="G407" s="397">
        <f t="shared" ref="G407:AN407" si="148">F407*(1-G$384)+1</f>
        <v>5</v>
      </c>
      <c r="H407" s="397">
        <f t="shared" si="148"/>
        <v>5</v>
      </c>
      <c r="I407" s="397">
        <f t="shared" si="148"/>
        <v>5</v>
      </c>
      <c r="J407" s="397">
        <f t="shared" si="148"/>
        <v>5</v>
      </c>
      <c r="K407" s="397">
        <f t="shared" si="148"/>
        <v>5</v>
      </c>
      <c r="L407" s="397">
        <f t="shared" si="148"/>
        <v>5</v>
      </c>
      <c r="M407" s="397">
        <f t="shared" si="148"/>
        <v>5</v>
      </c>
      <c r="N407" s="397">
        <f t="shared" si="148"/>
        <v>5</v>
      </c>
      <c r="O407" s="397">
        <f t="shared" si="148"/>
        <v>5</v>
      </c>
      <c r="P407" s="397">
        <f t="shared" si="148"/>
        <v>5</v>
      </c>
      <c r="Q407" s="397">
        <f t="shared" si="148"/>
        <v>5</v>
      </c>
      <c r="R407" s="397">
        <f t="shared" si="148"/>
        <v>5</v>
      </c>
      <c r="S407" s="397">
        <f t="shared" si="148"/>
        <v>5</v>
      </c>
      <c r="T407" s="397">
        <f t="shared" si="148"/>
        <v>5</v>
      </c>
      <c r="U407" s="397">
        <f t="shared" si="148"/>
        <v>5</v>
      </c>
      <c r="V407" s="397">
        <f t="shared" si="148"/>
        <v>5</v>
      </c>
      <c r="W407" s="397">
        <f t="shared" si="148"/>
        <v>5</v>
      </c>
      <c r="X407" s="397">
        <f t="shared" si="148"/>
        <v>5</v>
      </c>
      <c r="Y407" s="397">
        <f t="shared" si="148"/>
        <v>5</v>
      </c>
      <c r="Z407" s="397">
        <f t="shared" si="148"/>
        <v>5</v>
      </c>
      <c r="AA407" s="397">
        <f t="shared" si="148"/>
        <v>5</v>
      </c>
      <c r="AB407" s="397">
        <f t="shared" si="148"/>
        <v>5</v>
      </c>
      <c r="AC407" s="397">
        <f t="shared" si="148"/>
        <v>5</v>
      </c>
      <c r="AD407" s="397">
        <f t="shared" si="148"/>
        <v>5</v>
      </c>
      <c r="AE407" s="397">
        <f t="shared" si="148"/>
        <v>5</v>
      </c>
      <c r="AF407" s="397">
        <f t="shared" si="148"/>
        <v>5</v>
      </c>
      <c r="AG407" s="397">
        <f t="shared" si="148"/>
        <v>5</v>
      </c>
      <c r="AH407" s="397">
        <f t="shared" si="148"/>
        <v>5</v>
      </c>
      <c r="AI407" s="397">
        <f t="shared" si="148"/>
        <v>5</v>
      </c>
      <c r="AJ407" s="397">
        <f t="shared" si="148"/>
        <v>5</v>
      </c>
      <c r="AK407" s="397">
        <f t="shared" si="148"/>
        <v>5</v>
      </c>
      <c r="AL407" s="397">
        <f t="shared" si="148"/>
        <v>5</v>
      </c>
      <c r="AM407" s="397">
        <f t="shared" si="148"/>
        <v>5</v>
      </c>
      <c r="AN407" s="397">
        <f t="shared" si="148"/>
        <v>5</v>
      </c>
      <c r="AP407" s="20"/>
    </row>
    <row r="408" spans="2:42" x14ac:dyDescent="0.25">
      <c r="C408" s="20" t="s">
        <v>392</v>
      </c>
      <c r="D408" s="34" t="s">
        <v>162</v>
      </c>
      <c r="E408" s="398">
        <v>4</v>
      </c>
      <c r="F408" s="398">
        <f t="shared" ref="F408:AN408" si="149">E408*(1-F$384)+1</f>
        <v>4.2</v>
      </c>
      <c r="G408" s="398">
        <f t="shared" si="149"/>
        <v>4.3600000000000003</v>
      </c>
      <c r="H408" s="398">
        <f t="shared" si="149"/>
        <v>4.4880000000000004</v>
      </c>
      <c r="I408" s="398">
        <f t="shared" si="149"/>
        <v>4.5904000000000007</v>
      </c>
      <c r="J408" s="398">
        <f t="shared" si="149"/>
        <v>4.6723200000000009</v>
      </c>
      <c r="K408" s="398">
        <f t="shared" si="149"/>
        <v>4.7378560000000007</v>
      </c>
      <c r="L408" s="398">
        <f t="shared" si="149"/>
        <v>4.7902848000000002</v>
      </c>
      <c r="M408" s="398">
        <f t="shared" si="149"/>
        <v>4.8322278399999998</v>
      </c>
      <c r="N408" s="398">
        <f t="shared" si="149"/>
        <v>4.8657822720000006</v>
      </c>
      <c r="O408" s="398">
        <f t="shared" si="149"/>
        <v>4.8926258176000008</v>
      </c>
      <c r="P408" s="398">
        <f t="shared" si="149"/>
        <v>4.9141006540800003</v>
      </c>
      <c r="Q408" s="398">
        <f t="shared" si="149"/>
        <v>4.9312805232640002</v>
      </c>
      <c r="R408" s="398">
        <f t="shared" si="149"/>
        <v>4.9450244186112009</v>
      </c>
      <c r="S408" s="398">
        <f t="shared" si="149"/>
        <v>4.9560195348889611</v>
      </c>
      <c r="T408" s="398">
        <f t="shared" si="149"/>
        <v>4.964815627911169</v>
      </c>
      <c r="U408" s="398">
        <f t="shared" si="149"/>
        <v>4.9718525023289359</v>
      </c>
      <c r="V408" s="398">
        <f t="shared" si="149"/>
        <v>4.9774820018631489</v>
      </c>
      <c r="W408" s="398">
        <f t="shared" si="149"/>
        <v>4.9819856014905195</v>
      </c>
      <c r="X408" s="398">
        <f t="shared" si="149"/>
        <v>4.9855884811924156</v>
      </c>
      <c r="Y408" s="398">
        <f t="shared" si="149"/>
        <v>4.9884707849539325</v>
      </c>
      <c r="Z408" s="398">
        <f t="shared" si="149"/>
        <v>4.9907766279631467</v>
      </c>
      <c r="AA408" s="398">
        <f t="shared" si="149"/>
        <v>4.9926213023705177</v>
      </c>
      <c r="AB408" s="398">
        <f t="shared" si="149"/>
        <v>4.9940970418964143</v>
      </c>
      <c r="AC408" s="398">
        <f t="shared" si="149"/>
        <v>4.9952776335171318</v>
      </c>
      <c r="AD408" s="398">
        <f t="shared" si="149"/>
        <v>4.9962221068137058</v>
      </c>
      <c r="AE408" s="398">
        <f t="shared" si="149"/>
        <v>4.9969776854509647</v>
      </c>
      <c r="AF408" s="398">
        <f t="shared" si="149"/>
        <v>4.9975821483607721</v>
      </c>
      <c r="AG408" s="398">
        <f t="shared" si="149"/>
        <v>4.9980657186886184</v>
      </c>
      <c r="AH408" s="398">
        <f t="shared" si="149"/>
        <v>4.9984525749508943</v>
      </c>
      <c r="AI408" s="398">
        <f t="shared" si="149"/>
        <v>4.9987620599607157</v>
      </c>
      <c r="AJ408" s="398">
        <f t="shared" si="149"/>
        <v>4.9990096479685722</v>
      </c>
      <c r="AK408" s="398">
        <f t="shared" si="149"/>
        <v>4.9992077183748584</v>
      </c>
      <c r="AL408" s="398">
        <f t="shared" si="149"/>
        <v>4.9993661746998868</v>
      </c>
      <c r="AM408" s="398">
        <f t="shared" si="149"/>
        <v>4.999492939759909</v>
      </c>
      <c r="AN408" s="398">
        <f t="shared" si="149"/>
        <v>4.9995943518079269</v>
      </c>
      <c r="AP408" s="21"/>
    </row>
    <row r="409" spans="2:42" x14ac:dyDescent="0.25">
      <c r="C409" s="20" t="s">
        <v>454</v>
      </c>
      <c r="D409" s="34" t="s">
        <v>162</v>
      </c>
      <c r="E409" s="398">
        <v>3</v>
      </c>
      <c r="F409" s="398">
        <f t="shared" ref="F409:AN409" si="150">E409*(1-F$384)+1</f>
        <v>3.4000000000000004</v>
      </c>
      <c r="G409" s="398">
        <f t="shared" si="150"/>
        <v>3.7200000000000006</v>
      </c>
      <c r="H409" s="398">
        <f t="shared" si="150"/>
        <v>3.9760000000000009</v>
      </c>
      <c r="I409" s="398">
        <f t="shared" si="150"/>
        <v>4.1808000000000014</v>
      </c>
      <c r="J409" s="398">
        <f t="shared" si="150"/>
        <v>4.3446400000000018</v>
      </c>
      <c r="K409" s="398">
        <f t="shared" si="150"/>
        <v>4.4757120000000015</v>
      </c>
      <c r="L409" s="398">
        <f t="shared" si="150"/>
        <v>4.5805696000000014</v>
      </c>
      <c r="M409" s="398">
        <f t="shared" si="150"/>
        <v>4.6644556800000014</v>
      </c>
      <c r="N409" s="398">
        <f t="shared" si="150"/>
        <v>4.7315645440000011</v>
      </c>
      <c r="O409" s="398">
        <f t="shared" si="150"/>
        <v>4.7852516352000016</v>
      </c>
      <c r="P409" s="398">
        <f t="shared" si="150"/>
        <v>4.8282013081600015</v>
      </c>
      <c r="Q409" s="398">
        <f t="shared" si="150"/>
        <v>4.8625610465280014</v>
      </c>
      <c r="R409" s="398">
        <f t="shared" si="150"/>
        <v>4.8900488372224018</v>
      </c>
      <c r="S409" s="398">
        <f t="shared" si="150"/>
        <v>4.9120390697779222</v>
      </c>
      <c r="T409" s="398">
        <f t="shared" si="150"/>
        <v>4.9296312558223381</v>
      </c>
      <c r="U409" s="398">
        <f t="shared" si="150"/>
        <v>4.9437050046578701</v>
      </c>
      <c r="V409" s="398">
        <f t="shared" si="150"/>
        <v>4.9549640037262961</v>
      </c>
      <c r="W409" s="398">
        <f t="shared" si="150"/>
        <v>4.9639712029810372</v>
      </c>
      <c r="X409" s="398">
        <f t="shared" si="150"/>
        <v>4.9711769623848294</v>
      </c>
      <c r="Y409" s="398">
        <f t="shared" si="150"/>
        <v>4.9769415699078632</v>
      </c>
      <c r="Z409" s="398">
        <f t="shared" si="150"/>
        <v>4.9815532559262907</v>
      </c>
      <c r="AA409" s="398">
        <f t="shared" si="150"/>
        <v>4.9852426047410328</v>
      </c>
      <c r="AB409" s="398">
        <f t="shared" si="150"/>
        <v>4.9881940837928269</v>
      </c>
      <c r="AC409" s="398">
        <f t="shared" si="150"/>
        <v>4.9905552670342619</v>
      </c>
      <c r="AD409" s="398">
        <f t="shared" si="150"/>
        <v>4.9924442136274099</v>
      </c>
      <c r="AE409" s="398">
        <f t="shared" si="150"/>
        <v>4.9939553709019275</v>
      </c>
      <c r="AF409" s="398">
        <f t="shared" si="150"/>
        <v>4.9951642967215424</v>
      </c>
      <c r="AG409" s="398">
        <f t="shared" si="150"/>
        <v>4.9961314373772341</v>
      </c>
      <c r="AH409" s="398">
        <f t="shared" si="150"/>
        <v>4.9969051499017869</v>
      </c>
      <c r="AI409" s="398">
        <f t="shared" si="150"/>
        <v>4.9975241199214295</v>
      </c>
      <c r="AJ409" s="398">
        <f t="shared" si="150"/>
        <v>4.9980192959371443</v>
      </c>
      <c r="AK409" s="398">
        <f t="shared" si="150"/>
        <v>4.9984154367497151</v>
      </c>
      <c r="AL409" s="398">
        <f t="shared" si="150"/>
        <v>4.9987323493997717</v>
      </c>
      <c r="AM409" s="398">
        <f t="shared" si="150"/>
        <v>4.9989858795198181</v>
      </c>
      <c r="AN409" s="398">
        <f t="shared" si="150"/>
        <v>4.9991887036158547</v>
      </c>
      <c r="AP409" s="21"/>
    </row>
    <row r="410" spans="2:42" x14ac:dyDescent="0.25">
      <c r="C410" s="21" t="s">
        <v>455</v>
      </c>
      <c r="D410" s="34" t="s">
        <v>162</v>
      </c>
      <c r="E410" s="398">
        <v>2</v>
      </c>
      <c r="F410" s="398">
        <f t="shared" ref="F410:AN410" si="151">E410*(1-F$384)+1</f>
        <v>2.6</v>
      </c>
      <c r="G410" s="398">
        <f t="shared" si="151"/>
        <v>3.08</v>
      </c>
      <c r="H410" s="398">
        <f t="shared" si="151"/>
        <v>3.4640000000000004</v>
      </c>
      <c r="I410" s="398">
        <f t="shared" si="151"/>
        <v>3.7712000000000003</v>
      </c>
      <c r="J410" s="398">
        <f t="shared" si="151"/>
        <v>4.016960000000001</v>
      </c>
      <c r="K410" s="398">
        <f t="shared" si="151"/>
        <v>4.2135680000000004</v>
      </c>
      <c r="L410" s="398">
        <f t="shared" si="151"/>
        <v>4.3708544000000007</v>
      </c>
      <c r="M410" s="398">
        <f t="shared" si="151"/>
        <v>4.4966835200000013</v>
      </c>
      <c r="N410" s="398">
        <f t="shared" si="151"/>
        <v>4.5973468160000017</v>
      </c>
      <c r="O410" s="398">
        <f t="shared" si="151"/>
        <v>4.6778774528000016</v>
      </c>
      <c r="P410" s="398">
        <f t="shared" si="151"/>
        <v>4.7423019622400009</v>
      </c>
      <c r="Q410" s="398">
        <f t="shared" si="151"/>
        <v>4.7938415697920007</v>
      </c>
      <c r="R410" s="398">
        <f t="shared" si="151"/>
        <v>4.8350732558336009</v>
      </c>
      <c r="S410" s="398">
        <f t="shared" si="151"/>
        <v>4.8680586046668815</v>
      </c>
      <c r="T410" s="398">
        <f t="shared" si="151"/>
        <v>4.8944468837335053</v>
      </c>
      <c r="U410" s="398">
        <f t="shared" si="151"/>
        <v>4.9155575069868043</v>
      </c>
      <c r="V410" s="398">
        <f t="shared" si="151"/>
        <v>4.9324460055894441</v>
      </c>
      <c r="W410" s="398">
        <f t="shared" si="151"/>
        <v>4.9459568044715549</v>
      </c>
      <c r="X410" s="398">
        <f t="shared" si="151"/>
        <v>4.9567654435772441</v>
      </c>
      <c r="Y410" s="398">
        <f t="shared" si="151"/>
        <v>4.9654123548617957</v>
      </c>
      <c r="Z410" s="398">
        <f t="shared" si="151"/>
        <v>4.9723298838894365</v>
      </c>
      <c r="AA410" s="398">
        <f t="shared" si="151"/>
        <v>4.9778639071115496</v>
      </c>
      <c r="AB410" s="398">
        <f t="shared" si="151"/>
        <v>4.9822911256892404</v>
      </c>
      <c r="AC410" s="398">
        <f t="shared" si="151"/>
        <v>4.9858329005513919</v>
      </c>
      <c r="AD410" s="398">
        <f t="shared" si="151"/>
        <v>4.9886663204411139</v>
      </c>
      <c r="AE410" s="398">
        <f t="shared" si="151"/>
        <v>4.9909330563528913</v>
      </c>
      <c r="AF410" s="398">
        <f t="shared" si="151"/>
        <v>4.9927464450823127</v>
      </c>
      <c r="AG410" s="398">
        <f t="shared" si="151"/>
        <v>4.9941971560658498</v>
      </c>
      <c r="AH410" s="398">
        <f t="shared" si="151"/>
        <v>4.9953577248526795</v>
      </c>
      <c r="AI410" s="398">
        <f t="shared" si="151"/>
        <v>4.9962861798821443</v>
      </c>
      <c r="AJ410" s="398">
        <f t="shared" si="151"/>
        <v>4.9970289439057156</v>
      </c>
      <c r="AK410" s="398">
        <f t="shared" si="151"/>
        <v>4.9976231551245727</v>
      </c>
      <c r="AL410" s="398">
        <f t="shared" si="151"/>
        <v>4.9980985240996585</v>
      </c>
      <c r="AM410" s="398">
        <f t="shared" si="151"/>
        <v>4.9984788192797271</v>
      </c>
      <c r="AN410" s="398">
        <f t="shared" si="151"/>
        <v>4.9987830554237824</v>
      </c>
      <c r="AP410" s="21"/>
    </row>
    <row r="411" spans="2:42" x14ac:dyDescent="0.25">
      <c r="C411" s="21" t="s">
        <v>393</v>
      </c>
      <c r="D411" s="34" t="s">
        <v>162</v>
      </c>
      <c r="E411" s="398">
        <v>1</v>
      </c>
      <c r="F411" s="398">
        <f t="shared" ref="F411:AN411" si="152">E411*(1-F$384)+1</f>
        <v>1.8</v>
      </c>
      <c r="G411" s="398">
        <f t="shared" si="152"/>
        <v>2.4400000000000004</v>
      </c>
      <c r="H411" s="398">
        <f t="shared" si="152"/>
        <v>2.9520000000000004</v>
      </c>
      <c r="I411" s="398">
        <f t="shared" si="152"/>
        <v>3.3616000000000006</v>
      </c>
      <c r="J411" s="398">
        <f t="shared" si="152"/>
        <v>3.6892800000000006</v>
      </c>
      <c r="K411" s="398">
        <f t="shared" si="152"/>
        <v>3.9514240000000007</v>
      </c>
      <c r="L411" s="398">
        <f t="shared" si="152"/>
        <v>4.1611392000000009</v>
      </c>
      <c r="M411" s="398">
        <f t="shared" si="152"/>
        <v>4.3289113600000011</v>
      </c>
      <c r="N411" s="398">
        <f t="shared" si="152"/>
        <v>4.4631290880000005</v>
      </c>
      <c r="O411" s="398">
        <f t="shared" si="152"/>
        <v>4.5705032704000006</v>
      </c>
      <c r="P411" s="398">
        <f t="shared" si="152"/>
        <v>4.6564026163200012</v>
      </c>
      <c r="Q411" s="398">
        <f t="shared" si="152"/>
        <v>4.7251220930560009</v>
      </c>
      <c r="R411" s="398">
        <f t="shared" si="152"/>
        <v>4.7800976744448009</v>
      </c>
      <c r="S411" s="398">
        <f t="shared" si="152"/>
        <v>4.8240781395558407</v>
      </c>
      <c r="T411" s="398">
        <f t="shared" si="152"/>
        <v>4.8592625116446726</v>
      </c>
      <c r="U411" s="398">
        <f t="shared" si="152"/>
        <v>4.8874100093157384</v>
      </c>
      <c r="V411" s="398">
        <f t="shared" si="152"/>
        <v>4.9099280074525904</v>
      </c>
      <c r="W411" s="398">
        <f t="shared" si="152"/>
        <v>4.9279424059620727</v>
      </c>
      <c r="X411" s="398">
        <f t="shared" si="152"/>
        <v>4.9423539247696588</v>
      </c>
      <c r="Y411" s="398">
        <f t="shared" si="152"/>
        <v>4.9538831398157273</v>
      </c>
      <c r="Z411" s="398">
        <f t="shared" si="152"/>
        <v>4.9631065118525814</v>
      </c>
      <c r="AA411" s="398">
        <f t="shared" si="152"/>
        <v>4.9704852094820655</v>
      </c>
      <c r="AB411" s="398">
        <f t="shared" si="152"/>
        <v>4.9763881675856521</v>
      </c>
      <c r="AC411" s="398">
        <f t="shared" si="152"/>
        <v>4.981110534068522</v>
      </c>
      <c r="AD411" s="398">
        <f t="shared" si="152"/>
        <v>4.984888427254818</v>
      </c>
      <c r="AE411" s="398">
        <f t="shared" si="152"/>
        <v>4.9879107418038551</v>
      </c>
      <c r="AF411" s="398">
        <f t="shared" si="152"/>
        <v>4.9903285934430848</v>
      </c>
      <c r="AG411" s="398">
        <f t="shared" si="152"/>
        <v>4.9922628747544682</v>
      </c>
      <c r="AH411" s="398">
        <f t="shared" si="152"/>
        <v>4.9938102998035747</v>
      </c>
      <c r="AI411" s="398">
        <f t="shared" si="152"/>
        <v>4.9950482398428599</v>
      </c>
      <c r="AJ411" s="398">
        <f t="shared" si="152"/>
        <v>4.9960385918742887</v>
      </c>
      <c r="AK411" s="398">
        <f t="shared" si="152"/>
        <v>4.9968308734994311</v>
      </c>
      <c r="AL411" s="398">
        <f t="shared" si="152"/>
        <v>4.9974646987995452</v>
      </c>
      <c r="AM411" s="398">
        <f t="shared" si="152"/>
        <v>4.9979717590396362</v>
      </c>
      <c r="AN411" s="398">
        <f t="shared" si="152"/>
        <v>4.9983774072317093</v>
      </c>
      <c r="AP411" s="21"/>
    </row>
    <row r="412" spans="2:42" x14ac:dyDescent="0.25">
      <c r="C412" s="22" t="s">
        <v>456</v>
      </c>
      <c r="D412" s="34" t="s">
        <v>162</v>
      </c>
      <c r="E412" s="399">
        <v>0</v>
      </c>
      <c r="F412" s="399">
        <f t="shared" ref="F412:AN412" si="153">E412*(1-F$384)+1</f>
        <v>1</v>
      </c>
      <c r="G412" s="399">
        <f t="shared" si="153"/>
        <v>1.8</v>
      </c>
      <c r="H412" s="399">
        <f t="shared" si="153"/>
        <v>2.4400000000000004</v>
      </c>
      <c r="I412" s="399">
        <f t="shared" si="153"/>
        <v>2.9520000000000004</v>
      </c>
      <c r="J412" s="399">
        <f t="shared" si="153"/>
        <v>3.3616000000000006</v>
      </c>
      <c r="K412" s="399">
        <f t="shared" si="153"/>
        <v>3.6892800000000006</v>
      </c>
      <c r="L412" s="399">
        <f t="shared" si="153"/>
        <v>3.9514240000000007</v>
      </c>
      <c r="M412" s="399">
        <f t="shared" si="153"/>
        <v>4.1611392000000009</v>
      </c>
      <c r="N412" s="399">
        <f t="shared" si="153"/>
        <v>4.3289113600000011</v>
      </c>
      <c r="O412" s="399">
        <f t="shared" si="153"/>
        <v>4.4631290880000005</v>
      </c>
      <c r="P412" s="399">
        <f t="shared" si="153"/>
        <v>4.5705032704000006</v>
      </c>
      <c r="Q412" s="399">
        <f t="shared" si="153"/>
        <v>4.6564026163200012</v>
      </c>
      <c r="R412" s="399">
        <f t="shared" si="153"/>
        <v>4.7251220930560009</v>
      </c>
      <c r="S412" s="399">
        <f t="shared" si="153"/>
        <v>4.7800976744448009</v>
      </c>
      <c r="T412" s="399">
        <f t="shared" si="153"/>
        <v>4.8240781395558407</v>
      </c>
      <c r="U412" s="399">
        <f t="shared" si="153"/>
        <v>4.8592625116446726</v>
      </c>
      <c r="V412" s="399">
        <f t="shared" si="153"/>
        <v>4.8874100093157384</v>
      </c>
      <c r="W412" s="399">
        <f t="shared" si="153"/>
        <v>4.9099280074525904</v>
      </c>
      <c r="X412" s="399">
        <f t="shared" si="153"/>
        <v>4.9279424059620727</v>
      </c>
      <c r="Y412" s="399">
        <f t="shared" si="153"/>
        <v>4.9423539247696588</v>
      </c>
      <c r="Z412" s="399">
        <f t="shared" si="153"/>
        <v>4.9538831398157273</v>
      </c>
      <c r="AA412" s="399">
        <f t="shared" si="153"/>
        <v>4.9631065118525814</v>
      </c>
      <c r="AB412" s="399">
        <f t="shared" si="153"/>
        <v>4.9704852094820655</v>
      </c>
      <c r="AC412" s="399">
        <f t="shared" si="153"/>
        <v>4.9763881675856521</v>
      </c>
      <c r="AD412" s="399">
        <f t="shared" si="153"/>
        <v>4.981110534068522</v>
      </c>
      <c r="AE412" s="399">
        <f t="shared" si="153"/>
        <v>4.984888427254818</v>
      </c>
      <c r="AF412" s="399">
        <f t="shared" si="153"/>
        <v>4.9879107418038551</v>
      </c>
      <c r="AG412" s="399">
        <f t="shared" si="153"/>
        <v>4.9903285934430848</v>
      </c>
      <c r="AH412" s="399">
        <f t="shared" si="153"/>
        <v>4.9922628747544682</v>
      </c>
      <c r="AI412" s="399">
        <f t="shared" si="153"/>
        <v>4.9938102998035747</v>
      </c>
      <c r="AJ412" s="399">
        <f t="shared" si="153"/>
        <v>4.9950482398428599</v>
      </c>
      <c r="AK412" s="399">
        <f t="shared" si="153"/>
        <v>4.9960385918742887</v>
      </c>
      <c r="AL412" s="399">
        <f t="shared" si="153"/>
        <v>4.9968308734994311</v>
      </c>
      <c r="AM412" s="399">
        <f t="shared" si="153"/>
        <v>4.9974646987995452</v>
      </c>
      <c r="AN412" s="399">
        <f t="shared" si="153"/>
        <v>4.9979717590396362</v>
      </c>
      <c r="AP412" s="26"/>
    </row>
    <row r="413" spans="2:42" x14ac:dyDescent="0.25">
      <c r="B413" s="99" t="s">
        <v>9</v>
      </c>
      <c r="C413" s="312" t="str">
        <f>'4.2 Sector Mapping'!$B$8</f>
        <v>Financial Services</v>
      </c>
      <c r="D413" s="317"/>
      <c r="E413" s="312"/>
      <c r="F413" s="312"/>
      <c r="G413" s="312"/>
      <c r="H413" s="312"/>
      <c r="I413" s="312"/>
      <c r="J413" s="312"/>
      <c r="K413" s="312"/>
      <c r="L413" s="312"/>
      <c r="M413" s="312"/>
      <c r="N413" s="312"/>
      <c r="O413" s="312"/>
      <c r="P413" s="312"/>
      <c r="Q413" s="312"/>
      <c r="R413" s="312"/>
      <c r="S413" s="312"/>
      <c r="T413" s="312"/>
      <c r="U413" s="312"/>
      <c r="V413" s="312"/>
      <c r="W413" s="312"/>
      <c r="X413" s="312"/>
      <c r="Y413" s="312"/>
      <c r="Z413" s="312"/>
      <c r="AA413" s="312"/>
      <c r="AB413" s="312"/>
      <c r="AC413" s="312"/>
      <c r="AD413" s="312"/>
      <c r="AE413" s="312"/>
      <c r="AF413" s="312"/>
      <c r="AG413" s="312"/>
      <c r="AH413" s="312"/>
      <c r="AI413" s="312"/>
      <c r="AJ413" s="312"/>
      <c r="AK413" s="312"/>
      <c r="AL413" s="312"/>
      <c r="AM413" s="312"/>
      <c r="AN413" s="312"/>
      <c r="AO413" s="74"/>
      <c r="AP413" s="312"/>
    </row>
    <row r="414" spans="2:42" s="86" customFormat="1" x14ac:dyDescent="0.25">
      <c r="B414" s="3"/>
      <c r="C414" s="243" t="s">
        <v>625</v>
      </c>
      <c r="D414" s="36" t="s">
        <v>162</v>
      </c>
      <c r="E414" s="309">
        <v>1</v>
      </c>
      <c r="F414" s="309">
        <v>1</v>
      </c>
      <c r="G414" s="309">
        <f>ROUND(M414/2,0)</f>
        <v>1</v>
      </c>
      <c r="H414" s="309">
        <f>G414</f>
        <v>1</v>
      </c>
      <c r="I414" s="309">
        <f>H414</f>
        <v>1</v>
      </c>
      <c r="J414" s="309">
        <f>ROUND(AVERAGE(I414,M414),0)</f>
        <v>2</v>
      </c>
      <c r="K414" s="309">
        <f>J414</f>
        <v>2</v>
      </c>
      <c r="L414" s="309">
        <f>K414</f>
        <v>2</v>
      </c>
      <c r="M414" s="309">
        <f>N414</f>
        <v>2</v>
      </c>
      <c r="N414" s="309">
        <f>P414</f>
        <v>2</v>
      </c>
      <c r="O414" s="309">
        <f>P414</f>
        <v>2</v>
      </c>
      <c r="P414" s="309">
        <f>'Back-end Overview of Use Cases'!C6</f>
        <v>2</v>
      </c>
      <c r="Q414" s="309">
        <f>ROUND(IF($AB414-$P414=1,$P414,$P414+($AB414-$P414)/3),0)</f>
        <v>3</v>
      </c>
      <c r="R414" s="309">
        <f>ROUND(IF($AB414-$P414=1,$P414,$P414+($AB414-$P414)/3),0)</f>
        <v>3</v>
      </c>
      <c r="S414" s="309">
        <f>ROUND(IF($AB414-$P414=1,$P414,$P414+($AB414-$P414)/3),0)</f>
        <v>3</v>
      </c>
      <c r="T414" s="309">
        <f>ROUND(IF($AB414-$P414=1,$P414,$P414+($AB414-$P414)/3),0)</f>
        <v>3</v>
      </c>
      <c r="U414" s="309">
        <f>ROUND(AVERAGE(T414,Y414),0)</f>
        <v>4</v>
      </c>
      <c r="V414" s="309">
        <f>U414</f>
        <v>4</v>
      </c>
      <c r="W414" s="309">
        <f>V414</f>
        <v>4</v>
      </c>
      <c r="X414" s="309">
        <f>W414</f>
        <v>4</v>
      </c>
      <c r="Y414" s="309">
        <f>Z414</f>
        <v>4</v>
      </c>
      <c r="Z414" s="309">
        <f>AA414</f>
        <v>4</v>
      </c>
      <c r="AA414" s="309">
        <f>AB414</f>
        <v>4</v>
      </c>
      <c r="AB414" s="309">
        <f>'Back-end Overview of Use Cases'!D6</f>
        <v>4</v>
      </c>
      <c r="AC414" s="309">
        <f>ROUND(IF($AN414-$AB414=1,$AB414,$AB414+($AN414-$AB414)/3),0)</f>
        <v>8</v>
      </c>
      <c r="AD414" s="309">
        <f>ROUND(IF($AN414-$AB414=1,$AB414,$AB414+($AN414-$AB414)/3),0)</f>
        <v>8</v>
      </c>
      <c r="AE414" s="309">
        <f>ROUND(IF($AN414-$AB414=1,$AB414,$AB414+($AN414-$AB414)/3),0)</f>
        <v>8</v>
      </c>
      <c r="AF414" s="309">
        <f>ROUND(IF($AN414-$AB414=1,$AB414,$AB414+($AN414-$AB414)/3),0)</f>
        <v>8</v>
      </c>
      <c r="AG414" s="309">
        <f>ROUND(AVERAGE(AF414,AK414),0)</f>
        <v>12</v>
      </c>
      <c r="AH414" s="309">
        <f>AG414</f>
        <v>12</v>
      </c>
      <c r="AI414" s="309">
        <f>AH414</f>
        <v>12</v>
      </c>
      <c r="AJ414" s="309">
        <f>AI414</f>
        <v>12</v>
      </c>
      <c r="AK414" s="309">
        <f>AN414</f>
        <v>16</v>
      </c>
      <c r="AL414" s="309">
        <f>AN414</f>
        <v>16</v>
      </c>
      <c r="AM414" s="309">
        <f>AN414</f>
        <v>16</v>
      </c>
      <c r="AN414" s="309">
        <f>'Back-end Overview of Use Cases'!E6</f>
        <v>16</v>
      </c>
      <c r="AP414" s="243"/>
    </row>
    <row r="415" spans="2:42" x14ac:dyDescent="0.25">
      <c r="C415" s="299" t="s">
        <v>691</v>
      </c>
      <c r="D415" s="330" t="s">
        <v>29</v>
      </c>
      <c r="E415" s="421">
        <v>0</v>
      </c>
      <c r="F415" s="421">
        <v>0.2</v>
      </c>
      <c r="G415" s="421">
        <v>0.2</v>
      </c>
      <c r="H415" s="421">
        <v>0.2</v>
      </c>
      <c r="I415" s="421">
        <v>0.2</v>
      </c>
      <c r="J415" s="421">
        <v>0.2</v>
      </c>
      <c r="K415" s="421">
        <v>0.2</v>
      </c>
      <c r="L415" s="421">
        <v>0.2</v>
      </c>
      <c r="M415" s="421">
        <v>0.2</v>
      </c>
      <c r="N415" s="421">
        <v>0.2</v>
      </c>
      <c r="O415" s="421">
        <v>0.2</v>
      </c>
      <c r="P415" s="421">
        <v>0.2</v>
      </c>
      <c r="Q415" s="421">
        <v>0.2</v>
      </c>
      <c r="R415" s="421">
        <v>0.2</v>
      </c>
      <c r="S415" s="421">
        <v>0.2</v>
      </c>
      <c r="T415" s="421">
        <v>0.2</v>
      </c>
      <c r="U415" s="421">
        <v>0.2</v>
      </c>
      <c r="V415" s="421">
        <v>0.2</v>
      </c>
      <c r="W415" s="421">
        <v>0.2</v>
      </c>
      <c r="X415" s="421">
        <v>0.2</v>
      </c>
      <c r="Y415" s="421">
        <v>0.2</v>
      </c>
      <c r="Z415" s="421">
        <v>0.2</v>
      </c>
      <c r="AA415" s="421">
        <v>0.2</v>
      </c>
      <c r="AB415" s="421">
        <v>0.2</v>
      </c>
      <c r="AC415" s="421">
        <v>0.2</v>
      </c>
      <c r="AD415" s="421">
        <v>0.2</v>
      </c>
      <c r="AE415" s="421">
        <v>0.2</v>
      </c>
      <c r="AF415" s="421">
        <v>0.2</v>
      </c>
      <c r="AG415" s="421">
        <v>0.2</v>
      </c>
      <c r="AH415" s="421">
        <v>0.2</v>
      </c>
      <c r="AI415" s="421">
        <v>0.2</v>
      </c>
      <c r="AJ415" s="421">
        <v>0.2</v>
      </c>
      <c r="AK415" s="421">
        <v>0.2</v>
      </c>
      <c r="AL415" s="421">
        <v>0.2</v>
      </c>
      <c r="AM415" s="421">
        <v>0.2</v>
      </c>
      <c r="AN415" s="421">
        <v>0.2</v>
      </c>
      <c r="AP415" s="299"/>
    </row>
    <row r="416" spans="2:42" x14ac:dyDescent="0.25">
      <c r="B416" s="99" t="s">
        <v>9</v>
      </c>
      <c r="C416" s="311" t="s">
        <v>626</v>
      </c>
      <c r="D416" s="318"/>
      <c r="E416" s="311"/>
      <c r="F416" s="311"/>
      <c r="G416" s="311"/>
      <c r="H416" s="311"/>
      <c r="I416" s="311"/>
      <c r="J416" s="311"/>
      <c r="K416" s="311"/>
      <c r="L416" s="311"/>
      <c r="M416" s="311"/>
      <c r="N416" s="311"/>
      <c r="O416" s="311"/>
      <c r="P416" s="311"/>
      <c r="Q416" s="311"/>
      <c r="R416" s="311"/>
      <c r="S416" s="311"/>
      <c r="T416" s="311"/>
      <c r="U416" s="311"/>
      <c r="V416" s="311"/>
      <c r="W416" s="311"/>
      <c r="X416" s="311"/>
      <c r="Y416" s="311"/>
      <c r="Z416" s="311"/>
      <c r="AA416" s="311"/>
      <c r="AB416" s="311"/>
      <c r="AC416" s="311"/>
      <c r="AD416" s="311"/>
      <c r="AE416" s="311"/>
      <c r="AF416" s="311"/>
      <c r="AG416" s="311"/>
      <c r="AH416" s="311"/>
      <c r="AI416" s="311"/>
      <c r="AJ416" s="311"/>
      <c r="AK416" s="311"/>
      <c r="AL416" s="311"/>
      <c r="AM416" s="311"/>
      <c r="AN416" s="311"/>
      <c r="AO416" s="74"/>
      <c r="AP416" s="311"/>
    </row>
    <row r="417" spans="2:42" x14ac:dyDescent="0.25">
      <c r="C417" s="20" t="s">
        <v>600</v>
      </c>
      <c r="D417" s="34" t="s">
        <v>162</v>
      </c>
      <c r="E417" s="397">
        <v>5</v>
      </c>
      <c r="F417" s="397">
        <f>E417*(1-F$415)+1</f>
        <v>5</v>
      </c>
      <c r="G417" s="397">
        <f t="shared" ref="G417:AN422" si="154">F417*(1-G$415)+1</f>
        <v>5</v>
      </c>
      <c r="H417" s="397">
        <f t="shared" si="154"/>
        <v>5</v>
      </c>
      <c r="I417" s="397">
        <f t="shared" si="154"/>
        <v>5</v>
      </c>
      <c r="J417" s="397">
        <f t="shared" si="154"/>
        <v>5</v>
      </c>
      <c r="K417" s="397">
        <f t="shared" si="154"/>
        <v>5</v>
      </c>
      <c r="L417" s="397">
        <f t="shared" si="154"/>
        <v>5</v>
      </c>
      <c r="M417" s="397">
        <f t="shared" si="154"/>
        <v>5</v>
      </c>
      <c r="N417" s="397">
        <f t="shared" si="154"/>
        <v>5</v>
      </c>
      <c r="O417" s="397">
        <f t="shared" si="154"/>
        <v>5</v>
      </c>
      <c r="P417" s="397">
        <f t="shared" si="154"/>
        <v>5</v>
      </c>
      <c r="Q417" s="397">
        <f t="shared" si="154"/>
        <v>5</v>
      </c>
      <c r="R417" s="397">
        <f t="shared" si="154"/>
        <v>5</v>
      </c>
      <c r="S417" s="397">
        <f t="shared" si="154"/>
        <v>5</v>
      </c>
      <c r="T417" s="397">
        <f t="shared" si="154"/>
        <v>5</v>
      </c>
      <c r="U417" s="397">
        <f t="shared" si="154"/>
        <v>5</v>
      </c>
      <c r="V417" s="397">
        <f t="shared" si="154"/>
        <v>5</v>
      </c>
      <c r="W417" s="397">
        <f t="shared" si="154"/>
        <v>5</v>
      </c>
      <c r="X417" s="397">
        <f t="shared" si="154"/>
        <v>5</v>
      </c>
      <c r="Y417" s="397">
        <f t="shared" si="154"/>
        <v>5</v>
      </c>
      <c r="Z417" s="397">
        <f t="shared" si="154"/>
        <v>5</v>
      </c>
      <c r="AA417" s="397">
        <f t="shared" si="154"/>
        <v>5</v>
      </c>
      <c r="AB417" s="397">
        <f t="shared" si="154"/>
        <v>5</v>
      </c>
      <c r="AC417" s="397">
        <f t="shared" si="154"/>
        <v>5</v>
      </c>
      <c r="AD417" s="397">
        <f t="shared" si="154"/>
        <v>5</v>
      </c>
      <c r="AE417" s="397">
        <f t="shared" si="154"/>
        <v>5</v>
      </c>
      <c r="AF417" s="397">
        <f t="shared" si="154"/>
        <v>5</v>
      </c>
      <c r="AG417" s="397">
        <f t="shared" si="154"/>
        <v>5</v>
      </c>
      <c r="AH417" s="397">
        <f t="shared" si="154"/>
        <v>5</v>
      </c>
      <c r="AI417" s="397">
        <f t="shared" si="154"/>
        <v>5</v>
      </c>
      <c r="AJ417" s="397">
        <f t="shared" si="154"/>
        <v>5</v>
      </c>
      <c r="AK417" s="397">
        <f t="shared" si="154"/>
        <v>5</v>
      </c>
      <c r="AL417" s="397">
        <f t="shared" si="154"/>
        <v>5</v>
      </c>
      <c r="AM417" s="397">
        <f t="shared" si="154"/>
        <v>5</v>
      </c>
      <c r="AN417" s="397">
        <f t="shared" si="154"/>
        <v>5</v>
      </c>
      <c r="AP417" s="20"/>
    </row>
    <row r="418" spans="2:42" x14ac:dyDescent="0.25">
      <c r="C418" s="20" t="s">
        <v>392</v>
      </c>
      <c r="D418" s="34" t="s">
        <v>162</v>
      </c>
      <c r="E418" s="398">
        <v>4</v>
      </c>
      <c r="F418" s="398">
        <f t="shared" ref="F418:U422" si="155">E418*(1-F$415)+1</f>
        <v>4.2</v>
      </c>
      <c r="G418" s="398">
        <f t="shared" si="155"/>
        <v>4.3600000000000003</v>
      </c>
      <c r="H418" s="398">
        <f t="shared" si="155"/>
        <v>4.4880000000000004</v>
      </c>
      <c r="I418" s="398">
        <f t="shared" si="155"/>
        <v>4.5904000000000007</v>
      </c>
      <c r="J418" s="398">
        <f t="shared" si="155"/>
        <v>4.6723200000000009</v>
      </c>
      <c r="K418" s="398">
        <f t="shared" si="155"/>
        <v>4.7378560000000007</v>
      </c>
      <c r="L418" s="398">
        <f t="shared" si="155"/>
        <v>4.7902848000000002</v>
      </c>
      <c r="M418" s="398">
        <f t="shared" si="155"/>
        <v>4.8322278399999998</v>
      </c>
      <c r="N418" s="398">
        <f t="shared" si="155"/>
        <v>4.8657822720000006</v>
      </c>
      <c r="O418" s="398">
        <f t="shared" si="155"/>
        <v>4.8926258176000008</v>
      </c>
      <c r="P418" s="398">
        <f t="shared" si="155"/>
        <v>4.9141006540800003</v>
      </c>
      <c r="Q418" s="398">
        <f t="shared" si="155"/>
        <v>4.9312805232640002</v>
      </c>
      <c r="R418" s="398">
        <f t="shared" si="155"/>
        <v>4.9450244186112009</v>
      </c>
      <c r="S418" s="398">
        <f t="shared" si="155"/>
        <v>4.9560195348889611</v>
      </c>
      <c r="T418" s="398">
        <f t="shared" si="155"/>
        <v>4.964815627911169</v>
      </c>
      <c r="U418" s="398">
        <f t="shared" si="155"/>
        <v>4.9718525023289359</v>
      </c>
      <c r="V418" s="398">
        <f t="shared" si="154"/>
        <v>4.9774820018631489</v>
      </c>
      <c r="W418" s="398">
        <f t="shared" si="154"/>
        <v>4.9819856014905195</v>
      </c>
      <c r="X418" s="398">
        <f t="shared" si="154"/>
        <v>4.9855884811924156</v>
      </c>
      <c r="Y418" s="398">
        <f t="shared" si="154"/>
        <v>4.9884707849539325</v>
      </c>
      <c r="Z418" s="398">
        <f t="shared" si="154"/>
        <v>4.9907766279631467</v>
      </c>
      <c r="AA418" s="398">
        <f t="shared" si="154"/>
        <v>4.9926213023705177</v>
      </c>
      <c r="AB418" s="398">
        <f t="shared" si="154"/>
        <v>4.9940970418964143</v>
      </c>
      <c r="AC418" s="398">
        <f t="shared" si="154"/>
        <v>4.9952776335171318</v>
      </c>
      <c r="AD418" s="398">
        <f t="shared" si="154"/>
        <v>4.9962221068137058</v>
      </c>
      <c r="AE418" s="398">
        <f t="shared" si="154"/>
        <v>4.9969776854509647</v>
      </c>
      <c r="AF418" s="398">
        <f t="shared" si="154"/>
        <v>4.9975821483607721</v>
      </c>
      <c r="AG418" s="398">
        <f t="shared" si="154"/>
        <v>4.9980657186886184</v>
      </c>
      <c r="AH418" s="398">
        <f t="shared" si="154"/>
        <v>4.9984525749508943</v>
      </c>
      <c r="AI418" s="398">
        <f t="shared" si="154"/>
        <v>4.9987620599607157</v>
      </c>
      <c r="AJ418" s="398">
        <f t="shared" si="154"/>
        <v>4.9990096479685722</v>
      </c>
      <c r="AK418" s="398">
        <f t="shared" si="154"/>
        <v>4.9992077183748584</v>
      </c>
      <c r="AL418" s="398">
        <f t="shared" si="154"/>
        <v>4.9993661746998868</v>
      </c>
      <c r="AM418" s="398">
        <f t="shared" si="154"/>
        <v>4.999492939759909</v>
      </c>
      <c r="AN418" s="398">
        <f t="shared" si="154"/>
        <v>4.9995943518079269</v>
      </c>
      <c r="AP418" s="21"/>
    </row>
    <row r="419" spans="2:42" x14ac:dyDescent="0.25">
      <c r="C419" s="20" t="s">
        <v>454</v>
      </c>
      <c r="D419" s="34" t="s">
        <v>162</v>
      </c>
      <c r="E419" s="398">
        <v>3</v>
      </c>
      <c r="F419" s="398">
        <f t="shared" si="155"/>
        <v>3.4000000000000004</v>
      </c>
      <c r="G419" s="398">
        <f t="shared" si="154"/>
        <v>3.7200000000000006</v>
      </c>
      <c r="H419" s="398">
        <f t="shared" si="154"/>
        <v>3.9760000000000009</v>
      </c>
      <c r="I419" s="398">
        <f t="shared" si="154"/>
        <v>4.1808000000000014</v>
      </c>
      <c r="J419" s="398">
        <f t="shared" si="154"/>
        <v>4.3446400000000018</v>
      </c>
      <c r="K419" s="398">
        <f t="shared" si="154"/>
        <v>4.4757120000000015</v>
      </c>
      <c r="L419" s="398">
        <f t="shared" si="154"/>
        <v>4.5805696000000014</v>
      </c>
      <c r="M419" s="398">
        <f t="shared" si="154"/>
        <v>4.6644556800000014</v>
      </c>
      <c r="N419" s="398">
        <f t="shared" si="154"/>
        <v>4.7315645440000011</v>
      </c>
      <c r="O419" s="398">
        <f t="shared" si="154"/>
        <v>4.7852516352000016</v>
      </c>
      <c r="P419" s="398">
        <f t="shared" si="154"/>
        <v>4.8282013081600015</v>
      </c>
      <c r="Q419" s="398">
        <f t="shared" si="154"/>
        <v>4.8625610465280014</v>
      </c>
      <c r="R419" s="398">
        <f t="shared" si="154"/>
        <v>4.8900488372224018</v>
      </c>
      <c r="S419" s="398">
        <f t="shared" si="154"/>
        <v>4.9120390697779222</v>
      </c>
      <c r="T419" s="398">
        <f t="shared" si="154"/>
        <v>4.9296312558223381</v>
      </c>
      <c r="U419" s="398">
        <f t="shared" si="154"/>
        <v>4.9437050046578701</v>
      </c>
      <c r="V419" s="398">
        <f t="shared" si="154"/>
        <v>4.9549640037262961</v>
      </c>
      <c r="W419" s="398">
        <f t="shared" si="154"/>
        <v>4.9639712029810372</v>
      </c>
      <c r="X419" s="398">
        <f t="shared" si="154"/>
        <v>4.9711769623848294</v>
      </c>
      <c r="Y419" s="398">
        <f t="shared" si="154"/>
        <v>4.9769415699078632</v>
      </c>
      <c r="Z419" s="398">
        <f t="shared" si="154"/>
        <v>4.9815532559262907</v>
      </c>
      <c r="AA419" s="398">
        <f t="shared" si="154"/>
        <v>4.9852426047410328</v>
      </c>
      <c r="AB419" s="398">
        <f t="shared" si="154"/>
        <v>4.9881940837928269</v>
      </c>
      <c r="AC419" s="398">
        <f t="shared" si="154"/>
        <v>4.9905552670342619</v>
      </c>
      <c r="AD419" s="398">
        <f t="shared" si="154"/>
        <v>4.9924442136274099</v>
      </c>
      <c r="AE419" s="398">
        <f t="shared" si="154"/>
        <v>4.9939553709019275</v>
      </c>
      <c r="AF419" s="398">
        <f t="shared" si="154"/>
        <v>4.9951642967215424</v>
      </c>
      <c r="AG419" s="398">
        <f t="shared" si="154"/>
        <v>4.9961314373772341</v>
      </c>
      <c r="AH419" s="398">
        <f t="shared" si="154"/>
        <v>4.9969051499017869</v>
      </c>
      <c r="AI419" s="398">
        <f t="shared" si="154"/>
        <v>4.9975241199214295</v>
      </c>
      <c r="AJ419" s="398">
        <f t="shared" si="154"/>
        <v>4.9980192959371443</v>
      </c>
      <c r="AK419" s="398">
        <f t="shared" si="154"/>
        <v>4.9984154367497151</v>
      </c>
      <c r="AL419" s="398">
        <f t="shared" si="154"/>
        <v>4.9987323493997717</v>
      </c>
      <c r="AM419" s="398">
        <f t="shared" si="154"/>
        <v>4.9989858795198181</v>
      </c>
      <c r="AN419" s="398">
        <f t="shared" si="154"/>
        <v>4.9991887036158547</v>
      </c>
      <c r="AP419" s="21"/>
    </row>
    <row r="420" spans="2:42" x14ac:dyDescent="0.25">
      <c r="C420" s="21" t="s">
        <v>455</v>
      </c>
      <c r="D420" s="34" t="s">
        <v>162</v>
      </c>
      <c r="E420" s="398">
        <v>2</v>
      </c>
      <c r="F420" s="398">
        <f t="shared" si="155"/>
        <v>2.6</v>
      </c>
      <c r="G420" s="398">
        <f t="shared" si="154"/>
        <v>3.08</v>
      </c>
      <c r="H420" s="398">
        <f t="shared" si="154"/>
        <v>3.4640000000000004</v>
      </c>
      <c r="I420" s="398">
        <f t="shared" si="154"/>
        <v>3.7712000000000003</v>
      </c>
      <c r="J420" s="398">
        <f t="shared" si="154"/>
        <v>4.016960000000001</v>
      </c>
      <c r="K420" s="398">
        <f t="shared" si="154"/>
        <v>4.2135680000000004</v>
      </c>
      <c r="L420" s="398">
        <f t="shared" si="154"/>
        <v>4.3708544000000007</v>
      </c>
      <c r="M420" s="398">
        <f t="shared" si="154"/>
        <v>4.4966835200000013</v>
      </c>
      <c r="N420" s="398">
        <f t="shared" si="154"/>
        <v>4.5973468160000017</v>
      </c>
      <c r="O420" s="398">
        <f t="shared" si="154"/>
        <v>4.6778774528000016</v>
      </c>
      <c r="P420" s="398">
        <f t="shared" si="154"/>
        <v>4.7423019622400009</v>
      </c>
      <c r="Q420" s="398">
        <f t="shared" si="154"/>
        <v>4.7938415697920007</v>
      </c>
      <c r="R420" s="398">
        <f t="shared" si="154"/>
        <v>4.8350732558336009</v>
      </c>
      <c r="S420" s="398">
        <f t="shared" si="154"/>
        <v>4.8680586046668815</v>
      </c>
      <c r="T420" s="398">
        <f t="shared" si="154"/>
        <v>4.8944468837335053</v>
      </c>
      <c r="U420" s="398">
        <f t="shared" si="154"/>
        <v>4.9155575069868043</v>
      </c>
      <c r="V420" s="398">
        <f t="shared" si="154"/>
        <v>4.9324460055894441</v>
      </c>
      <c r="W420" s="398">
        <f t="shared" si="154"/>
        <v>4.9459568044715549</v>
      </c>
      <c r="X420" s="398">
        <f t="shared" si="154"/>
        <v>4.9567654435772441</v>
      </c>
      <c r="Y420" s="398">
        <f t="shared" si="154"/>
        <v>4.9654123548617957</v>
      </c>
      <c r="Z420" s="398">
        <f t="shared" si="154"/>
        <v>4.9723298838894365</v>
      </c>
      <c r="AA420" s="398">
        <f t="shared" si="154"/>
        <v>4.9778639071115496</v>
      </c>
      <c r="AB420" s="398">
        <f t="shared" si="154"/>
        <v>4.9822911256892404</v>
      </c>
      <c r="AC420" s="398">
        <f t="shared" si="154"/>
        <v>4.9858329005513919</v>
      </c>
      <c r="AD420" s="398">
        <f t="shared" si="154"/>
        <v>4.9886663204411139</v>
      </c>
      <c r="AE420" s="398">
        <f t="shared" si="154"/>
        <v>4.9909330563528913</v>
      </c>
      <c r="AF420" s="398">
        <f t="shared" si="154"/>
        <v>4.9927464450823127</v>
      </c>
      <c r="AG420" s="398">
        <f t="shared" si="154"/>
        <v>4.9941971560658498</v>
      </c>
      <c r="AH420" s="398">
        <f t="shared" si="154"/>
        <v>4.9953577248526795</v>
      </c>
      <c r="AI420" s="398">
        <f t="shared" si="154"/>
        <v>4.9962861798821443</v>
      </c>
      <c r="AJ420" s="398">
        <f t="shared" si="154"/>
        <v>4.9970289439057156</v>
      </c>
      <c r="AK420" s="398">
        <f t="shared" si="154"/>
        <v>4.9976231551245727</v>
      </c>
      <c r="AL420" s="398">
        <f t="shared" si="154"/>
        <v>4.9980985240996585</v>
      </c>
      <c r="AM420" s="398">
        <f t="shared" si="154"/>
        <v>4.9984788192797271</v>
      </c>
      <c r="AN420" s="398">
        <f t="shared" si="154"/>
        <v>4.9987830554237824</v>
      </c>
      <c r="AP420" s="21"/>
    </row>
    <row r="421" spans="2:42" x14ac:dyDescent="0.25">
      <c r="C421" s="21" t="s">
        <v>393</v>
      </c>
      <c r="D421" s="34" t="s">
        <v>162</v>
      </c>
      <c r="E421" s="398">
        <v>1</v>
      </c>
      <c r="F421" s="398">
        <f t="shared" si="155"/>
        <v>1.8</v>
      </c>
      <c r="G421" s="398">
        <f t="shared" si="154"/>
        <v>2.4400000000000004</v>
      </c>
      <c r="H421" s="398">
        <f t="shared" si="154"/>
        <v>2.9520000000000004</v>
      </c>
      <c r="I421" s="398">
        <f t="shared" si="154"/>
        <v>3.3616000000000006</v>
      </c>
      <c r="J421" s="398">
        <f t="shared" si="154"/>
        <v>3.6892800000000006</v>
      </c>
      <c r="K421" s="398">
        <f t="shared" si="154"/>
        <v>3.9514240000000007</v>
      </c>
      <c r="L421" s="398">
        <f t="shared" si="154"/>
        <v>4.1611392000000009</v>
      </c>
      <c r="M421" s="398">
        <f t="shared" si="154"/>
        <v>4.3289113600000011</v>
      </c>
      <c r="N421" s="398">
        <f t="shared" si="154"/>
        <v>4.4631290880000005</v>
      </c>
      <c r="O421" s="398">
        <f t="shared" si="154"/>
        <v>4.5705032704000006</v>
      </c>
      <c r="P421" s="398">
        <f t="shared" si="154"/>
        <v>4.6564026163200012</v>
      </c>
      <c r="Q421" s="398">
        <f t="shared" si="154"/>
        <v>4.7251220930560009</v>
      </c>
      <c r="R421" s="398">
        <f t="shared" si="154"/>
        <v>4.7800976744448009</v>
      </c>
      <c r="S421" s="398">
        <f t="shared" si="154"/>
        <v>4.8240781395558407</v>
      </c>
      <c r="T421" s="398">
        <f t="shared" si="154"/>
        <v>4.8592625116446726</v>
      </c>
      <c r="U421" s="398">
        <f t="shared" si="154"/>
        <v>4.8874100093157384</v>
      </c>
      <c r="V421" s="398">
        <f t="shared" si="154"/>
        <v>4.9099280074525904</v>
      </c>
      <c r="W421" s="398">
        <f t="shared" si="154"/>
        <v>4.9279424059620727</v>
      </c>
      <c r="X421" s="398">
        <f t="shared" si="154"/>
        <v>4.9423539247696588</v>
      </c>
      <c r="Y421" s="398">
        <f t="shared" si="154"/>
        <v>4.9538831398157273</v>
      </c>
      <c r="Z421" s="398">
        <f t="shared" si="154"/>
        <v>4.9631065118525814</v>
      </c>
      <c r="AA421" s="398">
        <f t="shared" si="154"/>
        <v>4.9704852094820655</v>
      </c>
      <c r="AB421" s="398">
        <f t="shared" si="154"/>
        <v>4.9763881675856521</v>
      </c>
      <c r="AC421" s="398">
        <f t="shared" si="154"/>
        <v>4.981110534068522</v>
      </c>
      <c r="AD421" s="398">
        <f t="shared" si="154"/>
        <v>4.984888427254818</v>
      </c>
      <c r="AE421" s="398">
        <f t="shared" si="154"/>
        <v>4.9879107418038551</v>
      </c>
      <c r="AF421" s="398">
        <f t="shared" si="154"/>
        <v>4.9903285934430848</v>
      </c>
      <c r="AG421" s="398">
        <f t="shared" si="154"/>
        <v>4.9922628747544682</v>
      </c>
      <c r="AH421" s="398">
        <f t="shared" si="154"/>
        <v>4.9938102998035747</v>
      </c>
      <c r="AI421" s="398">
        <f t="shared" si="154"/>
        <v>4.9950482398428599</v>
      </c>
      <c r="AJ421" s="398">
        <f t="shared" si="154"/>
        <v>4.9960385918742887</v>
      </c>
      <c r="AK421" s="398">
        <f t="shared" si="154"/>
        <v>4.9968308734994311</v>
      </c>
      <c r="AL421" s="398">
        <f t="shared" si="154"/>
        <v>4.9974646987995452</v>
      </c>
      <c r="AM421" s="398">
        <f t="shared" si="154"/>
        <v>4.9979717590396362</v>
      </c>
      <c r="AN421" s="398">
        <f t="shared" si="154"/>
        <v>4.9983774072317093</v>
      </c>
      <c r="AP421" s="21"/>
    </row>
    <row r="422" spans="2:42" x14ac:dyDescent="0.25">
      <c r="C422" s="22" t="s">
        <v>456</v>
      </c>
      <c r="D422" s="34" t="s">
        <v>162</v>
      </c>
      <c r="E422" s="399">
        <v>0</v>
      </c>
      <c r="F422" s="399">
        <f t="shared" si="155"/>
        <v>1</v>
      </c>
      <c r="G422" s="399">
        <f t="shared" si="154"/>
        <v>1.8</v>
      </c>
      <c r="H422" s="399">
        <f t="shared" si="154"/>
        <v>2.4400000000000004</v>
      </c>
      <c r="I422" s="399">
        <f t="shared" si="154"/>
        <v>2.9520000000000004</v>
      </c>
      <c r="J422" s="399">
        <f t="shared" si="154"/>
        <v>3.3616000000000006</v>
      </c>
      <c r="K422" s="399">
        <f t="shared" si="154"/>
        <v>3.6892800000000006</v>
      </c>
      <c r="L422" s="399">
        <f t="shared" si="154"/>
        <v>3.9514240000000007</v>
      </c>
      <c r="M422" s="399">
        <f t="shared" si="154"/>
        <v>4.1611392000000009</v>
      </c>
      <c r="N422" s="399">
        <f t="shared" si="154"/>
        <v>4.3289113600000011</v>
      </c>
      <c r="O422" s="399">
        <f t="shared" si="154"/>
        <v>4.4631290880000005</v>
      </c>
      <c r="P422" s="399">
        <f t="shared" si="154"/>
        <v>4.5705032704000006</v>
      </c>
      <c r="Q422" s="399">
        <f t="shared" si="154"/>
        <v>4.6564026163200012</v>
      </c>
      <c r="R422" s="399">
        <f t="shared" si="154"/>
        <v>4.7251220930560009</v>
      </c>
      <c r="S422" s="399">
        <f t="shared" si="154"/>
        <v>4.7800976744448009</v>
      </c>
      <c r="T422" s="399">
        <f t="shared" si="154"/>
        <v>4.8240781395558407</v>
      </c>
      <c r="U422" s="399">
        <f t="shared" si="154"/>
        <v>4.8592625116446726</v>
      </c>
      <c r="V422" s="399">
        <f t="shared" si="154"/>
        <v>4.8874100093157384</v>
      </c>
      <c r="W422" s="399">
        <f t="shared" si="154"/>
        <v>4.9099280074525904</v>
      </c>
      <c r="X422" s="399">
        <f t="shared" si="154"/>
        <v>4.9279424059620727</v>
      </c>
      <c r="Y422" s="399">
        <f t="shared" si="154"/>
        <v>4.9423539247696588</v>
      </c>
      <c r="Z422" s="399">
        <f t="shared" si="154"/>
        <v>4.9538831398157273</v>
      </c>
      <c r="AA422" s="399">
        <f t="shared" si="154"/>
        <v>4.9631065118525814</v>
      </c>
      <c r="AB422" s="399">
        <f t="shared" si="154"/>
        <v>4.9704852094820655</v>
      </c>
      <c r="AC422" s="399">
        <f t="shared" si="154"/>
        <v>4.9763881675856521</v>
      </c>
      <c r="AD422" s="399">
        <f t="shared" si="154"/>
        <v>4.981110534068522</v>
      </c>
      <c r="AE422" s="399">
        <f t="shared" si="154"/>
        <v>4.984888427254818</v>
      </c>
      <c r="AF422" s="399">
        <f t="shared" si="154"/>
        <v>4.9879107418038551</v>
      </c>
      <c r="AG422" s="399">
        <f t="shared" si="154"/>
        <v>4.9903285934430848</v>
      </c>
      <c r="AH422" s="399">
        <f t="shared" si="154"/>
        <v>4.9922628747544682</v>
      </c>
      <c r="AI422" s="399">
        <f t="shared" si="154"/>
        <v>4.9938102998035747</v>
      </c>
      <c r="AJ422" s="399">
        <f t="shared" si="154"/>
        <v>4.9950482398428599</v>
      </c>
      <c r="AK422" s="399">
        <f t="shared" si="154"/>
        <v>4.9960385918742887</v>
      </c>
      <c r="AL422" s="399">
        <f t="shared" si="154"/>
        <v>4.9968308734994311</v>
      </c>
      <c r="AM422" s="399">
        <f t="shared" si="154"/>
        <v>4.9974646987995452</v>
      </c>
      <c r="AN422" s="399">
        <f t="shared" si="154"/>
        <v>4.9979717590396362</v>
      </c>
      <c r="AP422" s="26"/>
    </row>
    <row r="423" spans="2:42" x14ac:dyDescent="0.25">
      <c r="B423" s="99" t="s">
        <v>9</v>
      </c>
      <c r="C423" s="311" t="s">
        <v>627</v>
      </c>
      <c r="D423" s="318"/>
      <c r="E423" s="402"/>
      <c r="F423" s="402"/>
      <c r="G423" s="402"/>
      <c r="H423" s="402"/>
      <c r="I423" s="402"/>
      <c r="J423" s="402"/>
      <c r="K423" s="402"/>
      <c r="L423" s="402"/>
      <c r="M423" s="402"/>
      <c r="N423" s="402"/>
      <c r="O423" s="402"/>
      <c r="P423" s="402"/>
      <c r="Q423" s="402"/>
      <c r="R423" s="402"/>
      <c r="S423" s="402"/>
      <c r="T423" s="402"/>
      <c r="U423" s="402"/>
      <c r="V423" s="402"/>
      <c r="W423" s="402"/>
      <c r="X423" s="402"/>
      <c r="Y423" s="402"/>
      <c r="Z423" s="402"/>
      <c r="AA423" s="402"/>
      <c r="AB423" s="402"/>
      <c r="AC423" s="402"/>
      <c r="AD423" s="402"/>
      <c r="AE423" s="402"/>
      <c r="AF423" s="402"/>
      <c r="AG423" s="402"/>
      <c r="AH423" s="402"/>
      <c r="AI423" s="402"/>
      <c r="AJ423" s="402"/>
      <c r="AK423" s="402"/>
      <c r="AL423" s="402"/>
      <c r="AM423" s="402"/>
      <c r="AN423" s="402"/>
      <c r="AO423" s="74"/>
      <c r="AP423" s="311"/>
    </row>
    <row r="424" spans="2:42" x14ac:dyDescent="0.25">
      <c r="C424" s="20" t="s">
        <v>600</v>
      </c>
      <c r="D424" s="34" t="s">
        <v>162</v>
      </c>
      <c r="E424" s="397">
        <v>5</v>
      </c>
      <c r="F424" s="397">
        <f>E424*(1-F$415)+1</f>
        <v>5</v>
      </c>
      <c r="G424" s="397">
        <f t="shared" ref="G424:AN424" si="156">F424*(1-G$415)+1</f>
        <v>5</v>
      </c>
      <c r="H424" s="397">
        <f t="shared" si="156"/>
        <v>5</v>
      </c>
      <c r="I424" s="397">
        <f t="shared" si="156"/>
        <v>5</v>
      </c>
      <c r="J424" s="397">
        <f t="shared" si="156"/>
        <v>5</v>
      </c>
      <c r="K424" s="397">
        <f t="shared" si="156"/>
        <v>5</v>
      </c>
      <c r="L424" s="397">
        <f t="shared" si="156"/>
        <v>5</v>
      </c>
      <c r="M424" s="397">
        <f t="shared" si="156"/>
        <v>5</v>
      </c>
      <c r="N424" s="397">
        <f t="shared" si="156"/>
        <v>5</v>
      </c>
      <c r="O424" s="397">
        <f t="shared" si="156"/>
        <v>5</v>
      </c>
      <c r="P424" s="397">
        <f t="shared" si="156"/>
        <v>5</v>
      </c>
      <c r="Q424" s="397">
        <f t="shared" si="156"/>
        <v>5</v>
      </c>
      <c r="R424" s="397">
        <f t="shared" si="156"/>
        <v>5</v>
      </c>
      <c r="S424" s="397">
        <f t="shared" si="156"/>
        <v>5</v>
      </c>
      <c r="T424" s="397">
        <f t="shared" si="156"/>
        <v>5</v>
      </c>
      <c r="U424" s="397">
        <f t="shared" si="156"/>
        <v>5</v>
      </c>
      <c r="V424" s="397">
        <f t="shared" si="156"/>
        <v>5</v>
      </c>
      <c r="W424" s="397">
        <f t="shared" si="156"/>
        <v>5</v>
      </c>
      <c r="X424" s="397">
        <f t="shared" si="156"/>
        <v>5</v>
      </c>
      <c r="Y424" s="397">
        <f t="shared" si="156"/>
        <v>5</v>
      </c>
      <c r="Z424" s="397">
        <f t="shared" si="156"/>
        <v>5</v>
      </c>
      <c r="AA424" s="397">
        <f t="shared" si="156"/>
        <v>5</v>
      </c>
      <c r="AB424" s="397">
        <f t="shared" si="156"/>
        <v>5</v>
      </c>
      <c r="AC424" s="397">
        <f t="shared" si="156"/>
        <v>5</v>
      </c>
      <c r="AD424" s="397">
        <f t="shared" si="156"/>
        <v>5</v>
      </c>
      <c r="AE424" s="397">
        <f t="shared" si="156"/>
        <v>5</v>
      </c>
      <c r="AF424" s="397">
        <f t="shared" si="156"/>
        <v>5</v>
      </c>
      <c r="AG424" s="397">
        <f t="shared" si="156"/>
        <v>5</v>
      </c>
      <c r="AH424" s="397">
        <f t="shared" si="156"/>
        <v>5</v>
      </c>
      <c r="AI424" s="397">
        <f t="shared" si="156"/>
        <v>5</v>
      </c>
      <c r="AJ424" s="397">
        <f t="shared" si="156"/>
        <v>5</v>
      </c>
      <c r="AK424" s="397">
        <f t="shared" si="156"/>
        <v>5</v>
      </c>
      <c r="AL424" s="397">
        <f t="shared" si="156"/>
        <v>5</v>
      </c>
      <c r="AM424" s="397">
        <f t="shared" si="156"/>
        <v>5</v>
      </c>
      <c r="AN424" s="397">
        <f t="shared" si="156"/>
        <v>5</v>
      </c>
      <c r="AP424" s="20"/>
    </row>
    <row r="425" spans="2:42" x14ac:dyDescent="0.25">
      <c r="C425" s="20" t="s">
        <v>392</v>
      </c>
      <c r="D425" s="34" t="s">
        <v>162</v>
      </c>
      <c r="E425" s="398">
        <v>4</v>
      </c>
      <c r="F425" s="398">
        <f t="shared" ref="F425:AN425" si="157">E425*(1-F$415)+1</f>
        <v>4.2</v>
      </c>
      <c r="G425" s="398">
        <f t="shared" si="157"/>
        <v>4.3600000000000003</v>
      </c>
      <c r="H425" s="398">
        <f t="shared" si="157"/>
        <v>4.4880000000000004</v>
      </c>
      <c r="I425" s="398">
        <f t="shared" si="157"/>
        <v>4.5904000000000007</v>
      </c>
      <c r="J425" s="398">
        <f t="shared" si="157"/>
        <v>4.6723200000000009</v>
      </c>
      <c r="K425" s="398">
        <f t="shared" si="157"/>
        <v>4.7378560000000007</v>
      </c>
      <c r="L425" s="398">
        <f t="shared" si="157"/>
        <v>4.7902848000000002</v>
      </c>
      <c r="M425" s="398">
        <f t="shared" si="157"/>
        <v>4.8322278399999998</v>
      </c>
      <c r="N425" s="398">
        <f t="shared" si="157"/>
        <v>4.8657822720000006</v>
      </c>
      <c r="O425" s="398">
        <f t="shared" si="157"/>
        <v>4.8926258176000008</v>
      </c>
      <c r="P425" s="398">
        <f t="shared" si="157"/>
        <v>4.9141006540800003</v>
      </c>
      <c r="Q425" s="398">
        <f t="shared" si="157"/>
        <v>4.9312805232640002</v>
      </c>
      <c r="R425" s="398">
        <f t="shared" si="157"/>
        <v>4.9450244186112009</v>
      </c>
      <c r="S425" s="398">
        <f t="shared" si="157"/>
        <v>4.9560195348889611</v>
      </c>
      <c r="T425" s="398">
        <f t="shared" si="157"/>
        <v>4.964815627911169</v>
      </c>
      <c r="U425" s="398">
        <f t="shared" si="157"/>
        <v>4.9718525023289359</v>
      </c>
      <c r="V425" s="398">
        <f t="shared" si="157"/>
        <v>4.9774820018631489</v>
      </c>
      <c r="W425" s="398">
        <f t="shared" si="157"/>
        <v>4.9819856014905195</v>
      </c>
      <c r="X425" s="398">
        <f t="shared" si="157"/>
        <v>4.9855884811924156</v>
      </c>
      <c r="Y425" s="398">
        <f t="shared" si="157"/>
        <v>4.9884707849539325</v>
      </c>
      <c r="Z425" s="398">
        <f t="shared" si="157"/>
        <v>4.9907766279631467</v>
      </c>
      <c r="AA425" s="398">
        <f t="shared" si="157"/>
        <v>4.9926213023705177</v>
      </c>
      <c r="AB425" s="398">
        <f t="shared" si="157"/>
        <v>4.9940970418964143</v>
      </c>
      <c r="AC425" s="398">
        <f t="shared" si="157"/>
        <v>4.9952776335171318</v>
      </c>
      <c r="AD425" s="398">
        <f t="shared" si="157"/>
        <v>4.9962221068137058</v>
      </c>
      <c r="AE425" s="398">
        <f t="shared" si="157"/>
        <v>4.9969776854509647</v>
      </c>
      <c r="AF425" s="398">
        <f t="shared" si="157"/>
        <v>4.9975821483607721</v>
      </c>
      <c r="AG425" s="398">
        <f t="shared" si="157"/>
        <v>4.9980657186886184</v>
      </c>
      <c r="AH425" s="398">
        <f t="shared" si="157"/>
        <v>4.9984525749508943</v>
      </c>
      <c r="AI425" s="398">
        <f t="shared" si="157"/>
        <v>4.9987620599607157</v>
      </c>
      <c r="AJ425" s="398">
        <f t="shared" si="157"/>
        <v>4.9990096479685722</v>
      </c>
      <c r="AK425" s="398">
        <f t="shared" si="157"/>
        <v>4.9992077183748584</v>
      </c>
      <c r="AL425" s="398">
        <f t="shared" si="157"/>
        <v>4.9993661746998868</v>
      </c>
      <c r="AM425" s="398">
        <f t="shared" si="157"/>
        <v>4.999492939759909</v>
      </c>
      <c r="AN425" s="398">
        <f t="shared" si="157"/>
        <v>4.9995943518079269</v>
      </c>
      <c r="AP425" s="21"/>
    </row>
    <row r="426" spans="2:42" x14ac:dyDescent="0.25">
      <c r="C426" s="20" t="s">
        <v>454</v>
      </c>
      <c r="D426" s="34" t="s">
        <v>162</v>
      </c>
      <c r="E426" s="398">
        <v>3</v>
      </c>
      <c r="F426" s="398">
        <f t="shared" ref="F426:AN426" si="158">E426*(1-F$415)+1</f>
        <v>3.4000000000000004</v>
      </c>
      <c r="G426" s="398">
        <f t="shared" si="158"/>
        <v>3.7200000000000006</v>
      </c>
      <c r="H426" s="398">
        <f t="shared" si="158"/>
        <v>3.9760000000000009</v>
      </c>
      <c r="I426" s="398">
        <f t="shared" si="158"/>
        <v>4.1808000000000014</v>
      </c>
      <c r="J426" s="398">
        <f t="shared" si="158"/>
        <v>4.3446400000000018</v>
      </c>
      <c r="K426" s="398">
        <f t="shared" si="158"/>
        <v>4.4757120000000015</v>
      </c>
      <c r="L426" s="398">
        <f t="shared" si="158"/>
        <v>4.5805696000000014</v>
      </c>
      <c r="M426" s="398">
        <f t="shared" si="158"/>
        <v>4.6644556800000014</v>
      </c>
      <c r="N426" s="398">
        <f t="shared" si="158"/>
        <v>4.7315645440000011</v>
      </c>
      <c r="O426" s="398">
        <f t="shared" si="158"/>
        <v>4.7852516352000016</v>
      </c>
      <c r="P426" s="398">
        <f t="shared" si="158"/>
        <v>4.8282013081600015</v>
      </c>
      <c r="Q426" s="398">
        <f t="shared" si="158"/>
        <v>4.8625610465280014</v>
      </c>
      <c r="R426" s="398">
        <f t="shared" si="158"/>
        <v>4.8900488372224018</v>
      </c>
      <c r="S426" s="398">
        <f t="shared" si="158"/>
        <v>4.9120390697779222</v>
      </c>
      <c r="T426" s="398">
        <f t="shared" si="158"/>
        <v>4.9296312558223381</v>
      </c>
      <c r="U426" s="398">
        <f t="shared" si="158"/>
        <v>4.9437050046578701</v>
      </c>
      <c r="V426" s="398">
        <f t="shared" si="158"/>
        <v>4.9549640037262961</v>
      </c>
      <c r="W426" s="398">
        <f t="shared" si="158"/>
        <v>4.9639712029810372</v>
      </c>
      <c r="X426" s="398">
        <f t="shared" si="158"/>
        <v>4.9711769623848294</v>
      </c>
      <c r="Y426" s="398">
        <f t="shared" si="158"/>
        <v>4.9769415699078632</v>
      </c>
      <c r="Z426" s="398">
        <f t="shared" si="158"/>
        <v>4.9815532559262907</v>
      </c>
      <c r="AA426" s="398">
        <f t="shared" si="158"/>
        <v>4.9852426047410328</v>
      </c>
      <c r="AB426" s="398">
        <f t="shared" si="158"/>
        <v>4.9881940837928269</v>
      </c>
      <c r="AC426" s="398">
        <f t="shared" si="158"/>
        <v>4.9905552670342619</v>
      </c>
      <c r="AD426" s="398">
        <f t="shared" si="158"/>
        <v>4.9924442136274099</v>
      </c>
      <c r="AE426" s="398">
        <f t="shared" si="158"/>
        <v>4.9939553709019275</v>
      </c>
      <c r="AF426" s="398">
        <f t="shared" si="158"/>
        <v>4.9951642967215424</v>
      </c>
      <c r="AG426" s="398">
        <f t="shared" si="158"/>
        <v>4.9961314373772341</v>
      </c>
      <c r="AH426" s="398">
        <f t="shared" si="158"/>
        <v>4.9969051499017869</v>
      </c>
      <c r="AI426" s="398">
        <f t="shared" si="158"/>
        <v>4.9975241199214295</v>
      </c>
      <c r="AJ426" s="398">
        <f t="shared" si="158"/>
        <v>4.9980192959371443</v>
      </c>
      <c r="AK426" s="398">
        <f t="shared" si="158"/>
        <v>4.9984154367497151</v>
      </c>
      <c r="AL426" s="398">
        <f t="shared" si="158"/>
        <v>4.9987323493997717</v>
      </c>
      <c r="AM426" s="398">
        <f t="shared" si="158"/>
        <v>4.9989858795198181</v>
      </c>
      <c r="AN426" s="398">
        <f t="shared" si="158"/>
        <v>4.9991887036158547</v>
      </c>
      <c r="AP426" s="21"/>
    </row>
    <row r="427" spans="2:42" x14ac:dyDescent="0.25">
      <c r="C427" s="21" t="s">
        <v>455</v>
      </c>
      <c r="D427" s="34" t="s">
        <v>162</v>
      </c>
      <c r="E427" s="398">
        <v>2</v>
      </c>
      <c r="F427" s="398">
        <f t="shared" ref="F427:AN427" si="159">E427*(1-F$415)+1</f>
        <v>2.6</v>
      </c>
      <c r="G427" s="398">
        <f t="shared" si="159"/>
        <v>3.08</v>
      </c>
      <c r="H427" s="398">
        <f t="shared" si="159"/>
        <v>3.4640000000000004</v>
      </c>
      <c r="I427" s="398">
        <f t="shared" si="159"/>
        <v>3.7712000000000003</v>
      </c>
      <c r="J427" s="398">
        <f t="shared" si="159"/>
        <v>4.016960000000001</v>
      </c>
      <c r="K427" s="398">
        <f t="shared" si="159"/>
        <v>4.2135680000000004</v>
      </c>
      <c r="L427" s="398">
        <f t="shared" si="159"/>
        <v>4.3708544000000007</v>
      </c>
      <c r="M427" s="398">
        <f t="shared" si="159"/>
        <v>4.4966835200000013</v>
      </c>
      <c r="N427" s="398">
        <f t="shared" si="159"/>
        <v>4.5973468160000017</v>
      </c>
      <c r="O427" s="398">
        <f t="shared" si="159"/>
        <v>4.6778774528000016</v>
      </c>
      <c r="P427" s="398">
        <f t="shared" si="159"/>
        <v>4.7423019622400009</v>
      </c>
      <c r="Q427" s="398">
        <f t="shared" si="159"/>
        <v>4.7938415697920007</v>
      </c>
      <c r="R427" s="398">
        <f t="shared" si="159"/>
        <v>4.8350732558336009</v>
      </c>
      <c r="S427" s="398">
        <f t="shared" si="159"/>
        <v>4.8680586046668815</v>
      </c>
      <c r="T427" s="398">
        <f t="shared" si="159"/>
        <v>4.8944468837335053</v>
      </c>
      <c r="U427" s="398">
        <f t="shared" si="159"/>
        <v>4.9155575069868043</v>
      </c>
      <c r="V427" s="398">
        <f t="shared" si="159"/>
        <v>4.9324460055894441</v>
      </c>
      <c r="W427" s="398">
        <f t="shared" si="159"/>
        <v>4.9459568044715549</v>
      </c>
      <c r="X427" s="398">
        <f t="shared" si="159"/>
        <v>4.9567654435772441</v>
      </c>
      <c r="Y427" s="398">
        <f t="shared" si="159"/>
        <v>4.9654123548617957</v>
      </c>
      <c r="Z427" s="398">
        <f t="shared" si="159"/>
        <v>4.9723298838894365</v>
      </c>
      <c r="AA427" s="398">
        <f t="shared" si="159"/>
        <v>4.9778639071115496</v>
      </c>
      <c r="AB427" s="398">
        <f t="shared" si="159"/>
        <v>4.9822911256892404</v>
      </c>
      <c r="AC427" s="398">
        <f t="shared" si="159"/>
        <v>4.9858329005513919</v>
      </c>
      <c r="AD427" s="398">
        <f t="shared" si="159"/>
        <v>4.9886663204411139</v>
      </c>
      <c r="AE427" s="398">
        <f t="shared" si="159"/>
        <v>4.9909330563528913</v>
      </c>
      <c r="AF427" s="398">
        <f t="shared" si="159"/>
        <v>4.9927464450823127</v>
      </c>
      <c r="AG427" s="398">
        <f t="shared" si="159"/>
        <v>4.9941971560658498</v>
      </c>
      <c r="AH427" s="398">
        <f t="shared" si="159"/>
        <v>4.9953577248526795</v>
      </c>
      <c r="AI427" s="398">
        <f t="shared" si="159"/>
        <v>4.9962861798821443</v>
      </c>
      <c r="AJ427" s="398">
        <f t="shared" si="159"/>
        <v>4.9970289439057156</v>
      </c>
      <c r="AK427" s="398">
        <f t="shared" si="159"/>
        <v>4.9976231551245727</v>
      </c>
      <c r="AL427" s="398">
        <f t="shared" si="159"/>
        <v>4.9980985240996585</v>
      </c>
      <c r="AM427" s="398">
        <f t="shared" si="159"/>
        <v>4.9984788192797271</v>
      </c>
      <c r="AN427" s="398">
        <f t="shared" si="159"/>
        <v>4.9987830554237824</v>
      </c>
      <c r="AP427" s="21"/>
    </row>
    <row r="428" spans="2:42" x14ac:dyDescent="0.25">
      <c r="C428" s="21" t="s">
        <v>393</v>
      </c>
      <c r="D428" s="34" t="s">
        <v>162</v>
      </c>
      <c r="E428" s="398">
        <v>1</v>
      </c>
      <c r="F428" s="398">
        <f t="shared" ref="F428:AN428" si="160">E428*(1-F$415)+1</f>
        <v>1.8</v>
      </c>
      <c r="G428" s="398">
        <f t="shared" si="160"/>
        <v>2.4400000000000004</v>
      </c>
      <c r="H428" s="398">
        <f t="shared" si="160"/>
        <v>2.9520000000000004</v>
      </c>
      <c r="I428" s="398">
        <f t="shared" si="160"/>
        <v>3.3616000000000006</v>
      </c>
      <c r="J428" s="398">
        <f t="shared" si="160"/>
        <v>3.6892800000000006</v>
      </c>
      <c r="K428" s="398">
        <f t="shared" si="160"/>
        <v>3.9514240000000007</v>
      </c>
      <c r="L428" s="398">
        <f t="shared" si="160"/>
        <v>4.1611392000000009</v>
      </c>
      <c r="M428" s="398">
        <f t="shared" si="160"/>
        <v>4.3289113600000011</v>
      </c>
      <c r="N428" s="398">
        <f t="shared" si="160"/>
        <v>4.4631290880000005</v>
      </c>
      <c r="O428" s="398">
        <f t="shared" si="160"/>
        <v>4.5705032704000006</v>
      </c>
      <c r="P428" s="398">
        <f t="shared" si="160"/>
        <v>4.6564026163200012</v>
      </c>
      <c r="Q428" s="398">
        <f t="shared" si="160"/>
        <v>4.7251220930560009</v>
      </c>
      <c r="R428" s="398">
        <f t="shared" si="160"/>
        <v>4.7800976744448009</v>
      </c>
      <c r="S428" s="398">
        <f t="shared" si="160"/>
        <v>4.8240781395558407</v>
      </c>
      <c r="T428" s="398">
        <f t="shared" si="160"/>
        <v>4.8592625116446726</v>
      </c>
      <c r="U428" s="398">
        <f t="shared" si="160"/>
        <v>4.8874100093157384</v>
      </c>
      <c r="V428" s="398">
        <f t="shared" si="160"/>
        <v>4.9099280074525904</v>
      </c>
      <c r="W428" s="398">
        <f t="shared" si="160"/>
        <v>4.9279424059620727</v>
      </c>
      <c r="X428" s="398">
        <f t="shared" si="160"/>
        <v>4.9423539247696588</v>
      </c>
      <c r="Y428" s="398">
        <f t="shared" si="160"/>
        <v>4.9538831398157273</v>
      </c>
      <c r="Z428" s="398">
        <f t="shared" si="160"/>
        <v>4.9631065118525814</v>
      </c>
      <c r="AA428" s="398">
        <f t="shared" si="160"/>
        <v>4.9704852094820655</v>
      </c>
      <c r="AB428" s="398">
        <f t="shared" si="160"/>
        <v>4.9763881675856521</v>
      </c>
      <c r="AC428" s="398">
        <f t="shared" si="160"/>
        <v>4.981110534068522</v>
      </c>
      <c r="AD428" s="398">
        <f t="shared" si="160"/>
        <v>4.984888427254818</v>
      </c>
      <c r="AE428" s="398">
        <f t="shared" si="160"/>
        <v>4.9879107418038551</v>
      </c>
      <c r="AF428" s="398">
        <f t="shared" si="160"/>
        <v>4.9903285934430848</v>
      </c>
      <c r="AG428" s="398">
        <f t="shared" si="160"/>
        <v>4.9922628747544682</v>
      </c>
      <c r="AH428" s="398">
        <f t="shared" si="160"/>
        <v>4.9938102998035747</v>
      </c>
      <c r="AI428" s="398">
        <f t="shared" si="160"/>
        <v>4.9950482398428599</v>
      </c>
      <c r="AJ428" s="398">
        <f t="shared" si="160"/>
        <v>4.9960385918742887</v>
      </c>
      <c r="AK428" s="398">
        <f t="shared" si="160"/>
        <v>4.9968308734994311</v>
      </c>
      <c r="AL428" s="398">
        <f t="shared" si="160"/>
        <v>4.9974646987995452</v>
      </c>
      <c r="AM428" s="398">
        <f t="shared" si="160"/>
        <v>4.9979717590396362</v>
      </c>
      <c r="AN428" s="398">
        <f t="shared" si="160"/>
        <v>4.9983774072317093</v>
      </c>
      <c r="AP428" s="21"/>
    </row>
    <row r="429" spans="2:42" x14ac:dyDescent="0.25">
      <c r="C429" s="22" t="s">
        <v>456</v>
      </c>
      <c r="D429" s="34" t="s">
        <v>162</v>
      </c>
      <c r="E429" s="399">
        <v>0</v>
      </c>
      <c r="F429" s="399">
        <f t="shared" ref="F429:AN429" si="161">E429*(1-F$415)+1</f>
        <v>1</v>
      </c>
      <c r="G429" s="399">
        <f t="shared" si="161"/>
        <v>1.8</v>
      </c>
      <c r="H429" s="399">
        <f t="shared" si="161"/>
        <v>2.4400000000000004</v>
      </c>
      <c r="I429" s="399">
        <f t="shared" si="161"/>
        <v>2.9520000000000004</v>
      </c>
      <c r="J429" s="399">
        <f t="shared" si="161"/>
        <v>3.3616000000000006</v>
      </c>
      <c r="K429" s="399">
        <f t="shared" si="161"/>
        <v>3.6892800000000006</v>
      </c>
      <c r="L429" s="399">
        <f t="shared" si="161"/>
        <v>3.9514240000000007</v>
      </c>
      <c r="M429" s="399">
        <f t="shared" si="161"/>
        <v>4.1611392000000009</v>
      </c>
      <c r="N429" s="399">
        <f t="shared" si="161"/>
        <v>4.3289113600000011</v>
      </c>
      <c r="O429" s="399">
        <f t="shared" si="161"/>
        <v>4.4631290880000005</v>
      </c>
      <c r="P429" s="399">
        <f t="shared" si="161"/>
        <v>4.5705032704000006</v>
      </c>
      <c r="Q429" s="399">
        <f t="shared" si="161"/>
        <v>4.6564026163200012</v>
      </c>
      <c r="R429" s="399">
        <f t="shared" si="161"/>
        <v>4.7251220930560009</v>
      </c>
      <c r="S429" s="399">
        <f t="shared" si="161"/>
        <v>4.7800976744448009</v>
      </c>
      <c r="T429" s="399">
        <f t="shared" si="161"/>
        <v>4.8240781395558407</v>
      </c>
      <c r="U429" s="399">
        <f t="shared" si="161"/>
        <v>4.8592625116446726</v>
      </c>
      <c r="V429" s="399">
        <f t="shared" si="161"/>
        <v>4.8874100093157384</v>
      </c>
      <c r="W429" s="399">
        <f t="shared" si="161"/>
        <v>4.9099280074525904</v>
      </c>
      <c r="X429" s="399">
        <f t="shared" si="161"/>
        <v>4.9279424059620727</v>
      </c>
      <c r="Y429" s="399">
        <f t="shared" si="161"/>
        <v>4.9423539247696588</v>
      </c>
      <c r="Z429" s="399">
        <f t="shared" si="161"/>
        <v>4.9538831398157273</v>
      </c>
      <c r="AA429" s="399">
        <f t="shared" si="161"/>
        <v>4.9631065118525814</v>
      </c>
      <c r="AB429" s="399">
        <f t="shared" si="161"/>
        <v>4.9704852094820655</v>
      </c>
      <c r="AC429" s="399">
        <f t="shared" si="161"/>
        <v>4.9763881675856521</v>
      </c>
      <c r="AD429" s="399">
        <f t="shared" si="161"/>
        <v>4.981110534068522</v>
      </c>
      <c r="AE429" s="399">
        <f t="shared" si="161"/>
        <v>4.984888427254818</v>
      </c>
      <c r="AF429" s="399">
        <f t="shared" si="161"/>
        <v>4.9879107418038551</v>
      </c>
      <c r="AG429" s="399">
        <f t="shared" si="161"/>
        <v>4.9903285934430848</v>
      </c>
      <c r="AH429" s="399">
        <f t="shared" si="161"/>
        <v>4.9922628747544682</v>
      </c>
      <c r="AI429" s="399">
        <f t="shared" si="161"/>
        <v>4.9938102998035747</v>
      </c>
      <c r="AJ429" s="399">
        <f t="shared" si="161"/>
        <v>4.9950482398428599</v>
      </c>
      <c r="AK429" s="399">
        <f t="shared" si="161"/>
        <v>4.9960385918742887</v>
      </c>
      <c r="AL429" s="399">
        <f t="shared" si="161"/>
        <v>4.9968308734994311</v>
      </c>
      <c r="AM429" s="399">
        <f t="shared" si="161"/>
        <v>4.9974646987995452</v>
      </c>
      <c r="AN429" s="399">
        <f t="shared" si="161"/>
        <v>4.9979717590396362</v>
      </c>
      <c r="AP429" s="26"/>
    </row>
    <row r="430" spans="2:42" x14ac:dyDescent="0.25">
      <c r="B430" s="99" t="s">
        <v>9</v>
      </c>
      <c r="C430" s="311" t="s">
        <v>628</v>
      </c>
      <c r="D430" s="318"/>
      <c r="E430" s="402"/>
      <c r="F430" s="402"/>
      <c r="G430" s="402"/>
      <c r="H430" s="402"/>
      <c r="I430" s="402"/>
      <c r="J430" s="402"/>
      <c r="K430" s="402"/>
      <c r="L430" s="402"/>
      <c r="M430" s="402"/>
      <c r="N430" s="402"/>
      <c r="O430" s="402"/>
      <c r="P430" s="402"/>
      <c r="Q430" s="402"/>
      <c r="R430" s="402"/>
      <c r="S430" s="402"/>
      <c r="T430" s="402"/>
      <c r="U430" s="402"/>
      <c r="V430" s="402"/>
      <c r="W430" s="402"/>
      <c r="X430" s="402"/>
      <c r="Y430" s="402"/>
      <c r="Z430" s="402"/>
      <c r="AA430" s="402"/>
      <c r="AB430" s="402"/>
      <c r="AC430" s="402"/>
      <c r="AD430" s="402"/>
      <c r="AE430" s="402"/>
      <c r="AF430" s="402"/>
      <c r="AG430" s="402"/>
      <c r="AH430" s="402"/>
      <c r="AI430" s="402"/>
      <c r="AJ430" s="402"/>
      <c r="AK430" s="402"/>
      <c r="AL430" s="402"/>
      <c r="AM430" s="402"/>
      <c r="AN430" s="402"/>
      <c r="AO430" s="74"/>
      <c r="AP430" s="311"/>
    </row>
    <row r="431" spans="2:42" x14ac:dyDescent="0.25">
      <c r="C431" s="20" t="s">
        <v>600</v>
      </c>
      <c r="D431" s="34" t="s">
        <v>162</v>
      </c>
      <c r="E431" s="397">
        <v>5</v>
      </c>
      <c r="F431" s="397">
        <f>E431*(1-F$415)+1</f>
        <v>5</v>
      </c>
      <c r="G431" s="397">
        <f t="shared" ref="G431:AN431" si="162">F431*(1-G$415)+1</f>
        <v>5</v>
      </c>
      <c r="H431" s="397">
        <f t="shared" si="162"/>
        <v>5</v>
      </c>
      <c r="I431" s="397">
        <f t="shared" si="162"/>
        <v>5</v>
      </c>
      <c r="J431" s="397">
        <f t="shared" si="162"/>
        <v>5</v>
      </c>
      <c r="K431" s="397">
        <f t="shared" si="162"/>
        <v>5</v>
      </c>
      <c r="L431" s="397">
        <f t="shared" si="162"/>
        <v>5</v>
      </c>
      <c r="M431" s="397">
        <f t="shared" si="162"/>
        <v>5</v>
      </c>
      <c r="N431" s="397">
        <f t="shared" si="162"/>
        <v>5</v>
      </c>
      <c r="O431" s="397">
        <f t="shared" si="162"/>
        <v>5</v>
      </c>
      <c r="P431" s="397">
        <f t="shared" si="162"/>
        <v>5</v>
      </c>
      <c r="Q431" s="397">
        <f t="shared" si="162"/>
        <v>5</v>
      </c>
      <c r="R431" s="397">
        <f t="shared" si="162"/>
        <v>5</v>
      </c>
      <c r="S431" s="397">
        <f t="shared" si="162"/>
        <v>5</v>
      </c>
      <c r="T431" s="397">
        <f t="shared" si="162"/>
        <v>5</v>
      </c>
      <c r="U431" s="397">
        <f t="shared" si="162"/>
        <v>5</v>
      </c>
      <c r="V431" s="397">
        <f t="shared" si="162"/>
        <v>5</v>
      </c>
      <c r="W431" s="397">
        <f t="shared" si="162"/>
        <v>5</v>
      </c>
      <c r="X431" s="397">
        <f t="shared" si="162"/>
        <v>5</v>
      </c>
      <c r="Y431" s="397">
        <f t="shared" si="162"/>
        <v>5</v>
      </c>
      <c r="Z431" s="397">
        <f t="shared" si="162"/>
        <v>5</v>
      </c>
      <c r="AA431" s="397">
        <f t="shared" si="162"/>
        <v>5</v>
      </c>
      <c r="AB431" s="397">
        <f t="shared" si="162"/>
        <v>5</v>
      </c>
      <c r="AC431" s="397">
        <f t="shared" si="162"/>
        <v>5</v>
      </c>
      <c r="AD431" s="397">
        <f t="shared" si="162"/>
        <v>5</v>
      </c>
      <c r="AE431" s="397">
        <f t="shared" si="162"/>
        <v>5</v>
      </c>
      <c r="AF431" s="397">
        <f t="shared" si="162"/>
        <v>5</v>
      </c>
      <c r="AG431" s="397">
        <f t="shared" si="162"/>
        <v>5</v>
      </c>
      <c r="AH431" s="397">
        <f t="shared" si="162"/>
        <v>5</v>
      </c>
      <c r="AI431" s="397">
        <f t="shared" si="162"/>
        <v>5</v>
      </c>
      <c r="AJ431" s="397">
        <f t="shared" si="162"/>
        <v>5</v>
      </c>
      <c r="AK431" s="397">
        <f t="shared" si="162"/>
        <v>5</v>
      </c>
      <c r="AL431" s="397">
        <f t="shared" si="162"/>
        <v>5</v>
      </c>
      <c r="AM431" s="397">
        <f t="shared" si="162"/>
        <v>5</v>
      </c>
      <c r="AN431" s="397">
        <f t="shared" si="162"/>
        <v>5</v>
      </c>
      <c r="AP431" s="20"/>
    </row>
    <row r="432" spans="2:42" x14ac:dyDescent="0.25">
      <c r="C432" s="20" t="s">
        <v>392</v>
      </c>
      <c r="D432" s="34" t="s">
        <v>162</v>
      </c>
      <c r="E432" s="398">
        <v>4</v>
      </c>
      <c r="F432" s="398">
        <f t="shared" ref="F432:AN432" si="163">E432*(1-F$415)+1</f>
        <v>4.2</v>
      </c>
      <c r="G432" s="398">
        <f t="shared" si="163"/>
        <v>4.3600000000000003</v>
      </c>
      <c r="H432" s="398">
        <f t="shared" si="163"/>
        <v>4.4880000000000004</v>
      </c>
      <c r="I432" s="398">
        <f t="shared" si="163"/>
        <v>4.5904000000000007</v>
      </c>
      <c r="J432" s="398">
        <f t="shared" si="163"/>
        <v>4.6723200000000009</v>
      </c>
      <c r="K432" s="398">
        <f t="shared" si="163"/>
        <v>4.7378560000000007</v>
      </c>
      <c r="L432" s="398">
        <f t="shared" si="163"/>
        <v>4.7902848000000002</v>
      </c>
      <c r="M432" s="398">
        <f t="shared" si="163"/>
        <v>4.8322278399999998</v>
      </c>
      <c r="N432" s="398">
        <f t="shared" si="163"/>
        <v>4.8657822720000006</v>
      </c>
      <c r="O432" s="398">
        <f t="shared" si="163"/>
        <v>4.8926258176000008</v>
      </c>
      <c r="P432" s="398">
        <f t="shared" si="163"/>
        <v>4.9141006540800003</v>
      </c>
      <c r="Q432" s="398">
        <f t="shared" si="163"/>
        <v>4.9312805232640002</v>
      </c>
      <c r="R432" s="398">
        <f t="shared" si="163"/>
        <v>4.9450244186112009</v>
      </c>
      <c r="S432" s="398">
        <f t="shared" si="163"/>
        <v>4.9560195348889611</v>
      </c>
      <c r="T432" s="398">
        <f t="shared" si="163"/>
        <v>4.964815627911169</v>
      </c>
      <c r="U432" s="398">
        <f t="shared" si="163"/>
        <v>4.9718525023289359</v>
      </c>
      <c r="V432" s="398">
        <f t="shared" si="163"/>
        <v>4.9774820018631489</v>
      </c>
      <c r="W432" s="398">
        <f t="shared" si="163"/>
        <v>4.9819856014905195</v>
      </c>
      <c r="X432" s="398">
        <f t="shared" si="163"/>
        <v>4.9855884811924156</v>
      </c>
      <c r="Y432" s="398">
        <f t="shared" si="163"/>
        <v>4.9884707849539325</v>
      </c>
      <c r="Z432" s="398">
        <f t="shared" si="163"/>
        <v>4.9907766279631467</v>
      </c>
      <c r="AA432" s="398">
        <f t="shared" si="163"/>
        <v>4.9926213023705177</v>
      </c>
      <c r="AB432" s="398">
        <f t="shared" si="163"/>
        <v>4.9940970418964143</v>
      </c>
      <c r="AC432" s="398">
        <f t="shared" si="163"/>
        <v>4.9952776335171318</v>
      </c>
      <c r="AD432" s="398">
        <f t="shared" si="163"/>
        <v>4.9962221068137058</v>
      </c>
      <c r="AE432" s="398">
        <f t="shared" si="163"/>
        <v>4.9969776854509647</v>
      </c>
      <c r="AF432" s="398">
        <f t="shared" si="163"/>
        <v>4.9975821483607721</v>
      </c>
      <c r="AG432" s="398">
        <f t="shared" si="163"/>
        <v>4.9980657186886184</v>
      </c>
      <c r="AH432" s="398">
        <f t="shared" si="163"/>
        <v>4.9984525749508943</v>
      </c>
      <c r="AI432" s="398">
        <f t="shared" si="163"/>
        <v>4.9987620599607157</v>
      </c>
      <c r="AJ432" s="398">
        <f t="shared" si="163"/>
        <v>4.9990096479685722</v>
      </c>
      <c r="AK432" s="398">
        <f t="shared" si="163"/>
        <v>4.9992077183748584</v>
      </c>
      <c r="AL432" s="398">
        <f t="shared" si="163"/>
        <v>4.9993661746998868</v>
      </c>
      <c r="AM432" s="398">
        <f t="shared" si="163"/>
        <v>4.999492939759909</v>
      </c>
      <c r="AN432" s="398">
        <f t="shared" si="163"/>
        <v>4.9995943518079269</v>
      </c>
      <c r="AP432" s="21"/>
    </row>
    <row r="433" spans="2:42" x14ac:dyDescent="0.25">
      <c r="C433" s="20" t="s">
        <v>454</v>
      </c>
      <c r="D433" s="34" t="s">
        <v>162</v>
      </c>
      <c r="E433" s="398">
        <v>3</v>
      </c>
      <c r="F433" s="398">
        <f t="shared" ref="F433:AN433" si="164">E433*(1-F$415)+1</f>
        <v>3.4000000000000004</v>
      </c>
      <c r="G433" s="398">
        <f t="shared" si="164"/>
        <v>3.7200000000000006</v>
      </c>
      <c r="H433" s="398">
        <f t="shared" si="164"/>
        <v>3.9760000000000009</v>
      </c>
      <c r="I433" s="398">
        <f t="shared" si="164"/>
        <v>4.1808000000000014</v>
      </c>
      <c r="J433" s="398">
        <f t="shared" si="164"/>
        <v>4.3446400000000018</v>
      </c>
      <c r="K433" s="398">
        <f t="shared" si="164"/>
        <v>4.4757120000000015</v>
      </c>
      <c r="L433" s="398">
        <f t="shared" si="164"/>
        <v>4.5805696000000014</v>
      </c>
      <c r="M433" s="398">
        <f t="shared" si="164"/>
        <v>4.6644556800000014</v>
      </c>
      <c r="N433" s="398">
        <f t="shared" si="164"/>
        <v>4.7315645440000011</v>
      </c>
      <c r="O433" s="398">
        <f t="shared" si="164"/>
        <v>4.7852516352000016</v>
      </c>
      <c r="P433" s="398">
        <f t="shared" si="164"/>
        <v>4.8282013081600015</v>
      </c>
      <c r="Q433" s="398">
        <f t="shared" si="164"/>
        <v>4.8625610465280014</v>
      </c>
      <c r="R433" s="398">
        <f t="shared" si="164"/>
        <v>4.8900488372224018</v>
      </c>
      <c r="S433" s="398">
        <f t="shared" si="164"/>
        <v>4.9120390697779222</v>
      </c>
      <c r="T433" s="398">
        <f t="shared" si="164"/>
        <v>4.9296312558223381</v>
      </c>
      <c r="U433" s="398">
        <f t="shared" si="164"/>
        <v>4.9437050046578701</v>
      </c>
      <c r="V433" s="398">
        <f t="shared" si="164"/>
        <v>4.9549640037262961</v>
      </c>
      <c r="W433" s="398">
        <f t="shared" si="164"/>
        <v>4.9639712029810372</v>
      </c>
      <c r="X433" s="398">
        <f t="shared" si="164"/>
        <v>4.9711769623848294</v>
      </c>
      <c r="Y433" s="398">
        <f t="shared" si="164"/>
        <v>4.9769415699078632</v>
      </c>
      <c r="Z433" s="398">
        <f t="shared" si="164"/>
        <v>4.9815532559262907</v>
      </c>
      <c r="AA433" s="398">
        <f t="shared" si="164"/>
        <v>4.9852426047410328</v>
      </c>
      <c r="AB433" s="398">
        <f t="shared" si="164"/>
        <v>4.9881940837928269</v>
      </c>
      <c r="AC433" s="398">
        <f t="shared" si="164"/>
        <v>4.9905552670342619</v>
      </c>
      <c r="AD433" s="398">
        <f t="shared" si="164"/>
        <v>4.9924442136274099</v>
      </c>
      <c r="AE433" s="398">
        <f t="shared" si="164"/>
        <v>4.9939553709019275</v>
      </c>
      <c r="AF433" s="398">
        <f t="shared" si="164"/>
        <v>4.9951642967215424</v>
      </c>
      <c r="AG433" s="398">
        <f t="shared" si="164"/>
        <v>4.9961314373772341</v>
      </c>
      <c r="AH433" s="398">
        <f t="shared" si="164"/>
        <v>4.9969051499017869</v>
      </c>
      <c r="AI433" s="398">
        <f t="shared" si="164"/>
        <v>4.9975241199214295</v>
      </c>
      <c r="AJ433" s="398">
        <f t="shared" si="164"/>
        <v>4.9980192959371443</v>
      </c>
      <c r="AK433" s="398">
        <f t="shared" si="164"/>
        <v>4.9984154367497151</v>
      </c>
      <c r="AL433" s="398">
        <f t="shared" si="164"/>
        <v>4.9987323493997717</v>
      </c>
      <c r="AM433" s="398">
        <f t="shared" si="164"/>
        <v>4.9989858795198181</v>
      </c>
      <c r="AN433" s="398">
        <f t="shared" si="164"/>
        <v>4.9991887036158547</v>
      </c>
      <c r="AP433" s="21"/>
    </row>
    <row r="434" spans="2:42" x14ac:dyDescent="0.25">
      <c r="C434" s="21" t="s">
        <v>455</v>
      </c>
      <c r="D434" s="34" t="s">
        <v>162</v>
      </c>
      <c r="E434" s="398">
        <v>2</v>
      </c>
      <c r="F434" s="398">
        <f t="shared" ref="F434:AN434" si="165">E434*(1-F$415)+1</f>
        <v>2.6</v>
      </c>
      <c r="G434" s="398">
        <f t="shared" si="165"/>
        <v>3.08</v>
      </c>
      <c r="H434" s="398">
        <f t="shared" si="165"/>
        <v>3.4640000000000004</v>
      </c>
      <c r="I434" s="398">
        <f t="shared" si="165"/>
        <v>3.7712000000000003</v>
      </c>
      <c r="J434" s="398">
        <f t="shared" si="165"/>
        <v>4.016960000000001</v>
      </c>
      <c r="K434" s="398">
        <f t="shared" si="165"/>
        <v>4.2135680000000004</v>
      </c>
      <c r="L434" s="398">
        <f t="shared" si="165"/>
        <v>4.3708544000000007</v>
      </c>
      <c r="M434" s="398">
        <f t="shared" si="165"/>
        <v>4.4966835200000013</v>
      </c>
      <c r="N434" s="398">
        <f t="shared" si="165"/>
        <v>4.5973468160000017</v>
      </c>
      <c r="O434" s="398">
        <f t="shared" si="165"/>
        <v>4.6778774528000016</v>
      </c>
      <c r="P434" s="398">
        <f t="shared" si="165"/>
        <v>4.7423019622400009</v>
      </c>
      <c r="Q434" s="398">
        <f t="shared" si="165"/>
        <v>4.7938415697920007</v>
      </c>
      <c r="R434" s="398">
        <f t="shared" si="165"/>
        <v>4.8350732558336009</v>
      </c>
      <c r="S434" s="398">
        <f t="shared" si="165"/>
        <v>4.8680586046668815</v>
      </c>
      <c r="T434" s="398">
        <f t="shared" si="165"/>
        <v>4.8944468837335053</v>
      </c>
      <c r="U434" s="398">
        <f t="shared" si="165"/>
        <v>4.9155575069868043</v>
      </c>
      <c r="V434" s="398">
        <f t="shared" si="165"/>
        <v>4.9324460055894441</v>
      </c>
      <c r="W434" s="398">
        <f t="shared" si="165"/>
        <v>4.9459568044715549</v>
      </c>
      <c r="X434" s="398">
        <f t="shared" si="165"/>
        <v>4.9567654435772441</v>
      </c>
      <c r="Y434" s="398">
        <f t="shared" si="165"/>
        <v>4.9654123548617957</v>
      </c>
      <c r="Z434" s="398">
        <f t="shared" si="165"/>
        <v>4.9723298838894365</v>
      </c>
      <c r="AA434" s="398">
        <f t="shared" si="165"/>
        <v>4.9778639071115496</v>
      </c>
      <c r="AB434" s="398">
        <f t="shared" si="165"/>
        <v>4.9822911256892404</v>
      </c>
      <c r="AC434" s="398">
        <f t="shared" si="165"/>
        <v>4.9858329005513919</v>
      </c>
      <c r="AD434" s="398">
        <f t="shared" si="165"/>
        <v>4.9886663204411139</v>
      </c>
      <c r="AE434" s="398">
        <f t="shared" si="165"/>
        <v>4.9909330563528913</v>
      </c>
      <c r="AF434" s="398">
        <f t="shared" si="165"/>
        <v>4.9927464450823127</v>
      </c>
      <c r="AG434" s="398">
        <f t="shared" si="165"/>
        <v>4.9941971560658498</v>
      </c>
      <c r="AH434" s="398">
        <f t="shared" si="165"/>
        <v>4.9953577248526795</v>
      </c>
      <c r="AI434" s="398">
        <f t="shared" si="165"/>
        <v>4.9962861798821443</v>
      </c>
      <c r="AJ434" s="398">
        <f t="shared" si="165"/>
        <v>4.9970289439057156</v>
      </c>
      <c r="AK434" s="398">
        <f t="shared" si="165"/>
        <v>4.9976231551245727</v>
      </c>
      <c r="AL434" s="398">
        <f t="shared" si="165"/>
        <v>4.9980985240996585</v>
      </c>
      <c r="AM434" s="398">
        <f t="shared" si="165"/>
        <v>4.9984788192797271</v>
      </c>
      <c r="AN434" s="398">
        <f t="shared" si="165"/>
        <v>4.9987830554237824</v>
      </c>
      <c r="AP434" s="21"/>
    </row>
    <row r="435" spans="2:42" x14ac:dyDescent="0.25">
      <c r="C435" s="21" t="s">
        <v>393</v>
      </c>
      <c r="D435" s="34" t="s">
        <v>162</v>
      </c>
      <c r="E435" s="398">
        <v>1</v>
      </c>
      <c r="F435" s="398">
        <f t="shared" ref="F435:AN435" si="166">E435*(1-F$415)+1</f>
        <v>1.8</v>
      </c>
      <c r="G435" s="398">
        <f t="shared" si="166"/>
        <v>2.4400000000000004</v>
      </c>
      <c r="H435" s="398">
        <f t="shared" si="166"/>
        <v>2.9520000000000004</v>
      </c>
      <c r="I435" s="398">
        <f t="shared" si="166"/>
        <v>3.3616000000000006</v>
      </c>
      <c r="J435" s="398">
        <f t="shared" si="166"/>
        <v>3.6892800000000006</v>
      </c>
      <c r="K435" s="398">
        <f t="shared" si="166"/>
        <v>3.9514240000000007</v>
      </c>
      <c r="L435" s="398">
        <f t="shared" si="166"/>
        <v>4.1611392000000009</v>
      </c>
      <c r="M435" s="398">
        <f t="shared" si="166"/>
        <v>4.3289113600000011</v>
      </c>
      <c r="N435" s="398">
        <f t="shared" si="166"/>
        <v>4.4631290880000005</v>
      </c>
      <c r="O435" s="398">
        <f t="shared" si="166"/>
        <v>4.5705032704000006</v>
      </c>
      <c r="P435" s="398">
        <f t="shared" si="166"/>
        <v>4.6564026163200012</v>
      </c>
      <c r="Q435" s="398">
        <f t="shared" si="166"/>
        <v>4.7251220930560009</v>
      </c>
      <c r="R435" s="398">
        <f t="shared" si="166"/>
        <v>4.7800976744448009</v>
      </c>
      <c r="S435" s="398">
        <f t="shared" si="166"/>
        <v>4.8240781395558407</v>
      </c>
      <c r="T435" s="398">
        <f t="shared" si="166"/>
        <v>4.8592625116446726</v>
      </c>
      <c r="U435" s="398">
        <f t="shared" si="166"/>
        <v>4.8874100093157384</v>
      </c>
      <c r="V435" s="398">
        <f t="shared" si="166"/>
        <v>4.9099280074525904</v>
      </c>
      <c r="W435" s="398">
        <f t="shared" si="166"/>
        <v>4.9279424059620727</v>
      </c>
      <c r="X435" s="398">
        <f t="shared" si="166"/>
        <v>4.9423539247696588</v>
      </c>
      <c r="Y435" s="398">
        <f t="shared" si="166"/>
        <v>4.9538831398157273</v>
      </c>
      <c r="Z435" s="398">
        <f t="shared" si="166"/>
        <v>4.9631065118525814</v>
      </c>
      <c r="AA435" s="398">
        <f t="shared" si="166"/>
        <v>4.9704852094820655</v>
      </c>
      <c r="AB435" s="398">
        <f t="shared" si="166"/>
        <v>4.9763881675856521</v>
      </c>
      <c r="AC435" s="398">
        <f t="shared" si="166"/>
        <v>4.981110534068522</v>
      </c>
      <c r="AD435" s="398">
        <f t="shared" si="166"/>
        <v>4.984888427254818</v>
      </c>
      <c r="AE435" s="398">
        <f t="shared" si="166"/>
        <v>4.9879107418038551</v>
      </c>
      <c r="AF435" s="398">
        <f t="shared" si="166"/>
        <v>4.9903285934430848</v>
      </c>
      <c r="AG435" s="398">
        <f t="shared" si="166"/>
        <v>4.9922628747544682</v>
      </c>
      <c r="AH435" s="398">
        <f t="shared" si="166"/>
        <v>4.9938102998035747</v>
      </c>
      <c r="AI435" s="398">
        <f t="shared" si="166"/>
        <v>4.9950482398428599</v>
      </c>
      <c r="AJ435" s="398">
        <f t="shared" si="166"/>
        <v>4.9960385918742887</v>
      </c>
      <c r="AK435" s="398">
        <f t="shared" si="166"/>
        <v>4.9968308734994311</v>
      </c>
      <c r="AL435" s="398">
        <f t="shared" si="166"/>
        <v>4.9974646987995452</v>
      </c>
      <c r="AM435" s="398">
        <f t="shared" si="166"/>
        <v>4.9979717590396362</v>
      </c>
      <c r="AN435" s="398">
        <f t="shared" si="166"/>
        <v>4.9983774072317093</v>
      </c>
      <c r="AP435" s="21"/>
    </row>
    <row r="436" spans="2:42" x14ac:dyDescent="0.25">
      <c r="C436" s="22" t="s">
        <v>456</v>
      </c>
      <c r="D436" s="34" t="s">
        <v>162</v>
      </c>
      <c r="E436" s="399">
        <v>0</v>
      </c>
      <c r="F436" s="399">
        <f t="shared" ref="F436:AN436" si="167">E436*(1-F$415)+1</f>
        <v>1</v>
      </c>
      <c r="G436" s="399">
        <f t="shared" si="167"/>
        <v>1.8</v>
      </c>
      <c r="H436" s="399">
        <f t="shared" si="167"/>
        <v>2.4400000000000004</v>
      </c>
      <c r="I436" s="399">
        <f t="shared" si="167"/>
        <v>2.9520000000000004</v>
      </c>
      <c r="J436" s="399">
        <f t="shared" si="167"/>
        <v>3.3616000000000006</v>
      </c>
      <c r="K436" s="399">
        <f t="shared" si="167"/>
        <v>3.6892800000000006</v>
      </c>
      <c r="L436" s="399">
        <f t="shared" si="167"/>
        <v>3.9514240000000007</v>
      </c>
      <c r="M436" s="399">
        <f t="shared" si="167"/>
        <v>4.1611392000000009</v>
      </c>
      <c r="N436" s="399">
        <f t="shared" si="167"/>
        <v>4.3289113600000011</v>
      </c>
      <c r="O436" s="399">
        <f t="shared" si="167"/>
        <v>4.4631290880000005</v>
      </c>
      <c r="P436" s="399">
        <f t="shared" si="167"/>
        <v>4.5705032704000006</v>
      </c>
      <c r="Q436" s="399">
        <f t="shared" si="167"/>
        <v>4.6564026163200012</v>
      </c>
      <c r="R436" s="399">
        <f t="shared" si="167"/>
        <v>4.7251220930560009</v>
      </c>
      <c r="S436" s="399">
        <f t="shared" si="167"/>
        <v>4.7800976744448009</v>
      </c>
      <c r="T436" s="399">
        <f t="shared" si="167"/>
        <v>4.8240781395558407</v>
      </c>
      <c r="U436" s="399">
        <f t="shared" si="167"/>
        <v>4.8592625116446726</v>
      </c>
      <c r="V436" s="399">
        <f t="shared" si="167"/>
        <v>4.8874100093157384</v>
      </c>
      <c r="W436" s="399">
        <f t="shared" si="167"/>
        <v>4.9099280074525904</v>
      </c>
      <c r="X436" s="399">
        <f t="shared" si="167"/>
        <v>4.9279424059620727</v>
      </c>
      <c r="Y436" s="399">
        <f t="shared" si="167"/>
        <v>4.9423539247696588</v>
      </c>
      <c r="Z436" s="399">
        <f t="shared" si="167"/>
        <v>4.9538831398157273</v>
      </c>
      <c r="AA436" s="399">
        <f t="shared" si="167"/>
        <v>4.9631065118525814</v>
      </c>
      <c r="AB436" s="399">
        <f t="shared" si="167"/>
        <v>4.9704852094820655</v>
      </c>
      <c r="AC436" s="399">
        <f t="shared" si="167"/>
        <v>4.9763881675856521</v>
      </c>
      <c r="AD436" s="399">
        <f t="shared" si="167"/>
        <v>4.981110534068522</v>
      </c>
      <c r="AE436" s="399">
        <f t="shared" si="167"/>
        <v>4.984888427254818</v>
      </c>
      <c r="AF436" s="399">
        <f t="shared" si="167"/>
        <v>4.9879107418038551</v>
      </c>
      <c r="AG436" s="399">
        <f t="shared" si="167"/>
        <v>4.9903285934430848</v>
      </c>
      <c r="AH436" s="399">
        <f t="shared" si="167"/>
        <v>4.9922628747544682</v>
      </c>
      <c r="AI436" s="399">
        <f t="shared" si="167"/>
        <v>4.9938102998035747</v>
      </c>
      <c r="AJ436" s="399">
        <f t="shared" si="167"/>
        <v>4.9950482398428599</v>
      </c>
      <c r="AK436" s="399">
        <f t="shared" si="167"/>
        <v>4.9960385918742887</v>
      </c>
      <c r="AL436" s="399">
        <f t="shared" si="167"/>
        <v>4.9968308734994311</v>
      </c>
      <c r="AM436" s="399">
        <f t="shared" si="167"/>
        <v>4.9974646987995452</v>
      </c>
      <c r="AN436" s="399">
        <f t="shared" si="167"/>
        <v>4.9979717590396362</v>
      </c>
      <c r="AP436" s="26"/>
    </row>
    <row r="437" spans="2:42" x14ac:dyDescent="0.25">
      <c r="B437" s="99" t="s">
        <v>9</v>
      </c>
      <c r="C437" s="311" t="s">
        <v>629</v>
      </c>
      <c r="D437" s="318"/>
      <c r="E437" s="402"/>
      <c r="F437" s="402"/>
      <c r="G437" s="402"/>
      <c r="H437" s="402"/>
      <c r="I437" s="402"/>
      <c r="J437" s="402"/>
      <c r="K437" s="402"/>
      <c r="L437" s="402"/>
      <c r="M437" s="402"/>
      <c r="N437" s="402"/>
      <c r="O437" s="402"/>
      <c r="P437" s="402"/>
      <c r="Q437" s="402"/>
      <c r="R437" s="402"/>
      <c r="S437" s="402"/>
      <c r="T437" s="402"/>
      <c r="U437" s="402"/>
      <c r="V437" s="402"/>
      <c r="W437" s="402"/>
      <c r="X437" s="402"/>
      <c r="Y437" s="402"/>
      <c r="Z437" s="402"/>
      <c r="AA437" s="402"/>
      <c r="AB437" s="402"/>
      <c r="AC437" s="402"/>
      <c r="AD437" s="402"/>
      <c r="AE437" s="402"/>
      <c r="AF437" s="402"/>
      <c r="AG437" s="402"/>
      <c r="AH437" s="402"/>
      <c r="AI437" s="402"/>
      <c r="AJ437" s="402"/>
      <c r="AK437" s="402"/>
      <c r="AL437" s="402"/>
      <c r="AM437" s="402"/>
      <c r="AN437" s="402"/>
      <c r="AO437" s="74"/>
      <c r="AP437" s="311"/>
    </row>
    <row r="438" spans="2:42" x14ac:dyDescent="0.25">
      <c r="C438" s="20" t="s">
        <v>600</v>
      </c>
      <c r="D438" s="34" t="s">
        <v>162</v>
      </c>
      <c r="E438" s="397">
        <v>5</v>
      </c>
      <c r="F438" s="397">
        <f>E438*(1-F$415)+1</f>
        <v>5</v>
      </c>
      <c r="G438" s="397">
        <f t="shared" ref="G438:AN438" si="168">F438*(1-G$415)+1</f>
        <v>5</v>
      </c>
      <c r="H438" s="397">
        <f t="shared" si="168"/>
        <v>5</v>
      </c>
      <c r="I438" s="397">
        <f t="shared" si="168"/>
        <v>5</v>
      </c>
      <c r="J438" s="397">
        <f t="shared" si="168"/>
        <v>5</v>
      </c>
      <c r="K438" s="397">
        <f t="shared" si="168"/>
        <v>5</v>
      </c>
      <c r="L438" s="397">
        <f t="shared" si="168"/>
        <v>5</v>
      </c>
      <c r="M438" s="397">
        <f t="shared" si="168"/>
        <v>5</v>
      </c>
      <c r="N438" s="397">
        <f t="shared" si="168"/>
        <v>5</v>
      </c>
      <c r="O438" s="397">
        <f t="shared" si="168"/>
        <v>5</v>
      </c>
      <c r="P438" s="397">
        <f t="shared" si="168"/>
        <v>5</v>
      </c>
      <c r="Q438" s="397">
        <f t="shared" si="168"/>
        <v>5</v>
      </c>
      <c r="R438" s="397">
        <f t="shared" si="168"/>
        <v>5</v>
      </c>
      <c r="S438" s="397">
        <f t="shared" si="168"/>
        <v>5</v>
      </c>
      <c r="T438" s="397">
        <f t="shared" si="168"/>
        <v>5</v>
      </c>
      <c r="U438" s="397">
        <f t="shared" si="168"/>
        <v>5</v>
      </c>
      <c r="V438" s="397">
        <f t="shared" si="168"/>
        <v>5</v>
      </c>
      <c r="W438" s="397">
        <f t="shared" si="168"/>
        <v>5</v>
      </c>
      <c r="X438" s="397">
        <f t="shared" si="168"/>
        <v>5</v>
      </c>
      <c r="Y438" s="397">
        <f t="shared" si="168"/>
        <v>5</v>
      </c>
      <c r="Z438" s="397">
        <f t="shared" si="168"/>
        <v>5</v>
      </c>
      <c r="AA438" s="397">
        <f t="shared" si="168"/>
        <v>5</v>
      </c>
      <c r="AB438" s="397">
        <f t="shared" si="168"/>
        <v>5</v>
      </c>
      <c r="AC438" s="397">
        <f t="shared" si="168"/>
        <v>5</v>
      </c>
      <c r="AD438" s="397">
        <f t="shared" si="168"/>
        <v>5</v>
      </c>
      <c r="AE438" s="397">
        <f t="shared" si="168"/>
        <v>5</v>
      </c>
      <c r="AF438" s="397">
        <f t="shared" si="168"/>
        <v>5</v>
      </c>
      <c r="AG438" s="397">
        <f t="shared" si="168"/>
        <v>5</v>
      </c>
      <c r="AH438" s="397">
        <f t="shared" si="168"/>
        <v>5</v>
      </c>
      <c r="AI438" s="397">
        <f t="shared" si="168"/>
        <v>5</v>
      </c>
      <c r="AJ438" s="397">
        <f t="shared" si="168"/>
        <v>5</v>
      </c>
      <c r="AK438" s="397">
        <f t="shared" si="168"/>
        <v>5</v>
      </c>
      <c r="AL438" s="397">
        <f t="shared" si="168"/>
        <v>5</v>
      </c>
      <c r="AM438" s="397">
        <f t="shared" si="168"/>
        <v>5</v>
      </c>
      <c r="AN438" s="397">
        <f t="shared" si="168"/>
        <v>5</v>
      </c>
      <c r="AP438" s="20"/>
    </row>
    <row r="439" spans="2:42" x14ac:dyDescent="0.25">
      <c r="C439" s="20" t="s">
        <v>392</v>
      </c>
      <c r="D439" s="34" t="s">
        <v>162</v>
      </c>
      <c r="E439" s="398">
        <v>4</v>
      </c>
      <c r="F439" s="398">
        <f t="shared" ref="F439:AN439" si="169">E439*(1-F$415)+1</f>
        <v>4.2</v>
      </c>
      <c r="G439" s="398">
        <f t="shared" si="169"/>
        <v>4.3600000000000003</v>
      </c>
      <c r="H439" s="398">
        <f t="shared" si="169"/>
        <v>4.4880000000000004</v>
      </c>
      <c r="I439" s="398">
        <f t="shared" si="169"/>
        <v>4.5904000000000007</v>
      </c>
      <c r="J439" s="398">
        <f t="shared" si="169"/>
        <v>4.6723200000000009</v>
      </c>
      <c r="K439" s="398">
        <f t="shared" si="169"/>
        <v>4.7378560000000007</v>
      </c>
      <c r="L439" s="398">
        <f t="shared" si="169"/>
        <v>4.7902848000000002</v>
      </c>
      <c r="M439" s="398">
        <f t="shared" si="169"/>
        <v>4.8322278399999998</v>
      </c>
      <c r="N439" s="398">
        <f t="shared" si="169"/>
        <v>4.8657822720000006</v>
      </c>
      <c r="O439" s="398">
        <f t="shared" si="169"/>
        <v>4.8926258176000008</v>
      </c>
      <c r="P439" s="398">
        <f t="shared" si="169"/>
        <v>4.9141006540800003</v>
      </c>
      <c r="Q439" s="398">
        <f t="shared" si="169"/>
        <v>4.9312805232640002</v>
      </c>
      <c r="R439" s="398">
        <f t="shared" si="169"/>
        <v>4.9450244186112009</v>
      </c>
      <c r="S439" s="398">
        <f t="shared" si="169"/>
        <v>4.9560195348889611</v>
      </c>
      <c r="T439" s="398">
        <f t="shared" si="169"/>
        <v>4.964815627911169</v>
      </c>
      <c r="U439" s="398">
        <f t="shared" si="169"/>
        <v>4.9718525023289359</v>
      </c>
      <c r="V439" s="398">
        <f t="shared" si="169"/>
        <v>4.9774820018631489</v>
      </c>
      <c r="W439" s="398">
        <f t="shared" si="169"/>
        <v>4.9819856014905195</v>
      </c>
      <c r="X439" s="398">
        <f t="shared" si="169"/>
        <v>4.9855884811924156</v>
      </c>
      <c r="Y439" s="398">
        <f t="shared" si="169"/>
        <v>4.9884707849539325</v>
      </c>
      <c r="Z439" s="398">
        <f t="shared" si="169"/>
        <v>4.9907766279631467</v>
      </c>
      <c r="AA439" s="398">
        <f t="shared" si="169"/>
        <v>4.9926213023705177</v>
      </c>
      <c r="AB439" s="398">
        <f t="shared" si="169"/>
        <v>4.9940970418964143</v>
      </c>
      <c r="AC439" s="398">
        <f t="shared" si="169"/>
        <v>4.9952776335171318</v>
      </c>
      <c r="AD439" s="398">
        <f t="shared" si="169"/>
        <v>4.9962221068137058</v>
      </c>
      <c r="AE439" s="398">
        <f t="shared" si="169"/>
        <v>4.9969776854509647</v>
      </c>
      <c r="AF439" s="398">
        <f t="shared" si="169"/>
        <v>4.9975821483607721</v>
      </c>
      <c r="AG439" s="398">
        <f t="shared" si="169"/>
        <v>4.9980657186886184</v>
      </c>
      <c r="AH439" s="398">
        <f t="shared" si="169"/>
        <v>4.9984525749508943</v>
      </c>
      <c r="AI439" s="398">
        <f t="shared" si="169"/>
        <v>4.9987620599607157</v>
      </c>
      <c r="AJ439" s="398">
        <f t="shared" si="169"/>
        <v>4.9990096479685722</v>
      </c>
      <c r="AK439" s="398">
        <f t="shared" si="169"/>
        <v>4.9992077183748584</v>
      </c>
      <c r="AL439" s="398">
        <f t="shared" si="169"/>
        <v>4.9993661746998868</v>
      </c>
      <c r="AM439" s="398">
        <f t="shared" si="169"/>
        <v>4.999492939759909</v>
      </c>
      <c r="AN439" s="398">
        <f t="shared" si="169"/>
        <v>4.9995943518079269</v>
      </c>
      <c r="AP439" s="21"/>
    </row>
    <row r="440" spans="2:42" x14ac:dyDescent="0.25">
      <c r="C440" s="20" t="s">
        <v>454</v>
      </c>
      <c r="D440" s="34" t="s">
        <v>162</v>
      </c>
      <c r="E440" s="398">
        <v>3</v>
      </c>
      <c r="F440" s="398">
        <f t="shared" ref="F440:AN440" si="170">E440*(1-F$415)+1</f>
        <v>3.4000000000000004</v>
      </c>
      <c r="G440" s="398">
        <f t="shared" si="170"/>
        <v>3.7200000000000006</v>
      </c>
      <c r="H440" s="398">
        <f t="shared" si="170"/>
        <v>3.9760000000000009</v>
      </c>
      <c r="I440" s="398">
        <f t="shared" si="170"/>
        <v>4.1808000000000014</v>
      </c>
      <c r="J440" s="398">
        <f t="shared" si="170"/>
        <v>4.3446400000000018</v>
      </c>
      <c r="K440" s="398">
        <f t="shared" si="170"/>
        <v>4.4757120000000015</v>
      </c>
      <c r="L440" s="398">
        <f t="shared" si="170"/>
        <v>4.5805696000000014</v>
      </c>
      <c r="M440" s="398">
        <f t="shared" si="170"/>
        <v>4.6644556800000014</v>
      </c>
      <c r="N440" s="398">
        <f t="shared" si="170"/>
        <v>4.7315645440000011</v>
      </c>
      <c r="O440" s="398">
        <f t="shared" si="170"/>
        <v>4.7852516352000016</v>
      </c>
      <c r="P440" s="398">
        <f t="shared" si="170"/>
        <v>4.8282013081600015</v>
      </c>
      <c r="Q440" s="398">
        <f t="shared" si="170"/>
        <v>4.8625610465280014</v>
      </c>
      <c r="R440" s="398">
        <f t="shared" si="170"/>
        <v>4.8900488372224018</v>
      </c>
      <c r="S440" s="398">
        <f t="shared" si="170"/>
        <v>4.9120390697779222</v>
      </c>
      <c r="T440" s="398">
        <f t="shared" si="170"/>
        <v>4.9296312558223381</v>
      </c>
      <c r="U440" s="398">
        <f t="shared" si="170"/>
        <v>4.9437050046578701</v>
      </c>
      <c r="V440" s="398">
        <f t="shared" si="170"/>
        <v>4.9549640037262961</v>
      </c>
      <c r="W440" s="398">
        <f t="shared" si="170"/>
        <v>4.9639712029810372</v>
      </c>
      <c r="X440" s="398">
        <f t="shared" si="170"/>
        <v>4.9711769623848294</v>
      </c>
      <c r="Y440" s="398">
        <f t="shared" si="170"/>
        <v>4.9769415699078632</v>
      </c>
      <c r="Z440" s="398">
        <f t="shared" si="170"/>
        <v>4.9815532559262907</v>
      </c>
      <c r="AA440" s="398">
        <f t="shared" si="170"/>
        <v>4.9852426047410328</v>
      </c>
      <c r="AB440" s="398">
        <f t="shared" si="170"/>
        <v>4.9881940837928269</v>
      </c>
      <c r="AC440" s="398">
        <f t="shared" si="170"/>
        <v>4.9905552670342619</v>
      </c>
      <c r="AD440" s="398">
        <f t="shared" si="170"/>
        <v>4.9924442136274099</v>
      </c>
      <c r="AE440" s="398">
        <f t="shared" si="170"/>
        <v>4.9939553709019275</v>
      </c>
      <c r="AF440" s="398">
        <f t="shared" si="170"/>
        <v>4.9951642967215424</v>
      </c>
      <c r="AG440" s="398">
        <f t="shared" si="170"/>
        <v>4.9961314373772341</v>
      </c>
      <c r="AH440" s="398">
        <f t="shared" si="170"/>
        <v>4.9969051499017869</v>
      </c>
      <c r="AI440" s="398">
        <f t="shared" si="170"/>
        <v>4.9975241199214295</v>
      </c>
      <c r="AJ440" s="398">
        <f t="shared" si="170"/>
        <v>4.9980192959371443</v>
      </c>
      <c r="AK440" s="398">
        <f t="shared" si="170"/>
        <v>4.9984154367497151</v>
      </c>
      <c r="AL440" s="398">
        <f t="shared" si="170"/>
        <v>4.9987323493997717</v>
      </c>
      <c r="AM440" s="398">
        <f t="shared" si="170"/>
        <v>4.9989858795198181</v>
      </c>
      <c r="AN440" s="398">
        <f t="shared" si="170"/>
        <v>4.9991887036158547</v>
      </c>
      <c r="AP440" s="21"/>
    </row>
    <row r="441" spans="2:42" x14ac:dyDescent="0.25">
      <c r="C441" s="21" t="s">
        <v>455</v>
      </c>
      <c r="D441" s="34" t="s">
        <v>162</v>
      </c>
      <c r="E441" s="398">
        <v>2</v>
      </c>
      <c r="F441" s="398">
        <f t="shared" ref="F441:AN441" si="171">E441*(1-F$415)+1</f>
        <v>2.6</v>
      </c>
      <c r="G441" s="398">
        <f t="shared" si="171"/>
        <v>3.08</v>
      </c>
      <c r="H441" s="398">
        <f t="shared" si="171"/>
        <v>3.4640000000000004</v>
      </c>
      <c r="I441" s="398">
        <f t="shared" si="171"/>
        <v>3.7712000000000003</v>
      </c>
      <c r="J441" s="398">
        <f t="shared" si="171"/>
        <v>4.016960000000001</v>
      </c>
      <c r="K441" s="398">
        <f t="shared" si="171"/>
        <v>4.2135680000000004</v>
      </c>
      <c r="L441" s="398">
        <f t="shared" si="171"/>
        <v>4.3708544000000007</v>
      </c>
      <c r="M441" s="398">
        <f t="shared" si="171"/>
        <v>4.4966835200000013</v>
      </c>
      <c r="N441" s="398">
        <f t="shared" si="171"/>
        <v>4.5973468160000017</v>
      </c>
      <c r="O441" s="398">
        <f t="shared" si="171"/>
        <v>4.6778774528000016</v>
      </c>
      <c r="P441" s="398">
        <f t="shared" si="171"/>
        <v>4.7423019622400009</v>
      </c>
      <c r="Q441" s="398">
        <f t="shared" si="171"/>
        <v>4.7938415697920007</v>
      </c>
      <c r="R441" s="398">
        <f t="shared" si="171"/>
        <v>4.8350732558336009</v>
      </c>
      <c r="S441" s="398">
        <f t="shared" si="171"/>
        <v>4.8680586046668815</v>
      </c>
      <c r="T441" s="398">
        <f t="shared" si="171"/>
        <v>4.8944468837335053</v>
      </c>
      <c r="U441" s="398">
        <f t="shared" si="171"/>
        <v>4.9155575069868043</v>
      </c>
      <c r="V441" s="398">
        <f t="shared" si="171"/>
        <v>4.9324460055894441</v>
      </c>
      <c r="W441" s="398">
        <f t="shared" si="171"/>
        <v>4.9459568044715549</v>
      </c>
      <c r="X441" s="398">
        <f t="shared" si="171"/>
        <v>4.9567654435772441</v>
      </c>
      <c r="Y441" s="398">
        <f t="shared" si="171"/>
        <v>4.9654123548617957</v>
      </c>
      <c r="Z441" s="398">
        <f t="shared" si="171"/>
        <v>4.9723298838894365</v>
      </c>
      <c r="AA441" s="398">
        <f t="shared" si="171"/>
        <v>4.9778639071115496</v>
      </c>
      <c r="AB441" s="398">
        <f t="shared" si="171"/>
        <v>4.9822911256892404</v>
      </c>
      <c r="AC441" s="398">
        <f t="shared" si="171"/>
        <v>4.9858329005513919</v>
      </c>
      <c r="AD441" s="398">
        <f t="shared" si="171"/>
        <v>4.9886663204411139</v>
      </c>
      <c r="AE441" s="398">
        <f t="shared" si="171"/>
        <v>4.9909330563528913</v>
      </c>
      <c r="AF441" s="398">
        <f t="shared" si="171"/>
        <v>4.9927464450823127</v>
      </c>
      <c r="AG441" s="398">
        <f t="shared" si="171"/>
        <v>4.9941971560658498</v>
      </c>
      <c r="AH441" s="398">
        <f t="shared" si="171"/>
        <v>4.9953577248526795</v>
      </c>
      <c r="AI441" s="398">
        <f t="shared" si="171"/>
        <v>4.9962861798821443</v>
      </c>
      <c r="AJ441" s="398">
        <f t="shared" si="171"/>
        <v>4.9970289439057156</v>
      </c>
      <c r="AK441" s="398">
        <f t="shared" si="171"/>
        <v>4.9976231551245727</v>
      </c>
      <c r="AL441" s="398">
        <f t="shared" si="171"/>
        <v>4.9980985240996585</v>
      </c>
      <c r="AM441" s="398">
        <f t="shared" si="171"/>
        <v>4.9984788192797271</v>
      </c>
      <c r="AN441" s="398">
        <f t="shared" si="171"/>
        <v>4.9987830554237824</v>
      </c>
      <c r="AP441" s="21"/>
    </row>
    <row r="442" spans="2:42" x14ac:dyDescent="0.25">
      <c r="C442" s="21" t="s">
        <v>393</v>
      </c>
      <c r="D442" s="34" t="s">
        <v>162</v>
      </c>
      <c r="E442" s="398">
        <v>1</v>
      </c>
      <c r="F442" s="398">
        <f t="shared" ref="F442:AN442" si="172">E442*(1-F$415)+1</f>
        <v>1.8</v>
      </c>
      <c r="G442" s="398">
        <f t="shared" si="172"/>
        <v>2.4400000000000004</v>
      </c>
      <c r="H442" s="398">
        <f t="shared" si="172"/>
        <v>2.9520000000000004</v>
      </c>
      <c r="I442" s="398">
        <f t="shared" si="172"/>
        <v>3.3616000000000006</v>
      </c>
      <c r="J442" s="398">
        <f t="shared" si="172"/>
        <v>3.6892800000000006</v>
      </c>
      <c r="K442" s="398">
        <f t="shared" si="172"/>
        <v>3.9514240000000007</v>
      </c>
      <c r="L442" s="398">
        <f t="shared" si="172"/>
        <v>4.1611392000000009</v>
      </c>
      <c r="M442" s="398">
        <f t="shared" si="172"/>
        <v>4.3289113600000011</v>
      </c>
      <c r="N442" s="398">
        <f t="shared" si="172"/>
        <v>4.4631290880000005</v>
      </c>
      <c r="O442" s="398">
        <f t="shared" si="172"/>
        <v>4.5705032704000006</v>
      </c>
      <c r="P442" s="398">
        <f t="shared" si="172"/>
        <v>4.6564026163200012</v>
      </c>
      <c r="Q442" s="398">
        <f t="shared" si="172"/>
        <v>4.7251220930560009</v>
      </c>
      <c r="R442" s="398">
        <f t="shared" si="172"/>
        <v>4.7800976744448009</v>
      </c>
      <c r="S442" s="398">
        <f t="shared" si="172"/>
        <v>4.8240781395558407</v>
      </c>
      <c r="T442" s="398">
        <f t="shared" si="172"/>
        <v>4.8592625116446726</v>
      </c>
      <c r="U442" s="398">
        <f t="shared" si="172"/>
        <v>4.8874100093157384</v>
      </c>
      <c r="V442" s="398">
        <f t="shared" si="172"/>
        <v>4.9099280074525904</v>
      </c>
      <c r="W442" s="398">
        <f t="shared" si="172"/>
        <v>4.9279424059620727</v>
      </c>
      <c r="X442" s="398">
        <f t="shared" si="172"/>
        <v>4.9423539247696588</v>
      </c>
      <c r="Y442" s="398">
        <f t="shared" si="172"/>
        <v>4.9538831398157273</v>
      </c>
      <c r="Z442" s="398">
        <f t="shared" si="172"/>
        <v>4.9631065118525814</v>
      </c>
      <c r="AA442" s="398">
        <f t="shared" si="172"/>
        <v>4.9704852094820655</v>
      </c>
      <c r="AB442" s="398">
        <f t="shared" si="172"/>
        <v>4.9763881675856521</v>
      </c>
      <c r="AC442" s="398">
        <f t="shared" si="172"/>
        <v>4.981110534068522</v>
      </c>
      <c r="AD442" s="398">
        <f t="shared" si="172"/>
        <v>4.984888427254818</v>
      </c>
      <c r="AE442" s="398">
        <f t="shared" si="172"/>
        <v>4.9879107418038551</v>
      </c>
      <c r="AF442" s="398">
        <f t="shared" si="172"/>
        <v>4.9903285934430848</v>
      </c>
      <c r="AG442" s="398">
        <f t="shared" si="172"/>
        <v>4.9922628747544682</v>
      </c>
      <c r="AH442" s="398">
        <f t="shared" si="172"/>
        <v>4.9938102998035747</v>
      </c>
      <c r="AI442" s="398">
        <f t="shared" si="172"/>
        <v>4.9950482398428599</v>
      </c>
      <c r="AJ442" s="398">
        <f t="shared" si="172"/>
        <v>4.9960385918742887</v>
      </c>
      <c r="AK442" s="398">
        <f t="shared" si="172"/>
        <v>4.9968308734994311</v>
      </c>
      <c r="AL442" s="398">
        <f t="shared" si="172"/>
        <v>4.9974646987995452</v>
      </c>
      <c r="AM442" s="398">
        <f t="shared" si="172"/>
        <v>4.9979717590396362</v>
      </c>
      <c r="AN442" s="398">
        <f t="shared" si="172"/>
        <v>4.9983774072317093</v>
      </c>
      <c r="AP442" s="21"/>
    </row>
    <row r="443" spans="2:42" x14ac:dyDescent="0.25">
      <c r="C443" s="22" t="s">
        <v>456</v>
      </c>
      <c r="D443" s="34" t="s">
        <v>162</v>
      </c>
      <c r="E443" s="399">
        <v>0</v>
      </c>
      <c r="F443" s="399">
        <f t="shared" ref="F443:AN443" si="173">E443*(1-F$415)+1</f>
        <v>1</v>
      </c>
      <c r="G443" s="399">
        <f t="shared" si="173"/>
        <v>1.8</v>
      </c>
      <c r="H443" s="399">
        <f t="shared" si="173"/>
        <v>2.4400000000000004</v>
      </c>
      <c r="I443" s="399">
        <f t="shared" si="173"/>
        <v>2.9520000000000004</v>
      </c>
      <c r="J443" s="399">
        <f t="shared" si="173"/>
        <v>3.3616000000000006</v>
      </c>
      <c r="K443" s="399">
        <f t="shared" si="173"/>
        <v>3.6892800000000006</v>
      </c>
      <c r="L443" s="399">
        <f t="shared" si="173"/>
        <v>3.9514240000000007</v>
      </c>
      <c r="M443" s="399">
        <f t="shared" si="173"/>
        <v>4.1611392000000009</v>
      </c>
      <c r="N443" s="399">
        <f t="shared" si="173"/>
        <v>4.3289113600000011</v>
      </c>
      <c r="O443" s="399">
        <f t="shared" si="173"/>
        <v>4.4631290880000005</v>
      </c>
      <c r="P443" s="399">
        <f t="shared" si="173"/>
        <v>4.5705032704000006</v>
      </c>
      <c r="Q443" s="399">
        <f t="shared" si="173"/>
        <v>4.6564026163200012</v>
      </c>
      <c r="R443" s="399">
        <f t="shared" si="173"/>
        <v>4.7251220930560009</v>
      </c>
      <c r="S443" s="399">
        <f t="shared" si="173"/>
        <v>4.7800976744448009</v>
      </c>
      <c r="T443" s="399">
        <f t="shared" si="173"/>
        <v>4.8240781395558407</v>
      </c>
      <c r="U443" s="399">
        <f t="shared" si="173"/>
        <v>4.8592625116446726</v>
      </c>
      <c r="V443" s="399">
        <f t="shared" si="173"/>
        <v>4.8874100093157384</v>
      </c>
      <c r="W443" s="399">
        <f t="shared" si="173"/>
        <v>4.9099280074525904</v>
      </c>
      <c r="X443" s="399">
        <f t="shared" si="173"/>
        <v>4.9279424059620727</v>
      </c>
      <c r="Y443" s="399">
        <f t="shared" si="173"/>
        <v>4.9423539247696588</v>
      </c>
      <c r="Z443" s="399">
        <f t="shared" si="173"/>
        <v>4.9538831398157273</v>
      </c>
      <c r="AA443" s="399">
        <f t="shared" si="173"/>
        <v>4.9631065118525814</v>
      </c>
      <c r="AB443" s="399">
        <f t="shared" si="173"/>
        <v>4.9704852094820655</v>
      </c>
      <c r="AC443" s="399">
        <f t="shared" si="173"/>
        <v>4.9763881675856521</v>
      </c>
      <c r="AD443" s="399">
        <f t="shared" si="173"/>
        <v>4.981110534068522</v>
      </c>
      <c r="AE443" s="399">
        <f t="shared" si="173"/>
        <v>4.984888427254818</v>
      </c>
      <c r="AF443" s="399">
        <f t="shared" si="173"/>
        <v>4.9879107418038551</v>
      </c>
      <c r="AG443" s="399">
        <f t="shared" si="173"/>
        <v>4.9903285934430848</v>
      </c>
      <c r="AH443" s="399">
        <f t="shared" si="173"/>
        <v>4.9922628747544682</v>
      </c>
      <c r="AI443" s="399">
        <f t="shared" si="173"/>
        <v>4.9938102998035747</v>
      </c>
      <c r="AJ443" s="399">
        <f t="shared" si="173"/>
        <v>4.9950482398428599</v>
      </c>
      <c r="AK443" s="399">
        <f t="shared" si="173"/>
        <v>4.9960385918742887</v>
      </c>
      <c r="AL443" s="399">
        <f t="shared" si="173"/>
        <v>4.9968308734994311</v>
      </c>
      <c r="AM443" s="399">
        <f t="shared" si="173"/>
        <v>4.9974646987995452</v>
      </c>
      <c r="AN443" s="399">
        <f t="shared" si="173"/>
        <v>4.9979717590396362</v>
      </c>
      <c r="AP443" s="26"/>
    </row>
    <row r="444" spans="2:42" x14ac:dyDescent="0.25">
      <c r="B444" s="99" t="s">
        <v>9</v>
      </c>
      <c r="C444" s="312" t="str">
        <f>'4.2 Sector Mapping'!$B$9</f>
        <v>Healthcare</v>
      </c>
      <c r="D444" s="317"/>
      <c r="E444" s="312"/>
      <c r="F444" s="312"/>
      <c r="G444" s="312"/>
      <c r="H444" s="312"/>
      <c r="I444" s="312"/>
      <c r="J444" s="312"/>
      <c r="K444" s="312"/>
      <c r="L444" s="312"/>
      <c r="M444" s="312"/>
      <c r="N444" s="312"/>
      <c r="O444" s="312"/>
      <c r="P444" s="312"/>
      <c r="Q444" s="312"/>
      <c r="R444" s="312"/>
      <c r="S444" s="312"/>
      <c r="T444" s="312"/>
      <c r="U444" s="312"/>
      <c r="V444" s="312"/>
      <c r="W444" s="312"/>
      <c r="X444" s="312"/>
      <c r="Y444" s="312"/>
      <c r="Z444" s="312"/>
      <c r="AA444" s="312"/>
      <c r="AB444" s="312"/>
      <c r="AC444" s="312"/>
      <c r="AD444" s="312"/>
      <c r="AE444" s="312"/>
      <c r="AF444" s="312"/>
      <c r="AG444" s="312"/>
      <c r="AH444" s="312"/>
      <c r="AI444" s="312"/>
      <c r="AJ444" s="312"/>
      <c r="AK444" s="312"/>
      <c r="AL444" s="312"/>
      <c r="AM444" s="312"/>
      <c r="AN444" s="312"/>
      <c r="AO444" s="74"/>
      <c r="AP444" s="312"/>
    </row>
    <row r="445" spans="2:42" s="86" customFormat="1" x14ac:dyDescent="0.25">
      <c r="B445" s="3"/>
      <c r="C445" s="243" t="s">
        <v>625</v>
      </c>
      <c r="D445" s="36" t="s">
        <v>162</v>
      </c>
      <c r="E445" s="309">
        <v>0</v>
      </c>
      <c r="F445" s="309">
        <v>0</v>
      </c>
      <c r="G445" s="309">
        <f>ROUND(H445/2,0)</f>
        <v>1</v>
      </c>
      <c r="H445" s="309">
        <f>ROUND(I445/2,0)</f>
        <v>1</v>
      </c>
      <c r="I445" s="309">
        <f>J445</f>
        <v>1</v>
      </c>
      <c r="J445" s="309">
        <f>K445</f>
        <v>1</v>
      </c>
      <c r="K445" s="309">
        <f>L445</f>
        <v>1</v>
      </c>
      <c r="L445" s="309">
        <f>ROUND(M445/2,0)</f>
        <v>1</v>
      </c>
      <c r="M445" s="309">
        <f>N445</f>
        <v>1</v>
      </c>
      <c r="N445" s="309">
        <f>P445</f>
        <v>1</v>
      </c>
      <c r="O445" s="309">
        <f>P445</f>
        <v>1</v>
      </c>
      <c r="P445" s="309">
        <f>'Back-end Overview of Use Cases'!C7</f>
        <v>1</v>
      </c>
      <c r="Q445" s="309">
        <f>ROUND(IF($AB445-$P445=1,$P445,$P445+($AB445-$P445)/3),0)</f>
        <v>2</v>
      </c>
      <c r="R445" s="309">
        <f>ROUND(IF($AB445-$P445=1,$P445,$P445+($AB445-$P445)/3),0)</f>
        <v>2</v>
      </c>
      <c r="S445" s="309">
        <f>ROUND(IF($AB445-$P445=1,$P445,$P445+($AB445-$P445)/3),0)</f>
        <v>2</v>
      </c>
      <c r="T445" s="309">
        <f>ROUND(IF($AB445-$P445=1,$P445,$P445+($AB445-$P445)/3),0)</f>
        <v>2</v>
      </c>
      <c r="U445" s="309">
        <f>ROUND(AVERAGE(T445,Y445),0)</f>
        <v>3</v>
      </c>
      <c r="V445" s="309">
        <f>U445</f>
        <v>3</v>
      </c>
      <c r="W445" s="309">
        <f>V445</f>
        <v>3</v>
      </c>
      <c r="X445" s="309">
        <f>W445</f>
        <v>3</v>
      </c>
      <c r="Y445" s="309">
        <f>Z445</f>
        <v>3</v>
      </c>
      <c r="Z445" s="309">
        <f>AA445</f>
        <v>3</v>
      </c>
      <c r="AA445" s="309">
        <f>AB445</f>
        <v>3</v>
      </c>
      <c r="AB445" s="309">
        <f>'Back-end Overview of Use Cases'!D7</f>
        <v>3</v>
      </c>
      <c r="AC445" s="309">
        <f>ROUND(IF($AN445-$AB445=1,$AB445,$AB445+($AN445-$AB445)/3),0)</f>
        <v>5</v>
      </c>
      <c r="AD445" s="309">
        <f>ROUND(IF($AN445-$AB445=1,$AB445,$AB445+($AN445-$AB445)/3),0)</f>
        <v>5</v>
      </c>
      <c r="AE445" s="309">
        <f>ROUND(IF($AN445-$AB445=1,$AB445,$AB445+($AN445-$AB445)/3),0)</f>
        <v>5</v>
      </c>
      <c r="AF445" s="309">
        <f>ROUND(IF($AN445-$AB445=1,$AB445,$AB445+($AN445-$AB445)/3),0)</f>
        <v>5</v>
      </c>
      <c r="AG445" s="309">
        <f>ROUND(AVERAGE(AF445,AK445),0)</f>
        <v>7</v>
      </c>
      <c r="AH445" s="309">
        <f>AG445</f>
        <v>7</v>
      </c>
      <c r="AI445" s="309">
        <f>AH445</f>
        <v>7</v>
      </c>
      <c r="AJ445" s="309">
        <f>AI445</f>
        <v>7</v>
      </c>
      <c r="AK445" s="309">
        <f>AN445</f>
        <v>8</v>
      </c>
      <c r="AL445" s="309">
        <f>AN445</f>
        <v>8</v>
      </c>
      <c r="AM445" s="309">
        <f>AN445</f>
        <v>8</v>
      </c>
      <c r="AN445" s="309">
        <f>'Back-end Overview of Use Cases'!E7</f>
        <v>8</v>
      </c>
      <c r="AP445" s="243"/>
    </row>
    <row r="446" spans="2:42" x14ac:dyDescent="0.25">
      <c r="C446" s="299" t="s">
        <v>691</v>
      </c>
      <c r="D446" s="330" t="s">
        <v>29</v>
      </c>
      <c r="E446" s="421">
        <v>0</v>
      </c>
      <c r="F446" s="421">
        <v>0.2</v>
      </c>
      <c r="G446" s="421">
        <v>0.2</v>
      </c>
      <c r="H446" s="421">
        <v>0.2</v>
      </c>
      <c r="I446" s="421">
        <v>0.2</v>
      </c>
      <c r="J446" s="421">
        <v>0.2</v>
      </c>
      <c r="K446" s="421">
        <v>0.2</v>
      </c>
      <c r="L446" s="421">
        <v>0.2</v>
      </c>
      <c r="M446" s="421">
        <v>0.2</v>
      </c>
      <c r="N446" s="421">
        <v>0.2</v>
      </c>
      <c r="O446" s="421">
        <v>0.2</v>
      </c>
      <c r="P446" s="421">
        <v>0.2</v>
      </c>
      <c r="Q446" s="421">
        <v>0.2</v>
      </c>
      <c r="R446" s="421">
        <v>0.2</v>
      </c>
      <c r="S446" s="421">
        <v>0.2</v>
      </c>
      <c r="T446" s="421">
        <v>0.2</v>
      </c>
      <c r="U446" s="421">
        <v>0.2</v>
      </c>
      <c r="V446" s="421">
        <v>0.2</v>
      </c>
      <c r="W446" s="421">
        <v>0.2</v>
      </c>
      <c r="X446" s="421">
        <v>0.2</v>
      </c>
      <c r="Y446" s="421">
        <v>0.2</v>
      </c>
      <c r="Z446" s="421">
        <v>0.2</v>
      </c>
      <c r="AA446" s="421">
        <v>0.2</v>
      </c>
      <c r="AB446" s="421">
        <v>0.2</v>
      </c>
      <c r="AC446" s="421">
        <v>0.2</v>
      </c>
      <c r="AD446" s="421">
        <v>0.2</v>
      </c>
      <c r="AE446" s="421">
        <v>0.2</v>
      </c>
      <c r="AF446" s="421">
        <v>0.2</v>
      </c>
      <c r="AG446" s="421">
        <v>0.2</v>
      </c>
      <c r="AH446" s="421">
        <v>0.2</v>
      </c>
      <c r="AI446" s="421">
        <v>0.2</v>
      </c>
      <c r="AJ446" s="421">
        <v>0.2</v>
      </c>
      <c r="AK446" s="421">
        <v>0.2</v>
      </c>
      <c r="AL446" s="421">
        <v>0.2</v>
      </c>
      <c r="AM446" s="421">
        <v>0.2</v>
      </c>
      <c r="AN446" s="421">
        <v>0.2</v>
      </c>
      <c r="AP446" s="299"/>
    </row>
    <row r="447" spans="2:42" x14ac:dyDescent="0.25">
      <c r="B447" s="99" t="s">
        <v>9</v>
      </c>
      <c r="C447" s="311" t="s">
        <v>626</v>
      </c>
      <c r="D447" s="318"/>
      <c r="E447" s="311"/>
      <c r="F447" s="311"/>
      <c r="G447" s="311"/>
      <c r="H447" s="311"/>
      <c r="I447" s="311"/>
      <c r="J447" s="311"/>
      <c r="K447" s="311"/>
      <c r="L447" s="311"/>
      <c r="M447" s="311"/>
      <c r="N447" s="311"/>
      <c r="O447" s="311"/>
      <c r="P447" s="311"/>
      <c r="Q447" s="311"/>
      <c r="R447" s="311"/>
      <c r="S447" s="311"/>
      <c r="T447" s="311"/>
      <c r="U447" s="311"/>
      <c r="V447" s="311"/>
      <c r="W447" s="311"/>
      <c r="X447" s="311"/>
      <c r="Y447" s="311"/>
      <c r="Z447" s="311"/>
      <c r="AA447" s="311"/>
      <c r="AB447" s="311"/>
      <c r="AC447" s="311"/>
      <c r="AD447" s="311"/>
      <c r="AE447" s="311"/>
      <c r="AF447" s="311"/>
      <c r="AG447" s="311"/>
      <c r="AH447" s="311"/>
      <c r="AI447" s="311"/>
      <c r="AJ447" s="311"/>
      <c r="AK447" s="311"/>
      <c r="AL447" s="311"/>
      <c r="AM447" s="311"/>
      <c r="AN447" s="311"/>
      <c r="AO447" s="74"/>
      <c r="AP447" s="311"/>
    </row>
    <row r="448" spans="2:42" x14ac:dyDescent="0.25">
      <c r="C448" s="20" t="s">
        <v>600</v>
      </c>
      <c r="D448" s="34" t="s">
        <v>162</v>
      </c>
      <c r="E448" s="397">
        <v>5</v>
      </c>
      <c r="F448" s="397">
        <f>E448*(1-F$446)+1</f>
        <v>5</v>
      </c>
      <c r="G448" s="397">
        <f t="shared" ref="G448:AN453" si="174">F448*(1-G$446)+1</f>
        <v>5</v>
      </c>
      <c r="H448" s="397">
        <f t="shared" si="174"/>
        <v>5</v>
      </c>
      <c r="I448" s="397">
        <f t="shared" si="174"/>
        <v>5</v>
      </c>
      <c r="J448" s="397">
        <f t="shared" si="174"/>
        <v>5</v>
      </c>
      <c r="K448" s="397">
        <f t="shared" si="174"/>
        <v>5</v>
      </c>
      <c r="L448" s="397">
        <f t="shared" si="174"/>
        <v>5</v>
      </c>
      <c r="M448" s="397">
        <f t="shared" si="174"/>
        <v>5</v>
      </c>
      <c r="N448" s="397">
        <f t="shared" si="174"/>
        <v>5</v>
      </c>
      <c r="O448" s="397">
        <f t="shared" si="174"/>
        <v>5</v>
      </c>
      <c r="P448" s="397">
        <f t="shared" si="174"/>
        <v>5</v>
      </c>
      <c r="Q448" s="397">
        <f t="shared" si="174"/>
        <v>5</v>
      </c>
      <c r="R448" s="397">
        <f t="shared" si="174"/>
        <v>5</v>
      </c>
      <c r="S448" s="397">
        <f t="shared" si="174"/>
        <v>5</v>
      </c>
      <c r="T448" s="397">
        <f t="shared" si="174"/>
        <v>5</v>
      </c>
      <c r="U448" s="397">
        <f t="shared" si="174"/>
        <v>5</v>
      </c>
      <c r="V448" s="397">
        <f t="shared" si="174"/>
        <v>5</v>
      </c>
      <c r="W448" s="397">
        <f t="shared" si="174"/>
        <v>5</v>
      </c>
      <c r="X448" s="397">
        <f t="shared" si="174"/>
        <v>5</v>
      </c>
      <c r="Y448" s="397">
        <f t="shared" si="174"/>
        <v>5</v>
      </c>
      <c r="Z448" s="397">
        <f t="shared" si="174"/>
        <v>5</v>
      </c>
      <c r="AA448" s="397">
        <f t="shared" si="174"/>
        <v>5</v>
      </c>
      <c r="AB448" s="397">
        <f t="shared" si="174"/>
        <v>5</v>
      </c>
      <c r="AC448" s="397">
        <f t="shared" si="174"/>
        <v>5</v>
      </c>
      <c r="AD448" s="397">
        <f t="shared" si="174"/>
        <v>5</v>
      </c>
      <c r="AE448" s="397">
        <f t="shared" si="174"/>
        <v>5</v>
      </c>
      <c r="AF448" s="397">
        <f t="shared" si="174"/>
        <v>5</v>
      </c>
      <c r="AG448" s="397">
        <f t="shared" si="174"/>
        <v>5</v>
      </c>
      <c r="AH448" s="397">
        <f t="shared" si="174"/>
        <v>5</v>
      </c>
      <c r="AI448" s="397">
        <f t="shared" si="174"/>
        <v>5</v>
      </c>
      <c r="AJ448" s="397">
        <f t="shared" si="174"/>
        <v>5</v>
      </c>
      <c r="AK448" s="397">
        <f t="shared" si="174"/>
        <v>5</v>
      </c>
      <c r="AL448" s="397">
        <f t="shared" si="174"/>
        <v>5</v>
      </c>
      <c r="AM448" s="397">
        <f t="shared" si="174"/>
        <v>5</v>
      </c>
      <c r="AN448" s="397">
        <f t="shared" si="174"/>
        <v>5</v>
      </c>
      <c r="AP448" s="20"/>
    </row>
    <row r="449" spans="2:42" x14ac:dyDescent="0.25">
      <c r="C449" s="20" t="s">
        <v>392</v>
      </c>
      <c r="D449" s="34" t="s">
        <v>162</v>
      </c>
      <c r="E449" s="398">
        <v>4</v>
      </c>
      <c r="F449" s="398">
        <f t="shared" ref="F449:U453" si="175">E449*(1-F$446)+1</f>
        <v>4.2</v>
      </c>
      <c r="G449" s="398">
        <f t="shared" si="175"/>
        <v>4.3600000000000003</v>
      </c>
      <c r="H449" s="398">
        <f t="shared" si="175"/>
        <v>4.4880000000000004</v>
      </c>
      <c r="I449" s="398">
        <f t="shared" si="175"/>
        <v>4.5904000000000007</v>
      </c>
      <c r="J449" s="398">
        <f t="shared" si="175"/>
        <v>4.6723200000000009</v>
      </c>
      <c r="K449" s="398">
        <f t="shared" si="175"/>
        <v>4.7378560000000007</v>
      </c>
      <c r="L449" s="398">
        <f t="shared" si="175"/>
        <v>4.7902848000000002</v>
      </c>
      <c r="M449" s="398">
        <f t="shared" si="175"/>
        <v>4.8322278399999998</v>
      </c>
      <c r="N449" s="398">
        <f t="shared" si="175"/>
        <v>4.8657822720000006</v>
      </c>
      <c r="O449" s="398">
        <f t="shared" si="175"/>
        <v>4.8926258176000008</v>
      </c>
      <c r="P449" s="398">
        <f t="shared" si="175"/>
        <v>4.9141006540800003</v>
      </c>
      <c r="Q449" s="398">
        <f t="shared" si="175"/>
        <v>4.9312805232640002</v>
      </c>
      <c r="R449" s="398">
        <f t="shared" si="175"/>
        <v>4.9450244186112009</v>
      </c>
      <c r="S449" s="398">
        <f t="shared" si="175"/>
        <v>4.9560195348889611</v>
      </c>
      <c r="T449" s="398">
        <f t="shared" si="175"/>
        <v>4.964815627911169</v>
      </c>
      <c r="U449" s="398">
        <f t="shared" si="175"/>
        <v>4.9718525023289359</v>
      </c>
      <c r="V449" s="398">
        <f t="shared" si="174"/>
        <v>4.9774820018631489</v>
      </c>
      <c r="W449" s="398">
        <f t="shared" si="174"/>
        <v>4.9819856014905195</v>
      </c>
      <c r="X449" s="398">
        <f t="shared" si="174"/>
        <v>4.9855884811924156</v>
      </c>
      <c r="Y449" s="398">
        <f t="shared" si="174"/>
        <v>4.9884707849539325</v>
      </c>
      <c r="Z449" s="398">
        <f t="shared" si="174"/>
        <v>4.9907766279631467</v>
      </c>
      <c r="AA449" s="398">
        <f t="shared" si="174"/>
        <v>4.9926213023705177</v>
      </c>
      <c r="AB449" s="398">
        <f t="shared" si="174"/>
        <v>4.9940970418964143</v>
      </c>
      <c r="AC449" s="398">
        <f t="shared" si="174"/>
        <v>4.9952776335171318</v>
      </c>
      <c r="AD449" s="398">
        <f t="shared" si="174"/>
        <v>4.9962221068137058</v>
      </c>
      <c r="AE449" s="398">
        <f t="shared" si="174"/>
        <v>4.9969776854509647</v>
      </c>
      <c r="AF449" s="398">
        <f t="shared" si="174"/>
        <v>4.9975821483607721</v>
      </c>
      <c r="AG449" s="398">
        <f t="shared" si="174"/>
        <v>4.9980657186886184</v>
      </c>
      <c r="AH449" s="398">
        <f t="shared" si="174"/>
        <v>4.9984525749508943</v>
      </c>
      <c r="AI449" s="398">
        <f t="shared" si="174"/>
        <v>4.9987620599607157</v>
      </c>
      <c r="AJ449" s="398">
        <f t="shared" si="174"/>
        <v>4.9990096479685722</v>
      </c>
      <c r="AK449" s="398">
        <f t="shared" si="174"/>
        <v>4.9992077183748584</v>
      </c>
      <c r="AL449" s="398">
        <f t="shared" si="174"/>
        <v>4.9993661746998868</v>
      </c>
      <c r="AM449" s="398">
        <f t="shared" si="174"/>
        <v>4.999492939759909</v>
      </c>
      <c r="AN449" s="398">
        <f t="shared" si="174"/>
        <v>4.9995943518079269</v>
      </c>
      <c r="AP449" s="21"/>
    </row>
    <row r="450" spans="2:42" x14ac:dyDescent="0.25">
      <c r="C450" s="20" t="s">
        <v>454</v>
      </c>
      <c r="D450" s="34" t="s">
        <v>162</v>
      </c>
      <c r="E450" s="398">
        <v>3</v>
      </c>
      <c r="F450" s="398">
        <f t="shared" si="175"/>
        <v>3.4000000000000004</v>
      </c>
      <c r="G450" s="398">
        <f t="shared" si="174"/>
        <v>3.7200000000000006</v>
      </c>
      <c r="H450" s="398">
        <f t="shared" si="174"/>
        <v>3.9760000000000009</v>
      </c>
      <c r="I450" s="398">
        <f t="shared" si="174"/>
        <v>4.1808000000000014</v>
      </c>
      <c r="J450" s="398">
        <f t="shared" si="174"/>
        <v>4.3446400000000018</v>
      </c>
      <c r="K450" s="398">
        <f t="shared" si="174"/>
        <v>4.4757120000000015</v>
      </c>
      <c r="L450" s="398">
        <f t="shared" si="174"/>
        <v>4.5805696000000014</v>
      </c>
      <c r="M450" s="398">
        <f t="shared" si="174"/>
        <v>4.6644556800000014</v>
      </c>
      <c r="N450" s="398">
        <f t="shared" si="174"/>
        <v>4.7315645440000011</v>
      </c>
      <c r="O450" s="398">
        <f t="shared" si="174"/>
        <v>4.7852516352000016</v>
      </c>
      <c r="P450" s="398">
        <f t="shared" si="174"/>
        <v>4.8282013081600015</v>
      </c>
      <c r="Q450" s="398">
        <f t="shared" si="174"/>
        <v>4.8625610465280014</v>
      </c>
      <c r="R450" s="398">
        <f t="shared" si="174"/>
        <v>4.8900488372224018</v>
      </c>
      <c r="S450" s="398">
        <f t="shared" si="174"/>
        <v>4.9120390697779222</v>
      </c>
      <c r="T450" s="398">
        <f t="shared" si="174"/>
        <v>4.9296312558223381</v>
      </c>
      <c r="U450" s="398">
        <f t="shared" si="174"/>
        <v>4.9437050046578701</v>
      </c>
      <c r="V450" s="398">
        <f t="shared" si="174"/>
        <v>4.9549640037262961</v>
      </c>
      <c r="W450" s="398">
        <f t="shared" si="174"/>
        <v>4.9639712029810372</v>
      </c>
      <c r="X450" s="398">
        <f t="shared" si="174"/>
        <v>4.9711769623848294</v>
      </c>
      <c r="Y450" s="398">
        <f t="shared" si="174"/>
        <v>4.9769415699078632</v>
      </c>
      <c r="Z450" s="398">
        <f t="shared" si="174"/>
        <v>4.9815532559262907</v>
      </c>
      <c r="AA450" s="398">
        <f t="shared" si="174"/>
        <v>4.9852426047410328</v>
      </c>
      <c r="AB450" s="398">
        <f t="shared" si="174"/>
        <v>4.9881940837928269</v>
      </c>
      <c r="AC450" s="398">
        <f t="shared" si="174"/>
        <v>4.9905552670342619</v>
      </c>
      <c r="AD450" s="398">
        <f t="shared" si="174"/>
        <v>4.9924442136274099</v>
      </c>
      <c r="AE450" s="398">
        <f t="shared" si="174"/>
        <v>4.9939553709019275</v>
      </c>
      <c r="AF450" s="398">
        <f t="shared" si="174"/>
        <v>4.9951642967215424</v>
      </c>
      <c r="AG450" s="398">
        <f t="shared" si="174"/>
        <v>4.9961314373772341</v>
      </c>
      <c r="AH450" s="398">
        <f t="shared" si="174"/>
        <v>4.9969051499017869</v>
      </c>
      <c r="AI450" s="398">
        <f t="shared" si="174"/>
        <v>4.9975241199214295</v>
      </c>
      <c r="AJ450" s="398">
        <f t="shared" si="174"/>
        <v>4.9980192959371443</v>
      </c>
      <c r="AK450" s="398">
        <f t="shared" si="174"/>
        <v>4.9984154367497151</v>
      </c>
      <c r="AL450" s="398">
        <f t="shared" si="174"/>
        <v>4.9987323493997717</v>
      </c>
      <c r="AM450" s="398">
        <f t="shared" si="174"/>
        <v>4.9989858795198181</v>
      </c>
      <c r="AN450" s="398">
        <f t="shared" si="174"/>
        <v>4.9991887036158547</v>
      </c>
      <c r="AP450" s="21"/>
    </row>
    <row r="451" spans="2:42" x14ac:dyDescent="0.25">
      <c r="C451" s="21" t="s">
        <v>455</v>
      </c>
      <c r="D451" s="34" t="s">
        <v>162</v>
      </c>
      <c r="E451" s="398">
        <v>2</v>
      </c>
      <c r="F451" s="398">
        <f t="shared" si="175"/>
        <v>2.6</v>
      </c>
      <c r="G451" s="398">
        <f t="shared" si="174"/>
        <v>3.08</v>
      </c>
      <c r="H451" s="398">
        <f t="shared" si="174"/>
        <v>3.4640000000000004</v>
      </c>
      <c r="I451" s="398">
        <f t="shared" si="174"/>
        <v>3.7712000000000003</v>
      </c>
      <c r="J451" s="398">
        <f t="shared" si="174"/>
        <v>4.016960000000001</v>
      </c>
      <c r="K451" s="398">
        <f t="shared" si="174"/>
        <v>4.2135680000000004</v>
      </c>
      <c r="L451" s="398">
        <f t="shared" si="174"/>
        <v>4.3708544000000007</v>
      </c>
      <c r="M451" s="398">
        <f t="shared" si="174"/>
        <v>4.4966835200000013</v>
      </c>
      <c r="N451" s="398">
        <f t="shared" si="174"/>
        <v>4.5973468160000017</v>
      </c>
      <c r="O451" s="398">
        <f t="shared" si="174"/>
        <v>4.6778774528000016</v>
      </c>
      <c r="P451" s="398">
        <f t="shared" si="174"/>
        <v>4.7423019622400009</v>
      </c>
      <c r="Q451" s="398">
        <f t="shared" si="174"/>
        <v>4.7938415697920007</v>
      </c>
      <c r="R451" s="398">
        <f t="shared" si="174"/>
        <v>4.8350732558336009</v>
      </c>
      <c r="S451" s="398">
        <f t="shared" si="174"/>
        <v>4.8680586046668815</v>
      </c>
      <c r="T451" s="398">
        <f t="shared" si="174"/>
        <v>4.8944468837335053</v>
      </c>
      <c r="U451" s="398">
        <f t="shared" si="174"/>
        <v>4.9155575069868043</v>
      </c>
      <c r="V451" s="398">
        <f t="shared" si="174"/>
        <v>4.9324460055894441</v>
      </c>
      <c r="W451" s="398">
        <f t="shared" si="174"/>
        <v>4.9459568044715549</v>
      </c>
      <c r="X451" s="398">
        <f t="shared" si="174"/>
        <v>4.9567654435772441</v>
      </c>
      <c r="Y451" s="398">
        <f t="shared" si="174"/>
        <v>4.9654123548617957</v>
      </c>
      <c r="Z451" s="398">
        <f t="shared" si="174"/>
        <v>4.9723298838894365</v>
      </c>
      <c r="AA451" s="398">
        <f t="shared" si="174"/>
        <v>4.9778639071115496</v>
      </c>
      <c r="AB451" s="398">
        <f t="shared" si="174"/>
        <v>4.9822911256892404</v>
      </c>
      <c r="AC451" s="398">
        <f t="shared" si="174"/>
        <v>4.9858329005513919</v>
      </c>
      <c r="AD451" s="398">
        <f t="shared" si="174"/>
        <v>4.9886663204411139</v>
      </c>
      <c r="AE451" s="398">
        <f t="shared" si="174"/>
        <v>4.9909330563528913</v>
      </c>
      <c r="AF451" s="398">
        <f t="shared" si="174"/>
        <v>4.9927464450823127</v>
      </c>
      <c r="AG451" s="398">
        <f t="shared" si="174"/>
        <v>4.9941971560658498</v>
      </c>
      <c r="AH451" s="398">
        <f t="shared" si="174"/>
        <v>4.9953577248526795</v>
      </c>
      <c r="AI451" s="398">
        <f t="shared" si="174"/>
        <v>4.9962861798821443</v>
      </c>
      <c r="AJ451" s="398">
        <f t="shared" si="174"/>
        <v>4.9970289439057156</v>
      </c>
      <c r="AK451" s="398">
        <f t="shared" si="174"/>
        <v>4.9976231551245727</v>
      </c>
      <c r="AL451" s="398">
        <f t="shared" si="174"/>
        <v>4.9980985240996585</v>
      </c>
      <c r="AM451" s="398">
        <f t="shared" si="174"/>
        <v>4.9984788192797271</v>
      </c>
      <c r="AN451" s="398">
        <f t="shared" si="174"/>
        <v>4.9987830554237824</v>
      </c>
      <c r="AP451" s="21"/>
    </row>
    <row r="452" spans="2:42" x14ac:dyDescent="0.25">
      <c r="C452" s="21" t="s">
        <v>393</v>
      </c>
      <c r="D452" s="34" t="s">
        <v>162</v>
      </c>
      <c r="E452" s="398">
        <v>1</v>
      </c>
      <c r="F452" s="398">
        <f t="shared" si="175"/>
        <v>1.8</v>
      </c>
      <c r="G452" s="398">
        <f t="shared" si="174"/>
        <v>2.4400000000000004</v>
      </c>
      <c r="H452" s="398">
        <f t="shared" si="174"/>
        <v>2.9520000000000004</v>
      </c>
      <c r="I452" s="398">
        <f t="shared" si="174"/>
        <v>3.3616000000000006</v>
      </c>
      <c r="J452" s="398">
        <f t="shared" si="174"/>
        <v>3.6892800000000006</v>
      </c>
      <c r="K452" s="398">
        <f t="shared" si="174"/>
        <v>3.9514240000000007</v>
      </c>
      <c r="L452" s="398">
        <f t="shared" si="174"/>
        <v>4.1611392000000009</v>
      </c>
      <c r="M452" s="398">
        <f t="shared" si="174"/>
        <v>4.3289113600000011</v>
      </c>
      <c r="N452" s="398">
        <f t="shared" si="174"/>
        <v>4.4631290880000005</v>
      </c>
      <c r="O452" s="398">
        <f t="shared" si="174"/>
        <v>4.5705032704000006</v>
      </c>
      <c r="P452" s="398">
        <f t="shared" si="174"/>
        <v>4.6564026163200012</v>
      </c>
      <c r="Q452" s="398">
        <f t="shared" si="174"/>
        <v>4.7251220930560009</v>
      </c>
      <c r="R452" s="398">
        <f t="shared" si="174"/>
        <v>4.7800976744448009</v>
      </c>
      <c r="S452" s="398">
        <f t="shared" si="174"/>
        <v>4.8240781395558407</v>
      </c>
      <c r="T452" s="398">
        <f t="shared" si="174"/>
        <v>4.8592625116446726</v>
      </c>
      <c r="U452" s="398">
        <f t="shared" si="174"/>
        <v>4.8874100093157384</v>
      </c>
      <c r="V452" s="398">
        <f t="shared" si="174"/>
        <v>4.9099280074525904</v>
      </c>
      <c r="W452" s="398">
        <f t="shared" si="174"/>
        <v>4.9279424059620727</v>
      </c>
      <c r="X452" s="398">
        <f t="shared" si="174"/>
        <v>4.9423539247696588</v>
      </c>
      <c r="Y452" s="398">
        <f t="shared" si="174"/>
        <v>4.9538831398157273</v>
      </c>
      <c r="Z452" s="398">
        <f t="shared" si="174"/>
        <v>4.9631065118525814</v>
      </c>
      <c r="AA452" s="398">
        <f t="shared" si="174"/>
        <v>4.9704852094820655</v>
      </c>
      <c r="AB452" s="398">
        <f t="shared" si="174"/>
        <v>4.9763881675856521</v>
      </c>
      <c r="AC452" s="398">
        <f t="shared" si="174"/>
        <v>4.981110534068522</v>
      </c>
      <c r="AD452" s="398">
        <f t="shared" si="174"/>
        <v>4.984888427254818</v>
      </c>
      <c r="AE452" s="398">
        <f t="shared" si="174"/>
        <v>4.9879107418038551</v>
      </c>
      <c r="AF452" s="398">
        <f t="shared" si="174"/>
        <v>4.9903285934430848</v>
      </c>
      <c r="AG452" s="398">
        <f t="shared" si="174"/>
        <v>4.9922628747544682</v>
      </c>
      <c r="AH452" s="398">
        <f t="shared" si="174"/>
        <v>4.9938102998035747</v>
      </c>
      <c r="AI452" s="398">
        <f t="shared" si="174"/>
        <v>4.9950482398428599</v>
      </c>
      <c r="AJ452" s="398">
        <f t="shared" si="174"/>
        <v>4.9960385918742887</v>
      </c>
      <c r="AK452" s="398">
        <f t="shared" si="174"/>
        <v>4.9968308734994311</v>
      </c>
      <c r="AL452" s="398">
        <f t="shared" si="174"/>
        <v>4.9974646987995452</v>
      </c>
      <c r="AM452" s="398">
        <f t="shared" si="174"/>
        <v>4.9979717590396362</v>
      </c>
      <c r="AN452" s="398">
        <f t="shared" si="174"/>
        <v>4.9983774072317093</v>
      </c>
      <c r="AP452" s="21"/>
    </row>
    <row r="453" spans="2:42" x14ac:dyDescent="0.25">
      <c r="C453" s="22" t="s">
        <v>456</v>
      </c>
      <c r="D453" s="34" t="s">
        <v>162</v>
      </c>
      <c r="E453" s="399">
        <v>0</v>
      </c>
      <c r="F453" s="399">
        <f t="shared" si="175"/>
        <v>1</v>
      </c>
      <c r="G453" s="399">
        <f t="shared" si="174"/>
        <v>1.8</v>
      </c>
      <c r="H453" s="399">
        <f t="shared" si="174"/>
        <v>2.4400000000000004</v>
      </c>
      <c r="I453" s="399">
        <f t="shared" si="174"/>
        <v>2.9520000000000004</v>
      </c>
      <c r="J453" s="399">
        <f t="shared" si="174"/>
        <v>3.3616000000000006</v>
      </c>
      <c r="K453" s="399">
        <f t="shared" si="174"/>
        <v>3.6892800000000006</v>
      </c>
      <c r="L453" s="399">
        <f t="shared" si="174"/>
        <v>3.9514240000000007</v>
      </c>
      <c r="M453" s="399">
        <f t="shared" si="174"/>
        <v>4.1611392000000009</v>
      </c>
      <c r="N453" s="399">
        <f t="shared" si="174"/>
        <v>4.3289113600000011</v>
      </c>
      <c r="O453" s="399">
        <f t="shared" si="174"/>
        <v>4.4631290880000005</v>
      </c>
      <c r="P453" s="399">
        <f t="shared" si="174"/>
        <v>4.5705032704000006</v>
      </c>
      <c r="Q453" s="399">
        <f t="shared" si="174"/>
        <v>4.6564026163200012</v>
      </c>
      <c r="R453" s="399">
        <f t="shared" si="174"/>
        <v>4.7251220930560009</v>
      </c>
      <c r="S453" s="399">
        <f t="shared" si="174"/>
        <v>4.7800976744448009</v>
      </c>
      <c r="T453" s="399">
        <f t="shared" si="174"/>
        <v>4.8240781395558407</v>
      </c>
      <c r="U453" s="399">
        <f t="shared" si="174"/>
        <v>4.8592625116446726</v>
      </c>
      <c r="V453" s="399">
        <f t="shared" si="174"/>
        <v>4.8874100093157384</v>
      </c>
      <c r="W453" s="399">
        <f t="shared" si="174"/>
        <v>4.9099280074525904</v>
      </c>
      <c r="X453" s="399">
        <f t="shared" si="174"/>
        <v>4.9279424059620727</v>
      </c>
      <c r="Y453" s="399">
        <f t="shared" si="174"/>
        <v>4.9423539247696588</v>
      </c>
      <c r="Z453" s="399">
        <f t="shared" si="174"/>
        <v>4.9538831398157273</v>
      </c>
      <c r="AA453" s="399">
        <f t="shared" si="174"/>
        <v>4.9631065118525814</v>
      </c>
      <c r="AB453" s="399">
        <f t="shared" si="174"/>
        <v>4.9704852094820655</v>
      </c>
      <c r="AC453" s="399">
        <f t="shared" si="174"/>
        <v>4.9763881675856521</v>
      </c>
      <c r="AD453" s="399">
        <f t="shared" si="174"/>
        <v>4.981110534068522</v>
      </c>
      <c r="AE453" s="399">
        <f t="shared" si="174"/>
        <v>4.984888427254818</v>
      </c>
      <c r="AF453" s="399">
        <f t="shared" si="174"/>
        <v>4.9879107418038551</v>
      </c>
      <c r="AG453" s="399">
        <f t="shared" si="174"/>
        <v>4.9903285934430848</v>
      </c>
      <c r="AH453" s="399">
        <f t="shared" si="174"/>
        <v>4.9922628747544682</v>
      </c>
      <c r="AI453" s="399">
        <f t="shared" si="174"/>
        <v>4.9938102998035747</v>
      </c>
      <c r="AJ453" s="399">
        <f t="shared" si="174"/>
        <v>4.9950482398428599</v>
      </c>
      <c r="AK453" s="399">
        <f t="shared" si="174"/>
        <v>4.9960385918742887</v>
      </c>
      <c r="AL453" s="399">
        <f t="shared" si="174"/>
        <v>4.9968308734994311</v>
      </c>
      <c r="AM453" s="399">
        <f t="shared" si="174"/>
        <v>4.9974646987995452</v>
      </c>
      <c r="AN453" s="399">
        <f t="shared" si="174"/>
        <v>4.9979717590396362</v>
      </c>
      <c r="AP453" s="26"/>
    </row>
    <row r="454" spans="2:42" x14ac:dyDescent="0.25">
      <c r="B454" s="99" t="s">
        <v>9</v>
      </c>
      <c r="C454" s="311" t="s">
        <v>627</v>
      </c>
      <c r="D454" s="318"/>
      <c r="E454" s="402"/>
      <c r="F454" s="402"/>
      <c r="G454" s="402"/>
      <c r="H454" s="402"/>
      <c r="I454" s="402"/>
      <c r="J454" s="402"/>
      <c r="K454" s="402"/>
      <c r="L454" s="402"/>
      <c r="M454" s="402"/>
      <c r="N454" s="402"/>
      <c r="O454" s="402"/>
      <c r="P454" s="402"/>
      <c r="Q454" s="402"/>
      <c r="R454" s="402"/>
      <c r="S454" s="402"/>
      <c r="T454" s="402"/>
      <c r="U454" s="402"/>
      <c r="V454" s="402"/>
      <c r="W454" s="402"/>
      <c r="X454" s="402"/>
      <c r="Y454" s="402"/>
      <c r="Z454" s="402"/>
      <c r="AA454" s="402"/>
      <c r="AB454" s="402"/>
      <c r="AC454" s="402"/>
      <c r="AD454" s="402"/>
      <c r="AE454" s="402"/>
      <c r="AF454" s="402"/>
      <c r="AG454" s="402"/>
      <c r="AH454" s="402"/>
      <c r="AI454" s="402"/>
      <c r="AJ454" s="402"/>
      <c r="AK454" s="402"/>
      <c r="AL454" s="402"/>
      <c r="AM454" s="402"/>
      <c r="AN454" s="402"/>
      <c r="AO454" s="74"/>
      <c r="AP454" s="311"/>
    </row>
    <row r="455" spans="2:42" x14ac:dyDescent="0.25">
      <c r="C455" s="20" t="s">
        <v>600</v>
      </c>
      <c r="D455" s="34" t="s">
        <v>162</v>
      </c>
      <c r="E455" s="397">
        <v>5</v>
      </c>
      <c r="F455" s="397">
        <f>E455*(1-F$446)+1</f>
        <v>5</v>
      </c>
      <c r="G455" s="397">
        <f t="shared" ref="G455:AN455" si="176">F455*(1-G$446)+1</f>
        <v>5</v>
      </c>
      <c r="H455" s="397">
        <f t="shared" si="176"/>
        <v>5</v>
      </c>
      <c r="I455" s="397">
        <f t="shared" si="176"/>
        <v>5</v>
      </c>
      <c r="J455" s="397">
        <f t="shared" si="176"/>
        <v>5</v>
      </c>
      <c r="K455" s="397">
        <f t="shared" si="176"/>
        <v>5</v>
      </c>
      <c r="L455" s="397">
        <f t="shared" si="176"/>
        <v>5</v>
      </c>
      <c r="M455" s="397">
        <f t="shared" si="176"/>
        <v>5</v>
      </c>
      <c r="N455" s="397">
        <f t="shared" si="176"/>
        <v>5</v>
      </c>
      <c r="O455" s="397">
        <f t="shared" si="176"/>
        <v>5</v>
      </c>
      <c r="P455" s="397">
        <f t="shared" si="176"/>
        <v>5</v>
      </c>
      <c r="Q455" s="397">
        <f t="shared" si="176"/>
        <v>5</v>
      </c>
      <c r="R455" s="397">
        <f t="shared" si="176"/>
        <v>5</v>
      </c>
      <c r="S455" s="397">
        <f t="shared" si="176"/>
        <v>5</v>
      </c>
      <c r="T455" s="397">
        <f t="shared" si="176"/>
        <v>5</v>
      </c>
      <c r="U455" s="397">
        <f t="shared" si="176"/>
        <v>5</v>
      </c>
      <c r="V455" s="397">
        <f t="shared" si="176"/>
        <v>5</v>
      </c>
      <c r="W455" s="397">
        <f t="shared" si="176"/>
        <v>5</v>
      </c>
      <c r="X455" s="397">
        <f t="shared" si="176"/>
        <v>5</v>
      </c>
      <c r="Y455" s="397">
        <f t="shared" si="176"/>
        <v>5</v>
      </c>
      <c r="Z455" s="397">
        <f t="shared" si="176"/>
        <v>5</v>
      </c>
      <c r="AA455" s="397">
        <f t="shared" si="176"/>
        <v>5</v>
      </c>
      <c r="AB455" s="397">
        <f t="shared" si="176"/>
        <v>5</v>
      </c>
      <c r="AC455" s="397">
        <f t="shared" si="176"/>
        <v>5</v>
      </c>
      <c r="AD455" s="397">
        <f t="shared" si="176"/>
        <v>5</v>
      </c>
      <c r="AE455" s="397">
        <f t="shared" si="176"/>
        <v>5</v>
      </c>
      <c r="AF455" s="397">
        <f t="shared" si="176"/>
        <v>5</v>
      </c>
      <c r="AG455" s="397">
        <f t="shared" si="176"/>
        <v>5</v>
      </c>
      <c r="AH455" s="397">
        <f t="shared" si="176"/>
        <v>5</v>
      </c>
      <c r="AI455" s="397">
        <f t="shared" si="176"/>
        <v>5</v>
      </c>
      <c r="AJ455" s="397">
        <f t="shared" si="176"/>
        <v>5</v>
      </c>
      <c r="AK455" s="397">
        <f t="shared" si="176"/>
        <v>5</v>
      </c>
      <c r="AL455" s="397">
        <f t="shared" si="176"/>
        <v>5</v>
      </c>
      <c r="AM455" s="397">
        <f t="shared" si="176"/>
        <v>5</v>
      </c>
      <c r="AN455" s="397">
        <f t="shared" si="176"/>
        <v>5</v>
      </c>
      <c r="AP455" s="20"/>
    </row>
    <row r="456" spans="2:42" x14ac:dyDescent="0.25">
      <c r="C456" s="20" t="s">
        <v>392</v>
      </c>
      <c r="D456" s="34" t="s">
        <v>162</v>
      </c>
      <c r="E456" s="398">
        <v>4</v>
      </c>
      <c r="F456" s="398">
        <f t="shared" ref="F456:AN456" si="177">E456*(1-F$446)+1</f>
        <v>4.2</v>
      </c>
      <c r="G456" s="398">
        <f t="shared" si="177"/>
        <v>4.3600000000000003</v>
      </c>
      <c r="H456" s="398">
        <f t="shared" si="177"/>
        <v>4.4880000000000004</v>
      </c>
      <c r="I456" s="398">
        <f t="shared" si="177"/>
        <v>4.5904000000000007</v>
      </c>
      <c r="J456" s="398">
        <f t="shared" si="177"/>
        <v>4.6723200000000009</v>
      </c>
      <c r="K456" s="398">
        <f t="shared" si="177"/>
        <v>4.7378560000000007</v>
      </c>
      <c r="L456" s="398">
        <f t="shared" si="177"/>
        <v>4.7902848000000002</v>
      </c>
      <c r="M456" s="398">
        <f t="shared" si="177"/>
        <v>4.8322278399999998</v>
      </c>
      <c r="N456" s="398">
        <f t="shared" si="177"/>
        <v>4.8657822720000006</v>
      </c>
      <c r="O456" s="398">
        <f t="shared" si="177"/>
        <v>4.8926258176000008</v>
      </c>
      <c r="P456" s="398">
        <f t="shared" si="177"/>
        <v>4.9141006540800003</v>
      </c>
      <c r="Q456" s="398">
        <f t="shared" si="177"/>
        <v>4.9312805232640002</v>
      </c>
      <c r="R456" s="398">
        <f t="shared" si="177"/>
        <v>4.9450244186112009</v>
      </c>
      <c r="S456" s="398">
        <f t="shared" si="177"/>
        <v>4.9560195348889611</v>
      </c>
      <c r="T456" s="398">
        <f t="shared" si="177"/>
        <v>4.964815627911169</v>
      </c>
      <c r="U456" s="398">
        <f t="shared" si="177"/>
        <v>4.9718525023289359</v>
      </c>
      <c r="V456" s="398">
        <f t="shared" si="177"/>
        <v>4.9774820018631489</v>
      </c>
      <c r="W456" s="398">
        <f t="shared" si="177"/>
        <v>4.9819856014905195</v>
      </c>
      <c r="X456" s="398">
        <f t="shared" si="177"/>
        <v>4.9855884811924156</v>
      </c>
      <c r="Y456" s="398">
        <f t="shared" si="177"/>
        <v>4.9884707849539325</v>
      </c>
      <c r="Z456" s="398">
        <f t="shared" si="177"/>
        <v>4.9907766279631467</v>
      </c>
      <c r="AA456" s="398">
        <f t="shared" si="177"/>
        <v>4.9926213023705177</v>
      </c>
      <c r="AB456" s="398">
        <f t="shared" si="177"/>
        <v>4.9940970418964143</v>
      </c>
      <c r="AC456" s="398">
        <f t="shared" si="177"/>
        <v>4.9952776335171318</v>
      </c>
      <c r="AD456" s="398">
        <f t="shared" si="177"/>
        <v>4.9962221068137058</v>
      </c>
      <c r="AE456" s="398">
        <f t="shared" si="177"/>
        <v>4.9969776854509647</v>
      </c>
      <c r="AF456" s="398">
        <f t="shared" si="177"/>
        <v>4.9975821483607721</v>
      </c>
      <c r="AG456" s="398">
        <f t="shared" si="177"/>
        <v>4.9980657186886184</v>
      </c>
      <c r="AH456" s="398">
        <f t="shared" si="177"/>
        <v>4.9984525749508943</v>
      </c>
      <c r="AI456" s="398">
        <f t="shared" si="177"/>
        <v>4.9987620599607157</v>
      </c>
      <c r="AJ456" s="398">
        <f t="shared" si="177"/>
        <v>4.9990096479685722</v>
      </c>
      <c r="AK456" s="398">
        <f t="shared" si="177"/>
        <v>4.9992077183748584</v>
      </c>
      <c r="AL456" s="398">
        <f t="shared" si="177"/>
        <v>4.9993661746998868</v>
      </c>
      <c r="AM456" s="398">
        <f t="shared" si="177"/>
        <v>4.999492939759909</v>
      </c>
      <c r="AN456" s="398">
        <f t="shared" si="177"/>
        <v>4.9995943518079269</v>
      </c>
      <c r="AP456" s="21"/>
    </row>
    <row r="457" spans="2:42" x14ac:dyDescent="0.25">
      <c r="C457" s="20" t="s">
        <v>454</v>
      </c>
      <c r="D457" s="34" t="s">
        <v>162</v>
      </c>
      <c r="E457" s="398">
        <v>3</v>
      </c>
      <c r="F457" s="398">
        <f t="shared" ref="F457:AN457" si="178">E457*(1-F$446)+1</f>
        <v>3.4000000000000004</v>
      </c>
      <c r="G457" s="398">
        <f t="shared" si="178"/>
        <v>3.7200000000000006</v>
      </c>
      <c r="H457" s="398">
        <f t="shared" si="178"/>
        <v>3.9760000000000009</v>
      </c>
      <c r="I457" s="398">
        <f t="shared" si="178"/>
        <v>4.1808000000000014</v>
      </c>
      <c r="J457" s="398">
        <f t="shared" si="178"/>
        <v>4.3446400000000018</v>
      </c>
      <c r="K457" s="398">
        <f t="shared" si="178"/>
        <v>4.4757120000000015</v>
      </c>
      <c r="L457" s="398">
        <f t="shared" si="178"/>
        <v>4.5805696000000014</v>
      </c>
      <c r="M457" s="398">
        <f t="shared" si="178"/>
        <v>4.6644556800000014</v>
      </c>
      <c r="N457" s="398">
        <f t="shared" si="178"/>
        <v>4.7315645440000011</v>
      </c>
      <c r="O457" s="398">
        <f t="shared" si="178"/>
        <v>4.7852516352000016</v>
      </c>
      <c r="P457" s="398">
        <f t="shared" si="178"/>
        <v>4.8282013081600015</v>
      </c>
      <c r="Q457" s="398">
        <f t="shared" si="178"/>
        <v>4.8625610465280014</v>
      </c>
      <c r="R457" s="398">
        <f t="shared" si="178"/>
        <v>4.8900488372224018</v>
      </c>
      <c r="S457" s="398">
        <f t="shared" si="178"/>
        <v>4.9120390697779222</v>
      </c>
      <c r="T457" s="398">
        <f t="shared" si="178"/>
        <v>4.9296312558223381</v>
      </c>
      <c r="U457" s="398">
        <f t="shared" si="178"/>
        <v>4.9437050046578701</v>
      </c>
      <c r="V457" s="398">
        <f t="shared" si="178"/>
        <v>4.9549640037262961</v>
      </c>
      <c r="W457" s="398">
        <f t="shared" si="178"/>
        <v>4.9639712029810372</v>
      </c>
      <c r="X457" s="398">
        <f t="shared" si="178"/>
        <v>4.9711769623848294</v>
      </c>
      <c r="Y457" s="398">
        <f t="shared" si="178"/>
        <v>4.9769415699078632</v>
      </c>
      <c r="Z457" s="398">
        <f t="shared" si="178"/>
        <v>4.9815532559262907</v>
      </c>
      <c r="AA457" s="398">
        <f t="shared" si="178"/>
        <v>4.9852426047410328</v>
      </c>
      <c r="AB457" s="398">
        <f t="shared" si="178"/>
        <v>4.9881940837928269</v>
      </c>
      <c r="AC457" s="398">
        <f t="shared" si="178"/>
        <v>4.9905552670342619</v>
      </c>
      <c r="AD457" s="398">
        <f t="shared" si="178"/>
        <v>4.9924442136274099</v>
      </c>
      <c r="AE457" s="398">
        <f t="shared" si="178"/>
        <v>4.9939553709019275</v>
      </c>
      <c r="AF457" s="398">
        <f t="shared" si="178"/>
        <v>4.9951642967215424</v>
      </c>
      <c r="AG457" s="398">
        <f t="shared" si="178"/>
        <v>4.9961314373772341</v>
      </c>
      <c r="AH457" s="398">
        <f t="shared" si="178"/>
        <v>4.9969051499017869</v>
      </c>
      <c r="AI457" s="398">
        <f t="shared" si="178"/>
        <v>4.9975241199214295</v>
      </c>
      <c r="AJ457" s="398">
        <f t="shared" si="178"/>
        <v>4.9980192959371443</v>
      </c>
      <c r="AK457" s="398">
        <f t="shared" si="178"/>
        <v>4.9984154367497151</v>
      </c>
      <c r="AL457" s="398">
        <f t="shared" si="178"/>
        <v>4.9987323493997717</v>
      </c>
      <c r="AM457" s="398">
        <f t="shared" si="178"/>
        <v>4.9989858795198181</v>
      </c>
      <c r="AN457" s="398">
        <f t="shared" si="178"/>
        <v>4.9991887036158547</v>
      </c>
      <c r="AP457" s="21"/>
    </row>
    <row r="458" spans="2:42" x14ac:dyDescent="0.25">
      <c r="C458" s="21" t="s">
        <v>455</v>
      </c>
      <c r="D458" s="34" t="s">
        <v>162</v>
      </c>
      <c r="E458" s="398">
        <v>2</v>
      </c>
      <c r="F458" s="398">
        <f t="shared" ref="F458:AN458" si="179">E458*(1-F$446)+1</f>
        <v>2.6</v>
      </c>
      <c r="G458" s="398">
        <f t="shared" si="179"/>
        <v>3.08</v>
      </c>
      <c r="H458" s="398">
        <f t="shared" si="179"/>
        <v>3.4640000000000004</v>
      </c>
      <c r="I458" s="398">
        <f t="shared" si="179"/>
        <v>3.7712000000000003</v>
      </c>
      <c r="J458" s="398">
        <f t="shared" si="179"/>
        <v>4.016960000000001</v>
      </c>
      <c r="K458" s="398">
        <f t="shared" si="179"/>
        <v>4.2135680000000004</v>
      </c>
      <c r="L458" s="398">
        <f t="shared" si="179"/>
        <v>4.3708544000000007</v>
      </c>
      <c r="M458" s="398">
        <f t="shared" si="179"/>
        <v>4.4966835200000013</v>
      </c>
      <c r="N458" s="398">
        <f t="shared" si="179"/>
        <v>4.5973468160000017</v>
      </c>
      <c r="O458" s="398">
        <f t="shared" si="179"/>
        <v>4.6778774528000016</v>
      </c>
      <c r="P458" s="398">
        <f t="shared" si="179"/>
        <v>4.7423019622400009</v>
      </c>
      <c r="Q458" s="398">
        <f t="shared" si="179"/>
        <v>4.7938415697920007</v>
      </c>
      <c r="R458" s="398">
        <f t="shared" si="179"/>
        <v>4.8350732558336009</v>
      </c>
      <c r="S458" s="398">
        <f t="shared" si="179"/>
        <v>4.8680586046668815</v>
      </c>
      <c r="T458" s="398">
        <f t="shared" si="179"/>
        <v>4.8944468837335053</v>
      </c>
      <c r="U458" s="398">
        <f t="shared" si="179"/>
        <v>4.9155575069868043</v>
      </c>
      <c r="V458" s="398">
        <f t="shared" si="179"/>
        <v>4.9324460055894441</v>
      </c>
      <c r="W458" s="398">
        <f t="shared" si="179"/>
        <v>4.9459568044715549</v>
      </c>
      <c r="X458" s="398">
        <f t="shared" si="179"/>
        <v>4.9567654435772441</v>
      </c>
      <c r="Y458" s="398">
        <f t="shared" si="179"/>
        <v>4.9654123548617957</v>
      </c>
      <c r="Z458" s="398">
        <f t="shared" si="179"/>
        <v>4.9723298838894365</v>
      </c>
      <c r="AA458" s="398">
        <f t="shared" si="179"/>
        <v>4.9778639071115496</v>
      </c>
      <c r="AB458" s="398">
        <f t="shared" si="179"/>
        <v>4.9822911256892404</v>
      </c>
      <c r="AC458" s="398">
        <f t="shared" si="179"/>
        <v>4.9858329005513919</v>
      </c>
      <c r="AD458" s="398">
        <f t="shared" si="179"/>
        <v>4.9886663204411139</v>
      </c>
      <c r="AE458" s="398">
        <f t="shared" si="179"/>
        <v>4.9909330563528913</v>
      </c>
      <c r="AF458" s="398">
        <f t="shared" si="179"/>
        <v>4.9927464450823127</v>
      </c>
      <c r="AG458" s="398">
        <f t="shared" si="179"/>
        <v>4.9941971560658498</v>
      </c>
      <c r="AH458" s="398">
        <f t="shared" si="179"/>
        <v>4.9953577248526795</v>
      </c>
      <c r="AI458" s="398">
        <f t="shared" si="179"/>
        <v>4.9962861798821443</v>
      </c>
      <c r="AJ458" s="398">
        <f t="shared" si="179"/>
        <v>4.9970289439057156</v>
      </c>
      <c r="AK458" s="398">
        <f t="shared" si="179"/>
        <v>4.9976231551245727</v>
      </c>
      <c r="AL458" s="398">
        <f t="shared" si="179"/>
        <v>4.9980985240996585</v>
      </c>
      <c r="AM458" s="398">
        <f t="shared" si="179"/>
        <v>4.9984788192797271</v>
      </c>
      <c r="AN458" s="398">
        <f t="shared" si="179"/>
        <v>4.9987830554237824</v>
      </c>
      <c r="AP458" s="21"/>
    </row>
    <row r="459" spans="2:42" x14ac:dyDescent="0.25">
      <c r="C459" s="21" t="s">
        <v>393</v>
      </c>
      <c r="D459" s="34" t="s">
        <v>162</v>
      </c>
      <c r="E459" s="398">
        <v>1</v>
      </c>
      <c r="F459" s="398">
        <f t="shared" ref="F459:AN459" si="180">E459*(1-F$446)+1</f>
        <v>1.8</v>
      </c>
      <c r="G459" s="398">
        <f t="shared" si="180"/>
        <v>2.4400000000000004</v>
      </c>
      <c r="H459" s="398">
        <f t="shared" si="180"/>
        <v>2.9520000000000004</v>
      </c>
      <c r="I459" s="398">
        <f t="shared" si="180"/>
        <v>3.3616000000000006</v>
      </c>
      <c r="J459" s="398">
        <f t="shared" si="180"/>
        <v>3.6892800000000006</v>
      </c>
      <c r="K459" s="398">
        <f t="shared" si="180"/>
        <v>3.9514240000000007</v>
      </c>
      <c r="L459" s="398">
        <f t="shared" si="180"/>
        <v>4.1611392000000009</v>
      </c>
      <c r="M459" s="398">
        <f t="shared" si="180"/>
        <v>4.3289113600000011</v>
      </c>
      <c r="N459" s="398">
        <f t="shared" si="180"/>
        <v>4.4631290880000005</v>
      </c>
      <c r="O459" s="398">
        <f t="shared" si="180"/>
        <v>4.5705032704000006</v>
      </c>
      <c r="P459" s="398">
        <f t="shared" si="180"/>
        <v>4.6564026163200012</v>
      </c>
      <c r="Q459" s="398">
        <f t="shared" si="180"/>
        <v>4.7251220930560009</v>
      </c>
      <c r="R459" s="398">
        <f t="shared" si="180"/>
        <v>4.7800976744448009</v>
      </c>
      <c r="S459" s="398">
        <f t="shared" si="180"/>
        <v>4.8240781395558407</v>
      </c>
      <c r="T459" s="398">
        <f t="shared" si="180"/>
        <v>4.8592625116446726</v>
      </c>
      <c r="U459" s="398">
        <f t="shared" si="180"/>
        <v>4.8874100093157384</v>
      </c>
      <c r="V459" s="398">
        <f t="shared" si="180"/>
        <v>4.9099280074525904</v>
      </c>
      <c r="W459" s="398">
        <f t="shared" si="180"/>
        <v>4.9279424059620727</v>
      </c>
      <c r="X459" s="398">
        <f t="shared" si="180"/>
        <v>4.9423539247696588</v>
      </c>
      <c r="Y459" s="398">
        <f t="shared" si="180"/>
        <v>4.9538831398157273</v>
      </c>
      <c r="Z459" s="398">
        <f t="shared" si="180"/>
        <v>4.9631065118525814</v>
      </c>
      <c r="AA459" s="398">
        <f t="shared" si="180"/>
        <v>4.9704852094820655</v>
      </c>
      <c r="AB459" s="398">
        <f t="shared" si="180"/>
        <v>4.9763881675856521</v>
      </c>
      <c r="AC459" s="398">
        <f t="shared" si="180"/>
        <v>4.981110534068522</v>
      </c>
      <c r="AD459" s="398">
        <f t="shared" si="180"/>
        <v>4.984888427254818</v>
      </c>
      <c r="AE459" s="398">
        <f t="shared" si="180"/>
        <v>4.9879107418038551</v>
      </c>
      <c r="AF459" s="398">
        <f t="shared" si="180"/>
        <v>4.9903285934430848</v>
      </c>
      <c r="AG459" s="398">
        <f t="shared" si="180"/>
        <v>4.9922628747544682</v>
      </c>
      <c r="AH459" s="398">
        <f t="shared" si="180"/>
        <v>4.9938102998035747</v>
      </c>
      <c r="AI459" s="398">
        <f t="shared" si="180"/>
        <v>4.9950482398428599</v>
      </c>
      <c r="AJ459" s="398">
        <f t="shared" si="180"/>
        <v>4.9960385918742887</v>
      </c>
      <c r="AK459" s="398">
        <f t="shared" si="180"/>
        <v>4.9968308734994311</v>
      </c>
      <c r="AL459" s="398">
        <f t="shared" si="180"/>
        <v>4.9974646987995452</v>
      </c>
      <c r="AM459" s="398">
        <f t="shared" si="180"/>
        <v>4.9979717590396362</v>
      </c>
      <c r="AN459" s="398">
        <f t="shared" si="180"/>
        <v>4.9983774072317093</v>
      </c>
      <c r="AP459" s="21"/>
    </row>
    <row r="460" spans="2:42" x14ac:dyDescent="0.25">
      <c r="C460" s="22" t="s">
        <v>456</v>
      </c>
      <c r="D460" s="34" t="s">
        <v>162</v>
      </c>
      <c r="E460" s="399">
        <v>0</v>
      </c>
      <c r="F460" s="399">
        <f t="shared" ref="F460:AN460" si="181">E460*(1-F$446)+1</f>
        <v>1</v>
      </c>
      <c r="G460" s="399">
        <f t="shared" si="181"/>
        <v>1.8</v>
      </c>
      <c r="H460" s="399">
        <f t="shared" si="181"/>
        <v>2.4400000000000004</v>
      </c>
      <c r="I460" s="399">
        <f t="shared" si="181"/>
        <v>2.9520000000000004</v>
      </c>
      <c r="J460" s="399">
        <f t="shared" si="181"/>
        <v>3.3616000000000006</v>
      </c>
      <c r="K460" s="399">
        <f t="shared" si="181"/>
        <v>3.6892800000000006</v>
      </c>
      <c r="L460" s="399">
        <f t="shared" si="181"/>
        <v>3.9514240000000007</v>
      </c>
      <c r="M460" s="399">
        <f t="shared" si="181"/>
        <v>4.1611392000000009</v>
      </c>
      <c r="N460" s="399">
        <f t="shared" si="181"/>
        <v>4.3289113600000011</v>
      </c>
      <c r="O460" s="399">
        <f t="shared" si="181"/>
        <v>4.4631290880000005</v>
      </c>
      <c r="P460" s="399">
        <f t="shared" si="181"/>
        <v>4.5705032704000006</v>
      </c>
      <c r="Q460" s="399">
        <f t="shared" si="181"/>
        <v>4.6564026163200012</v>
      </c>
      <c r="R460" s="399">
        <f t="shared" si="181"/>
        <v>4.7251220930560009</v>
      </c>
      <c r="S460" s="399">
        <f t="shared" si="181"/>
        <v>4.7800976744448009</v>
      </c>
      <c r="T460" s="399">
        <f t="shared" si="181"/>
        <v>4.8240781395558407</v>
      </c>
      <c r="U460" s="399">
        <f t="shared" si="181"/>
        <v>4.8592625116446726</v>
      </c>
      <c r="V460" s="399">
        <f t="shared" si="181"/>
        <v>4.8874100093157384</v>
      </c>
      <c r="W460" s="399">
        <f t="shared" si="181"/>
        <v>4.9099280074525904</v>
      </c>
      <c r="X460" s="399">
        <f t="shared" si="181"/>
        <v>4.9279424059620727</v>
      </c>
      <c r="Y460" s="399">
        <f t="shared" si="181"/>
        <v>4.9423539247696588</v>
      </c>
      <c r="Z460" s="399">
        <f t="shared" si="181"/>
        <v>4.9538831398157273</v>
      </c>
      <c r="AA460" s="399">
        <f t="shared" si="181"/>
        <v>4.9631065118525814</v>
      </c>
      <c r="AB460" s="399">
        <f t="shared" si="181"/>
        <v>4.9704852094820655</v>
      </c>
      <c r="AC460" s="399">
        <f t="shared" si="181"/>
        <v>4.9763881675856521</v>
      </c>
      <c r="AD460" s="399">
        <f t="shared" si="181"/>
        <v>4.981110534068522</v>
      </c>
      <c r="AE460" s="399">
        <f t="shared" si="181"/>
        <v>4.984888427254818</v>
      </c>
      <c r="AF460" s="399">
        <f t="shared" si="181"/>
        <v>4.9879107418038551</v>
      </c>
      <c r="AG460" s="399">
        <f t="shared" si="181"/>
        <v>4.9903285934430848</v>
      </c>
      <c r="AH460" s="399">
        <f t="shared" si="181"/>
        <v>4.9922628747544682</v>
      </c>
      <c r="AI460" s="399">
        <f t="shared" si="181"/>
        <v>4.9938102998035747</v>
      </c>
      <c r="AJ460" s="399">
        <f t="shared" si="181"/>
        <v>4.9950482398428599</v>
      </c>
      <c r="AK460" s="399">
        <f t="shared" si="181"/>
        <v>4.9960385918742887</v>
      </c>
      <c r="AL460" s="399">
        <f t="shared" si="181"/>
        <v>4.9968308734994311</v>
      </c>
      <c r="AM460" s="399">
        <f t="shared" si="181"/>
        <v>4.9974646987995452</v>
      </c>
      <c r="AN460" s="399">
        <f t="shared" si="181"/>
        <v>4.9979717590396362</v>
      </c>
      <c r="AP460" s="26"/>
    </row>
    <row r="461" spans="2:42" x14ac:dyDescent="0.25">
      <c r="B461" s="99" t="s">
        <v>9</v>
      </c>
      <c r="C461" s="311" t="s">
        <v>628</v>
      </c>
      <c r="D461" s="318"/>
      <c r="E461" s="402"/>
      <c r="F461" s="402"/>
      <c r="G461" s="402"/>
      <c r="H461" s="402"/>
      <c r="I461" s="402"/>
      <c r="J461" s="402"/>
      <c r="K461" s="402"/>
      <c r="L461" s="402"/>
      <c r="M461" s="402"/>
      <c r="N461" s="402"/>
      <c r="O461" s="402"/>
      <c r="P461" s="402"/>
      <c r="Q461" s="402"/>
      <c r="R461" s="402"/>
      <c r="S461" s="402"/>
      <c r="T461" s="402"/>
      <c r="U461" s="402"/>
      <c r="V461" s="402"/>
      <c r="W461" s="402"/>
      <c r="X461" s="402"/>
      <c r="Y461" s="402"/>
      <c r="Z461" s="402"/>
      <c r="AA461" s="402"/>
      <c r="AB461" s="402"/>
      <c r="AC461" s="402"/>
      <c r="AD461" s="402"/>
      <c r="AE461" s="402"/>
      <c r="AF461" s="402"/>
      <c r="AG461" s="402"/>
      <c r="AH461" s="402"/>
      <c r="AI461" s="402"/>
      <c r="AJ461" s="402"/>
      <c r="AK461" s="402"/>
      <c r="AL461" s="402"/>
      <c r="AM461" s="402"/>
      <c r="AN461" s="402"/>
      <c r="AO461" s="74"/>
      <c r="AP461" s="311"/>
    </row>
    <row r="462" spans="2:42" x14ac:dyDescent="0.25">
      <c r="C462" s="20" t="s">
        <v>600</v>
      </c>
      <c r="D462" s="34" t="s">
        <v>162</v>
      </c>
      <c r="E462" s="397">
        <v>5</v>
      </c>
      <c r="F462" s="397">
        <f>E462*(1-F$446)+1</f>
        <v>5</v>
      </c>
      <c r="G462" s="397">
        <f t="shared" ref="G462:AN462" si="182">F462*(1-G$446)+1</f>
        <v>5</v>
      </c>
      <c r="H462" s="397">
        <f t="shared" si="182"/>
        <v>5</v>
      </c>
      <c r="I462" s="397">
        <f t="shared" si="182"/>
        <v>5</v>
      </c>
      <c r="J462" s="397">
        <f t="shared" si="182"/>
        <v>5</v>
      </c>
      <c r="K462" s="397">
        <f t="shared" si="182"/>
        <v>5</v>
      </c>
      <c r="L462" s="397">
        <f t="shared" si="182"/>
        <v>5</v>
      </c>
      <c r="M462" s="397">
        <f t="shared" si="182"/>
        <v>5</v>
      </c>
      <c r="N462" s="397">
        <f t="shared" si="182"/>
        <v>5</v>
      </c>
      <c r="O462" s="397">
        <f t="shared" si="182"/>
        <v>5</v>
      </c>
      <c r="P462" s="397">
        <f t="shared" si="182"/>
        <v>5</v>
      </c>
      <c r="Q462" s="397">
        <f t="shared" si="182"/>
        <v>5</v>
      </c>
      <c r="R462" s="397">
        <f t="shared" si="182"/>
        <v>5</v>
      </c>
      <c r="S462" s="397">
        <f t="shared" si="182"/>
        <v>5</v>
      </c>
      <c r="T462" s="397">
        <f t="shared" si="182"/>
        <v>5</v>
      </c>
      <c r="U462" s="397">
        <f t="shared" si="182"/>
        <v>5</v>
      </c>
      <c r="V462" s="397">
        <f t="shared" si="182"/>
        <v>5</v>
      </c>
      <c r="W462" s="397">
        <f t="shared" si="182"/>
        <v>5</v>
      </c>
      <c r="X462" s="397">
        <f t="shared" si="182"/>
        <v>5</v>
      </c>
      <c r="Y462" s="397">
        <f t="shared" si="182"/>
        <v>5</v>
      </c>
      <c r="Z462" s="397">
        <f t="shared" si="182"/>
        <v>5</v>
      </c>
      <c r="AA462" s="397">
        <f t="shared" si="182"/>
        <v>5</v>
      </c>
      <c r="AB462" s="397">
        <f t="shared" si="182"/>
        <v>5</v>
      </c>
      <c r="AC462" s="397">
        <f t="shared" si="182"/>
        <v>5</v>
      </c>
      <c r="AD462" s="397">
        <f t="shared" si="182"/>
        <v>5</v>
      </c>
      <c r="AE462" s="397">
        <f t="shared" si="182"/>
        <v>5</v>
      </c>
      <c r="AF462" s="397">
        <f t="shared" si="182"/>
        <v>5</v>
      </c>
      <c r="AG462" s="397">
        <f t="shared" si="182"/>
        <v>5</v>
      </c>
      <c r="AH462" s="397">
        <f t="shared" si="182"/>
        <v>5</v>
      </c>
      <c r="AI462" s="397">
        <f t="shared" si="182"/>
        <v>5</v>
      </c>
      <c r="AJ462" s="397">
        <f t="shared" si="182"/>
        <v>5</v>
      </c>
      <c r="AK462" s="397">
        <f t="shared" si="182"/>
        <v>5</v>
      </c>
      <c r="AL462" s="397">
        <f t="shared" si="182"/>
        <v>5</v>
      </c>
      <c r="AM462" s="397">
        <f t="shared" si="182"/>
        <v>5</v>
      </c>
      <c r="AN462" s="397">
        <f t="shared" si="182"/>
        <v>5</v>
      </c>
      <c r="AP462" s="20"/>
    </row>
    <row r="463" spans="2:42" x14ac:dyDescent="0.25">
      <c r="C463" s="20" t="s">
        <v>392</v>
      </c>
      <c r="D463" s="34" t="s">
        <v>162</v>
      </c>
      <c r="E463" s="398">
        <v>4</v>
      </c>
      <c r="F463" s="398">
        <f t="shared" ref="F463:AN463" si="183">E463*(1-F$446)+1</f>
        <v>4.2</v>
      </c>
      <c r="G463" s="398">
        <f t="shared" si="183"/>
        <v>4.3600000000000003</v>
      </c>
      <c r="H463" s="398">
        <f t="shared" si="183"/>
        <v>4.4880000000000004</v>
      </c>
      <c r="I463" s="398">
        <f t="shared" si="183"/>
        <v>4.5904000000000007</v>
      </c>
      <c r="J463" s="398">
        <f t="shared" si="183"/>
        <v>4.6723200000000009</v>
      </c>
      <c r="K463" s="398">
        <f t="shared" si="183"/>
        <v>4.7378560000000007</v>
      </c>
      <c r="L463" s="398">
        <f t="shared" si="183"/>
        <v>4.7902848000000002</v>
      </c>
      <c r="M463" s="398">
        <f t="shared" si="183"/>
        <v>4.8322278399999998</v>
      </c>
      <c r="N463" s="398">
        <f t="shared" si="183"/>
        <v>4.8657822720000006</v>
      </c>
      <c r="O463" s="398">
        <f t="shared" si="183"/>
        <v>4.8926258176000008</v>
      </c>
      <c r="P463" s="398">
        <f t="shared" si="183"/>
        <v>4.9141006540800003</v>
      </c>
      <c r="Q463" s="398">
        <f t="shared" si="183"/>
        <v>4.9312805232640002</v>
      </c>
      <c r="R463" s="398">
        <f t="shared" si="183"/>
        <v>4.9450244186112009</v>
      </c>
      <c r="S463" s="398">
        <f t="shared" si="183"/>
        <v>4.9560195348889611</v>
      </c>
      <c r="T463" s="398">
        <f t="shared" si="183"/>
        <v>4.964815627911169</v>
      </c>
      <c r="U463" s="398">
        <f t="shared" si="183"/>
        <v>4.9718525023289359</v>
      </c>
      <c r="V463" s="398">
        <f t="shared" si="183"/>
        <v>4.9774820018631489</v>
      </c>
      <c r="W463" s="398">
        <f t="shared" si="183"/>
        <v>4.9819856014905195</v>
      </c>
      <c r="X463" s="398">
        <f t="shared" si="183"/>
        <v>4.9855884811924156</v>
      </c>
      <c r="Y463" s="398">
        <f t="shared" si="183"/>
        <v>4.9884707849539325</v>
      </c>
      <c r="Z463" s="398">
        <f t="shared" si="183"/>
        <v>4.9907766279631467</v>
      </c>
      <c r="AA463" s="398">
        <f t="shared" si="183"/>
        <v>4.9926213023705177</v>
      </c>
      <c r="AB463" s="398">
        <f t="shared" si="183"/>
        <v>4.9940970418964143</v>
      </c>
      <c r="AC463" s="398">
        <f t="shared" si="183"/>
        <v>4.9952776335171318</v>
      </c>
      <c r="AD463" s="398">
        <f t="shared" si="183"/>
        <v>4.9962221068137058</v>
      </c>
      <c r="AE463" s="398">
        <f t="shared" si="183"/>
        <v>4.9969776854509647</v>
      </c>
      <c r="AF463" s="398">
        <f t="shared" si="183"/>
        <v>4.9975821483607721</v>
      </c>
      <c r="AG463" s="398">
        <f t="shared" si="183"/>
        <v>4.9980657186886184</v>
      </c>
      <c r="AH463" s="398">
        <f t="shared" si="183"/>
        <v>4.9984525749508943</v>
      </c>
      <c r="AI463" s="398">
        <f t="shared" si="183"/>
        <v>4.9987620599607157</v>
      </c>
      <c r="AJ463" s="398">
        <f t="shared" si="183"/>
        <v>4.9990096479685722</v>
      </c>
      <c r="AK463" s="398">
        <f t="shared" si="183"/>
        <v>4.9992077183748584</v>
      </c>
      <c r="AL463" s="398">
        <f t="shared" si="183"/>
        <v>4.9993661746998868</v>
      </c>
      <c r="AM463" s="398">
        <f t="shared" si="183"/>
        <v>4.999492939759909</v>
      </c>
      <c r="AN463" s="398">
        <f t="shared" si="183"/>
        <v>4.9995943518079269</v>
      </c>
      <c r="AP463" s="21"/>
    </row>
    <row r="464" spans="2:42" x14ac:dyDescent="0.25">
      <c r="C464" s="20" t="s">
        <v>454</v>
      </c>
      <c r="D464" s="34" t="s">
        <v>162</v>
      </c>
      <c r="E464" s="398">
        <v>3</v>
      </c>
      <c r="F464" s="398">
        <f t="shared" ref="F464:AN464" si="184">E464*(1-F$446)+1</f>
        <v>3.4000000000000004</v>
      </c>
      <c r="G464" s="398">
        <f t="shared" si="184"/>
        <v>3.7200000000000006</v>
      </c>
      <c r="H464" s="398">
        <f t="shared" si="184"/>
        <v>3.9760000000000009</v>
      </c>
      <c r="I464" s="398">
        <f t="shared" si="184"/>
        <v>4.1808000000000014</v>
      </c>
      <c r="J464" s="398">
        <f t="shared" si="184"/>
        <v>4.3446400000000018</v>
      </c>
      <c r="K464" s="398">
        <f t="shared" si="184"/>
        <v>4.4757120000000015</v>
      </c>
      <c r="L464" s="398">
        <f t="shared" si="184"/>
        <v>4.5805696000000014</v>
      </c>
      <c r="M464" s="398">
        <f t="shared" si="184"/>
        <v>4.6644556800000014</v>
      </c>
      <c r="N464" s="398">
        <f t="shared" si="184"/>
        <v>4.7315645440000011</v>
      </c>
      <c r="O464" s="398">
        <f t="shared" si="184"/>
        <v>4.7852516352000016</v>
      </c>
      <c r="P464" s="398">
        <f t="shared" si="184"/>
        <v>4.8282013081600015</v>
      </c>
      <c r="Q464" s="398">
        <f t="shared" si="184"/>
        <v>4.8625610465280014</v>
      </c>
      <c r="R464" s="398">
        <f t="shared" si="184"/>
        <v>4.8900488372224018</v>
      </c>
      <c r="S464" s="398">
        <f t="shared" si="184"/>
        <v>4.9120390697779222</v>
      </c>
      <c r="T464" s="398">
        <f t="shared" si="184"/>
        <v>4.9296312558223381</v>
      </c>
      <c r="U464" s="398">
        <f t="shared" si="184"/>
        <v>4.9437050046578701</v>
      </c>
      <c r="V464" s="398">
        <f t="shared" si="184"/>
        <v>4.9549640037262961</v>
      </c>
      <c r="W464" s="398">
        <f t="shared" si="184"/>
        <v>4.9639712029810372</v>
      </c>
      <c r="X464" s="398">
        <f t="shared" si="184"/>
        <v>4.9711769623848294</v>
      </c>
      <c r="Y464" s="398">
        <f t="shared" si="184"/>
        <v>4.9769415699078632</v>
      </c>
      <c r="Z464" s="398">
        <f t="shared" si="184"/>
        <v>4.9815532559262907</v>
      </c>
      <c r="AA464" s="398">
        <f t="shared" si="184"/>
        <v>4.9852426047410328</v>
      </c>
      <c r="AB464" s="398">
        <f t="shared" si="184"/>
        <v>4.9881940837928269</v>
      </c>
      <c r="AC464" s="398">
        <f t="shared" si="184"/>
        <v>4.9905552670342619</v>
      </c>
      <c r="AD464" s="398">
        <f t="shared" si="184"/>
        <v>4.9924442136274099</v>
      </c>
      <c r="AE464" s="398">
        <f t="shared" si="184"/>
        <v>4.9939553709019275</v>
      </c>
      <c r="AF464" s="398">
        <f t="shared" si="184"/>
        <v>4.9951642967215424</v>
      </c>
      <c r="AG464" s="398">
        <f t="shared" si="184"/>
        <v>4.9961314373772341</v>
      </c>
      <c r="AH464" s="398">
        <f t="shared" si="184"/>
        <v>4.9969051499017869</v>
      </c>
      <c r="AI464" s="398">
        <f t="shared" si="184"/>
        <v>4.9975241199214295</v>
      </c>
      <c r="AJ464" s="398">
        <f t="shared" si="184"/>
        <v>4.9980192959371443</v>
      </c>
      <c r="AK464" s="398">
        <f t="shared" si="184"/>
        <v>4.9984154367497151</v>
      </c>
      <c r="AL464" s="398">
        <f t="shared" si="184"/>
        <v>4.9987323493997717</v>
      </c>
      <c r="AM464" s="398">
        <f t="shared" si="184"/>
        <v>4.9989858795198181</v>
      </c>
      <c r="AN464" s="398">
        <f t="shared" si="184"/>
        <v>4.9991887036158547</v>
      </c>
      <c r="AP464" s="21"/>
    </row>
    <row r="465" spans="2:42" x14ac:dyDescent="0.25">
      <c r="C465" s="21" t="s">
        <v>455</v>
      </c>
      <c r="D465" s="34" t="s">
        <v>162</v>
      </c>
      <c r="E465" s="398">
        <v>2</v>
      </c>
      <c r="F465" s="398">
        <f t="shared" ref="F465:AN465" si="185">E465*(1-F$446)+1</f>
        <v>2.6</v>
      </c>
      <c r="G465" s="398">
        <f t="shared" si="185"/>
        <v>3.08</v>
      </c>
      <c r="H465" s="398">
        <f t="shared" si="185"/>
        <v>3.4640000000000004</v>
      </c>
      <c r="I465" s="398">
        <f t="shared" si="185"/>
        <v>3.7712000000000003</v>
      </c>
      <c r="J465" s="398">
        <f t="shared" si="185"/>
        <v>4.016960000000001</v>
      </c>
      <c r="K465" s="398">
        <f t="shared" si="185"/>
        <v>4.2135680000000004</v>
      </c>
      <c r="L465" s="398">
        <f t="shared" si="185"/>
        <v>4.3708544000000007</v>
      </c>
      <c r="M465" s="398">
        <f t="shared" si="185"/>
        <v>4.4966835200000013</v>
      </c>
      <c r="N465" s="398">
        <f t="shared" si="185"/>
        <v>4.5973468160000017</v>
      </c>
      <c r="O465" s="398">
        <f t="shared" si="185"/>
        <v>4.6778774528000016</v>
      </c>
      <c r="P465" s="398">
        <f t="shared" si="185"/>
        <v>4.7423019622400009</v>
      </c>
      <c r="Q465" s="398">
        <f t="shared" si="185"/>
        <v>4.7938415697920007</v>
      </c>
      <c r="R465" s="398">
        <f t="shared" si="185"/>
        <v>4.8350732558336009</v>
      </c>
      <c r="S465" s="398">
        <f t="shared" si="185"/>
        <v>4.8680586046668815</v>
      </c>
      <c r="T465" s="398">
        <f t="shared" si="185"/>
        <v>4.8944468837335053</v>
      </c>
      <c r="U465" s="398">
        <f t="shared" si="185"/>
        <v>4.9155575069868043</v>
      </c>
      <c r="V465" s="398">
        <f t="shared" si="185"/>
        <v>4.9324460055894441</v>
      </c>
      <c r="W465" s="398">
        <f t="shared" si="185"/>
        <v>4.9459568044715549</v>
      </c>
      <c r="X465" s="398">
        <f t="shared" si="185"/>
        <v>4.9567654435772441</v>
      </c>
      <c r="Y465" s="398">
        <f t="shared" si="185"/>
        <v>4.9654123548617957</v>
      </c>
      <c r="Z465" s="398">
        <f t="shared" si="185"/>
        <v>4.9723298838894365</v>
      </c>
      <c r="AA465" s="398">
        <f t="shared" si="185"/>
        <v>4.9778639071115496</v>
      </c>
      <c r="AB465" s="398">
        <f t="shared" si="185"/>
        <v>4.9822911256892404</v>
      </c>
      <c r="AC465" s="398">
        <f t="shared" si="185"/>
        <v>4.9858329005513919</v>
      </c>
      <c r="AD465" s="398">
        <f t="shared" si="185"/>
        <v>4.9886663204411139</v>
      </c>
      <c r="AE465" s="398">
        <f t="shared" si="185"/>
        <v>4.9909330563528913</v>
      </c>
      <c r="AF465" s="398">
        <f t="shared" si="185"/>
        <v>4.9927464450823127</v>
      </c>
      <c r="AG465" s="398">
        <f t="shared" si="185"/>
        <v>4.9941971560658498</v>
      </c>
      <c r="AH465" s="398">
        <f t="shared" si="185"/>
        <v>4.9953577248526795</v>
      </c>
      <c r="AI465" s="398">
        <f t="shared" si="185"/>
        <v>4.9962861798821443</v>
      </c>
      <c r="AJ465" s="398">
        <f t="shared" si="185"/>
        <v>4.9970289439057156</v>
      </c>
      <c r="AK465" s="398">
        <f t="shared" si="185"/>
        <v>4.9976231551245727</v>
      </c>
      <c r="AL465" s="398">
        <f t="shared" si="185"/>
        <v>4.9980985240996585</v>
      </c>
      <c r="AM465" s="398">
        <f t="shared" si="185"/>
        <v>4.9984788192797271</v>
      </c>
      <c r="AN465" s="398">
        <f t="shared" si="185"/>
        <v>4.9987830554237824</v>
      </c>
      <c r="AP465" s="21"/>
    </row>
    <row r="466" spans="2:42" x14ac:dyDescent="0.25">
      <c r="C466" s="21" t="s">
        <v>393</v>
      </c>
      <c r="D466" s="34" t="s">
        <v>162</v>
      </c>
      <c r="E466" s="398">
        <v>1</v>
      </c>
      <c r="F466" s="398">
        <f t="shared" ref="F466:AN466" si="186">E466*(1-F$446)+1</f>
        <v>1.8</v>
      </c>
      <c r="G466" s="398">
        <f t="shared" si="186"/>
        <v>2.4400000000000004</v>
      </c>
      <c r="H466" s="398">
        <f t="shared" si="186"/>
        <v>2.9520000000000004</v>
      </c>
      <c r="I466" s="398">
        <f t="shared" si="186"/>
        <v>3.3616000000000006</v>
      </c>
      <c r="J466" s="398">
        <f t="shared" si="186"/>
        <v>3.6892800000000006</v>
      </c>
      <c r="K466" s="398">
        <f t="shared" si="186"/>
        <v>3.9514240000000007</v>
      </c>
      <c r="L466" s="398">
        <f t="shared" si="186"/>
        <v>4.1611392000000009</v>
      </c>
      <c r="M466" s="398">
        <f t="shared" si="186"/>
        <v>4.3289113600000011</v>
      </c>
      <c r="N466" s="398">
        <f t="shared" si="186"/>
        <v>4.4631290880000005</v>
      </c>
      <c r="O466" s="398">
        <f t="shared" si="186"/>
        <v>4.5705032704000006</v>
      </c>
      <c r="P466" s="398">
        <f t="shared" si="186"/>
        <v>4.6564026163200012</v>
      </c>
      <c r="Q466" s="398">
        <f t="shared" si="186"/>
        <v>4.7251220930560009</v>
      </c>
      <c r="R466" s="398">
        <f t="shared" si="186"/>
        <v>4.7800976744448009</v>
      </c>
      <c r="S466" s="398">
        <f t="shared" si="186"/>
        <v>4.8240781395558407</v>
      </c>
      <c r="T466" s="398">
        <f t="shared" si="186"/>
        <v>4.8592625116446726</v>
      </c>
      <c r="U466" s="398">
        <f t="shared" si="186"/>
        <v>4.8874100093157384</v>
      </c>
      <c r="V466" s="398">
        <f t="shared" si="186"/>
        <v>4.9099280074525904</v>
      </c>
      <c r="W466" s="398">
        <f t="shared" si="186"/>
        <v>4.9279424059620727</v>
      </c>
      <c r="X466" s="398">
        <f t="shared" si="186"/>
        <v>4.9423539247696588</v>
      </c>
      <c r="Y466" s="398">
        <f t="shared" si="186"/>
        <v>4.9538831398157273</v>
      </c>
      <c r="Z466" s="398">
        <f t="shared" si="186"/>
        <v>4.9631065118525814</v>
      </c>
      <c r="AA466" s="398">
        <f t="shared" si="186"/>
        <v>4.9704852094820655</v>
      </c>
      <c r="AB466" s="398">
        <f t="shared" si="186"/>
        <v>4.9763881675856521</v>
      </c>
      <c r="AC466" s="398">
        <f t="shared" si="186"/>
        <v>4.981110534068522</v>
      </c>
      <c r="AD466" s="398">
        <f t="shared" si="186"/>
        <v>4.984888427254818</v>
      </c>
      <c r="AE466" s="398">
        <f t="shared" si="186"/>
        <v>4.9879107418038551</v>
      </c>
      <c r="AF466" s="398">
        <f t="shared" si="186"/>
        <v>4.9903285934430848</v>
      </c>
      <c r="AG466" s="398">
        <f t="shared" si="186"/>
        <v>4.9922628747544682</v>
      </c>
      <c r="AH466" s="398">
        <f t="shared" si="186"/>
        <v>4.9938102998035747</v>
      </c>
      <c r="AI466" s="398">
        <f t="shared" si="186"/>
        <v>4.9950482398428599</v>
      </c>
      <c r="AJ466" s="398">
        <f t="shared" si="186"/>
        <v>4.9960385918742887</v>
      </c>
      <c r="AK466" s="398">
        <f t="shared" si="186"/>
        <v>4.9968308734994311</v>
      </c>
      <c r="AL466" s="398">
        <f t="shared" si="186"/>
        <v>4.9974646987995452</v>
      </c>
      <c r="AM466" s="398">
        <f t="shared" si="186"/>
        <v>4.9979717590396362</v>
      </c>
      <c r="AN466" s="398">
        <f t="shared" si="186"/>
        <v>4.9983774072317093</v>
      </c>
      <c r="AP466" s="21"/>
    </row>
    <row r="467" spans="2:42" x14ac:dyDescent="0.25">
      <c r="C467" s="22" t="s">
        <v>456</v>
      </c>
      <c r="D467" s="34" t="s">
        <v>162</v>
      </c>
      <c r="E467" s="399">
        <v>0</v>
      </c>
      <c r="F467" s="399">
        <f t="shared" ref="F467:AN467" si="187">E467*(1-F$446)+1</f>
        <v>1</v>
      </c>
      <c r="G467" s="399">
        <f t="shared" si="187"/>
        <v>1.8</v>
      </c>
      <c r="H467" s="399">
        <f t="shared" si="187"/>
        <v>2.4400000000000004</v>
      </c>
      <c r="I467" s="399">
        <f t="shared" si="187"/>
        <v>2.9520000000000004</v>
      </c>
      <c r="J467" s="399">
        <f t="shared" si="187"/>
        <v>3.3616000000000006</v>
      </c>
      <c r="K467" s="399">
        <f t="shared" si="187"/>
        <v>3.6892800000000006</v>
      </c>
      <c r="L467" s="399">
        <f t="shared" si="187"/>
        <v>3.9514240000000007</v>
      </c>
      <c r="M467" s="399">
        <f t="shared" si="187"/>
        <v>4.1611392000000009</v>
      </c>
      <c r="N467" s="399">
        <f t="shared" si="187"/>
        <v>4.3289113600000011</v>
      </c>
      <c r="O467" s="399">
        <f t="shared" si="187"/>
        <v>4.4631290880000005</v>
      </c>
      <c r="P467" s="399">
        <f t="shared" si="187"/>
        <v>4.5705032704000006</v>
      </c>
      <c r="Q467" s="399">
        <f t="shared" si="187"/>
        <v>4.6564026163200012</v>
      </c>
      <c r="R467" s="399">
        <f t="shared" si="187"/>
        <v>4.7251220930560009</v>
      </c>
      <c r="S467" s="399">
        <f t="shared" si="187"/>
        <v>4.7800976744448009</v>
      </c>
      <c r="T467" s="399">
        <f t="shared" si="187"/>
        <v>4.8240781395558407</v>
      </c>
      <c r="U467" s="399">
        <f t="shared" si="187"/>
        <v>4.8592625116446726</v>
      </c>
      <c r="V467" s="399">
        <f t="shared" si="187"/>
        <v>4.8874100093157384</v>
      </c>
      <c r="W467" s="399">
        <f t="shared" si="187"/>
        <v>4.9099280074525904</v>
      </c>
      <c r="X467" s="399">
        <f t="shared" si="187"/>
        <v>4.9279424059620727</v>
      </c>
      <c r="Y467" s="399">
        <f t="shared" si="187"/>
        <v>4.9423539247696588</v>
      </c>
      <c r="Z467" s="399">
        <f t="shared" si="187"/>
        <v>4.9538831398157273</v>
      </c>
      <c r="AA467" s="399">
        <f t="shared" si="187"/>
        <v>4.9631065118525814</v>
      </c>
      <c r="AB467" s="399">
        <f t="shared" si="187"/>
        <v>4.9704852094820655</v>
      </c>
      <c r="AC467" s="399">
        <f t="shared" si="187"/>
        <v>4.9763881675856521</v>
      </c>
      <c r="AD467" s="399">
        <f t="shared" si="187"/>
        <v>4.981110534068522</v>
      </c>
      <c r="AE467" s="399">
        <f t="shared" si="187"/>
        <v>4.984888427254818</v>
      </c>
      <c r="AF467" s="399">
        <f t="shared" si="187"/>
        <v>4.9879107418038551</v>
      </c>
      <c r="AG467" s="399">
        <f t="shared" si="187"/>
        <v>4.9903285934430848</v>
      </c>
      <c r="AH467" s="399">
        <f t="shared" si="187"/>
        <v>4.9922628747544682</v>
      </c>
      <c r="AI467" s="399">
        <f t="shared" si="187"/>
        <v>4.9938102998035747</v>
      </c>
      <c r="AJ467" s="399">
        <f t="shared" si="187"/>
        <v>4.9950482398428599</v>
      </c>
      <c r="AK467" s="399">
        <f t="shared" si="187"/>
        <v>4.9960385918742887</v>
      </c>
      <c r="AL467" s="399">
        <f t="shared" si="187"/>
        <v>4.9968308734994311</v>
      </c>
      <c r="AM467" s="399">
        <f t="shared" si="187"/>
        <v>4.9974646987995452</v>
      </c>
      <c r="AN467" s="399">
        <f t="shared" si="187"/>
        <v>4.9979717590396362</v>
      </c>
      <c r="AP467" s="26"/>
    </row>
    <row r="468" spans="2:42" x14ac:dyDescent="0.25">
      <c r="B468" s="99" t="s">
        <v>9</v>
      </c>
      <c r="C468" s="311" t="s">
        <v>629</v>
      </c>
      <c r="D468" s="318"/>
      <c r="E468" s="402"/>
      <c r="F468" s="402"/>
      <c r="G468" s="402"/>
      <c r="H468" s="402"/>
      <c r="I468" s="402"/>
      <c r="J468" s="402"/>
      <c r="K468" s="402"/>
      <c r="L468" s="402"/>
      <c r="M468" s="402"/>
      <c r="N468" s="402"/>
      <c r="O468" s="402"/>
      <c r="P468" s="402"/>
      <c r="Q468" s="402"/>
      <c r="R468" s="402"/>
      <c r="S468" s="402"/>
      <c r="T468" s="402"/>
      <c r="U468" s="402"/>
      <c r="V468" s="402"/>
      <c r="W468" s="402"/>
      <c r="X468" s="402"/>
      <c r="Y468" s="402"/>
      <c r="Z468" s="402"/>
      <c r="AA468" s="402"/>
      <c r="AB468" s="402"/>
      <c r="AC468" s="402"/>
      <c r="AD468" s="402"/>
      <c r="AE468" s="402"/>
      <c r="AF468" s="402"/>
      <c r="AG468" s="402"/>
      <c r="AH468" s="402"/>
      <c r="AI468" s="402"/>
      <c r="AJ468" s="402"/>
      <c r="AK468" s="402"/>
      <c r="AL468" s="402"/>
      <c r="AM468" s="402"/>
      <c r="AN468" s="402"/>
      <c r="AO468" s="74"/>
      <c r="AP468" s="311"/>
    </row>
    <row r="469" spans="2:42" x14ac:dyDescent="0.25">
      <c r="C469" s="20" t="s">
        <v>600</v>
      </c>
      <c r="D469" s="34" t="s">
        <v>162</v>
      </c>
      <c r="E469" s="397">
        <v>5</v>
      </c>
      <c r="F469" s="397">
        <f>E469*(1-F$446)+1</f>
        <v>5</v>
      </c>
      <c r="G469" s="397">
        <f t="shared" ref="G469:AN469" si="188">F469*(1-G$446)+1</f>
        <v>5</v>
      </c>
      <c r="H469" s="397">
        <f t="shared" si="188"/>
        <v>5</v>
      </c>
      <c r="I469" s="397">
        <f t="shared" si="188"/>
        <v>5</v>
      </c>
      <c r="J469" s="397">
        <f t="shared" si="188"/>
        <v>5</v>
      </c>
      <c r="K469" s="397">
        <f t="shared" si="188"/>
        <v>5</v>
      </c>
      <c r="L469" s="397">
        <f t="shared" si="188"/>
        <v>5</v>
      </c>
      <c r="M469" s="397">
        <f t="shared" si="188"/>
        <v>5</v>
      </c>
      <c r="N469" s="397">
        <f t="shared" si="188"/>
        <v>5</v>
      </c>
      <c r="O469" s="397">
        <f t="shared" si="188"/>
        <v>5</v>
      </c>
      <c r="P469" s="397">
        <f t="shared" si="188"/>
        <v>5</v>
      </c>
      <c r="Q469" s="397">
        <f t="shared" si="188"/>
        <v>5</v>
      </c>
      <c r="R469" s="397">
        <f t="shared" si="188"/>
        <v>5</v>
      </c>
      <c r="S469" s="397">
        <f t="shared" si="188"/>
        <v>5</v>
      </c>
      <c r="T469" s="397">
        <f t="shared" si="188"/>
        <v>5</v>
      </c>
      <c r="U469" s="397">
        <f t="shared" si="188"/>
        <v>5</v>
      </c>
      <c r="V469" s="397">
        <f t="shared" si="188"/>
        <v>5</v>
      </c>
      <c r="W469" s="397">
        <f t="shared" si="188"/>
        <v>5</v>
      </c>
      <c r="X469" s="397">
        <f t="shared" si="188"/>
        <v>5</v>
      </c>
      <c r="Y469" s="397">
        <f t="shared" si="188"/>
        <v>5</v>
      </c>
      <c r="Z469" s="397">
        <f t="shared" si="188"/>
        <v>5</v>
      </c>
      <c r="AA469" s="397">
        <f t="shared" si="188"/>
        <v>5</v>
      </c>
      <c r="AB469" s="397">
        <f t="shared" si="188"/>
        <v>5</v>
      </c>
      <c r="AC469" s="397">
        <f t="shared" si="188"/>
        <v>5</v>
      </c>
      <c r="AD469" s="397">
        <f t="shared" si="188"/>
        <v>5</v>
      </c>
      <c r="AE469" s="397">
        <f t="shared" si="188"/>
        <v>5</v>
      </c>
      <c r="AF469" s="397">
        <f t="shared" si="188"/>
        <v>5</v>
      </c>
      <c r="AG469" s="397">
        <f t="shared" si="188"/>
        <v>5</v>
      </c>
      <c r="AH469" s="397">
        <f t="shared" si="188"/>
        <v>5</v>
      </c>
      <c r="AI469" s="397">
        <f t="shared" si="188"/>
        <v>5</v>
      </c>
      <c r="AJ469" s="397">
        <f t="shared" si="188"/>
        <v>5</v>
      </c>
      <c r="AK469" s="397">
        <f t="shared" si="188"/>
        <v>5</v>
      </c>
      <c r="AL469" s="397">
        <f t="shared" si="188"/>
        <v>5</v>
      </c>
      <c r="AM469" s="397">
        <f t="shared" si="188"/>
        <v>5</v>
      </c>
      <c r="AN469" s="397">
        <f t="shared" si="188"/>
        <v>5</v>
      </c>
      <c r="AP469" s="20"/>
    </row>
    <row r="470" spans="2:42" x14ac:dyDescent="0.25">
      <c r="C470" s="20" t="s">
        <v>392</v>
      </c>
      <c r="D470" s="34" t="s">
        <v>162</v>
      </c>
      <c r="E470" s="398">
        <v>4</v>
      </c>
      <c r="F470" s="398">
        <f t="shared" ref="F470:AN470" si="189">E470*(1-F$446)+1</f>
        <v>4.2</v>
      </c>
      <c r="G470" s="398">
        <f t="shared" si="189"/>
        <v>4.3600000000000003</v>
      </c>
      <c r="H470" s="398">
        <f t="shared" si="189"/>
        <v>4.4880000000000004</v>
      </c>
      <c r="I470" s="398">
        <f t="shared" si="189"/>
        <v>4.5904000000000007</v>
      </c>
      <c r="J470" s="398">
        <f t="shared" si="189"/>
        <v>4.6723200000000009</v>
      </c>
      <c r="K470" s="398">
        <f t="shared" si="189"/>
        <v>4.7378560000000007</v>
      </c>
      <c r="L470" s="398">
        <f t="shared" si="189"/>
        <v>4.7902848000000002</v>
      </c>
      <c r="M470" s="398">
        <f t="shared" si="189"/>
        <v>4.8322278399999998</v>
      </c>
      <c r="N470" s="398">
        <f t="shared" si="189"/>
        <v>4.8657822720000006</v>
      </c>
      <c r="O470" s="398">
        <f t="shared" si="189"/>
        <v>4.8926258176000008</v>
      </c>
      <c r="P470" s="398">
        <f t="shared" si="189"/>
        <v>4.9141006540800003</v>
      </c>
      <c r="Q470" s="398">
        <f t="shared" si="189"/>
        <v>4.9312805232640002</v>
      </c>
      <c r="R470" s="398">
        <f t="shared" si="189"/>
        <v>4.9450244186112009</v>
      </c>
      <c r="S470" s="398">
        <f t="shared" si="189"/>
        <v>4.9560195348889611</v>
      </c>
      <c r="T470" s="398">
        <f t="shared" si="189"/>
        <v>4.964815627911169</v>
      </c>
      <c r="U470" s="398">
        <f t="shared" si="189"/>
        <v>4.9718525023289359</v>
      </c>
      <c r="V470" s="398">
        <f t="shared" si="189"/>
        <v>4.9774820018631489</v>
      </c>
      <c r="W470" s="398">
        <f t="shared" si="189"/>
        <v>4.9819856014905195</v>
      </c>
      <c r="X470" s="398">
        <f t="shared" si="189"/>
        <v>4.9855884811924156</v>
      </c>
      <c r="Y470" s="398">
        <f t="shared" si="189"/>
        <v>4.9884707849539325</v>
      </c>
      <c r="Z470" s="398">
        <f t="shared" si="189"/>
        <v>4.9907766279631467</v>
      </c>
      <c r="AA470" s="398">
        <f t="shared" si="189"/>
        <v>4.9926213023705177</v>
      </c>
      <c r="AB470" s="398">
        <f t="shared" si="189"/>
        <v>4.9940970418964143</v>
      </c>
      <c r="AC470" s="398">
        <f t="shared" si="189"/>
        <v>4.9952776335171318</v>
      </c>
      <c r="AD470" s="398">
        <f t="shared" si="189"/>
        <v>4.9962221068137058</v>
      </c>
      <c r="AE470" s="398">
        <f t="shared" si="189"/>
        <v>4.9969776854509647</v>
      </c>
      <c r="AF470" s="398">
        <f t="shared" si="189"/>
        <v>4.9975821483607721</v>
      </c>
      <c r="AG470" s="398">
        <f t="shared" si="189"/>
        <v>4.9980657186886184</v>
      </c>
      <c r="AH470" s="398">
        <f t="shared" si="189"/>
        <v>4.9984525749508943</v>
      </c>
      <c r="AI470" s="398">
        <f t="shared" si="189"/>
        <v>4.9987620599607157</v>
      </c>
      <c r="AJ470" s="398">
        <f t="shared" si="189"/>
        <v>4.9990096479685722</v>
      </c>
      <c r="AK470" s="398">
        <f t="shared" si="189"/>
        <v>4.9992077183748584</v>
      </c>
      <c r="AL470" s="398">
        <f t="shared" si="189"/>
        <v>4.9993661746998868</v>
      </c>
      <c r="AM470" s="398">
        <f t="shared" si="189"/>
        <v>4.999492939759909</v>
      </c>
      <c r="AN470" s="398">
        <f t="shared" si="189"/>
        <v>4.9995943518079269</v>
      </c>
      <c r="AP470" s="21"/>
    </row>
    <row r="471" spans="2:42" x14ac:dyDescent="0.25">
      <c r="C471" s="20" t="s">
        <v>454</v>
      </c>
      <c r="D471" s="34" t="s">
        <v>162</v>
      </c>
      <c r="E471" s="398">
        <v>3</v>
      </c>
      <c r="F471" s="398">
        <f t="shared" ref="F471:AN471" si="190">E471*(1-F$446)+1</f>
        <v>3.4000000000000004</v>
      </c>
      <c r="G471" s="398">
        <f t="shared" si="190"/>
        <v>3.7200000000000006</v>
      </c>
      <c r="H471" s="398">
        <f t="shared" si="190"/>
        <v>3.9760000000000009</v>
      </c>
      <c r="I471" s="398">
        <f t="shared" si="190"/>
        <v>4.1808000000000014</v>
      </c>
      <c r="J471" s="398">
        <f t="shared" si="190"/>
        <v>4.3446400000000018</v>
      </c>
      <c r="K471" s="398">
        <f t="shared" si="190"/>
        <v>4.4757120000000015</v>
      </c>
      <c r="L471" s="398">
        <f t="shared" si="190"/>
        <v>4.5805696000000014</v>
      </c>
      <c r="M471" s="398">
        <f t="shared" si="190"/>
        <v>4.6644556800000014</v>
      </c>
      <c r="N471" s="398">
        <f t="shared" si="190"/>
        <v>4.7315645440000011</v>
      </c>
      <c r="O471" s="398">
        <f t="shared" si="190"/>
        <v>4.7852516352000016</v>
      </c>
      <c r="P471" s="398">
        <f t="shared" si="190"/>
        <v>4.8282013081600015</v>
      </c>
      <c r="Q471" s="398">
        <f t="shared" si="190"/>
        <v>4.8625610465280014</v>
      </c>
      <c r="R471" s="398">
        <f t="shared" si="190"/>
        <v>4.8900488372224018</v>
      </c>
      <c r="S471" s="398">
        <f t="shared" si="190"/>
        <v>4.9120390697779222</v>
      </c>
      <c r="T471" s="398">
        <f t="shared" si="190"/>
        <v>4.9296312558223381</v>
      </c>
      <c r="U471" s="398">
        <f t="shared" si="190"/>
        <v>4.9437050046578701</v>
      </c>
      <c r="V471" s="398">
        <f t="shared" si="190"/>
        <v>4.9549640037262961</v>
      </c>
      <c r="W471" s="398">
        <f t="shared" si="190"/>
        <v>4.9639712029810372</v>
      </c>
      <c r="X471" s="398">
        <f t="shared" si="190"/>
        <v>4.9711769623848294</v>
      </c>
      <c r="Y471" s="398">
        <f t="shared" si="190"/>
        <v>4.9769415699078632</v>
      </c>
      <c r="Z471" s="398">
        <f t="shared" si="190"/>
        <v>4.9815532559262907</v>
      </c>
      <c r="AA471" s="398">
        <f t="shared" si="190"/>
        <v>4.9852426047410328</v>
      </c>
      <c r="AB471" s="398">
        <f t="shared" si="190"/>
        <v>4.9881940837928269</v>
      </c>
      <c r="AC471" s="398">
        <f t="shared" si="190"/>
        <v>4.9905552670342619</v>
      </c>
      <c r="AD471" s="398">
        <f t="shared" si="190"/>
        <v>4.9924442136274099</v>
      </c>
      <c r="AE471" s="398">
        <f t="shared" si="190"/>
        <v>4.9939553709019275</v>
      </c>
      <c r="AF471" s="398">
        <f t="shared" si="190"/>
        <v>4.9951642967215424</v>
      </c>
      <c r="AG471" s="398">
        <f t="shared" si="190"/>
        <v>4.9961314373772341</v>
      </c>
      <c r="AH471" s="398">
        <f t="shared" si="190"/>
        <v>4.9969051499017869</v>
      </c>
      <c r="AI471" s="398">
        <f t="shared" si="190"/>
        <v>4.9975241199214295</v>
      </c>
      <c r="AJ471" s="398">
        <f t="shared" si="190"/>
        <v>4.9980192959371443</v>
      </c>
      <c r="AK471" s="398">
        <f t="shared" si="190"/>
        <v>4.9984154367497151</v>
      </c>
      <c r="AL471" s="398">
        <f t="shared" si="190"/>
        <v>4.9987323493997717</v>
      </c>
      <c r="AM471" s="398">
        <f t="shared" si="190"/>
        <v>4.9989858795198181</v>
      </c>
      <c r="AN471" s="398">
        <f t="shared" si="190"/>
        <v>4.9991887036158547</v>
      </c>
      <c r="AP471" s="21"/>
    </row>
    <row r="472" spans="2:42" x14ac:dyDescent="0.25">
      <c r="C472" s="21" t="s">
        <v>455</v>
      </c>
      <c r="D472" s="34" t="s">
        <v>162</v>
      </c>
      <c r="E472" s="398">
        <v>2</v>
      </c>
      <c r="F472" s="398">
        <f t="shared" ref="F472:AN472" si="191">E472*(1-F$446)+1</f>
        <v>2.6</v>
      </c>
      <c r="G472" s="398">
        <f t="shared" si="191"/>
        <v>3.08</v>
      </c>
      <c r="H472" s="398">
        <f t="shared" si="191"/>
        <v>3.4640000000000004</v>
      </c>
      <c r="I472" s="398">
        <f t="shared" si="191"/>
        <v>3.7712000000000003</v>
      </c>
      <c r="J472" s="398">
        <f t="shared" si="191"/>
        <v>4.016960000000001</v>
      </c>
      <c r="K472" s="398">
        <f t="shared" si="191"/>
        <v>4.2135680000000004</v>
      </c>
      <c r="L472" s="398">
        <f t="shared" si="191"/>
        <v>4.3708544000000007</v>
      </c>
      <c r="M472" s="398">
        <f t="shared" si="191"/>
        <v>4.4966835200000013</v>
      </c>
      <c r="N472" s="398">
        <f t="shared" si="191"/>
        <v>4.5973468160000017</v>
      </c>
      <c r="O472" s="398">
        <f t="shared" si="191"/>
        <v>4.6778774528000016</v>
      </c>
      <c r="P472" s="398">
        <f t="shared" si="191"/>
        <v>4.7423019622400009</v>
      </c>
      <c r="Q472" s="398">
        <f t="shared" si="191"/>
        <v>4.7938415697920007</v>
      </c>
      <c r="R472" s="398">
        <f t="shared" si="191"/>
        <v>4.8350732558336009</v>
      </c>
      <c r="S472" s="398">
        <f t="shared" si="191"/>
        <v>4.8680586046668815</v>
      </c>
      <c r="T472" s="398">
        <f t="shared" si="191"/>
        <v>4.8944468837335053</v>
      </c>
      <c r="U472" s="398">
        <f t="shared" si="191"/>
        <v>4.9155575069868043</v>
      </c>
      <c r="V472" s="398">
        <f t="shared" si="191"/>
        <v>4.9324460055894441</v>
      </c>
      <c r="W472" s="398">
        <f t="shared" si="191"/>
        <v>4.9459568044715549</v>
      </c>
      <c r="X472" s="398">
        <f t="shared" si="191"/>
        <v>4.9567654435772441</v>
      </c>
      <c r="Y472" s="398">
        <f t="shared" si="191"/>
        <v>4.9654123548617957</v>
      </c>
      <c r="Z472" s="398">
        <f t="shared" si="191"/>
        <v>4.9723298838894365</v>
      </c>
      <c r="AA472" s="398">
        <f t="shared" si="191"/>
        <v>4.9778639071115496</v>
      </c>
      <c r="AB472" s="398">
        <f t="shared" si="191"/>
        <v>4.9822911256892404</v>
      </c>
      <c r="AC472" s="398">
        <f t="shared" si="191"/>
        <v>4.9858329005513919</v>
      </c>
      <c r="AD472" s="398">
        <f t="shared" si="191"/>
        <v>4.9886663204411139</v>
      </c>
      <c r="AE472" s="398">
        <f t="shared" si="191"/>
        <v>4.9909330563528913</v>
      </c>
      <c r="AF472" s="398">
        <f t="shared" si="191"/>
        <v>4.9927464450823127</v>
      </c>
      <c r="AG472" s="398">
        <f t="shared" si="191"/>
        <v>4.9941971560658498</v>
      </c>
      <c r="AH472" s="398">
        <f t="shared" si="191"/>
        <v>4.9953577248526795</v>
      </c>
      <c r="AI472" s="398">
        <f t="shared" si="191"/>
        <v>4.9962861798821443</v>
      </c>
      <c r="AJ472" s="398">
        <f t="shared" si="191"/>
        <v>4.9970289439057156</v>
      </c>
      <c r="AK472" s="398">
        <f t="shared" si="191"/>
        <v>4.9976231551245727</v>
      </c>
      <c r="AL472" s="398">
        <f t="shared" si="191"/>
        <v>4.9980985240996585</v>
      </c>
      <c r="AM472" s="398">
        <f t="shared" si="191"/>
        <v>4.9984788192797271</v>
      </c>
      <c r="AN472" s="398">
        <f t="shared" si="191"/>
        <v>4.9987830554237824</v>
      </c>
      <c r="AP472" s="21"/>
    </row>
    <row r="473" spans="2:42" x14ac:dyDescent="0.25">
      <c r="C473" s="21" t="s">
        <v>393</v>
      </c>
      <c r="D473" s="34" t="s">
        <v>162</v>
      </c>
      <c r="E473" s="398">
        <v>1</v>
      </c>
      <c r="F473" s="398">
        <f t="shared" ref="F473:AN473" si="192">E473*(1-F$446)+1</f>
        <v>1.8</v>
      </c>
      <c r="G473" s="398">
        <f t="shared" si="192"/>
        <v>2.4400000000000004</v>
      </c>
      <c r="H473" s="398">
        <f t="shared" si="192"/>
        <v>2.9520000000000004</v>
      </c>
      <c r="I473" s="398">
        <f t="shared" si="192"/>
        <v>3.3616000000000006</v>
      </c>
      <c r="J473" s="398">
        <f t="shared" si="192"/>
        <v>3.6892800000000006</v>
      </c>
      <c r="K473" s="398">
        <f t="shared" si="192"/>
        <v>3.9514240000000007</v>
      </c>
      <c r="L473" s="398">
        <f t="shared" si="192"/>
        <v>4.1611392000000009</v>
      </c>
      <c r="M473" s="398">
        <f t="shared" si="192"/>
        <v>4.3289113600000011</v>
      </c>
      <c r="N473" s="398">
        <f t="shared" si="192"/>
        <v>4.4631290880000005</v>
      </c>
      <c r="O473" s="398">
        <f t="shared" si="192"/>
        <v>4.5705032704000006</v>
      </c>
      <c r="P473" s="398">
        <f t="shared" si="192"/>
        <v>4.6564026163200012</v>
      </c>
      <c r="Q473" s="398">
        <f t="shared" si="192"/>
        <v>4.7251220930560009</v>
      </c>
      <c r="R473" s="398">
        <f t="shared" si="192"/>
        <v>4.7800976744448009</v>
      </c>
      <c r="S473" s="398">
        <f t="shared" si="192"/>
        <v>4.8240781395558407</v>
      </c>
      <c r="T473" s="398">
        <f t="shared" si="192"/>
        <v>4.8592625116446726</v>
      </c>
      <c r="U473" s="398">
        <f t="shared" si="192"/>
        <v>4.8874100093157384</v>
      </c>
      <c r="V473" s="398">
        <f t="shared" si="192"/>
        <v>4.9099280074525904</v>
      </c>
      <c r="W473" s="398">
        <f t="shared" si="192"/>
        <v>4.9279424059620727</v>
      </c>
      <c r="X473" s="398">
        <f t="shared" si="192"/>
        <v>4.9423539247696588</v>
      </c>
      <c r="Y473" s="398">
        <f t="shared" si="192"/>
        <v>4.9538831398157273</v>
      </c>
      <c r="Z473" s="398">
        <f t="shared" si="192"/>
        <v>4.9631065118525814</v>
      </c>
      <c r="AA473" s="398">
        <f t="shared" si="192"/>
        <v>4.9704852094820655</v>
      </c>
      <c r="AB473" s="398">
        <f t="shared" si="192"/>
        <v>4.9763881675856521</v>
      </c>
      <c r="AC473" s="398">
        <f t="shared" si="192"/>
        <v>4.981110534068522</v>
      </c>
      <c r="AD473" s="398">
        <f t="shared" si="192"/>
        <v>4.984888427254818</v>
      </c>
      <c r="AE473" s="398">
        <f t="shared" si="192"/>
        <v>4.9879107418038551</v>
      </c>
      <c r="AF473" s="398">
        <f t="shared" si="192"/>
        <v>4.9903285934430848</v>
      </c>
      <c r="AG473" s="398">
        <f t="shared" si="192"/>
        <v>4.9922628747544682</v>
      </c>
      <c r="AH473" s="398">
        <f t="shared" si="192"/>
        <v>4.9938102998035747</v>
      </c>
      <c r="AI473" s="398">
        <f t="shared" si="192"/>
        <v>4.9950482398428599</v>
      </c>
      <c r="AJ473" s="398">
        <f t="shared" si="192"/>
        <v>4.9960385918742887</v>
      </c>
      <c r="AK473" s="398">
        <f t="shared" si="192"/>
        <v>4.9968308734994311</v>
      </c>
      <c r="AL473" s="398">
        <f t="shared" si="192"/>
        <v>4.9974646987995452</v>
      </c>
      <c r="AM473" s="398">
        <f t="shared" si="192"/>
        <v>4.9979717590396362</v>
      </c>
      <c r="AN473" s="398">
        <f t="shared" si="192"/>
        <v>4.9983774072317093</v>
      </c>
      <c r="AP473" s="21"/>
    </row>
    <row r="474" spans="2:42" x14ac:dyDescent="0.25">
      <c r="C474" s="22" t="s">
        <v>456</v>
      </c>
      <c r="D474" s="34" t="s">
        <v>162</v>
      </c>
      <c r="E474" s="399">
        <v>0</v>
      </c>
      <c r="F474" s="399">
        <f t="shared" ref="F474:AN474" si="193">E474*(1-F$446)+1</f>
        <v>1</v>
      </c>
      <c r="G474" s="399">
        <f t="shared" si="193"/>
        <v>1.8</v>
      </c>
      <c r="H474" s="399">
        <f t="shared" si="193"/>
        <v>2.4400000000000004</v>
      </c>
      <c r="I474" s="399">
        <f t="shared" si="193"/>
        <v>2.9520000000000004</v>
      </c>
      <c r="J474" s="399">
        <f t="shared" si="193"/>
        <v>3.3616000000000006</v>
      </c>
      <c r="K474" s="399">
        <f t="shared" si="193"/>
        <v>3.6892800000000006</v>
      </c>
      <c r="L474" s="399">
        <f t="shared" si="193"/>
        <v>3.9514240000000007</v>
      </c>
      <c r="M474" s="399">
        <f t="shared" si="193"/>
        <v>4.1611392000000009</v>
      </c>
      <c r="N474" s="399">
        <f t="shared" si="193"/>
        <v>4.3289113600000011</v>
      </c>
      <c r="O474" s="399">
        <f t="shared" si="193"/>
        <v>4.4631290880000005</v>
      </c>
      <c r="P474" s="399">
        <f t="shared" si="193"/>
        <v>4.5705032704000006</v>
      </c>
      <c r="Q474" s="399">
        <f t="shared" si="193"/>
        <v>4.6564026163200012</v>
      </c>
      <c r="R474" s="399">
        <f t="shared" si="193"/>
        <v>4.7251220930560009</v>
      </c>
      <c r="S474" s="399">
        <f t="shared" si="193"/>
        <v>4.7800976744448009</v>
      </c>
      <c r="T474" s="399">
        <f t="shared" si="193"/>
        <v>4.8240781395558407</v>
      </c>
      <c r="U474" s="399">
        <f t="shared" si="193"/>
        <v>4.8592625116446726</v>
      </c>
      <c r="V474" s="399">
        <f t="shared" si="193"/>
        <v>4.8874100093157384</v>
      </c>
      <c r="W474" s="399">
        <f t="shared" si="193"/>
        <v>4.9099280074525904</v>
      </c>
      <c r="X474" s="399">
        <f t="shared" si="193"/>
        <v>4.9279424059620727</v>
      </c>
      <c r="Y474" s="399">
        <f t="shared" si="193"/>
        <v>4.9423539247696588</v>
      </c>
      <c r="Z474" s="399">
        <f t="shared" si="193"/>
        <v>4.9538831398157273</v>
      </c>
      <c r="AA474" s="399">
        <f t="shared" si="193"/>
        <v>4.9631065118525814</v>
      </c>
      <c r="AB474" s="399">
        <f t="shared" si="193"/>
        <v>4.9704852094820655</v>
      </c>
      <c r="AC474" s="399">
        <f t="shared" si="193"/>
        <v>4.9763881675856521</v>
      </c>
      <c r="AD474" s="399">
        <f t="shared" si="193"/>
        <v>4.981110534068522</v>
      </c>
      <c r="AE474" s="399">
        <f t="shared" si="193"/>
        <v>4.984888427254818</v>
      </c>
      <c r="AF474" s="399">
        <f t="shared" si="193"/>
        <v>4.9879107418038551</v>
      </c>
      <c r="AG474" s="399">
        <f t="shared" si="193"/>
        <v>4.9903285934430848</v>
      </c>
      <c r="AH474" s="399">
        <f t="shared" si="193"/>
        <v>4.9922628747544682</v>
      </c>
      <c r="AI474" s="399">
        <f t="shared" si="193"/>
        <v>4.9938102998035747</v>
      </c>
      <c r="AJ474" s="399">
        <f t="shared" si="193"/>
        <v>4.9950482398428599</v>
      </c>
      <c r="AK474" s="399">
        <f t="shared" si="193"/>
        <v>4.9960385918742887</v>
      </c>
      <c r="AL474" s="399">
        <f t="shared" si="193"/>
        <v>4.9968308734994311</v>
      </c>
      <c r="AM474" s="399">
        <f t="shared" si="193"/>
        <v>4.9974646987995452</v>
      </c>
      <c r="AN474" s="399">
        <f t="shared" si="193"/>
        <v>4.9979717590396362</v>
      </c>
      <c r="AP474" s="26"/>
    </row>
    <row r="475" spans="2:42" x14ac:dyDescent="0.25">
      <c r="B475" s="99" t="s">
        <v>9</v>
      </c>
      <c r="C475" s="312" t="str">
        <f>'4.2 Sector Mapping'!$B$10</f>
        <v>Industrials and Services</v>
      </c>
      <c r="D475" s="317"/>
      <c r="E475" s="312"/>
      <c r="F475" s="312"/>
      <c r="G475" s="312"/>
      <c r="H475" s="312"/>
      <c r="I475" s="312"/>
      <c r="J475" s="312"/>
      <c r="K475" s="312"/>
      <c r="L475" s="312"/>
      <c r="M475" s="312"/>
      <c r="N475" s="312"/>
      <c r="O475" s="312"/>
      <c r="P475" s="312"/>
      <c r="Q475" s="312"/>
      <c r="R475" s="312"/>
      <c r="S475" s="312"/>
      <c r="T475" s="312"/>
      <c r="U475" s="312"/>
      <c r="V475" s="312"/>
      <c r="W475" s="312"/>
      <c r="X475" s="312"/>
      <c r="Y475" s="312"/>
      <c r="Z475" s="312"/>
      <c r="AA475" s="312"/>
      <c r="AB475" s="312"/>
      <c r="AC475" s="312"/>
      <c r="AD475" s="312"/>
      <c r="AE475" s="312"/>
      <c r="AF475" s="312"/>
      <c r="AG475" s="312"/>
      <c r="AH475" s="312"/>
      <c r="AI475" s="312"/>
      <c r="AJ475" s="312"/>
      <c r="AK475" s="312"/>
      <c r="AL475" s="312"/>
      <c r="AM475" s="312"/>
      <c r="AN475" s="312"/>
      <c r="AO475" s="74"/>
      <c r="AP475" s="312"/>
    </row>
    <row r="476" spans="2:42" s="86" customFormat="1" x14ac:dyDescent="0.25">
      <c r="B476" s="3"/>
      <c r="C476" s="243" t="s">
        <v>625</v>
      </c>
      <c r="D476" s="36" t="s">
        <v>162</v>
      </c>
      <c r="E476" s="309">
        <v>0</v>
      </c>
      <c r="F476" s="309">
        <v>0</v>
      </c>
      <c r="G476" s="309">
        <f>ROUND(H476/2,0)</f>
        <v>0</v>
      </c>
      <c r="H476" s="309">
        <f>ROUND(I476/2,0)</f>
        <v>0</v>
      </c>
      <c r="I476" s="309">
        <f>J476</f>
        <v>0</v>
      </c>
      <c r="J476" s="309">
        <f>K476</f>
        <v>0</v>
      </c>
      <c r="K476" s="309">
        <f>L476</f>
        <v>0</v>
      </c>
      <c r="L476" s="309">
        <f>ROUND(M476/2,0)</f>
        <v>0</v>
      </c>
      <c r="M476" s="309">
        <f>N476</f>
        <v>0</v>
      </c>
      <c r="N476" s="309">
        <f>P476</f>
        <v>0</v>
      </c>
      <c r="O476" s="309">
        <f>P476</f>
        <v>0</v>
      </c>
      <c r="P476" s="309">
        <f>'Back-end Overview of Use Cases'!C8</f>
        <v>0</v>
      </c>
      <c r="Q476" s="309">
        <f>ROUND(IF($AB476-$P476=1,$P476,$P476+($AB476-$P476)/3),0)</f>
        <v>1</v>
      </c>
      <c r="R476" s="309">
        <f>ROUND(IF($AB476-$P476=1,$P476,$P476+($AB476-$P476)/3),0)</f>
        <v>1</v>
      </c>
      <c r="S476" s="309">
        <f>ROUND(IF($AB476-$P476=1,$P476,$P476+($AB476-$P476)/3),0)</f>
        <v>1</v>
      </c>
      <c r="T476" s="309">
        <f>ROUND(IF($AB476-$P476=1,$P476,$P476+($AB476-$P476)/3),0)</f>
        <v>1</v>
      </c>
      <c r="U476" s="309">
        <f>ROUND(AVERAGE(T476,Y476),0)</f>
        <v>2</v>
      </c>
      <c r="V476" s="309">
        <f>U476</f>
        <v>2</v>
      </c>
      <c r="W476" s="309">
        <f>V476</f>
        <v>2</v>
      </c>
      <c r="X476" s="309">
        <f>W476</f>
        <v>2</v>
      </c>
      <c r="Y476" s="309">
        <f>Z476</f>
        <v>2</v>
      </c>
      <c r="Z476" s="309">
        <f>AA476</f>
        <v>2</v>
      </c>
      <c r="AA476" s="309">
        <f>AB476</f>
        <v>2</v>
      </c>
      <c r="AB476" s="309">
        <f>'Back-end Overview of Use Cases'!D8</f>
        <v>2</v>
      </c>
      <c r="AC476" s="309">
        <f>ROUND(IF($AN476-$AB476=1,$AB476,$AB476+($AN476-$AB476)/3),0)</f>
        <v>6</v>
      </c>
      <c r="AD476" s="309">
        <f>ROUND(IF($AN476-$AB476=1,$AB476,$AB476+($AN476-$AB476)/3),0)</f>
        <v>6</v>
      </c>
      <c r="AE476" s="309">
        <f>ROUND(IF($AN476-$AB476=1,$AB476,$AB476+($AN476-$AB476)/3),0)</f>
        <v>6</v>
      </c>
      <c r="AF476" s="309">
        <f>ROUND(IF($AN476-$AB476=1,$AB476,$AB476+($AN476-$AB476)/3),0)</f>
        <v>6</v>
      </c>
      <c r="AG476" s="309">
        <f>ROUND(AVERAGE(AF476,AK476),0)</f>
        <v>10</v>
      </c>
      <c r="AH476" s="309">
        <f>AG476</f>
        <v>10</v>
      </c>
      <c r="AI476" s="309">
        <f>AH476</f>
        <v>10</v>
      </c>
      <c r="AJ476" s="309">
        <f>AI476</f>
        <v>10</v>
      </c>
      <c r="AK476" s="309">
        <f>AN476</f>
        <v>13</v>
      </c>
      <c r="AL476" s="309">
        <f>AN476</f>
        <v>13</v>
      </c>
      <c r="AM476" s="309">
        <f>AN476</f>
        <v>13</v>
      </c>
      <c r="AN476" s="309">
        <f>'Back-end Overview of Use Cases'!E8</f>
        <v>13</v>
      </c>
      <c r="AP476" s="243"/>
    </row>
    <row r="477" spans="2:42" x14ac:dyDescent="0.25">
      <c r="C477" s="299" t="s">
        <v>691</v>
      </c>
      <c r="D477" s="330" t="s">
        <v>29</v>
      </c>
      <c r="E477" s="421">
        <v>0</v>
      </c>
      <c r="F477" s="421">
        <v>0.2</v>
      </c>
      <c r="G477" s="421">
        <v>0.2</v>
      </c>
      <c r="H477" s="421">
        <v>0.2</v>
      </c>
      <c r="I477" s="421">
        <v>0.2</v>
      </c>
      <c r="J477" s="421">
        <v>0.2</v>
      </c>
      <c r="K477" s="421">
        <v>0.2</v>
      </c>
      <c r="L477" s="421">
        <v>0.2</v>
      </c>
      <c r="M477" s="421">
        <v>0.2</v>
      </c>
      <c r="N477" s="421">
        <v>0.2</v>
      </c>
      <c r="O477" s="421">
        <v>0.2</v>
      </c>
      <c r="P477" s="421">
        <v>0.2</v>
      </c>
      <c r="Q477" s="421">
        <v>0.2</v>
      </c>
      <c r="R477" s="421">
        <v>0.2</v>
      </c>
      <c r="S477" s="421">
        <v>0.2</v>
      </c>
      <c r="T477" s="421">
        <v>0.2</v>
      </c>
      <c r="U477" s="421">
        <v>0.2</v>
      </c>
      <c r="V477" s="421">
        <v>0.2</v>
      </c>
      <c r="W477" s="421">
        <v>0.2</v>
      </c>
      <c r="X477" s="421">
        <v>0.2</v>
      </c>
      <c r="Y477" s="421">
        <v>0.2</v>
      </c>
      <c r="Z477" s="421">
        <v>0.2</v>
      </c>
      <c r="AA477" s="421">
        <v>0.2</v>
      </c>
      <c r="AB477" s="421">
        <v>0.2</v>
      </c>
      <c r="AC477" s="421">
        <v>0.2</v>
      </c>
      <c r="AD477" s="421">
        <v>0.2</v>
      </c>
      <c r="AE477" s="421">
        <v>0.2</v>
      </c>
      <c r="AF477" s="421">
        <v>0.2</v>
      </c>
      <c r="AG477" s="421">
        <v>0.2</v>
      </c>
      <c r="AH477" s="421">
        <v>0.2</v>
      </c>
      <c r="AI477" s="421">
        <v>0.2</v>
      </c>
      <c r="AJ477" s="421">
        <v>0.2</v>
      </c>
      <c r="AK477" s="421">
        <v>0.2</v>
      </c>
      <c r="AL477" s="421">
        <v>0.2</v>
      </c>
      <c r="AM477" s="421">
        <v>0.2</v>
      </c>
      <c r="AN477" s="421">
        <v>0.2</v>
      </c>
      <c r="AP477" s="299"/>
    </row>
    <row r="478" spans="2:42" x14ac:dyDescent="0.25">
      <c r="B478" s="99" t="s">
        <v>9</v>
      </c>
      <c r="C478" s="311" t="s">
        <v>626</v>
      </c>
      <c r="D478" s="318"/>
      <c r="E478" s="311"/>
      <c r="F478" s="311"/>
      <c r="G478" s="311"/>
      <c r="H478" s="311"/>
      <c r="I478" s="311"/>
      <c r="J478" s="311"/>
      <c r="K478" s="311"/>
      <c r="L478" s="311"/>
      <c r="M478" s="311"/>
      <c r="N478" s="311"/>
      <c r="O478" s="311"/>
      <c r="P478" s="311"/>
      <c r="Q478" s="311"/>
      <c r="R478" s="311"/>
      <c r="S478" s="311"/>
      <c r="T478" s="311"/>
      <c r="U478" s="311"/>
      <c r="V478" s="311"/>
      <c r="W478" s="311"/>
      <c r="X478" s="311"/>
      <c r="Y478" s="311"/>
      <c r="Z478" s="311"/>
      <c r="AA478" s="311"/>
      <c r="AB478" s="311"/>
      <c r="AC478" s="311"/>
      <c r="AD478" s="311"/>
      <c r="AE478" s="311"/>
      <c r="AF478" s="311"/>
      <c r="AG478" s="311"/>
      <c r="AH478" s="311"/>
      <c r="AI478" s="311"/>
      <c r="AJ478" s="311"/>
      <c r="AK478" s="311"/>
      <c r="AL478" s="311"/>
      <c r="AM478" s="311"/>
      <c r="AN478" s="311"/>
      <c r="AO478" s="74"/>
      <c r="AP478" s="311"/>
    </row>
    <row r="479" spans="2:42" x14ac:dyDescent="0.25">
      <c r="C479" s="20" t="s">
        <v>600</v>
      </c>
      <c r="D479" s="34" t="s">
        <v>162</v>
      </c>
      <c r="E479" s="397">
        <v>5</v>
      </c>
      <c r="F479" s="397">
        <f>E479*(1-F$477)+1</f>
        <v>5</v>
      </c>
      <c r="G479" s="397">
        <f t="shared" ref="G479:AN484" si="194">F479*(1-G$477)+1</f>
        <v>5</v>
      </c>
      <c r="H479" s="397">
        <f t="shared" si="194"/>
        <v>5</v>
      </c>
      <c r="I479" s="397">
        <f t="shared" si="194"/>
        <v>5</v>
      </c>
      <c r="J479" s="397">
        <f t="shared" si="194"/>
        <v>5</v>
      </c>
      <c r="K479" s="397">
        <f t="shared" si="194"/>
        <v>5</v>
      </c>
      <c r="L479" s="397">
        <f t="shared" si="194"/>
        <v>5</v>
      </c>
      <c r="M479" s="397">
        <f t="shared" si="194"/>
        <v>5</v>
      </c>
      <c r="N479" s="397">
        <f t="shared" si="194"/>
        <v>5</v>
      </c>
      <c r="O479" s="397">
        <f t="shared" si="194"/>
        <v>5</v>
      </c>
      <c r="P479" s="397">
        <f t="shared" si="194"/>
        <v>5</v>
      </c>
      <c r="Q479" s="397">
        <f t="shared" si="194"/>
        <v>5</v>
      </c>
      <c r="R479" s="397">
        <f t="shared" si="194"/>
        <v>5</v>
      </c>
      <c r="S479" s="397">
        <f t="shared" si="194"/>
        <v>5</v>
      </c>
      <c r="T479" s="397">
        <f t="shared" si="194"/>
        <v>5</v>
      </c>
      <c r="U479" s="397">
        <f t="shared" si="194"/>
        <v>5</v>
      </c>
      <c r="V479" s="397">
        <f t="shared" si="194"/>
        <v>5</v>
      </c>
      <c r="W479" s="397">
        <f t="shared" si="194"/>
        <v>5</v>
      </c>
      <c r="X479" s="397">
        <f t="shared" si="194"/>
        <v>5</v>
      </c>
      <c r="Y479" s="397">
        <f t="shared" si="194"/>
        <v>5</v>
      </c>
      <c r="Z479" s="397">
        <f t="shared" si="194"/>
        <v>5</v>
      </c>
      <c r="AA479" s="397">
        <f t="shared" si="194"/>
        <v>5</v>
      </c>
      <c r="AB479" s="397">
        <f t="shared" si="194"/>
        <v>5</v>
      </c>
      <c r="AC479" s="397">
        <f t="shared" si="194"/>
        <v>5</v>
      </c>
      <c r="AD479" s="397">
        <f t="shared" si="194"/>
        <v>5</v>
      </c>
      <c r="AE479" s="397">
        <f t="shared" si="194"/>
        <v>5</v>
      </c>
      <c r="AF479" s="397">
        <f t="shared" si="194"/>
        <v>5</v>
      </c>
      <c r="AG479" s="397">
        <f t="shared" si="194"/>
        <v>5</v>
      </c>
      <c r="AH479" s="397">
        <f t="shared" si="194"/>
        <v>5</v>
      </c>
      <c r="AI479" s="397">
        <f t="shared" si="194"/>
        <v>5</v>
      </c>
      <c r="AJ479" s="397">
        <f t="shared" si="194"/>
        <v>5</v>
      </c>
      <c r="AK479" s="397">
        <f t="shared" si="194"/>
        <v>5</v>
      </c>
      <c r="AL479" s="397">
        <f t="shared" si="194"/>
        <v>5</v>
      </c>
      <c r="AM479" s="397">
        <f t="shared" si="194"/>
        <v>5</v>
      </c>
      <c r="AN479" s="397">
        <f t="shared" si="194"/>
        <v>5</v>
      </c>
      <c r="AP479" s="20"/>
    </row>
    <row r="480" spans="2:42" x14ac:dyDescent="0.25">
      <c r="C480" s="20" t="s">
        <v>392</v>
      </c>
      <c r="D480" s="34" t="s">
        <v>162</v>
      </c>
      <c r="E480" s="398">
        <v>4</v>
      </c>
      <c r="F480" s="398">
        <f t="shared" ref="F480:U484" si="195">E480*(1-F$477)+1</f>
        <v>4.2</v>
      </c>
      <c r="G480" s="398">
        <f t="shared" si="195"/>
        <v>4.3600000000000003</v>
      </c>
      <c r="H480" s="398">
        <f t="shared" si="195"/>
        <v>4.4880000000000004</v>
      </c>
      <c r="I480" s="398">
        <f t="shared" si="195"/>
        <v>4.5904000000000007</v>
      </c>
      <c r="J480" s="398">
        <f t="shared" si="195"/>
        <v>4.6723200000000009</v>
      </c>
      <c r="K480" s="398">
        <f t="shared" si="195"/>
        <v>4.7378560000000007</v>
      </c>
      <c r="L480" s="398">
        <f t="shared" si="195"/>
        <v>4.7902848000000002</v>
      </c>
      <c r="M480" s="398">
        <f t="shared" si="195"/>
        <v>4.8322278399999998</v>
      </c>
      <c r="N480" s="398">
        <f t="shared" si="195"/>
        <v>4.8657822720000006</v>
      </c>
      <c r="O480" s="398">
        <f t="shared" si="195"/>
        <v>4.8926258176000008</v>
      </c>
      <c r="P480" s="398">
        <f t="shared" si="195"/>
        <v>4.9141006540800003</v>
      </c>
      <c r="Q480" s="398">
        <f t="shared" si="195"/>
        <v>4.9312805232640002</v>
      </c>
      <c r="R480" s="398">
        <f t="shared" si="195"/>
        <v>4.9450244186112009</v>
      </c>
      <c r="S480" s="398">
        <f t="shared" si="195"/>
        <v>4.9560195348889611</v>
      </c>
      <c r="T480" s="398">
        <f t="shared" si="195"/>
        <v>4.964815627911169</v>
      </c>
      <c r="U480" s="398">
        <f t="shared" si="195"/>
        <v>4.9718525023289359</v>
      </c>
      <c r="V480" s="398">
        <f t="shared" si="194"/>
        <v>4.9774820018631489</v>
      </c>
      <c r="W480" s="398">
        <f t="shared" si="194"/>
        <v>4.9819856014905195</v>
      </c>
      <c r="X480" s="398">
        <f t="shared" si="194"/>
        <v>4.9855884811924156</v>
      </c>
      <c r="Y480" s="398">
        <f t="shared" si="194"/>
        <v>4.9884707849539325</v>
      </c>
      <c r="Z480" s="398">
        <f t="shared" si="194"/>
        <v>4.9907766279631467</v>
      </c>
      <c r="AA480" s="398">
        <f t="shared" si="194"/>
        <v>4.9926213023705177</v>
      </c>
      <c r="AB480" s="398">
        <f t="shared" si="194"/>
        <v>4.9940970418964143</v>
      </c>
      <c r="AC480" s="398">
        <f t="shared" si="194"/>
        <v>4.9952776335171318</v>
      </c>
      <c r="AD480" s="398">
        <f t="shared" si="194"/>
        <v>4.9962221068137058</v>
      </c>
      <c r="AE480" s="398">
        <f t="shared" si="194"/>
        <v>4.9969776854509647</v>
      </c>
      <c r="AF480" s="398">
        <f t="shared" si="194"/>
        <v>4.9975821483607721</v>
      </c>
      <c r="AG480" s="398">
        <f t="shared" si="194"/>
        <v>4.9980657186886184</v>
      </c>
      <c r="AH480" s="398">
        <f t="shared" si="194"/>
        <v>4.9984525749508943</v>
      </c>
      <c r="AI480" s="398">
        <f t="shared" si="194"/>
        <v>4.9987620599607157</v>
      </c>
      <c r="AJ480" s="398">
        <f t="shared" si="194"/>
        <v>4.9990096479685722</v>
      </c>
      <c r="AK480" s="398">
        <f t="shared" si="194"/>
        <v>4.9992077183748584</v>
      </c>
      <c r="AL480" s="398">
        <f t="shared" si="194"/>
        <v>4.9993661746998868</v>
      </c>
      <c r="AM480" s="398">
        <f t="shared" si="194"/>
        <v>4.999492939759909</v>
      </c>
      <c r="AN480" s="398">
        <f t="shared" si="194"/>
        <v>4.9995943518079269</v>
      </c>
      <c r="AP480" s="21"/>
    </row>
    <row r="481" spans="2:42" x14ac:dyDescent="0.25">
      <c r="C481" s="20" t="s">
        <v>454</v>
      </c>
      <c r="D481" s="34" t="s">
        <v>162</v>
      </c>
      <c r="E481" s="398">
        <v>3</v>
      </c>
      <c r="F481" s="398">
        <f t="shared" si="195"/>
        <v>3.4000000000000004</v>
      </c>
      <c r="G481" s="398">
        <f t="shared" si="194"/>
        <v>3.7200000000000006</v>
      </c>
      <c r="H481" s="398">
        <f t="shared" si="194"/>
        <v>3.9760000000000009</v>
      </c>
      <c r="I481" s="398">
        <f t="shared" si="194"/>
        <v>4.1808000000000014</v>
      </c>
      <c r="J481" s="398">
        <f t="shared" si="194"/>
        <v>4.3446400000000018</v>
      </c>
      <c r="K481" s="398">
        <f t="shared" si="194"/>
        <v>4.4757120000000015</v>
      </c>
      <c r="L481" s="398">
        <f t="shared" si="194"/>
        <v>4.5805696000000014</v>
      </c>
      <c r="M481" s="398">
        <f t="shared" si="194"/>
        <v>4.6644556800000014</v>
      </c>
      <c r="N481" s="398">
        <f t="shared" si="194"/>
        <v>4.7315645440000011</v>
      </c>
      <c r="O481" s="398">
        <f t="shared" si="194"/>
        <v>4.7852516352000016</v>
      </c>
      <c r="P481" s="398">
        <f t="shared" si="194"/>
        <v>4.8282013081600015</v>
      </c>
      <c r="Q481" s="398">
        <f t="shared" si="194"/>
        <v>4.8625610465280014</v>
      </c>
      <c r="R481" s="398">
        <f t="shared" si="194"/>
        <v>4.8900488372224018</v>
      </c>
      <c r="S481" s="398">
        <f t="shared" si="194"/>
        <v>4.9120390697779222</v>
      </c>
      <c r="T481" s="398">
        <f t="shared" si="194"/>
        <v>4.9296312558223381</v>
      </c>
      <c r="U481" s="398">
        <f t="shared" si="194"/>
        <v>4.9437050046578701</v>
      </c>
      <c r="V481" s="398">
        <f t="shared" si="194"/>
        <v>4.9549640037262961</v>
      </c>
      <c r="W481" s="398">
        <f t="shared" si="194"/>
        <v>4.9639712029810372</v>
      </c>
      <c r="X481" s="398">
        <f t="shared" si="194"/>
        <v>4.9711769623848294</v>
      </c>
      <c r="Y481" s="398">
        <f t="shared" si="194"/>
        <v>4.9769415699078632</v>
      </c>
      <c r="Z481" s="398">
        <f t="shared" si="194"/>
        <v>4.9815532559262907</v>
      </c>
      <c r="AA481" s="398">
        <f t="shared" si="194"/>
        <v>4.9852426047410328</v>
      </c>
      <c r="AB481" s="398">
        <f t="shared" si="194"/>
        <v>4.9881940837928269</v>
      </c>
      <c r="AC481" s="398">
        <f t="shared" si="194"/>
        <v>4.9905552670342619</v>
      </c>
      <c r="AD481" s="398">
        <f t="shared" si="194"/>
        <v>4.9924442136274099</v>
      </c>
      <c r="AE481" s="398">
        <f t="shared" si="194"/>
        <v>4.9939553709019275</v>
      </c>
      <c r="AF481" s="398">
        <f t="shared" si="194"/>
        <v>4.9951642967215424</v>
      </c>
      <c r="AG481" s="398">
        <f t="shared" si="194"/>
        <v>4.9961314373772341</v>
      </c>
      <c r="AH481" s="398">
        <f t="shared" si="194"/>
        <v>4.9969051499017869</v>
      </c>
      <c r="AI481" s="398">
        <f t="shared" si="194"/>
        <v>4.9975241199214295</v>
      </c>
      <c r="AJ481" s="398">
        <f t="shared" si="194"/>
        <v>4.9980192959371443</v>
      </c>
      <c r="AK481" s="398">
        <f t="shared" si="194"/>
        <v>4.9984154367497151</v>
      </c>
      <c r="AL481" s="398">
        <f t="shared" si="194"/>
        <v>4.9987323493997717</v>
      </c>
      <c r="AM481" s="398">
        <f t="shared" si="194"/>
        <v>4.9989858795198181</v>
      </c>
      <c r="AN481" s="398">
        <f t="shared" si="194"/>
        <v>4.9991887036158547</v>
      </c>
      <c r="AP481" s="21"/>
    </row>
    <row r="482" spans="2:42" x14ac:dyDescent="0.25">
      <c r="C482" s="21" t="s">
        <v>455</v>
      </c>
      <c r="D482" s="34" t="s">
        <v>162</v>
      </c>
      <c r="E482" s="398">
        <v>2</v>
      </c>
      <c r="F482" s="398">
        <f t="shared" si="195"/>
        <v>2.6</v>
      </c>
      <c r="G482" s="398">
        <f t="shared" si="194"/>
        <v>3.08</v>
      </c>
      <c r="H482" s="398">
        <f t="shared" si="194"/>
        <v>3.4640000000000004</v>
      </c>
      <c r="I482" s="398">
        <f t="shared" si="194"/>
        <v>3.7712000000000003</v>
      </c>
      <c r="J482" s="398">
        <f t="shared" si="194"/>
        <v>4.016960000000001</v>
      </c>
      <c r="K482" s="398">
        <f t="shared" si="194"/>
        <v>4.2135680000000004</v>
      </c>
      <c r="L482" s="398">
        <f t="shared" si="194"/>
        <v>4.3708544000000007</v>
      </c>
      <c r="M482" s="398">
        <f t="shared" si="194"/>
        <v>4.4966835200000013</v>
      </c>
      <c r="N482" s="398">
        <f t="shared" si="194"/>
        <v>4.5973468160000017</v>
      </c>
      <c r="O482" s="398">
        <f t="shared" si="194"/>
        <v>4.6778774528000016</v>
      </c>
      <c r="P482" s="398">
        <f t="shared" si="194"/>
        <v>4.7423019622400009</v>
      </c>
      <c r="Q482" s="398">
        <f t="shared" si="194"/>
        <v>4.7938415697920007</v>
      </c>
      <c r="R482" s="398">
        <f t="shared" si="194"/>
        <v>4.8350732558336009</v>
      </c>
      <c r="S482" s="398">
        <f t="shared" si="194"/>
        <v>4.8680586046668815</v>
      </c>
      <c r="T482" s="398">
        <f t="shared" si="194"/>
        <v>4.8944468837335053</v>
      </c>
      <c r="U482" s="398">
        <f t="shared" si="194"/>
        <v>4.9155575069868043</v>
      </c>
      <c r="V482" s="398">
        <f t="shared" si="194"/>
        <v>4.9324460055894441</v>
      </c>
      <c r="W482" s="398">
        <f t="shared" si="194"/>
        <v>4.9459568044715549</v>
      </c>
      <c r="X482" s="398">
        <f t="shared" si="194"/>
        <v>4.9567654435772441</v>
      </c>
      <c r="Y482" s="398">
        <f t="shared" si="194"/>
        <v>4.9654123548617957</v>
      </c>
      <c r="Z482" s="398">
        <f t="shared" si="194"/>
        <v>4.9723298838894365</v>
      </c>
      <c r="AA482" s="398">
        <f t="shared" si="194"/>
        <v>4.9778639071115496</v>
      </c>
      <c r="AB482" s="398">
        <f t="shared" si="194"/>
        <v>4.9822911256892404</v>
      </c>
      <c r="AC482" s="398">
        <f t="shared" si="194"/>
        <v>4.9858329005513919</v>
      </c>
      <c r="AD482" s="398">
        <f t="shared" si="194"/>
        <v>4.9886663204411139</v>
      </c>
      <c r="AE482" s="398">
        <f t="shared" si="194"/>
        <v>4.9909330563528913</v>
      </c>
      <c r="AF482" s="398">
        <f t="shared" si="194"/>
        <v>4.9927464450823127</v>
      </c>
      <c r="AG482" s="398">
        <f t="shared" si="194"/>
        <v>4.9941971560658498</v>
      </c>
      <c r="AH482" s="398">
        <f t="shared" si="194"/>
        <v>4.9953577248526795</v>
      </c>
      <c r="AI482" s="398">
        <f t="shared" si="194"/>
        <v>4.9962861798821443</v>
      </c>
      <c r="AJ482" s="398">
        <f t="shared" si="194"/>
        <v>4.9970289439057156</v>
      </c>
      <c r="AK482" s="398">
        <f t="shared" si="194"/>
        <v>4.9976231551245727</v>
      </c>
      <c r="AL482" s="398">
        <f t="shared" si="194"/>
        <v>4.9980985240996585</v>
      </c>
      <c r="AM482" s="398">
        <f t="shared" si="194"/>
        <v>4.9984788192797271</v>
      </c>
      <c r="AN482" s="398">
        <f t="shared" si="194"/>
        <v>4.9987830554237824</v>
      </c>
      <c r="AP482" s="21"/>
    </row>
    <row r="483" spans="2:42" x14ac:dyDescent="0.25">
      <c r="C483" s="21" t="s">
        <v>393</v>
      </c>
      <c r="D483" s="34" t="s">
        <v>162</v>
      </c>
      <c r="E483" s="398">
        <v>1</v>
      </c>
      <c r="F483" s="398">
        <f t="shared" si="195"/>
        <v>1.8</v>
      </c>
      <c r="G483" s="398">
        <f t="shared" si="194"/>
        <v>2.4400000000000004</v>
      </c>
      <c r="H483" s="398">
        <f t="shared" si="194"/>
        <v>2.9520000000000004</v>
      </c>
      <c r="I483" s="398">
        <f t="shared" si="194"/>
        <v>3.3616000000000006</v>
      </c>
      <c r="J483" s="398">
        <f t="shared" si="194"/>
        <v>3.6892800000000006</v>
      </c>
      <c r="K483" s="398">
        <f t="shared" si="194"/>
        <v>3.9514240000000007</v>
      </c>
      <c r="L483" s="398">
        <f t="shared" si="194"/>
        <v>4.1611392000000009</v>
      </c>
      <c r="M483" s="398">
        <f t="shared" si="194"/>
        <v>4.3289113600000011</v>
      </c>
      <c r="N483" s="398">
        <f t="shared" si="194"/>
        <v>4.4631290880000005</v>
      </c>
      <c r="O483" s="398">
        <f t="shared" si="194"/>
        <v>4.5705032704000006</v>
      </c>
      <c r="P483" s="398">
        <f t="shared" si="194"/>
        <v>4.6564026163200012</v>
      </c>
      <c r="Q483" s="398">
        <f t="shared" si="194"/>
        <v>4.7251220930560009</v>
      </c>
      <c r="R483" s="398">
        <f t="shared" si="194"/>
        <v>4.7800976744448009</v>
      </c>
      <c r="S483" s="398">
        <f t="shared" si="194"/>
        <v>4.8240781395558407</v>
      </c>
      <c r="T483" s="398">
        <f t="shared" si="194"/>
        <v>4.8592625116446726</v>
      </c>
      <c r="U483" s="398">
        <f t="shared" si="194"/>
        <v>4.8874100093157384</v>
      </c>
      <c r="V483" s="398">
        <f t="shared" si="194"/>
        <v>4.9099280074525904</v>
      </c>
      <c r="W483" s="398">
        <f t="shared" si="194"/>
        <v>4.9279424059620727</v>
      </c>
      <c r="X483" s="398">
        <f t="shared" si="194"/>
        <v>4.9423539247696588</v>
      </c>
      <c r="Y483" s="398">
        <f t="shared" si="194"/>
        <v>4.9538831398157273</v>
      </c>
      <c r="Z483" s="398">
        <f t="shared" si="194"/>
        <v>4.9631065118525814</v>
      </c>
      <c r="AA483" s="398">
        <f t="shared" si="194"/>
        <v>4.9704852094820655</v>
      </c>
      <c r="AB483" s="398">
        <f t="shared" si="194"/>
        <v>4.9763881675856521</v>
      </c>
      <c r="AC483" s="398">
        <f t="shared" si="194"/>
        <v>4.981110534068522</v>
      </c>
      <c r="AD483" s="398">
        <f t="shared" si="194"/>
        <v>4.984888427254818</v>
      </c>
      <c r="AE483" s="398">
        <f t="shared" si="194"/>
        <v>4.9879107418038551</v>
      </c>
      <c r="AF483" s="398">
        <f t="shared" si="194"/>
        <v>4.9903285934430848</v>
      </c>
      <c r="AG483" s="398">
        <f t="shared" si="194"/>
        <v>4.9922628747544682</v>
      </c>
      <c r="AH483" s="398">
        <f t="shared" si="194"/>
        <v>4.9938102998035747</v>
      </c>
      <c r="AI483" s="398">
        <f t="shared" si="194"/>
        <v>4.9950482398428599</v>
      </c>
      <c r="AJ483" s="398">
        <f t="shared" si="194"/>
        <v>4.9960385918742887</v>
      </c>
      <c r="AK483" s="398">
        <f t="shared" si="194"/>
        <v>4.9968308734994311</v>
      </c>
      <c r="AL483" s="398">
        <f t="shared" si="194"/>
        <v>4.9974646987995452</v>
      </c>
      <c r="AM483" s="398">
        <f t="shared" si="194"/>
        <v>4.9979717590396362</v>
      </c>
      <c r="AN483" s="398">
        <f t="shared" si="194"/>
        <v>4.9983774072317093</v>
      </c>
      <c r="AP483" s="21"/>
    </row>
    <row r="484" spans="2:42" x14ac:dyDescent="0.25">
      <c r="C484" s="22" t="s">
        <v>456</v>
      </c>
      <c r="D484" s="34" t="s">
        <v>162</v>
      </c>
      <c r="E484" s="399">
        <v>0</v>
      </c>
      <c r="F484" s="399">
        <f t="shared" si="195"/>
        <v>1</v>
      </c>
      <c r="G484" s="399">
        <f t="shared" si="194"/>
        <v>1.8</v>
      </c>
      <c r="H484" s="399">
        <f t="shared" si="194"/>
        <v>2.4400000000000004</v>
      </c>
      <c r="I484" s="399">
        <f t="shared" si="194"/>
        <v>2.9520000000000004</v>
      </c>
      <c r="J484" s="399">
        <f t="shared" si="194"/>
        <v>3.3616000000000006</v>
      </c>
      <c r="K484" s="399">
        <f t="shared" si="194"/>
        <v>3.6892800000000006</v>
      </c>
      <c r="L484" s="399">
        <f t="shared" si="194"/>
        <v>3.9514240000000007</v>
      </c>
      <c r="M484" s="399">
        <f t="shared" si="194"/>
        <v>4.1611392000000009</v>
      </c>
      <c r="N484" s="399">
        <f t="shared" si="194"/>
        <v>4.3289113600000011</v>
      </c>
      <c r="O484" s="399">
        <f t="shared" si="194"/>
        <v>4.4631290880000005</v>
      </c>
      <c r="P484" s="399">
        <f t="shared" si="194"/>
        <v>4.5705032704000006</v>
      </c>
      <c r="Q484" s="399">
        <f t="shared" si="194"/>
        <v>4.6564026163200012</v>
      </c>
      <c r="R484" s="399">
        <f t="shared" si="194"/>
        <v>4.7251220930560009</v>
      </c>
      <c r="S484" s="399">
        <f t="shared" si="194"/>
        <v>4.7800976744448009</v>
      </c>
      <c r="T484" s="399">
        <f t="shared" si="194"/>
        <v>4.8240781395558407</v>
      </c>
      <c r="U484" s="399">
        <f t="shared" si="194"/>
        <v>4.8592625116446726</v>
      </c>
      <c r="V484" s="399">
        <f t="shared" si="194"/>
        <v>4.8874100093157384</v>
      </c>
      <c r="W484" s="399">
        <f t="shared" si="194"/>
        <v>4.9099280074525904</v>
      </c>
      <c r="X484" s="399">
        <f t="shared" si="194"/>
        <v>4.9279424059620727</v>
      </c>
      <c r="Y484" s="399">
        <f t="shared" si="194"/>
        <v>4.9423539247696588</v>
      </c>
      <c r="Z484" s="399">
        <f t="shared" si="194"/>
        <v>4.9538831398157273</v>
      </c>
      <c r="AA484" s="399">
        <f t="shared" si="194"/>
        <v>4.9631065118525814</v>
      </c>
      <c r="AB484" s="399">
        <f t="shared" si="194"/>
        <v>4.9704852094820655</v>
      </c>
      <c r="AC484" s="399">
        <f t="shared" si="194"/>
        <v>4.9763881675856521</v>
      </c>
      <c r="AD484" s="399">
        <f t="shared" si="194"/>
        <v>4.981110534068522</v>
      </c>
      <c r="AE484" s="399">
        <f t="shared" si="194"/>
        <v>4.984888427254818</v>
      </c>
      <c r="AF484" s="399">
        <f t="shared" si="194"/>
        <v>4.9879107418038551</v>
      </c>
      <c r="AG484" s="399">
        <f t="shared" si="194"/>
        <v>4.9903285934430848</v>
      </c>
      <c r="AH484" s="399">
        <f t="shared" si="194"/>
        <v>4.9922628747544682</v>
      </c>
      <c r="AI484" s="399">
        <f t="shared" si="194"/>
        <v>4.9938102998035747</v>
      </c>
      <c r="AJ484" s="399">
        <f t="shared" si="194"/>
        <v>4.9950482398428599</v>
      </c>
      <c r="AK484" s="399">
        <f t="shared" si="194"/>
        <v>4.9960385918742887</v>
      </c>
      <c r="AL484" s="399">
        <f t="shared" si="194"/>
        <v>4.9968308734994311</v>
      </c>
      <c r="AM484" s="399">
        <f t="shared" si="194"/>
        <v>4.9974646987995452</v>
      </c>
      <c r="AN484" s="399">
        <f t="shared" si="194"/>
        <v>4.9979717590396362</v>
      </c>
      <c r="AP484" s="26"/>
    </row>
    <row r="485" spans="2:42" x14ac:dyDescent="0.25">
      <c r="B485" s="99" t="s">
        <v>9</v>
      </c>
      <c r="C485" s="311" t="s">
        <v>627</v>
      </c>
      <c r="D485" s="318"/>
      <c r="E485" s="402"/>
      <c r="F485" s="402"/>
      <c r="G485" s="402"/>
      <c r="H485" s="402"/>
      <c r="I485" s="402"/>
      <c r="J485" s="402"/>
      <c r="K485" s="402"/>
      <c r="L485" s="402"/>
      <c r="M485" s="402"/>
      <c r="N485" s="402"/>
      <c r="O485" s="402"/>
      <c r="P485" s="402"/>
      <c r="Q485" s="402"/>
      <c r="R485" s="402"/>
      <c r="S485" s="402"/>
      <c r="T485" s="402"/>
      <c r="U485" s="402"/>
      <c r="V485" s="402"/>
      <c r="W485" s="402"/>
      <c r="X485" s="402"/>
      <c r="Y485" s="402"/>
      <c r="Z485" s="402"/>
      <c r="AA485" s="402"/>
      <c r="AB485" s="402"/>
      <c r="AC485" s="402"/>
      <c r="AD485" s="402"/>
      <c r="AE485" s="402"/>
      <c r="AF485" s="402"/>
      <c r="AG485" s="402"/>
      <c r="AH485" s="402"/>
      <c r="AI485" s="402"/>
      <c r="AJ485" s="402"/>
      <c r="AK485" s="402"/>
      <c r="AL485" s="402"/>
      <c r="AM485" s="402"/>
      <c r="AN485" s="402"/>
      <c r="AO485" s="74"/>
      <c r="AP485" s="311"/>
    </row>
    <row r="486" spans="2:42" x14ac:dyDescent="0.25">
      <c r="C486" s="20" t="s">
        <v>600</v>
      </c>
      <c r="D486" s="34" t="s">
        <v>162</v>
      </c>
      <c r="E486" s="397">
        <v>5</v>
      </c>
      <c r="F486" s="397">
        <f>E486*(1-F$477)+1</f>
        <v>5</v>
      </c>
      <c r="G486" s="397">
        <f t="shared" ref="G486:AN486" si="196">F486*(1-G$477)+1</f>
        <v>5</v>
      </c>
      <c r="H486" s="397">
        <f t="shared" si="196"/>
        <v>5</v>
      </c>
      <c r="I486" s="397">
        <f t="shared" si="196"/>
        <v>5</v>
      </c>
      <c r="J486" s="397">
        <f t="shared" si="196"/>
        <v>5</v>
      </c>
      <c r="K486" s="397">
        <f t="shared" si="196"/>
        <v>5</v>
      </c>
      <c r="L486" s="397">
        <f t="shared" si="196"/>
        <v>5</v>
      </c>
      <c r="M486" s="397">
        <f t="shared" si="196"/>
        <v>5</v>
      </c>
      <c r="N486" s="397">
        <f t="shared" si="196"/>
        <v>5</v>
      </c>
      <c r="O486" s="397">
        <f t="shared" si="196"/>
        <v>5</v>
      </c>
      <c r="P486" s="397">
        <f t="shared" si="196"/>
        <v>5</v>
      </c>
      <c r="Q486" s="397">
        <f t="shared" si="196"/>
        <v>5</v>
      </c>
      <c r="R486" s="397">
        <f t="shared" si="196"/>
        <v>5</v>
      </c>
      <c r="S486" s="397">
        <f t="shared" si="196"/>
        <v>5</v>
      </c>
      <c r="T486" s="397">
        <f t="shared" si="196"/>
        <v>5</v>
      </c>
      <c r="U486" s="397">
        <f t="shared" si="196"/>
        <v>5</v>
      </c>
      <c r="V486" s="397">
        <f t="shared" si="196"/>
        <v>5</v>
      </c>
      <c r="W486" s="397">
        <f t="shared" si="196"/>
        <v>5</v>
      </c>
      <c r="X486" s="397">
        <f t="shared" si="196"/>
        <v>5</v>
      </c>
      <c r="Y486" s="397">
        <f t="shared" si="196"/>
        <v>5</v>
      </c>
      <c r="Z486" s="397">
        <f t="shared" si="196"/>
        <v>5</v>
      </c>
      <c r="AA486" s="397">
        <f t="shared" si="196"/>
        <v>5</v>
      </c>
      <c r="AB486" s="397">
        <f t="shared" si="196"/>
        <v>5</v>
      </c>
      <c r="AC486" s="397">
        <f t="shared" si="196"/>
        <v>5</v>
      </c>
      <c r="AD486" s="397">
        <f t="shared" si="196"/>
        <v>5</v>
      </c>
      <c r="AE486" s="397">
        <f t="shared" si="196"/>
        <v>5</v>
      </c>
      <c r="AF486" s="397">
        <f t="shared" si="196"/>
        <v>5</v>
      </c>
      <c r="AG486" s="397">
        <f t="shared" si="196"/>
        <v>5</v>
      </c>
      <c r="AH486" s="397">
        <f t="shared" si="196"/>
        <v>5</v>
      </c>
      <c r="AI486" s="397">
        <f t="shared" si="196"/>
        <v>5</v>
      </c>
      <c r="AJ486" s="397">
        <f t="shared" si="196"/>
        <v>5</v>
      </c>
      <c r="AK486" s="397">
        <f t="shared" si="196"/>
        <v>5</v>
      </c>
      <c r="AL486" s="397">
        <f t="shared" si="196"/>
        <v>5</v>
      </c>
      <c r="AM486" s="397">
        <f t="shared" si="196"/>
        <v>5</v>
      </c>
      <c r="AN486" s="397">
        <f t="shared" si="196"/>
        <v>5</v>
      </c>
      <c r="AP486" s="20"/>
    </row>
    <row r="487" spans="2:42" x14ac:dyDescent="0.25">
      <c r="C487" s="20" t="s">
        <v>392</v>
      </c>
      <c r="D487" s="34" t="s">
        <v>162</v>
      </c>
      <c r="E487" s="398">
        <v>4</v>
      </c>
      <c r="F487" s="398">
        <f t="shared" ref="F487:AN487" si="197">E487*(1-F$477)+1</f>
        <v>4.2</v>
      </c>
      <c r="G487" s="398">
        <f t="shared" si="197"/>
        <v>4.3600000000000003</v>
      </c>
      <c r="H487" s="398">
        <f t="shared" si="197"/>
        <v>4.4880000000000004</v>
      </c>
      <c r="I487" s="398">
        <f t="shared" si="197"/>
        <v>4.5904000000000007</v>
      </c>
      <c r="J487" s="398">
        <f t="shared" si="197"/>
        <v>4.6723200000000009</v>
      </c>
      <c r="K487" s="398">
        <f t="shared" si="197"/>
        <v>4.7378560000000007</v>
      </c>
      <c r="L487" s="398">
        <f t="shared" si="197"/>
        <v>4.7902848000000002</v>
      </c>
      <c r="M487" s="398">
        <f t="shared" si="197"/>
        <v>4.8322278399999998</v>
      </c>
      <c r="N487" s="398">
        <f t="shared" si="197"/>
        <v>4.8657822720000006</v>
      </c>
      <c r="O487" s="398">
        <f t="shared" si="197"/>
        <v>4.8926258176000008</v>
      </c>
      <c r="P487" s="398">
        <f t="shared" si="197"/>
        <v>4.9141006540800003</v>
      </c>
      <c r="Q487" s="398">
        <f t="shared" si="197"/>
        <v>4.9312805232640002</v>
      </c>
      <c r="R487" s="398">
        <f t="shared" si="197"/>
        <v>4.9450244186112009</v>
      </c>
      <c r="S487" s="398">
        <f t="shared" si="197"/>
        <v>4.9560195348889611</v>
      </c>
      <c r="T487" s="398">
        <f t="shared" si="197"/>
        <v>4.964815627911169</v>
      </c>
      <c r="U487" s="398">
        <f t="shared" si="197"/>
        <v>4.9718525023289359</v>
      </c>
      <c r="V487" s="398">
        <f t="shared" si="197"/>
        <v>4.9774820018631489</v>
      </c>
      <c r="W487" s="398">
        <f t="shared" si="197"/>
        <v>4.9819856014905195</v>
      </c>
      <c r="X487" s="398">
        <f t="shared" si="197"/>
        <v>4.9855884811924156</v>
      </c>
      <c r="Y487" s="398">
        <f t="shared" si="197"/>
        <v>4.9884707849539325</v>
      </c>
      <c r="Z487" s="398">
        <f t="shared" si="197"/>
        <v>4.9907766279631467</v>
      </c>
      <c r="AA487" s="398">
        <f t="shared" si="197"/>
        <v>4.9926213023705177</v>
      </c>
      <c r="AB487" s="398">
        <f t="shared" si="197"/>
        <v>4.9940970418964143</v>
      </c>
      <c r="AC487" s="398">
        <f t="shared" si="197"/>
        <v>4.9952776335171318</v>
      </c>
      <c r="AD487" s="398">
        <f t="shared" si="197"/>
        <v>4.9962221068137058</v>
      </c>
      <c r="AE487" s="398">
        <f t="shared" si="197"/>
        <v>4.9969776854509647</v>
      </c>
      <c r="AF487" s="398">
        <f t="shared" si="197"/>
        <v>4.9975821483607721</v>
      </c>
      <c r="AG487" s="398">
        <f t="shared" si="197"/>
        <v>4.9980657186886184</v>
      </c>
      <c r="AH487" s="398">
        <f t="shared" si="197"/>
        <v>4.9984525749508943</v>
      </c>
      <c r="AI487" s="398">
        <f t="shared" si="197"/>
        <v>4.9987620599607157</v>
      </c>
      <c r="AJ487" s="398">
        <f t="shared" si="197"/>
        <v>4.9990096479685722</v>
      </c>
      <c r="AK487" s="398">
        <f t="shared" si="197"/>
        <v>4.9992077183748584</v>
      </c>
      <c r="AL487" s="398">
        <f t="shared" si="197"/>
        <v>4.9993661746998868</v>
      </c>
      <c r="AM487" s="398">
        <f t="shared" si="197"/>
        <v>4.999492939759909</v>
      </c>
      <c r="AN487" s="398">
        <f t="shared" si="197"/>
        <v>4.9995943518079269</v>
      </c>
      <c r="AP487" s="21"/>
    </row>
    <row r="488" spans="2:42" x14ac:dyDescent="0.25">
      <c r="C488" s="20" t="s">
        <v>454</v>
      </c>
      <c r="D488" s="34" t="s">
        <v>162</v>
      </c>
      <c r="E488" s="398">
        <v>3</v>
      </c>
      <c r="F488" s="398">
        <f t="shared" ref="F488:AN488" si="198">E488*(1-F$477)+1</f>
        <v>3.4000000000000004</v>
      </c>
      <c r="G488" s="398">
        <f t="shared" si="198"/>
        <v>3.7200000000000006</v>
      </c>
      <c r="H488" s="398">
        <f t="shared" si="198"/>
        <v>3.9760000000000009</v>
      </c>
      <c r="I488" s="398">
        <f t="shared" si="198"/>
        <v>4.1808000000000014</v>
      </c>
      <c r="J488" s="398">
        <f t="shared" si="198"/>
        <v>4.3446400000000018</v>
      </c>
      <c r="K488" s="398">
        <f t="shared" si="198"/>
        <v>4.4757120000000015</v>
      </c>
      <c r="L488" s="398">
        <f t="shared" si="198"/>
        <v>4.5805696000000014</v>
      </c>
      <c r="M488" s="398">
        <f t="shared" si="198"/>
        <v>4.6644556800000014</v>
      </c>
      <c r="N488" s="398">
        <f t="shared" si="198"/>
        <v>4.7315645440000011</v>
      </c>
      <c r="O488" s="398">
        <f t="shared" si="198"/>
        <v>4.7852516352000016</v>
      </c>
      <c r="P488" s="398">
        <f t="shared" si="198"/>
        <v>4.8282013081600015</v>
      </c>
      <c r="Q488" s="398">
        <f t="shared" si="198"/>
        <v>4.8625610465280014</v>
      </c>
      <c r="R488" s="398">
        <f t="shared" si="198"/>
        <v>4.8900488372224018</v>
      </c>
      <c r="S488" s="398">
        <f t="shared" si="198"/>
        <v>4.9120390697779222</v>
      </c>
      <c r="T488" s="398">
        <f t="shared" si="198"/>
        <v>4.9296312558223381</v>
      </c>
      <c r="U488" s="398">
        <f t="shared" si="198"/>
        <v>4.9437050046578701</v>
      </c>
      <c r="V488" s="398">
        <f t="shared" si="198"/>
        <v>4.9549640037262961</v>
      </c>
      <c r="W488" s="398">
        <f t="shared" si="198"/>
        <v>4.9639712029810372</v>
      </c>
      <c r="X488" s="398">
        <f t="shared" si="198"/>
        <v>4.9711769623848294</v>
      </c>
      <c r="Y488" s="398">
        <f t="shared" si="198"/>
        <v>4.9769415699078632</v>
      </c>
      <c r="Z488" s="398">
        <f t="shared" si="198"/>
        <v>4.9815532559262907</v>
      </c>
      <c r="AA488" s="398">
        <f t="shared" si="198"/>
        <v>4.9852426047410328</v>
      </c>
      <c r="AB488" s="398">
        <f t="shared" si="198"/>
        <v>4.9881940837928269</v>
      </c>
      <c r="AC488" s="398">
        <f t="shared" si="198"/>
        <v>4.9905552670342619</v>
      </c>
      <c r="AD488" s="398">
        <f t="shared" si="198"/>
        <v>4.9924442136274099</v>
      </c>
      <c r="AE488" s="398">
        <f t="shared" si="198"/>
        <v>4.9939553709019275</v>
      </c>
      <c r="AF488" s="398">
        <f t="shared" si="198"/>
        <v>4.9951642967215424</v>
      </c>
      <c r="AG488" s="398">
        <f t="shared" si="198"/>
        <v>4.9961314373772341</v>
      </c>
      <c r="AH488" s="398">
        <f t="shared" si="198"/>
        <v>4.9969051499017869</v>
      </c>
      <c r="AI488" s="398">
        <f t="shared" si="198"/>
        <v>4.9975241199214295</v>
      </c>
      <c r="AJ488" s="398">
        <f t="shared" si="198"/>
        <v>4.9980192959371443</v>
      </c>
      <c r="AK488" s="398">
        <f t="shared" si="198"/>
        <v>4.9984154367497151</v>
      </c>
      <c r="AL488" s="398">
        <f t="shared" si="198"/>
        <v>4.9987323493997717</v>
      </c>
      <c r="AM488" s="398">
        <f t="shared" si="198"/>
        <v>4.9989858795198181</v>
      </c>
      <c r="AN488" s="398">
        <f t="shared" si="198"/>
        <v>4.9991887036158547</v>
      </c>
      <c r="AP488" s="21"/>
    </row>
    <row r="489" spans="2:42" x14ac:dyDescent="0.25">
      <c r="C489" s="21" t="s">
        <v>455</v>
      </c>
      <c r="D489" s="34" t="s">
        <v>162</v>
      </c>
      <c r="E489" s="398">
        <v>2</v>
      </c>
      <c r="F489" s="398">
        <f t="shared" ref="F489:AN489" si="199">E489*(1-F$477)+1</f>
        <v>2.6</v>
      </c>
      <c r="G489" s="398">
        <f t="shared" si="199"/>
        <v>3.08</v>
      </c>
      <c r="H489" s="398">
        <f t="shared" si="199"/>
        <v>3.4640000000000004</v>
      </c>
      <c r="I489" s="398">
        <f t="shared" si="199"/>
        <v>3.7712000000000003</v>
      </c>
      <c r="J489" s="398">
        <f t="shared" si="199"/>
        <v>4.016960000000001</v>
      </c>
      <c r="K489" s="398">
        <f t="shared" si="199"/>
        <v>4.2135680000000004</v>
      </c>
      <c r="L489" s="398">
        <f t="shared" si="199"/>
        <v>4.3708544000000007</v>
      </c>
      <c r="M489" s="398">
        <f t="shared" si="199"/>
        <v>4.4966835200000013</v>
      </c>
      <c r="N489" s="398">
        <f t="shared" si="199"/>
        <v>4.5973468160000017</v>
      </c>
      <c r="O489" s="398">
        <f t="shared" si="199"/>
        <v>4.6778774528000016</v>
      </c>
      <c r="P489" s="398">
        <f t="shared" si="199"/>
        <v>4.7423019622400009</v>
      </c>
      <c r="Q489" s="398">
        <f t="shared" si="199"/>
        <v>4.7938415697920007</v>
      </c>
      <c r="R489" s="398">
        <f t="shared" si="199"/>
        <v>4.8350732558336009</v>
      </c>
      <c r="S489" s="398">
        <f t="shared" si="199"/>
        <v>4.8680586046668815</v>
      </c>
      <c r="T489" s="398">
        <f t="shared" si="199"/>
        <v>4.8944468837335053</v>
      </c>
      <c r="U489" s="398">
        <f t="shared" si="199"/>
        <v>4.9155575069868043</v>
      </c>
      <c r="V489" s="398">
        <f t="shared" si="199"/>
        <v>4.9324460055894441</v>
      </c>
      <c r="W489" s="398">
        <f t="shared" si="199"/>
        <v>4.9459568044715549</v>
      </c>
      <c r="X489" s="398">
        <f t="shared" si="199"/>
        <v>4.9567654435772441</v>
      </c>
      <c r="Y489" s="398">
        <f t="shared" si="199"/>
        <v>4.9654123548617957</v>
      </c>
      <c r="Z489" s="398">
        <f t="shared" si="199"/>
        <v>4.9723298838894365</v>
      </c>
      <c r="AA489" s="398">
        <f t="shared" si="199"/>
        <v>4.9778639071115496</v>
      </c>
      <c r="AB489" s="398">
        <f t="shared" si="199"/>
        <v>4.9822911256892404</v>
      </c>
      <c r="AC489" s="398">
        <f t="shared" si="199"/>
        <v>4.9858329005513919</v>
      </c>
      <c r="AD489" s="398">
        <f t="shared" si="199"/>
        <v>4.9886663204411139</v>
      </c>
      <c r="AE489" s="398">
        <f t="shared" si="199"/>
        <v>4.9909330563528913</v>
      </c>
      <c r="AF489" s="398">
        <f t="shared" si="199"/>
        <v>4.9927464450823127</v>
      </c>
      <c r="AG489" s="398">
        <f t="shared" si="199"/>
        <v>4.9941971560658498</v>
      </c>
      <c r="AH489" s="398">
        <f t="shared" si="199"/>
        <v>4.9953577248526795</v>
      </c>
      <c r="AI489" s="398">
        <f t="shared" si="199"/>
        <v>4.9962861798821443</v>
      </c>
      <c r="AJ489" s="398">
        <f t="shared" si="199"/>
        <v>4.9970289439057156</v>
      </c>
      <c r="AK489" s="398">
        <f t="shared" si="199"/>
        <v>4.9976231551245727</v>
      </c>
      <c r="AL489" s="398">
        <f t="shared" si="199"/>
        <v>4.9980985240996585</v>
      </c>
      <c r="AM489" s="398">
        <f t="shared" si="199"/>
        <v>4.9984788192797271</v>
      </c>
      <c r="AN489" s="398">
        <f t="shared" si="199"/>
        <v>4.9987830554237824</v>
      </c>
      <c r="AP489" s="21"/>
    </row>
    <row r="490" spans="2:42" x14ac:dyDescent="0.25">
      <c r="C490" s="21" t="s">
        <v>393</v>
      </c>
      <c r="D490" s="34" t="s">
        <v>162</v>
      </c>
      <c r="E490" s="398">
        <v>1</v>
      </c>
      <c r="F490" s="398">
        <f t="shared" ref="F490:AN490" si="200">E490*(1-F$477)+1</f>
        <v>1.8</v>
      </c>
      <c r="G490" s="398">
        <f t="shared" si="200"/>
        <v>2.4400000000000004</v>
      </c>
      <c r="H490" s="398">
        <f t="shared" si="200"/>
        <v>2.9520000000000004</v>
      </c>
      <c r="I490" s="398">
        <f t="shared" si="200"/>
        <v>3.3616000000000006</v>
      </c>
      <c r="J490" s="398">
        <f t="shared" si="200"/>
        <v>3.6892800000000006</v>
      </c>
      <c r="K490" s="398">
        <f t="shared" si="200"/>
        <v>3.9514240000000007</v>
      </c>
      <c r="L490" s="398">
        <f t="shared" si="200"/>
        <v>4.1611392000000009</v>
      </c>
      <c r="M490" s="398">
        <f t="shared" si="200"/>
        <v>4.3289113600000011</v>
      </c>
      <c r="N490" s="398">
        <f t="shared" si="200"/>
        <v>4.4631290880000005</v>
      </c>
      <c r="O490" s="398">
        <f t="shared" si="200"/>
        <v>4.5705032704000006</v>
      </c>
      <c r="P490" s="398">
        <f t="shared" si="200"/>
        <v>4.6564026163200012</v>
      </c>
      <c r="Q490" s="398">
        <f t="shared" si="200"/>
        <v>4.7251220930560009</v>
      </c>
      <c r="R490" s="398">
        <f t="shared" si="200"/>
        <v>4.7800976744448009</v>
      </c>
      <c r="S490" s="398">
        <f t="shared" si="200"/>
        <v>4.8240781395558407</v>
      </c>
      <c r="T490" s="398">
        <f t="shared" si="200"/>
        <v>4.8592625116446726</v>
      </c>
      <c r="U490" s="398">
        <f t="shared" si="200"/>
        <v>4.8874100093157384</v>
      </c>
      <c r="V490" s="398">
        <f t="shared" si="200"/>
        <v>4.9099280074525904</v>
      </c>
      <c r="W490" s="398">
        <f t="shared" si="200"/>
        <v>4.9279424059620727</v>
      </c>
      <c r="X490" s="398">
        <f t="shared" si="200"/>
        <v>4.9423539247696588</v>
      </c>
      <c r="Y490" s="398">
        <f t="shared" si="200"/>
        <v>4.9538831398157273</v>
      </c>
      <c r="Z490" s="398">
        <f t="shared" si="200"/>
        <v>4.9631065118525814</v>
      </c>
      <c r="AA490" s="398">
        <f t="shared" si="200"/>
        <v>4.9704852094820655</v>
      </c>
      <c r="AB490" s="398">
        <f t="shared" si="200"/>
        <v>4.9763881675856521</v>
      </c>
      <c r="AC490" s="398">
        <f t="shared" si="200"/>
        <v>4.981110534068522</v>
      </c>
      <c r="AD490" s="398">
        <f t="shared" si="200"/>
        <v>4.984888427254818</v>
      </c>
      <c r="AE490" s="398">
        <f t="shared" si="200"/>
        <v>4.9879107418038551</v>
      </c>
      <c r="AF490" s="398">
        <f t="shared" si="200"/>
        <v>4.9903285934430848</v>
      </c>
      <c r="AG490" s="398">
        <f t="shared" si="200"/>
        <v>4.9922628747544682</v>
      </c>
      <c r="AH490" s="398">
        <f t="shared" si="200"/>
        <v>4.9938102998035747</v>
      </c>
      <c r="AI490" s="398">
        <f t="shared" si="200"/>
        <v>4.9950482398428599</v>
      </c>
      <c r="AJ490" s="398">
        <f t="shared" si="200"/>
        <v>4.9960385918742887</v>
      </c>
      <c r="AK490" s="398">
        <f t="shared" si="200"/>
        <v>4.9968308734994311</v>
      </c>
      <c r="AL490" s="398">
        <f t="shared" si="200"/>
        <v>4.9974646987995452</v>
      </c>
      <c r="AM490" s="398">
        <f t="shared" si="200"/>
        <v>4.9979717590396362</v>
      </c>
      <c r="AN490" s="398">
        <f t="shared" si="200"/>
        <v>4.9983774072317093</v>
      </c>
      <c r="AP490" s="21"/>
    </row>
    <row r="491" spans="2:42" x14ac:dyDescent="0.25">
      <c r="C491" s="22" t="s">
        <v>456</v>
      </c>
      <c r="D491" s="34" t="s">
        <v>162</v>
      </c>
      <c r="E491" s="399">
        <v>0</v>
      </c>
      <c r="F491" s="399">
        <f t="shared" ref="F491:AN491" si="201">E491*(1-F$477)+1</f>
        <v>1</v>
      </c>
      <c r="G491" s="399">
        <f t="shared" si="201"/>
        <v>1.8</v>
      </c>
      <c r="H491" s="399">
        <f t="shared" si="201"/>
        <v>2.4400000000000004</v>
      </c>
      <c r="I491" s="399">
        <f t="shared" si="201"/>
        <v>2.9520000000000004</v>
      </c>
      <c r="J491" s="399">
        <f t="shared" si="201"/>
        <v>3.3616000000000006</v>
      </c>
      <c r="K491" s="399">
        <f t="shared" si="201"/>
        <v>3.6892800000000006</v>
      </c>
      <c r="L491" s="399">
        <f t="shared" si="201"/>
        <v>3.9514240000000007</v>
      </c>
      <c r="M491" s="399">
        <f t="shared" si="201"/>
        <v>4.1611392000000009</v>
      </c>
      <c r="N491" s="399">
        <f t="shared" si="201"/>
        <v>4.3289113600000011</v>
      </c>
      <c r="O491" s="399">
        <f t="shared" si="201"/>
        <v>4.4631290880000005</v>
      </c>
      <c r="P491" s="399">
        <f t="shared" si="201"/>
        <v>4.5705032704000006</v>
      </c>
      <c r="Q491" s="399">
        <f t="shared" si="201"/>
        <v>4.6564026163200012</v>
      </c>
      <c r="R491" s="399">
        <f t="shared" si="201"/>
        <v>4.7251220930560009</v>
      </c>
      <c r="S491" s="399">
        <f t="shared" si="201"/>
        <v>4.7800976744448009</v>
      </c>
      <c r="T491" s="399">
        <f t="shared" si="201"/>
        <v>4.8240781395558407</v>
      </c>
      <c r="U491" s="399">
        <f t="shared" si="201"/>
        <v>4.8592625116446726</v>
      </c>
      <c r="V491" s="399">
        <f t="shared" si="201"/>
        <v>4.8874100093157384</v>
      </c>
      <c r="W491" s="399">
        <f t="shared" si="201"/>
        <v>4.9099280074525904</v>
      </c>
      <c r="X491" s="399">
        <f t="shared" si="201"/>
        <v>4.9279424059620727</v>
      </c>
      <c r="Y491" s="399">
        <f t="shared" si="201"/>
        <v>4.9423539247696588</v>
      </c>
      <c r="Z491" s="399">
        <f t="shared" si="201"/>
        <v>4.9538831398157273</v>
      </c>
      <c r="AA491" s="399">
        <f t="shared" si="201"/>
        <v>4.9631065118525814</v>
      </c>
      <c r="AB491" s="399">
        <f t="shared" si="201"/>
        <v>4.9704852094820655</v>
      </c>
      <c r="AC491" s="399">
        <f t="shared" si="201"/>
        <v>4.9763881675856521</v>
      </c>
      <c r="AD491" s="399">
        <f t="shared" si="201"/>
        <v>4.981110534068522</v>
      </c>
      <c r="AE491" s="399">
        <f t="shared" si="201"/>
        <v>4.984888427254818</v>
      </c>
      <c r="AF491" s="399">
        <f t="shared" si="201"/>
        <v>4.9879107418038551</v>
      </c>
      <c r="AG491" s="399">
        <f t="shared" si="201"/>
        <v>4.9903285934430848</v>
      </c>
      <c r="AH491" s="399">
        <f t="shared" si="201"/>
        <v>4.9922628747544682</v>
      </c>
      <c r="AI491" s="399">
        <f t="shared" si="201"/>
        <v>4.9938102998035747</v>
      </c>
      <c r="AJ491" s="399">
        <f t="shared" si="201"/>
        <v>4.9950482398428599</v>
      </c>
      <c r="AK491" s="399">
        <f t="shared" si="201"/>
        <v>4.9960385918742887</v>
      </c>
      <c r="AL491" s="399">
        <f t="shared" si="201"/>
        <v>4.9968308734994311</v>
      </c>
      <c r="AM491" s="399">
        <f t="shared" si="201"/>
        <v>4.9974646987995452</v>
      </c>
      <c r="AN491" s="399">
        <f t="shared" si="201"/>
        <v>4.9979717590396362</v>
      </c>
      <c r="AP491" s="26"/>
    </row>
    <row r="492" spans="2:42" x14ac:dyDescent="0.25">
      <c r="B492" s="99" t="s">
        <v>9</v>
      </c>
      <c r="C492" s="311" t="s">
        <v>628</v>
      </c>
      <c r="D492" s="318"/>
      <c r="E492" s="402"/>
      <c r="F492" s="402"/>
      <c r="G492" s="402"/>
      <c r="H492" s="402"/>
      <c r="I492" s="402"/>
      <c r="J492" s="402"/>
      <c r="K492" s="402"/>
      <c r="L492" s="402"/>
      <c r="M492" s="402"/>
      <c r="N492" s="402"/>
      <c r="O492" s="402"/>
      <c r="P492" s="402"/>
      <c r="Q492" s="402"/>
      <c r="R492" s="402"/>
      <c r="S492" s="402"/>
      <c r="T492" s="402"/>
      <c r="U492" s="402"/>
      <c r="V492" s="402"/>
      <c r="W492" s="402"/>
      <c r="X492" s="402"/>
      <c r="Y492" s="402"/>
      <c r="Z492" s="402"/>
      <c r="AA492" s="402"/>
      <c r="AB492" s="402"/>
      <c r="AC492" s="402"/>
      <c r="AD492" s="402"/>
      <c r="AE492" s="402"/>
      <c r="AF492" s="402"/>
      <c r="AG492" s="402"/>
      <c r="AH492" s="402"/>
      <c r="AI492" s="402"/>
      <c r="AJ492" s="402"/>
      <c r="AK492" s="402"/>
      <c r="AL492" s="402"/>
      <c r="AM492" s="402"/>
      <c r="AN492" s="402"/>
      <c r="AO492" s="74"/>
      <c r="AP492" s="311"/>
    </row>
    <row r="493" spans="2:42" x14ac:dyDescent="0.25">
      <c r="C493" s="20" t="s">
        <v>600</v>
      </c>
      <c r="D493" s="34" t="s">
        <v>162</v>
      </c>
      <c r="E493" s="397">
        <v>5</v>
      </c>
      <c r="F493" s="397">
        <f>E493*(1-F$477)+1</f>
        <v>5</v>
      </c>
      <c r="G493" s="397">
        <f t="shared" ref="G493:AN493" si="202">F493*(1-G$477)+1</f>
        <v>5</v>
      </c>
      <c r="H493" s="397">
        <f t="shared" si="202"/>
        <v>5</v>
      </c>
      <c r="I493" s="397">
        <f t="shared" si="202"/>
        <v>5</v>
      </c>
      <c r="J493" s="397">
        <f t="shared" si="202"/>
        <v>5</v>
      </c>
      <c r="K493" s="397">
        <f t="shared" si="202"/>
        <v>5</v>
      </c>
      <c r="L493" s="397">
        <f t="shared" si="202"/>
        <v>5</v>
      </c>
      <c r="M493" s="397">
        <f t="shared" si="202"/>
        <v>5</v>
      </c>
      <c r="N493" s="397">
        <f t="shared" si="202"/>
        <v>5</v>
      </c>
      <c r="O493" s="397">
        <f t="shared" si="202"/>
        <v>5</v>
      </c>
      <c r="P493" s="397">
        <f t="shared" si="202"/>
        <v>5</v>
      </c>
      <c r="Q493" s="397">
        <f t="shared" si="202"/>
        <v>5</v>
      </c>
      <c r="R493" s="397">
        <f t="shared" si="202"/>
        <v>5</v>
      </c>
      <c r="S493" s="397">
        <f t="shared" si="202"/>
        <v>5</v>
      </c>
      <c r="T493" s="397">
        <f t="shared" si="202"/>
        <v>5</v>
      </c>
      <c r="U493" s="397">
        <f t="shared" si="202"/>
        <v>5</v>
      </c>
      <c r="V493" s="397">
        <f t="shared" si="202"/>
        <v>5</v>
      </c>
      <c r="W493" s="397">
        <f t="shared" si="202"/>
        <v>5</v>
      </c>
      <c r="X493" s="397">
        <f t="shared" si="202"/>
        <v>5</v>
      </c>
      <c r="Y493" s="397">
        <f t="shared" si="202"/>
        <v>5</v>
      </c>
      <c r="Z493" s="397">
        <f t="shared" si="202"/>
        <v>5</v>
      </c>
      <c r="AA493" s="397">
        <f t="shared" si="202"/>
        <v>5</v>
      </c>
      <c r="AB493" s="397">
        <f t="shared" si="202"/>
        <v>5</v>
      </c>
      <c r="AC493" s="397">
        <f t="shared" si="202"/>
        <v>5</v>
      </c>
      <c r="AD493" s="397">
        <f t="shared" si="202"/>
        <v>5</v>
      </c>
      <c r="AE493" s="397">
        <f t="shared" si="202"/>
        <v>5</v>
      </c>
      <c r="AF493" s="397">
        <f t="shared" si="202"/>
        <v>5</v>
      </c>
      <c r="AG493" s="397">
        <f t="shared" si="202"/>
        <v>5</v>
      </c>
      <c r="AH493" s="397">
        <f t="shared" si="202"/>
        <v>5</v>
      </c>
      <c r="AI493" s="397">
        <f t="shared" si="202"/>
        <v>5</v>
      </c>
      <c r="AJ493" s="397">
        <f t="shared" si="202"/>
        <v>5</v>
      </c>
      <c r="AK493" s="397">
        <f t="shared" si="202"/>
        <v>5</v>
      </c>
      <c r="AL493" s="397">
        <f t="shared" si="202"/>
        <v>5</v>
      </c>
      <c r="AM493" s="397">
        <f t="shared" si="202"/>
        <v>5</v>
      </c>
      <c r="AN493" s="397">
        <f t="shared" si="202"/>
        <v>5</v>
      </c>
      <c r="AP493" s="20"/>
    </row>
    <row r="494" spans="2:42" x14ac:dyDescent="0.25">
      <c r="C494" s="20" t="s">
        <v>392</v>
      </c>
      <c r="D494" s="34" t="s">
        <v>162</v>
      </c>
      <c r="E494" s="398">
        <v>4</v>
      </c>
      <c r="F494" s="398">
        <f t="shared" ref="F494:AN494" si="203">E494*(1-F$477)+1</f>
        <v>4.2</v>
      </c>
      <c r="G494" s="398">
        <f t="shared" si="203"/>
        <v>4.3600000000000003</v>
      </c>
      <c r="H494" s="398">
        <f t="shared" si="203"/>
        <v>4.4880000000000004</v>
      </c>
      <c r="I494" s="398">
        <f t="shared" si="203"/>
        <v>4.5904000000000007</v>
      </c>
      <c r="J494" s="398">
        <f t="shared" si="203"/>
        <v>4.6723200000000009</v>
      </c>
      <c r="K494" s="398">
        <f t="shared" si="203"/>
        <v>4.7378560000000007</v>
      </c>
      <c r="L494" s="398">
        <f t="shared" si="203"/>
        <v>4.7902848000000002</v>
      </c>
      <c r="M494" s="398">
        <f t="shared" si="203"/>
        <v>4.8322278399999998</v>
      </c>
      <c r="N494" s="398">
        <f t="shared" si="203"/>
        <v>4.8657822720000006</v>
      </c>
      <c r="O494" s="398">
        <f t="shared" si="203"/>
        <v>4.8926258176000008</v>
      </c>
      <c r="P494" s="398">
        <f t="shared" si="203"/>
        <v>4.9141006540800003</v>
      </c>
      <c r="Q494" s="398">
        <f t="shared" si="203"/>
        <v>4.9312805232640002</v>
      </c>
      <c r="R494" s="398">
        <f t="shared" si="203"/>
        <v>4.9450244186112009</v>
      </c>
      <c r="S494" s="398">
        <f t="shared" si="203"/>
        <v>4.9560195348889611</v>
      </c>
      <c r="T494" s="398">
        <f t="shared" si="203"/>
        <v>4.964815627911169</v>
      </c>
      <c r="U494" s="398">
        <f t="shared" si="203"/>
        <v>4.9718525023289359</v>
      </c>
      <c r="V494" s="398">
        <f t="shared" si="203"/>
        <v>4.9774820018631489</v>
      </c>
      <c r="W494" s="398">
        <f t="shared" si="203"/>
        <v>4.9819856014905195</v>
      </c>
      <c r="X494" s="398">
        <f t="shared" si="203"/>
        <v>4.9855884811924156</v>
      </c>
      <c r="Y494" s="398">
        <f t="shared" si="203"/>
        <v>4.9884707849539325</v>
      </c>
      <c r="Z494" s="398">
        <f t="shared" si="203"/>
        <v>4.9907766279631467</v>
      </c>
      <c r="AA494" s="398">
        <f t="shared" si="203"/>
        <v>4.9926213023705177</v>
      </c>
      <c r="AB494" s="398">
        <f t="shared" si="203"/>
        <v>4.9940970418964143</v>
      </c>
      <c r="AC494" s="398">
        <f t="shared" si="203"/>
        <v>4.9952776335171318</v>
      </c>
      <c r="AD494" s="398">
        <f t="shared" si="203"/>
        <v>4.9962221068137058</v>
      </c>
      <c r="AE494" s="398">
        <f t="shared" si="203"/>
        <v>4.9969776854509647</v>
      </c>
      <c r="AF494" s="398">
        <f t="shared" si="203"/>
        <v>4.9975821483607721</v>
      </c>
      <c r="AG494" s="398">
        <f t="shared" si="203"/>
        <v>4.9980657186886184</v>
      </c>
      <c r="AH494" s="398">
        <f t="shared" si="203"/>
        <v>4.9984525749508943</v>
      </c>
      <c r="AI494" s="398">
        <f t="shared" si="203"/>
        <v>4.9987620599607157</v>
      </c>
      <c r="AJ494" s="398">
        <f t="shared" si="203"/>
        <v>4.9990096479685722</v>
      </c>
      <c r="AK494" s="398">
        <f t="shared" si="203"/>
        <v>4.9992077183748584</v>
      </c>
      <c r="AL494" s="398">
        <f t="shared" si="203"/>
        <v>4.9993661746998868</v>
      </c>
      <c r="AM494" s="398">
        <f t="shared" si="203"/>
        <v>4.999492939759909</v>
      </c>
      <c r="AN494" s="398">
        <f t="shared" si="203"/>
        <v>4.9995943518079269</v>
      </c>
      <c r="AP494" s="21"/>
    </row>
    <row r="495" spans="2:42" x14ac:dyDescent="0.25">
      <c r="C495" s="20" t="s">
        <v>454</v>
      </c>
      <c r="D495" s="34" t="s">
        <v>162</v>
      </c>
      <c r="E495" s="398">
        <v>3</v>
      </c>
      <c r="F495" s="398">
        <f t="shared" ref="F495:AN495" si="204">E495*(1-F$477)+1</f>
        <v>3.4000000000000004</v>
      </c>
      <c r="G495" s="398">
        <f t="shared" si="204"/>
        <v>3.7200000000000006</v>
      </c>
      <c r="H495" s="398">
        <f t="shared" si="204"/>
        <v>3.9760000000000009</v>
      </c>
      <c r="I495" s="398">
        <f t="shared" si="204"/>
        <v>4.1808000000000014</v>
      </c>
      <c r="J495" s="398">
        <f t="shared" si="204"/>
        <v>4.3446400000000018</v>
      </c>
      <c r="K495" s="398">
        <f t="shared" si="204"/>
        <v>4.4757120000000015</v>
      </c>
      <c r="L495" s="398">
        <f t="shared" si="204"/>
        <v>4.5805696000000014</v>
      </c>
      <c r="M495" s="398">
        <f t="shared" si="204"/>
        <v>4.6644556800000014</v>
      </c>
      <c r="N495" s="398">
        <f t="shared" si="204"/>
        <v>4.7315645440000011</v>
      </c>
      <c r="O495" s="398">
        <f t="shared" si="204"/>
        <v>4.7852516352000016</v>
      </c>
      <c r="P495" s="398">
        <f t="shared" si="204"/>
        <v>4.8282013081600015</v>
      </c>
      <c r="Q495" s="398">
        <f t="shared" si="204"/>
        <v>4.8625610465280014</v>
      </c>
      <c r="R495" s="398">
        <f t="shared" si="204"/>
        <v>4.8900488372224018</v>
      </c>
      <c r="S495" s="398">
        <f t="shared" si="204"/>
        <v>4.9120390697779222</v>
      </c>
      <c r="T495" s="398">
        <f t="shared" si="204"/>
        <v>4.9296312558223381</v>
      </c>
      <c r="U495" s="398">
        <f t="shared" si="204"/>
        <v>4.9437050046578701</v>
      </c>
      <c r="V495" s="398">
        <f t="shared" si="204"/>
        <v>4.9549640037262961</v>
      </c>
      <c r="W495" s="398">
        <f t="shared" si="204"/>
        <v>4.9639712029810372</v>
      </c>
      <c r="X495" s="398">
        <f t="shared" si="204"/>
        <v>4.9711769623848294</v>
      </c>
      <c r="Y495" s="398">
        <f t="shared" si="204"/>
        <v>4.9769415699078632</v>
      </c>
      <c r="Z495" s="398">
        <f t="shared" si="204"/>
        <v>4.9815532559262907</v>
      </c>
      <c r="AA495" s="398">
        <f t="shared" si="204"/>
        <v>4.9852426047410328</v>
      </c>
      <c r="AB495" s="398">
        <f t="shared" si="204"/>
        <v>4.9881940837928269</v>
      </c>
      <c r="AC495" s="398">
        <f t="shared" si="204"/>
        <v>4.9905552670342619</v>
      </c>
      <c r="AD495" s="398">
        <f t="shared" si="204"/>
        <v>4.9924442136274099</v>
      </c>
      <c r="AE495" s="398">
        <f t="shared" si="204"/>
        <v>4.9939553709019275</v>
      </c>
      <c r="AF495" s="398">
        <f t="shared" si="204"/>
        <v>4.9951642967215424</v>
      </c>
      <c r="AG495" s="398">
        <f t="shared" si="204"/>
        <v>4.9961314373772341</v>
      </c>
      <c r="AH495" s="398">
        <f t="shared" si="204"/>
        <v>4.9969051499017869</v>
      </c>
      <c r="AI495" s="398">
        <f t="shared" si="204"/>
        <v>4.9975241199214295</v>
      </c>
      <c r="AJ495" s="398">
        <f t="shared" si="204"/>
        <v>4.9980192959371443</v>
      </c>
      <c r="AK495" s="398">
        <f t="shared" si="204"/>
        <v>4.9984154367497151</v>
      </c>
      <c r="AL495" s="398">
        <f t="shared" si="204"/>
        <v>4.9987323493997717</v>
      </c>
      <c r="AM495" s="398">
        <f t="shared" si="204"/>
        <v>4.9989858795198181</v>
      </c>
      <c r="AN495" s="398">
        <f t="shared" si="204"/>
        <v>4.9991887036158547</v>
      </c>
      <c r="AP495" s="21"/>
    </row>
    <row r="496" spans="2:42" x14ac:dyDescent="0.25">
      <c r="C496" s="21" t="s">
        <v>455</v>
      </c>
      <c r="D496" s="34" t="s">
        <v>162</v>
      </c>
      <c r="E496" s="398">
        <v>2</v>
      </c>
      <c r="F496" s="398">
        <f t="shared" ref="F496:AN496" si="205">E496*(1-F$477)+1</f>
        <v>2.6</v>
      </c>
      <c r="G496" s="398">
        <f t="shared" si="205"/>
        <v>3.08</v>
      </c>
      <c r="H496" s="398">
        <f t="shared" si="205"/>
        <v>3.4640000000000004</v>
      </c>
      <c r="I496" s="398">
        <f t="shared" si="205"/>
        <v>3.7712000000000003</v>
      </c>
      <c r="J496" s="398">
        <f t="shared" si="205"/>
        <v>4.016960000000001</v>
      </c>
      <c r="K496" s="398">
        <f t="shared" si="205"/>
        <v>4.2135680000000004</v>
      </c>
      <c r="L496" s="398">
        <f t="shared" si="205"/>
        <v>4.3708544000000007</v>
      </c>
      <c r="M496" s="398">
        <f t="shared" si="205"/>
        <v>4.4966835200000013</v>
      </c>
      <c r="N496" s="398">
        <f t="shared" si="205"/>
        <v>4.5973468160000017</v>
      </c>
      <c r="O496" s="398">
        <f t="shared" si="205"/>
        <v>4.6778774528000016</v>
      </c>
      <c r="P496" s="398">
        <f t="shared" si="205"/>
        <v>4.7423019622400009</v>
      </c>
      <c r="Q496" s="398">
        <f t="shared" si="205"/>
        <v>4.7938415697920007</v>
      </c>
      <c r="R496" s="398">
        <f t="shared" si="205"/>
        <v>4.8350732558336009</v>
      </c>
      <c r="S496" s="398">
        <f t="shared" si="205"/>
        <v>4.8680586046668815</v>
      </c>
      <c r="T496" s="398">
        <f t="shared" si="205"/>
        <v>4.8944468837335053</v>
      </c>
      <c r="U496" s="398">
        <f t="shared" si="205"/>
        <v>4.9155575069868043</v>
      </c>
      <c r="V496" s="398">
        <f t="shared" si="205"/>
        <v>4.9324460055894441</v>
      </c>
      <c r="W496" s="398">
        <f t="shared" si="205"/>
        <v>4.9459568044715549</v>
      </c>
      <c r="X496" s="398">
        <f t="shared" si="205"/>
        <v>4.9567654435772441</v>
      </c>
      <c r="Y496" s="398">
        <f t="shared" si="205"/>
        <v>4.9654123548617957</v>
      </c>
      <c r="Z496" s="398">
        <f t="shared" si="205"/>
        <v>4.9723298838894365</v>
      </c>
      <c r="AA496" s="398">
        <f t="shared" si="205"/>
        <v>4.9778639071115496</v>
      </c>
      <c r="AB496" s="398">
        <f t="shared" si="205"/>
        <v>4.9822911256892404</v>
      </c>
      <c r="AC496" s="398">
        <f t="shared" si="205"/>
        <v>4.9858329005513919</v>
      </c>
      <c r="AD496" s="398">
        <f t="shared" si="205"/>
        <v>4.9886663204411139</v>
      </c>
      <c r="AE496" s="398">
        <f t="shared" si="205"/>
        <v>4.9909330563528913</v>
      </c>
      <c r="AF496" s="398">
        <f t="shared" si="205"/>
        <v>4.9927464450823127</v>
      </c>
      <c r="AG496" s="398">
        <f t="shared" si="205"/>
        <v>4.9941971560658498</v>
      </c>
      <c r="AH496" s="398">
        <f t="shared" si="205"/>
        <v>4.9953577248526795</v>
      </c>
      <c r="AI496" s="398">
        <f t="shared" si="205"/>
        <v>4.9962861798821443</v>
      </c>
      <c r="AJ496" s="398">
        <f t="shared" si="205"/>
        <v>4.9970289439057156</v>
      </c>
      <c r="AK496" s="398">
        <f t="shared" si="205"/>
        <v>4.9976231551245727</v>
      </c>
      <c r="AL496" s="398">
        <f t="shared" si="205"/>
        <v>4.9980985240996585</v>
      </c>
      <c r="AM496" s="398">
        <f t="shared" si="205"/>
        <v>4.9984788192797271</v>
      </c>
      <c r="AN496" s="398">
        <f t="shared" si="205"/>
        <v>4.9987830554237824</v>
      </c>
      <c r="AP496" s="21"/>
    </row>
    <row r="497" spans="2:42" x14ac:dyDescent="0.25">
      <c r="C497" s="21" t="s">
        <v>393</v>
      </c>
      <c r="D497" s="34" t="s">
        <v>162</v>
      </c>
      <c r="E497" s="398">
        <v>1</v>
      </c>
      <c r="F497" s="398">
        <f t="shared" ref="F497:AN497" si="206">E497*(1-F$477)+1</f>
        <v>1.8</v>
      </c>
      <c r="G497" s="398">
        <f t="shared" si="206"/>
        <v>2.4400000000000004</v>
      </c>
      <c r="H497" s="398">
        <f t="shared" si="206"/>
        <v>2.9520000000000004</v>
      </c>
      <c r="I497" s="398">
        <f t="shared" si="206"/>
        <v>3.3616000000000006</v>
      </c>
      <c r="J497" s="398">
        <f t="shared" si="206"/>
        <v>3.6892800000000006</v>
      </c>
      <c r="K497" s="398">
        <f t="shared" si="206"/>
        <v>3.9514240000000007</v>
      </c>
      <c r="L497" s="398">
        <f t="shared" si="206"/>
        <v>4.1611392000000009</v>
      </c>
      <c r="M497" s="398">
        <f t="shared" si="206"/>
        <v>4.3289113600000011</v>
      </c>
      <c r="N497" s="398">
        <f t="shared" si="206"/>
        <v>4.4631290880000005</v>
      </c>
      <c r="O497" s="398">
        <f t="shared" si="206"/>
        <v>4.5705032704000006</v>
      </c>
      <c r="P497" s="398">
        <f t="shared" si="206"/>
        <v>4.6564026163200012</v>
      </c>
      <c r="Q497" s="398">
        <f t="shared" si="206"/>
        <v>4.7251220930560009</v>
      </c>
      <c r="R497" s="398">
        <f t="shared" si="206"/>
        <v>4.7800976744448009</v>
      </c>
      <c r="S497" s="398">
        <f t="shared" si="206"/>
        <v>4.8240781395558407</v>
      </c>
      <c r="T497" s="398">
        <f t="shared" si="206"/>
        <v>4.8592625116446726</v>
      </c>
      <c r="U497" s="398">
        <f t="shared" si="206"/>
        <v>4.8874100093157384</v>
      </c>
      <c r="V497" s="398">
        <f t="shared" si="206"/>
        <v>4.9099280074525904</v>
      </c>
      <c r="W497" s="398">
        <f t="shared" si="206"/>
        <v>4.9279424059620727</v>
      </c>
      <c r="X497" s="398">
        <f t="shared" si="206"/>
        <v>4.9423539247696588</v>
      </c>
      <c r="Y497" s="398">
        <f t="shared" si="206"/>
        <v>4.9538831398157273</v>
      </c>
      <c r="Z497" s="398">
        <f t="shared" si="206"/>
        <v>4.9631065118525814</v>
      </c>
      <c r="AA497" s="398">
        <f t="shared" si="206"/>
        <v>4.9704852094820655</v>
      </c>
      <c r="AB497" s="398">
        <f t="shared" si="206"/>
        <v>4.9763881675856521</v>
      </c>
      <c r="AC497" s="398">
        <f t="shared" si="206"/>
        <v>4.981110534068522</v>
      </c>
      <c r="AD497" s="398">
        <f t="shared" si="206"/>
        <v>4.984888427254818</v>
      </c>
      <c r="AE497" s="398">
        <f t="shared" si="206"/>
        <v>4.9879107418038551</v>
      </c>
      <c r="AF497" s="398">
        <f t="shared" si="206"/>
        <v>4.9903285934430848</v>
      </c>
      <c r="AG497" s="398">
        <f t="shared" si="206"/>
        <v>4.9922628747544682</v>
      </c>
      <c r="AH497" s="398">
        <f t="shared" si="206"/>
        <v>4.9938102998035747</v>
      </c>
      <c r="AI497" s="398">
        <f t="shared" si="206"/>
        <v>4.9950482398428599</v>
      </c>
      <c r="AJ497" s="398">
        <f t="shared" si="206"/>
        <v>4.9960385918742887</v>
      </c>
      <c r="AK497" s="398">
        <f t="shared" si="206"/>
        <v>4.9968308734994311</v>
      </c>
      <c r="AL497" s="398">
        <f t="shared" si="206"/>
        <v>4.9974646987995452</v>
      </c>
      <c r="AM497" s="398">
        <f t="shared" si="206"/>
        <v>4.9979717590396362</v>
      </c>
      <c r="AN497" s="398">
        <f t="shared" si="206"/>
        <v>4.9983774072317093</v>
      </c>
      <c r="AP497" s="21"/>
    </row>
    <row r="498" spans="2:42" x14ac:dyDescent="0.25">
      <c r="C498" s="22" t="s">
        <v>456</v>
      </c>
      <c r="D498" s="34" t="s">
        <v>162</v>
      </c>
      <c r="E498" s="399">
        <v>0</v>
      </c>
      <c r="F498" s="399">
        <f t="shared" ref="F498:AN498" si="207">E498*(1-F$477)+1</f>
        <v>1</v>
      </c>
      <c r="G498" s="399">
        <f t="shared" si="207"/>
        <v>1.8</v>
      </c>
      <c r="H498" s="399">
        <f t="shared" si="207"/>
        <v>2.4400000000000004</v>
      </c>
      <c r="I498" s="399">
        <f t="shared" si="207"/>
        <v>2.9520000000000004</v>
      </c>
      <c r="J498" s="399">
        <f t="shared" si="207"/>
        <v>3.3616000000000006</v>
      </c>
      <c r="K498" s="399">
        <f t="shared" si="207"/>
        <v>3.6892800000000006</v>
      </c>
      <c r="L498" s="399">
        <f t="shared" si="207"/>
        <v>3.9514240000000007</v>
      </c>
      <c r="M498" s="399">
        <f t="shared" si="207"/>
        <v>4.1611392000000009</v>
      </c>
      <c r="N498" s="399">
        <f t="shared" si="207"/>
        <v>4.3289113600000011</v>
      </c>
      <c r="O498" s="399">
        <f t="shared" si="207"/>
        <v>4.4631290880000005</v>
      </c>
      <c r="P498" s="399">
        <f t="shared" si="207"/>
        <v>4.5705032704000006</v>
      </c>
      <c r="Q498" s="399">
        <f t="shared" si="207"/>
        <v>4.6564026163200012</v>
      </c>
      <c r="R498" s="399">
        <f t="shared" si="207"/>
        <v>4.7251220930560009</v>
      </c>
      <c r="S498" s="399">
        <f t="shared" si="207"/>
        <v>4.7800976744448009</v>
      </c>
      <c r="T498" s="399">
        <f t="shared" si="207"/>
        <v>4.8240781395558407</v>
      </c>
      <c r="U498" s="399">
        <f t="shared" si="207"/>
        <v>4.8592625116446726</v>
      </c>
      <c r="V498" s="399">
        <f t="shared" si="207"/>
        <v>4.8874100093157384</v>
      </c>
      <c r="W498" s="399">
        <f t="shared" si="207"/>
        <v>4.9099280074525904</v>
      </c>
      <c r="X498" s="399">
        <f t="shared" si="207"/>
        <v>4.9279424059620727</v>
      </c>
      <c r="Y498" s="399">
        <f t="shared" si="207"/>
        <v>4.9423539247696588</v>
      </c>
      <c r="Z498" s="399">
        <f t="shared" si="207"/>
        <v>4.9538831398157273</v>
      </c>
      <c r="AA498" s="399">
        <f t="shared" si="207"/>
        <v>4.9631065118525814</v>
      </c>
      <c r="AB498" s="399">
        <f t="shared" si="207"/>
        <v>4.9704852094820655</v>
      </c>
      <c r="AC498" s="399">
        <f t="shared" si="207"/>
        <v>4.9763881675856521</v>
      </c>
      <c r="AD498" s="399">
        <f t="shared" si="207"/>
        <v>4.981110534068522</v>
      </c>
      <c r="AE498" s="399">
        <f t="shared" si="207"/>
        <v>4.984888427254818</v>
      </c>
      <c r="AF498" s="399">
        <f t="shared" si="207"/>
        <v>4.9879107418038551</v>
      </c>
      <c r="AG498" s="399">
        <f t="shared" si="207"/>
        <v>4.9903285934430848</v>
      </c>
      <c r="AH498" s="399">
        <f t="shared" si="207"/>
        <v>4.9922628747544682</v>
      </c>
      <c r="AI498" s="399">
        <f t="shared" si="207"/>
        <v>4.9938102998035747</v>
      </c>
      <c r="AJ498" s="399">
        <f t="shared" si="207"/>
        <v>4.9950482398428599</v>
      </c>
      <c r="AK498" s="399">
        <f t="shared" si="207"/>
        <v>4.9960385918742887</v>
      </c>
      <c r="AL498" s="399">
        <f t="shared" si="207"/>
        <v>4.9968308734994311</v>
      </c>
      <c r="AM498" s="399">
        <f t="shared" si="207"/>
        <v>4.9974646987995452</v>
      </c>
      <c r="AN498" s="399">
        <f t="shared" si="207"/>
        <v>4.9979717590396362</v>
      </c>
      <c r="AP498" s="26"/>
    </row>
    <row r="499" spans="2:42" x14ac:dyDescent="0.25">
      <c r="B499" s="99" t="s">
        <v>9</v>
      </c>
      <c r="C499" s="311" t="s">
        <v>629</v>
      </c>
      <c r="D499" s="318"/>
      <c r="E499" s="402"/>
      <c r="F499" s="402"/>
      <c r="G499" s="402"/>
      <c r="H499" s="402"/>
      <c r="I499" s="402"/>
      <c r="J499" s="402"/>
      <c r="K499" s="402"/>
      <c r="L499" s="402"/>
      <c r="M499" s="402"/>
      <c r="N499" s="402"/>
      <c r="O499" s="402"/>
      <c r="P499" s="402"/>
      <c r="Q499" s="402"/>
      <c r="R499" s="402"/>
      <c r="S499" s="402"/>
      <c r="T499" s="402"/>
      <c r="U499" s="402"/>
      <c r="V499" s="402"/>
      <c r="W499" s="402"/>
      <c r="X499" s="402"/>
      <c r="Y499" s="402"/>
      <c r="Z499" s="402"/>
      <c r="AA499" s="402"/>
      <c r="AB499" s="402"/>
      <c r="AC499" s="402"/>
      <c r="AD499" s="402"/>
      <c r="AE499" s="402"/>
      <c r="AF499" s="402"/>
      <c r="AG499" s="402"/>
      <c r="AH499" s="402"/>
      <c r="AI499" s="402"/>
      <c r="AJ499" s="402"/>
      <c r="AK499" s="402"/>
      <c r="AL499" s="402"/>
      <c r="AM499" s="402"/>
      <c r="AN499" s="402"/>
      <c r="AO499" s="74"/>
      <c r="AP499" s="311"/>
    </row>
    <row r="500" spans="2:42" x14ac:dyDescent="0.25">
      <c r="C500" s="20" t="s">
        <v>600</v>
      </c>
      <c r="D500" s="34" t="s">
        <v>162</v>
      </c>
      <c r="E500" s="397">
        <v>5</v>
      </c>
      <c r="F500" s="397">
        <f>E500*(1-F$477)+1</f>
        <v>5</v>
      </c>
      <c r="G500" s="397">
        <f t="shared" ref="G500:AN500" si="208">F500*(1-G$477)+1</f>
        <v>5</v>
      </c>
      <c r="H500" s="397">
        <f t="shared" si="208"/>
        <v>5</v>
      </c>
      <c r="I500" s="397">
        <f t="shared" si="208"/>
        <v>5</v>
      </c>
      <c r="J500" s="397">
        <f t="shared" si="208"/>
        <v>5</v>
      </c>
      <c r="K500" s="397">
        <f t="shared" si="208"/>
        <v>5</v>
      </c>
      <c r="L500" s="397">
        <f t="shared" si="208"/>
        <v>5</v>
      </c>
      <c r="M500" s="397">
        <f t="shared" si="208"/>
        <v>5</v>
      </c>
      <c r="N500" s="397">
        <f t="shared" si="208"/>
        <v>5</v>
      </c>
      <c r="O500" s="397">
        <f t="shared" si="208"/>
        <v>5</v>
      </c>
      <c r="P500" s="397">
        <f t="shared" si="208"/>
        <v>5</v>
      </c>
      <c r="Q500" s="397">
        <f t="shared" si="208"/>
        <v>5</v>
      </c>
      <c r="R500" s="397">
        <f t="shared" si="208"/>
        <v>5</v>
      </c>
      <c r="S500" s="397">
        <f t="shared" si="208"/>
        <v>5</v>
      </c>
      <c r="T500" s="397">
        <f t="shared" si="208"/>
        <v>5</v>
      </c>
      <c r="U500" s="397">
        <f t="shared" si="208"/>
        <v>5</v>
      </c>
      <c r="V500" s="397">
        <f t="shared" si="208"/>
        <v>5</v>
      </c>
      <c r="W500" s="397">
        <f t="shared" si="208"/>
        <v>5</v>
      </c>
      <c r="X500" s="397">
        <f t="shared" si="208"/>
        <v>5</v>
      </c>
      <c r="Y500" s="397">
        <f t="shared" si="208"/>
        <v>5</v>
      </c>
      <c r="Z500" s="397">
        <f t="shared" si="208"/>
        <v>5</v>
      </c>
      <c r="AA500" s="397">
        <f t="shared" si="208"/>
        <v>5</v>
      </c>
      <c r="AB500" s="397">
        <f t="shared" si="208"/>
        <v>5</v>
      </c>
      <c r="AC500" s="397">
        <f t="shared" si="208"/>
        <v>5</v>
      </c>
      <c r="AD500" s="397">
        <f t="shared" si="208"/>
        <v>5</v>
      </c>
      <c r="AE500" s="397">
        <f t="shared" si="208"/>
        <v>5</v>
      </c>
      <c r="AF500" s="397">
        <f t="shared" si="208"/>
        <v>5</v>
      </c>
      <c r="AG500" s="397">
        <f t="shared" si="208"/>
        <v>5</v>
      </c>
      <c r="AH500" s="397">
        <f t="shared" si="208"/>
        <v>5</v>
      </c>
      <c r="AI500" s="397">
        <f t="shared" si="208"/>
        <v>5</v>
      </c>
      <c r="AJ500" s="397">
        <f t="shared" si="208"/>
        <v>5</v>
      </c>
      <c r="AK500" s="397">
        <f t="shared" si="208"/>
        <v>5</v>
      </c>
      <c r="AL500" s="397">
        <f t="shared" si="208"/>
        <v>5</v>
      </c>
      <c r="AM500" s="397">
        <f t="shared" si="208"/>
        <v>5</v>
      </c>
      <c r="AN500" s="397">
        <f t="shared" si="208"/>
        <v>5</v>
      </c>
      <c r="AP500" s="20"/>
    </row>
    <row r="501" spans="2:42" x14ac:dyDescent="0.25">
      <c r="C501" s="20" t="s">
        <v>392</v>
      </c>
      <c r="D501" s="34" t="s">
        <v>162</v>
      </c>
      <c r="E501" s="398">
        <v>4</v>
      </c>
      <c r="F501" s="398">
        <f t="shared" ref="F501:AN501" si="209">E501*(1-F$477)+1</f>
        <v>4.2</v>
      </c>
      <c r="G501" s="398">
        <f t="shared" si="209"/>
        <v>4.3600000000000003</v>
      </c>
      <c r="H501" s="398">
        <f t="shared" si="209"/>
        <v>4.4880000000000004</v>
      </c>
      <c r="I501" s="398">
        <f t="shared" si="209"/>
        <v>4.5904000000000007</v>
      </c>
      <c r="J501" s="398">
        <f t="shared" si="209"/>
        <v>4.6723200000000009</v>
      </c>
      <c r="K501" s="398">
        <f t="shared" si="209"/>
        <v>4.7378560000000007</v>
      </c>
      <c r="L501" s="398">
        <f t="shared" si="209"/>
        <v>4.7902848000000002</v>
      </c>
      <c r="M501" s="398">
        <f t="shared" si="209"/>
        <v>4.8322278399999998</v>
      </c>
      <c r="N501" s="398">
        <f t="shared" si="209"/>
        <v>4.8657822720000006</v>
      </c>
      <c r="O501" s="398">
        <f t="shared" si="209"/>
        <v>4.8926258176000008</v>
      </c>
      <c r="P501" s="398">
        <f t="shared" si="209"/>
        <v>4.9141006540800003</v>
      </c>
      <c r="Q501" s="398">
        <f t="shared" si="209"/>
        <v>4.9312805232640002</v>
      </c>
      <c r="R501" s="398">
        <f t="shared" si="209"/>
        <v>4.9450244186112009</v>
      </c>
      <c r="S501" s="398">
        <f t="shared" si="209"/>
        <v>4.9560195348889611</v>
      </c>
      <c r="T501" s="398">
        <f t="shared" si="209"/>
        <v>4.964815627911169</v>
      </c>
      <c r="U501" s="398">
        <f t="shared" si="209"/>
        <v>4.9718525023289359</v>
      </c>
      <c r="V501" s="398">
        <f t="shared" si="209"/>
        <v>4.9774820018631489</v>
      </c>
      <c r="W501" s="398">
        <f t="shared" si="209"/>
        <v>4.9819856014905195</v>
      </c>
      <c r="X501" s="398">
        <f t="shared" si="209"/>
        <v>4.9855884811924156</v>
      </c>
      <c r="Y501" s="398">
        <f t="shared" si="209"/>
        <v>4.9884707849539325</v>
      </c>
      <c r="Z501" s="398">
        <f t="shared" si="209"/>
        <v>4.9907766279631467</v>
      </c>
      <c r="AA501" s="398">
        <f t="shared" si="209"/>
        <v>4.9926213023705177</v>
      </c>
      <c r="AB501" s="398">
        <f t="shared" si="209"/>
        <v>4.9940970418964143</v>
      </c>
      <c r="AC501" s="398">
        <f t="shared" si="209"/>
        <v>4.9952776335171318</v>
      </c>
      <c r="AD501" s="398">
        <f t="shared" si="209"/>
        <v>4.9962221068137058</v>
      </c>
      <c r="AE501" s="398">
        <f t="shared" si="209"/>
        <v>4.9969776854509647</v>
      </c>
      <c r="AF501" s="398">
        <f t="shared" si="209"/>
        <v>4.9975821483607721</v>
      </c>
      <c r="AG501" s="398">
        <f t="shared" si="209"/>
        <v>4.9980657186886184</v>
      </c>
      <c r="AH501" s="398">
        <f t="shared" si="209"/>
        <v>4.9984525749508943</v>
      </c>
      <c r="AI501" s="398">
        <f t="shared" si="209"/>
        <v>4.9987620599607157</v>
      </c>
      <c r="AJ501" s="398">
        <f t="shared" si="209"/>
        <v>4.9990096479685722</v>
      </c>
      <c r="AK501" s="398">
        <f t="shared" si="209"/>
        <v>4.9992077183748584</v>
      </c>
      <c r="AL501" s="398">
        <f t="shared" si="209"/>
        <v>4.9993661746998868</v>
      </c>
      <c r="AM501" s="398">
        <f t="shared" si="209"/>
        <v>4.999492939759909</v>
      </c>
      <c r="AN501" s="398">
        <f t="shared" si="209"/>
        <v>4.9995943518079269</v>
      </c>
      <c r="AP501" s="21"/>
    </row>
    <row r="502" spans="2:42" x14ac:dyDescent="0.25">
      <c r="C502" s="20" t="s">
        <v>454</v>
      </c>
      <c r="D502" s="34" t="s">
        <v>162</v>
      </c>
      <c r="E502" s="398">
        <v>3</v>
      </c>
      <c r="F502" s="398">
        <f t="shared" ref="F502:AN502" si="210">E502*(1-F$477)+1</f>
        <v>3.4000000000000004</v>
      </c>
      <c r="G502" s="398">
        <f t="shared" si="210"/>
        <v>3.7200000000000006</v>
      </c>
      <c r="H502" s="398">
        <f t="shared" si="210"/>
        <v>3.9760000000000009</v>
      </c>
      <c r="I502" s="398">
        <f t="shared" si="210"/>
        <v>4.1808000000000014</v>
      </c>
      <c r="J502" s="398">
        <f t="shared" si="210"/>
        <v>4.3446400000000018</v>
      </c>
      <c r="K502" s="398">
        <f t="shared" si="210"/>
        <v>4.4757120000000015</v>
      </c>
      <c r="L502" s="398">
        <f t="shared" si="210"/>
        <v>4.5805696000000014</v>
      </c>
      <c r="M502" s="398">
        <f t="shared" si="210"/>
        <v>4.6644556800000014</v>
      </c>
      <c r="N502" s="398">
        <f t="shared" si="210"/>
        <v>4.7315645440000011</v>
      </c>
      <c r="O502" s="398">
        <f t="shared" si="210"/>
        <v>4.7852516352000016</v>
      </c>
      <c r="P502" s="398">
        <f t="shared" si="210"/>
        <v>4.8282013081600015</v>
      </c>
      <c r="Q502" s="398">
        <f t="shared" si="210"/>
        <v>4.8625610465280014</v>
      </c>
      <c r="R502" s="398">
        <f t="shared" si="210"/>
        <v>4.8900488372224018</v>
      </c>
      <c r="S502" s="398">
        <f t="shared" si="210"/>
        <v>4.9120390697779222</v>
      </c>
      <c r="T502" s="398">
        <f t="shared" si="210"/>
        <v>4.9296312558223381</v>
      </c>
      <c r="U502" s="398">
        <f t="shared" si="210"/>
        <v>4.9437050046578701</v>
      </c>
      <c r="V502" s="398">
        <f t="shared" si="210"/>
        <v>4.9549640037262961</v>
      </c>
      <c r="W502" s="398">
        <f t="shared" si="210"/>
        <v>4.9639712029810372</v>
      </c>
      <c r="X502" s="398">
        <f t="shared" si="210"/>
        <v>4.9711769623848294</v>
      </c>
      <c r="Y502" s="398">
        <f t="shared" si="210"/>
        <v>4.9769415699078632</v>
      </c>
      <c r="Z502" s="398">
        <f t="shared" si="210"/>
        <v>4.9815532559262907</v>
      </c>
      <c r="AA502" s="398">
        <f t="shared" si="210"/>
        <v>4.9852426047410328</v>
      </c>
      <c r="AB502" s="398">
        <f t="shared" si="210"/>
        <v>4.9881940837928269</v>
      </c>
      <c r="AC502" s="398">
        <f t="shared" si="210"/>
        <v>4.9905552670342619</v>
      </c>
      <c r="AD502" s="398">
        <f t="shared" si="210"/>
        <v>4.9924442136274099</v>
      </c>
      <c r="AE502" s="398">
        <f t="shared" si="210"/>
        <v>4.9939553709019275</v>
      </c>
      <c r="AF502" s="398">
        <f t="shared" si="210"/>
        <v>4.9951642967215424</v>
      </c>
      <c r="AG502" s="398">
        <f t="shared" si="210"/>
        <v>4.9961314373772341</v>
      </c>
      <c r="AH502" s="398">
        <f t="shared" si="210"/>
        <v>4.9969051499017869</v>
      </c>
      <c r="AI502" s="398">
        <f t="shared" si="210"/>
        <v>4.9975241199214295</v>
      </c>
      <c r="AJ502" s="398">
        <f t="shared" si="210"/>
        <v>4.9980192959371443</v>
      </c>
      <c r="AK502" s="398">
        <f t="shared" si="210"/>
        <v>4.9984154367497151</v>
      </c>
      <c r="AL502" s="398">
        <f t="shared" si="210"/>
        <v>4.9987323493997717</v>
      </c>
      <c r="AM502" s="398">
        <f t="shared" si="210"/>
        <v>4.9989858795198181</v>
      </c>
      <c r="AN502" s="398">
        <f t="shared" si="210"/>
        <v>4.9991887036158547</v>
      </c>
      <c r="AP502" s="21"/>
    </row>
    <row r="503" spans="2:42" x14ac:dyDescent="0.25">
      <c r="C503" s="21" t="s">
        <v>455</v>
      </c>
      <c r="D503" s="34" t="s">
        <v>162</v>
      </c>
      <c r="E503" s="398">
        <v>2</v>
      </c>
      <c r="F503" s="398">
        <f t="shared" ref="F503:AN503" si="211">E503*(1-F$477)+1</f>
        <v>2.6</v>
      </c>
      <c r="G503" s="398">
        <f t="shared" si="211"/>
        <v>3.08</v>
      </c>
      <c r="H503" s="398">
        <f t="shared" si="211"/>
        <v>3.4640000000000004</v>
      </c>
      <c r="I503" s="398">
        <f t="shared" si="211"/>
        <v>3.7712000000000003</v>
      </c>
      <c r="J503" s="398">
        <f t="shared" si="211"/>
        <v>4.016960000000001</v>
      </c>
      <c r="K503" s="398">
        <f t="shared" si="211"/>
        <v>4.2135680000000004</v>
      </c>
      <c r="L503" s="398">
        <f t="shared" si="211"/>
        <v>4.3708544000000007</v>
      </c>
      <c r="M503" s="398">
        <f t="shared" si="211"/>
        <v>4.4966835200000013</v>
      </c>
      <c r="N503" s="398">
        <f t="shared" si="211"/>
        <v>4.5973468160000017</v>
      </c>
      <c r="O503" s="398">
        <f t="shared" si="211"/>
        <v>4.6778774528000016</v>
      </c>
      <c r="P503" s="398">
        <f t="shared" si="211"/>
        <v>4.7423019622400009</v>
      </c>
      <c r="Q503" s="398">
        <f t="shared" si="211"/>
        <v>4.7938415697920007</v>
      </c>
      <c r="R503" s="398">
        <f t="shared" si="211"/>
        <v>4.8350732558336009</v>
      </c>
      <c r="S503" s="398">
        <f t="shared" si="211"/>
        <v>4.8680586046668815</v>
      </c>
      <c r="T503" s="398">
        <f t="shared" si="211"/>
        <v>4.8944468837335053</v>
      </c>
      <c r="U503" s="398">
        <f t="shared" si="211"/>
        <v>4.9155575069868043</v>
      </c>
      <c r="V503" s="398">
        <f t="shared" si="211"/>
        <v>4.9324460055894441</v>
      </c>
      <c r="W503" s="398">
        <f t="shared" si="211"/>
        <v>4.9459568044715549</v>
      </c>
      <c r="X503" s="398">
        <f t="shared" si="211"/>
        <v>4.9567654435772441</v>
      </c>
      <c r="Y503" s="398">
        <f t="shared" si="211"/>
        <v>4.9654123548617957</v>
      </c>
      <c r="Z503" s="398">
        <f t="shared" si="211"/>
        <v>4.9723298838894365</v>
      </c>
      <c r="AA503" s="398">
        <f t="shared" si="211"/>
        <v>4.9778639071115496</v>
      </c>
      <c r="AB503" s="398">
        <f t="shared" si="211"/>
        <v>4.9822911256892404</v>
      </c>
      <c r="AC503" s="398">
        <f t="shared" si="211"/>
        <v>4.9858329005513919</v>
      </c>
      <c r="AD503" s="398">
        <f t="shared" si="211"/>
        <v>4.9886663204411139</v>
      </c>
      <c r="AE503" s="398">
        <f t="shared" si="211"/>
        <v>4.9909330563528913</v>
      </c>
      <c r="AF503" s="398">
        <f t="shared" si="211"/>
        <v>4.9927464450823127</v>
      </c>
      <c r="AG503" s="398">
        <f t="shared" si="211"/>
        <v>4.9941971560658498</v>
      </c>
      <c r="AH503" s="398">
        <f t="shared" si="211"/>
        <v>4.9953577248526795</v>
      </c>
      <c r="AI503" s="398">
        <f t="shared" si="211"/>
        <v>4.9962861798821443</v>
      </c>
      <c r="AJ503" s="398">
        <f t="shared" si="211"/>
        <v>4.9970289439057156</v>
      </c>
      <c r="AK503" s="398">
        <f t="shared" si="211"/>
        <v>4.9976231551245727</v>
      </c>
      <c r="AL503" s="398">
        <f t="shared" si="211"/>
        <v>4.9980985240996585</v>
      </c>
      <c r="AM503" s="398">
        <f t="shared" si="211"/>
        <v>4.9984788192797271</v>
      </c>
      <c r="AN503" s="398">
        <f t="shared" si="211"/>
        <v>4.9987830554237824</v>
      </c>
      <c r="AP503" s="21"/>
    </row>
    <row r="504" spans="2:42" x14ac:dyDescent="0.25">
      <c r="C504" s="21" t="s">
        <v>393</v>
      </c>
      <c r="D504" s="34" t="s">
        <v>162</v>
      </c>
      <c r="E504" s="398">
        <v>1</v>
      </c>
      <c r="F504" s="398">
        <f t="shared" ref="F504:AN504" si="212">E504*(1-F$477)+1</f>
        <v>1.8</v>
      </c>
      <c r="G504" s="398">
        <f t="shared" si="212"/>
        <v>2.4400000000000004</v>
      </c>
      <c r="H504" s="398">
        <f t="shared" si="212"/>
        <v>2.9520000000000004</v>
      </c>
      <c r="I504" s="398">
        <f t="shared" si="212"/>
        <v>3.3616000000000006</v>
      </c>
      <c r="J504" s="398">
        <f t="shared" si="212"/>
        <v>3.6892800000000006</v>
      </c>
      <c r="K504" s="398">
        <f t="shared" si="212"/>
        <v>3.9514240000000007</v>
      </c>
      <c r="L504" s="398">
        <f t="shared" si="212"/>
        <v>4.1611392000000009</v>
      </c>
      <c r="M504" s="398">
        <f t="shared" si="212"/>
        <v>4.3289113600000011</v>
      </c>
      <c r="N504" s="398">
        <f t="shared" si="212"/>
        <v>4.4631290880000005</v>
      </c>
      <c r="O504" s="398">
        <f t="shared" si="212"/>
        <v>4.5705032704000006</v>
      </c>
      <c r="P504" s="398">
        <f t="shared" si="212"/>
        <v>4.6564026163200012</v>
      </c>
      <c r="Q504" s="398">
        <f t="shared" si="212"/>
        <v>4.7251220930560009</v>
      </c>
      <c r="R504" s="398">
        <f t="shared" si="212"/>
        <v>4.7800976744448009</v>
      </c>
      <c r="S504" s="398">
        <f t="shared" si="212"/>
        <v>4.8240781395558407</v>
      </c>
      <c r="T504" s="398">
        <f t="shared" si="212"/>
        <v>4.8592625116446726</v>
      </c>
      <c r="U504" s="398">
        <f t="shared" si="212"/>
        <v>4.8874100093157384</v>
      </c>
      <c r="V504" s="398">
        <f t="shared" si="212"/>
        <v>4.9099280074525904</v>
      </c>
      <c r="W504" s="398">
        <f t="shared" si="212"/>
        <v>4.9279424059620727</v>
      </c>
      <c r="X504" s="398">
        <f t="shared" si="212"/>
        <v>4.9423539247696588</v>
      </c>
      <c r="Y504" s="398">
        <f t="shared" si="212"/>
        <v>4.9538831398157273</v>
      </c>
      <c r="Z504" s="398">
        <f t="shared" si="212"/>
        <v>4.9631065118525814</v>
      </c>
      <c r="AA504" s="398">
        <f t="shared" si="212"/>
        <v>4.9704852094820655</v>
      </c>
      <c r="AB504" s="398">
        <f t="shared" si="212"/>
        <v>4.9763881675856521</v>
      </c>
      <c r="AC504" s="398">
        <f t="shared" si="212"/>
        <v>4.981110534068522</v>
      </c>
      <c r="AD504" s="398">
        <f t="shared" si="212"/>
        <v>4.984888427254818</v>
      </c>
      <c r="AE504" s="398">
        <f t="shared" si="212"/>
        <v>4.9879107418038551</v>
      </c>
      <c r="AF504" s="398">
        <f t="shared" si="212"/>
        <v>4.9903285934430848</v>
      </c>
      <c r="AG504" s="398">
        <f t="shared" si="212"/>
        <v>4.9922628747544682</v>
      </c>
      <c r="AH504" s="398">
        <f t="shared" si="212"/>
        <v>4.9938102998035747</v>
      </c>
      <c r="AI504" s="398">
        <f t="shared" si="212"/>
        <v>4.9950482398428599</v>
      </c>
      <c r="AJ504" s="398">
        <f t="shared" si="212"/>
        <v>4.9960385918742887</v>
      </c>
      <c r="AK504" s="398">
        <f t="shared" si="212"/>
        <v>4.9968308734994311</v>
      </c>
      <c r="AL504" s="398">
        <f t="shared" si="212"/>
        <v>4.9974646987995452</v>
      </c>
      <c r="AM504" s="398">
        <f t="shared" si="212"/>
        <v>4.9979717590396362</v>
      </c>
      <c r="AN504" s="398">
        <f t="shared" si="212"/>
        <v>4.9983774072317093</v>
      </c>
      <c r="AP504" s="21"/>
    </row>
    <row r="505" spans="2:42" x14ac:dyDescent="0.25">
      <c r="C505" s="22" t="s">
        <v>456</v>
      </c>
      <c r="D505" s="34" t="s">
        <v>162</v>
      </c>
      <c r="E505" s="399">
        <v>0</v>
      </c>
      <c r="F505" s="399">
        <f t="shared" ref="F505:AN505" si="213">E505*(1-F$477)+1</f>
        <v>1</v>
      </c>
      <c r="G505" s="399">
        <f t="shared" si="213"/>
        <v>1.8</v>
      </c>
      <c r="H505" s="399">
        <f t="shared" si="213"/>
        <v>2.4400000000000004</v>
      </c>
      <c r="I505" s="399">
        <f t="shared" si="213"/>
        <v>2.9520000000000004</v>
      </c>
      <c r="J505" s="399">
        <f t="shared" si="213"/>
        <v>3.3616000000000006</v>
      </c>
      <c r="K505" s="399">
        <f t="shared" si="213"/>
        <v>3.6892800000000006</v>
      </c>
      <c r="L505" s="399">
        <f t="shared" si="213"/>
        <v>3.9514240000000007</v>
      </c>
      <c r="M505" s="399">
        <f t="shared" si="213"/>
        <v>4.1611392000000009</v>
      </c>
      <c r="N505" s="399">
        <f t="shared" si="213"/>
        <v>4.3289113600000011</v>
      </c>
      <c r="O505" s="399">
        <f t="shared" si="213"/>
        <v>4.4631290880000005</v>
      </c>
      <c r="P505" s="399">
        <f t="shared" si="213"/>
        <v>4.5705032704000006</v>
      </c>
      <c r="Q505" s="399">
        <f t="shared" si="213"/>
        <v>4.6564026163200012</v>
      </c>
      <c r="R505" s="399">
        <f t="shared" si="213"/>
        <v>4.7251220930560009</v>
      </c>
      <c r="S505" s="399">
        <f t="shared" si="213"/>
        <v>4.7800976744448009</v>
      </c>
      <c r="T505" s="399">
        <f t="shared" si="213"/>
        <v>4.8240781395558407</v>
      </c>
      <c r="U505" s="399">
        <f t="shared" si="213"/>
        <v>4.8592625116446726</v>
      </c>
      <c r="V505" s="399">
        <f t="shared" si="213"/>
        <v>4.8874100093157384</v>
      </c>
      <c r="W505" s="399">
        <f t="shared" si="213"/>
        <v>4.9099280074525904</v>
      </c>
      <c r="X505" s="399">
        <f t="shared" si="213"/>
        <v>4.9279424059620727</v>
      </c>
      <c r="Y505" s="399">
        <f t="shared" si="213"/>
        <v>4.9423539247696588</v>
      </c>
      <c r="Z505" s="399">
        <f t="shared" si="213"/>
        <v>4.9538831398157273</v>
      </c>
      <c r="AA505" s="399">
        <f t="shared" si="213"/>
        <v>4.9631065118525814</v>
      </c>
      <c r="AB505" s="399">
        <f t="shared" si="213"/>
        <v>4.9704852094820655</v>
      </c>
      <c r="AC505" s="399">
        <f t="shared" si="213"/>
        <v>4.9763881675856521</v>
      </c>
      <c r="AD505" s="399">
        <f t="shared" si="213"/>
        <v>4.981110534068522</v>
      </c>
      <c r="AE505" s="399">
        <f t="shared" si="213"/>
        <v>4.984888427254818</v>
      </c>
      <c r="AF505" s="399">
        <f t="shared" si="213"/>
        <v>4.9879107418038551</v>
      </c>
      <c r="AG505" s="399">
        <f t="shared" si="213"/>
        <v>4.9903285934430848</v>
      </c>
      <c r="AH505" s="399">
        <f t="shared" si="213"/>
        <v>4.9922628747544682</v>
      </c>
      <c r="AI505" s="399">
        <f t="shared" si="213"/>
        <v>4.9938102998035747</v>
      </c>
      <c r="AJ505" s="399">
        <f t="shared" si="213"/>
        <v>4.9950482398428599</v>
      </c>
      <c r="AK505" s="399">
        <f t="shared" si="213"/>
        <v>4.9960385918742887</v>
      </c>
      <c r="AL505" s="399">
        <f t="shared" si="213"/>
        <v>4.9968308734994311</v>
      </c>
      <c r="AM505" s="399">
        <f t="shared" si="213"/>
        <v>4.9974646987995452</v>
      </c>
      <c r="AN505" s="399">
        <f t="shared" si="213"/>
        <v>4.9979717590396362</v>
      </c>
      <c r="AP505" s="26"/>
    </row>
    <row r="506" spans="2:42" x14ac:dyDescent="0.25">
      <c r="B506" s="99" t="s">
        <v>9</v>
      </c>
      <c r="C506" s="312" t="str">
        <f>'4.2 Sector Mapping'!$B$11</f>
        <v>Professional Services: Human Resources, Education, Consulting, Legal</v>
      </c>
      <c r="D506" s="317"/>
      <c r="E506" s="312"/>
      <c r="F506" s="312"/>
      <c r="G506" s="312"/>
      <c r="H506" s="312"/>
      <c r="I506" s="312"/>
      <c r="J506" s="312"/>
      <c r="K506" s="312"/>
      <c r="L506" s="312"/>
      <c r="M506" s="312"/>
      <c r="N506" s="312"/>
      <c r="O506" s="312"/>
      <c r="P506" s="312"/>
      <c r="Q506" s="312"/>
      <c r="R506" s="312"/>
      <c r="S506" s="312"/>
      <c r="T506" s="312"/>
      <c r="U506" s="312"/>
      <c r="V506" s="312"/>
      <c r="W506" s="312"/>
      <c r="X506" s="312"/>
      <c r="Y506" s="312"/>
      <c r="Z506" s="312"/>
      <c r="AA506" s="312"/>
      <c r="AB506" s="312"/>
      <c r="AC506" s="312"/>
      <c r="AD506" s="312"/>
      <c r="AE506" s="312"/>
      <c r="AF506" s="312"/>
      <c r="AG506" s="312"/>
      <c r="AH506" s="312"/>
      <c r="AI506" s="312"/>
      <c r="AJ506" s="312"/>
      <c r="AK506" s="312"/>
      <c r="AL506" s="312"/>
      <c r="AM506" s="312"/>
      <c r="AN506" s="312"/>
      <c r="AO506" s="74"/>
      <c r="AP506" s="312"/>
    </row>
    <row r="507" spans="2:42" s="86" customFormat="1" x14ac:dyDescent="0.25">
      <c r="B507" s="3"/>
      <c r="C507" s="243" t="s">
        <v>625</v>
      </c>
      <c r="D507" s="36" t="s">
        <v>162</v>
      </c>
      <c r="E507" s="309">
        <v>1</v>
      </c>
      <c r="F507" s="309">
        <v>1</v>
      </c>
      <c r="G507" s="309">
        <f>ROUND(M507/2,0)</f>
        <v>4</v>
      </c>
      <c r="H507" s="309">
        <f>G507</f>
        <v>4</v>
      </c>
      <c r="I507" s="309">
        <f>H507</f>
        <v>4</v>
      </c>
      <c r="J507" s="309">
        <f>ROUND(AVERAGE(I507,M507),0)</f>
        <v>6</v>
      </c>
      <c r="K507" s="309">
        <f>J507</f>
        <v>6</v>
      </c>
      <c r="L507" s="309">
        <f>K507</f>
        <v>6</v>
      </c>
      <c r="M507" s="309">
        <f>N507</f>
        <v>7</v>
      </c>
      <c r="N507" s="309">
        <f>P507</f>
        <v>7</v>
      </c>
      <c r="O507" s="309">
        <f>P507</f>
        <v>7</v>
      </c>
      <c r="P507" s="309">
        <f>'Back-end Overview of Use Cases'!C9</f>
        <v>7</v>
      </c>
      <c r="Q507" s="309">
        <f>ROUND(IF($AB507-$P507=1,$P507,$P507+($AB507-$P507)/3),0)</f>
        <v>8</v>
      </c>
      <c r="R507" s="309">
        <f>ROUND(IF($AB507-$P507=1,$P507,$P507+($AB507-$P507)/3),0)</f>
        <v>8</v>
      </c>
      <c r="S507" s="309">
        <f>ROUND(IF($AB507-$P507=1,$P507,$P507+($AB507-$P507)/3),0)</f>
        <v>8</v>
      </c>
      <c r="T507" s="309">
        <f>ROUND(IF($AB507-$P507=1,$P507,$P507+($AB507-$P507)/3),0)</f>
        <v>8</v>
      </c>
      <c r="U507" s="309">
        <f>ROUND(AVERAGE(T507,Y507),0)</f>
        <v>9</v>
      </c>
      <c r="V507" s="309">
        <f>U507</f>
        <v>9</v>
      </c>
      <c r="W507" s="309">
        <f>V507</f>
        <v>9</v>
      </c>
      <c r="X507" s="309">
        <f>W507</f>
        <v>9</v>
      </c>
      <c r="Y507" s="309">
        <f>Z507</f>
        <v>10</v>
      </c>
      <c r="Z507" s="309">
        <f>AA507</f>
        <v>10</v>
      </c>
      <c r="AA507" s="309">
        <f>AB507</f>
        <v>10</v>
      </c>
      <c r="AB507" s="309">
        <f>'Back-end Overview of Use Cases'!D9</f>
        <v>10</v>
      </c>
      <c r="AC507" s="309">
        <f>ROUND(IF($AN507-$AB507=1,$AB507,$AB507+($AN507-$AB507)/3),0)</f>
        <v>15</v>
      </c>
      <c r="AD507" s="309">
        <f>ROUND(IF($AN507-$AB507=1,$AB507,$AB507+($AN507-$AB507)/3),0)</f>
        <v>15</v>
      </c>
      <c r="AE507" s="309">
        <f>ROUND(IF($AN507-$AB507=1,$AB507,$AB507+($AN507-$AB507)/3),0)</f>
        <v>15</v>
      </c>
      <c r="AF507" s="309">
        <f>ROUND(IF($AN507-$AB507=1,$AB507,$AB507+($AN507-$AB507)/3),0)</f>
        <v>15</v>
      </c>
      <c r="AG507" s="309">
        <f>ROUND(AVERAGE(AF507,AK507),0)</f>
        <v>21</v>
      </c>
      <c r="AH507" s="309">
        <f>AG507</f>
        <v>21</v>
      </c>
      <c r="AI507" s="309">
        <f>AH507</f>
        <v>21</v>
      </c>
      <c r="AJ507" s="309">
        <f>AI507</f>
        <v>21</v>
      </c>
      <c r="AK507" s="309">
        <f>AN507</f>
        <v>26</v>
      </c>
      <c r="AL507" s="309">
        <f>AN507</f>
        <v>26</v>
      </c>
      <c r="AM507" s="309">
        <f>AN507</f>
        <v>26</v>
      </c>
      <c r="AN507" s="309">
        <f>'Back-end Overview of Use Cases'!E9</f>
        <v>26</v>
      </c>
      <c r="AP507" s="243"/>
    </row>
    <row r="508" spans="2:42" x14ac:dyDescent="0.25">
      <c r="C508" s="299" t="s">
        <v>691</v>
      </c>
      <c r="D508" s="330" t="s">
        <v>29</v>
      </c>
      <c r="E508" s="421">
        <v>0</v>
      </c>
      <c r="F508" s="421">
        <v>0.2</v>
      </c>
      <c r="G508" s="421">
        <v>0.2</v>
      </c>
      <c r="H508" s="421">
        <v>0.2</v>
      </c>
      <c r="I508" s="421">
        <v>0.2</v>
      </c>
      <c r="J508" s="421">
        <v>0.2</v>
      </c>
      <c r="K508" s="421">
        <v>0.2</v>
      </c>
      <c r="L508" s="421">
        <v>0.2</v>
      </c>
      <c r="M508" s="421">
        <v>0.2</v>
      </c>
      <c r="N508" s="421">
        <v>0.2</v>
      </c>
      <c r="O508" s="421">
        <v>0.2</v>
      </c>
      <c r="P508" s="421">
        <v>0.2</v>
      </c>
      <c r="Q508" s="421">
        <v>0.2</v>
      </c>
      <c r="R508" s="421">
        <v>0.2</v>
      </c>
      <c r="S508" s="421">
        <v>0.2</v>
      </c>
      <c r="T508" s="421">
        <v>0.2</v>
      </c>
      <c r="U508" s="421">
        <v>0.2</v>
      </c>
      <c r="V508" s="421">
        <v>0.2</v>
      </c>
      <c r="W508" s="421">
        <v>0.2</v>
      </c>
      <c r="X508" s="421">
        <v>0.2</v>
      </c>
      <c r="Y508" s="421">
        <v>0.2</v>
      </c>
      <c r="Z508" s="421">
        <v>0.2</v>
      </c>
      <c r="AA508" s="421">
        <v>0.2</v>
      </c>
      <c r="AB508" s="421">
        <v>0.2</v>
      </c>
      <c r="AC508" s="421">
        <v>0.2</v>
      </c>
      <c r="AD508" s="421">
        <v>0.2</v>
      </c>
      <c r="AE508" s="421">
        <v>0.2</v>
      </c>
      <c r="AF508" s="421">
        <v>0.2</v>
      </c>
      <c r="AG508" s="421">
        <v>0.2</v>
      </c>
      <c r="AH508" s="421">
        <v>0.2</v>
      </c>
      <c r="AI508" s="421">
        <v>0.2</v>
      </c>
      <c r="AJ508" s="421">
        <v>0.2</v>
      </c>
      <c r="AK508" s="421">
        <v>0.2</v>
      </c>
      <c r="AL508" s="421">
        <v>0.2</v>
      </c>
      <c r="AM508" s="421">
        <v>0.2</v>
      </c>
      <c r="AN508" s="421">
        <v>0.2</v>
      </c>
      <c r="AP508" s="299"/>
    </row>
    <row r="509" spans="2:42" x14ac:dyDescent="0.25">
      <c r="B509" s="99" t="s">
        <v>9</v>
      </c>
      <c r="C509" s="311" t="s">
        <v>626</v>
      </c>
      <c r="D509" s="318"/>
      <c r="E509" s="311"/>
      <c r="F509" s="311"/>
      <c r="G509" s="311"/>
      <c r="H509" s="311"/>
      <c r="I509" s="311"/>
      <c r="J509" s="311"/>
      <c r="K509" s="311"/>
      <c r="L509" s="311"/>
      <c r="M509" s="311"/>
      <c r="N509" s="311"/>
      <c r="O509" s="311"/>
      <c r="P509" s="311"/>
      <c r="Q509" s="311"/>
      <c r="R509" s="311"/>
      <c r="S509" s="311"/>
      <c r="T509" s="311"/>
      <c r="U509" s="311"/>
      <c r="V509" s="311"/>
      <c r="W509" s="311"/>
      <c r="X509" s="311"/>
      <c r="Y509" s="311"/>
      <c r="Z509" s="311"/>
      <c r="AA509" s="311"/>
      <c r="AB509" s="311"/>
      <c r="AC509" s="311"/>
      <c r="AD509" s="311"/>
      <c r="AE509" s="311"/>
      <c r="AF509" s="311"/>
      <c r="AG509" s="311"/>
      <c r="AH509" s="311"/>
      <c r="AI509" s="311"/>
      <c r="AJ509" s="311"/>
      <c r="AK509" s="311"/>
      <c r="AL509" s="311"/>
      <c r="AM509" s="311"/>
      <c r="AN509" s="311"/>
      <c r="AO509" s="74"/>
      <c r="AP509" s="311"/>
    </row>
    <row r="510" spans="2:42" x14ac:dyDescent="0.25">
      <c r="C510" s="20" t="s">
        <v>600</v>
      </c>
      <c r="D510" s="34" t="s">
        <v>162</v>
      </c>
      <c r="E510" s="397">
        <v>5</v>
      </c>
      <c r="F510" s="397">
        <f>E510*(1-F$508)+1</f>
        <v>5</v>
      </c>
      <c r="G510" s="397">
        <f t="shared" ref="G510:AN515" si="214">F510*(1-G$508)+1</f>
        <v>5</v>
      </c>
      <c r="H510" s="397">
        <f t="shared" si="214"/>
        <v>5</v>
      </c>
      <c r="I510" s="397">
        <f t="shared" si="214"/>
        <v>5</v>
      </c>
      <c r="J510" s="397">
        <f t="shared" si="214"/>
        <v>5</v>
      </c>
      <c r="K510" s="397">
        <f t="shared" si="214"/>
        <v>5</v>
      </c>
      <c r="L510" s="397">
        <f t="shared" si="214"/>
        <v>5</v>
      </c>
      <c r="M510" s="397">
        <f t="shared" si="214"/>
        <v>5</v>
      </c>
      <c r="N510" s="397">
        <f t="shared" si="214"/>
        <v>5</v>
      </c>
      <c r="O510" s="397">
        <f t="shared" si="214"/>
        <v>5</v>
      </c>
      <c r="P510" s="397">
        <f t="shared" si="214"/>
        <v>5</v>
      </c>
      <c r="Q510" s="397">
        <f t="shared" si="214"/>
        <v>5</v>
      </c>
      <c r="R510" s="397">
        <f t="shared" si="214"/>
        <v>5</v>
      </c>
      <c r="S510" s="397">
        <f t="shared" si="214"/>
        <v>5</v>
      </c>
      <c r="T510" s="397">
        <f t="shared" si="214"/>
        <v>5</v>
      </c>
      <c r="U510" s="397">
        <f t="shared" si="214"/>
        <v>5</v>
      </c>
      <c r="V510" s="397">
        <f t="shared" si="214"/>
        <v>5</v>
      </c>
      <c r="W510" s="397">
        <f t="shared" si="214"/>
        <v>5</v>
      </c>
      <c r="X510" s="397">
        <f t="shared" si="214"/>
        <v>5</v>
      </c>
      <c r="Y510" s="397">
        <f t="shared" si="214"/>
        <v>5</v>
      </c>
      <c r="Z510" s="397">
        <f t="shared" si="214"/>
        <v>5</v>
      </c>
      <c r="AA510" s="397">
        <f t="shared" si="214"/>
        <v>5</v>
      </c>
      <c r="AB510" s="397">
        <f t="shared" si="214"/>
        <v>5</v>
      </c>
      <c r="AC510" s="397">
        <f t="shared" si="214"/>
        <v>5</v>
      </c>
      <c r="AD510" s="397">
        <f t="shared" si="214"/>
        <v>5</v>
      </c>
      <c r="AE510" s="397">
        <f t="shared" si="214"/>
        <v>5</v>
      </c>
      <c r="AF510" s="397">
        <f t="shared" si="214"/>
        <v>5</v>
      </c>
      <c r="AG510" s="397">
        <f t="shared" si="214"/>
        <v>5</v>
      </c>
      <c r="AH510" s="397">
        <f t="shared" si="214"/>
        <v>5</v>
      </c>
      <c r="AI510" s="397">
        <f t="shared" si="214"/>
        <v>5</v>
      </c>
      <c r="AJ510" s="397">
        <f t="shared" si="214"/>
        <v>5</v>
      </c>
      <c r="AK510" s="397">
        <f t="shared" si="214"/>
        <v>5</v>
      </c>
      <c r="AL510" s="397">
        <f t="shared" si="214"/>
        <v>5</v>
      </c>
      <c r="AM510" s="397">
        <f t="shared" si="214"/>
        <v>5</v>
      </c>
      <c r="AN510" s="397">
        <f t="shared" si="214"/>
        <v>5</v>
      </c>
      <c r="AP510" s="20"/>
    </row>
    <row r="511" spans="2:42" x14ac:dyDescent="0.25">
      <c r="C511" s="20" t="s">
        <v>392</v>
      </c>
      <c r="D511" s="34" t="s">
        <v>162</v>
      </c>
      <c r="E511" s="398">
        <v>4</v>
      </c>
      <c r="F511" s="398">
        <f t="shared" ref="F511:U515" si="215">E511*(1-F$508)+1</f>
        <v>4.2</v>
      </c>
      <c r="G511" s="398">
        <f t="shared" si="215"/>
        <v>4.3600000000000003</v>
      </c>
      <c r="H511" s="398">
        <f t="shared" si="215"/>
        <v>4.4880000000000004</v>
      </c>
      <c r="I511" s="398">
        <f t="shared" si="215"/>
        <v>4.5904000000000007</v>
      </c>
      <c r="J511" s="398">
        <f t="shared" si="215"/>
        <v>4.6723200000000009</v>
      </c>
      <c r="K511" s="398">
        <f t="shared" si="215"/>
        <v>4.7378560000000007</v>
      </c>
      <c r="L511" s="398">
        <f t="shared" si="215"/>
        <v>4.7902848000000002</v>
      </c>
      <c r="M511" s="398">
        <f t="shared" si="215"/>
        <v>4.8322278399999998</v>
      </c>
      <c r="N511" s="398">
        <f t="shared" si="215"/>
        <v>4.8657822720000006</v>
      </c>
      <c r="O511" s="398">
        <f t="shared" si="215"/>
        <v>4.8926258176000008</v>
      </c>
      <c r="P511" s="398">
        <f t="shared" si="215"/>
        <v>4.9141006540800003</v>
      </c>
      <c r="Q511" s="398">
        <f t="shared" si="215"/>
        <v>4.9312805232640002</v>
      </c>
      <c r="R511" s="398">
        <f t="shared" si="215"/>
        <v>4.9450244186112009</v>
      </c>
      <c r="S511" s="398">
        <f t="shared" si="215"/>
        <v>4.9560195348889611</v>
      </c>
      <c r="T511" s="398">
        <f t="shared" si="215"/>
        <v>4.964815627911169</v>
      </c>
      <c r="U511" s="398">
        <f t="shared" si="215"/>
        <v>4.9718525023289359</v>
      </c>
      <c r="V511" s="398">
        <f t="shared" si="214"/>
        <v>4.9774820018631489</v>
      </c>
      <c r="W511" s="398">
        <f t="shared" si="214"/>
        <v>4.9819856014905195</v>
      </c>
      <c r="X511" s="398">
        <f t="shared" si="214"/>
        <v>4.9855884811924156</v>
      </c>
      <c r="Y511" s="398">
        <f t="shared" si="214"/>
        <v>4.9884707849539325</v>
      </c>
      <c r="Z511" s="398">
        <f t="shared" si="214"/>
        <v>4.9907766279631467</v>
      </c>
      <c r="AA511" s="398">
        <f t="shared" si="214"/>
        <v>4.9926213023705177</v>
      </c>
      <c r="AB511" s="398">
        <f t="shared" si="214"/>
        <v>4.9940970418964143</v>
      </c>
      <c r="AC511" s="398">
        <f t="shared" si="214"/>
        <v>4.9952776335171318</v>
      </c>
      <c r="AD511" s="398">
        <f t="shared" si="214"/>
        <v>4.9962221068137058</v>
      </c>
      <c r="AE511" s="398">
        <f t="shared" si="214"/>
        <v>4.9969776854509647</v>
      </c>
      <c r="AF511" s="398">
        <f t="shared" si="214"/>
        <v>4.9975821483607721</v>
      </c>
      <c r="AG511" s="398">
        <f t="shared" si="214"/>
        <v>4.9980657186886184</v>
      </c>
      <c r="AH511" s="398">
        <f t="shared" si="214"/>
        <v>4.9984525749508943</v>
      </c>
      <c r="AI511" s="398">
        <f t="shared" si="214"/>
        <v>4.9987620599607157</v>
      </c>
      <c r="AJ511" s="398">
        <f t="shared" si="214"/>
        <v>4.9990096479685722</v>
      </c>
      <c r="AK511" s="398">
        <f t="shared" si="214"/>
        <v>4.9992077183748584</v>
      </c>
      <c r="AL511" s="398">
        <f t="shared" si="214"/>
        <v>4.9993661746998868</v>
      </c>
      <c r="AM511" s="398">
        <f t="shared" si="214"/>
        <v>4.999492939759909</v>
      </c>
      <c r="AN511" s="398">
        <f t="shared" si="214"/>
        <v>4.9995943518079269</v>
      </c>
      <c r="AP511" s="21"/>
    </row>
    <row r="512" spans="2:42" x14ac:dyDescent="0.25">
      <c r="C512" s="20" t="s">
        <v>454</v>
      </c>
      <c r="D512" s="34" t="s">
        <v>162</v>
      </c>
      <c r="E512" s="398">
        <v>3</v>
      </c>
      <c r="F512" s="398">
        <f t="shared" si="215"/>
        <v>3.4000000000000004</v>
      </c>
      <c r="G512" s="398">
        <f t="shared" si="214"/>
        <v>3.7200000000000006</v>
      </c>
      <c r="H512" s="398">
        <f t="shared" si="214"/>
        <v>3.9760000000000009</v>
      </c>
      <c r="I512" s="398">
        <f t="shared" si="214"/>
        <v>4.1808000000000014</v>
      </c>
      <c r="J512" s="398">
        <f t="shared" si="214"/>
        <v>4.3446400000000018</v>
      </c>
      <c r="K512" s="398">
        <f t="shared" si="214"/>
        <v>4.4757120000000015</v>
      </c>
      <c r="L512" s="398">
        <f t="shared" si="214"/>
        <v>4.5805696000000014</v>
      </c>
      <c r="M512" s="398">
        <f t="shared" si="214"/>
        <v>4.6644556800000014</v>
      </c>
      <c r="N512" s="398">
        <f t="shared" si="214"/>
        <v>4.7315645440000011</v>
      </c>
      <c r="O512" s="398">
        <f t="shared" si="214"/>
        <v>4.7852516352000016</v>
      </c>
      <c r="P512" s="398">
        <f t="shared" si="214"/>
        <v>4.8282013081600015</v>
      </c>
      <c r="Q512" s="398">
        <f t="shared" si="214"/>
        <v>4.8625610465280014</v>
      </c>
      <c r="R512" s="398">
        <f t="shared" si="214"/>
        <v>4.8900488372224018</v>
      </c>
      <c r="S512" s="398">
        <f t="shared" si="214"/>
        <v>4.9120390697779222</v>
      </c>
      <c r="T512" s="398">
        <f t="shared" si="214"/>
        <v>4.9296312558223381</v>
      </c>
      <c r="U512" s="398">
        <f t="shared" si="214"/>
        <v>4.9437050046578701</v>
      </c>
      <c r="V512" s="398">
        <f t="shared" si="214"/>
        <v>4.9549640037262961</v>
      </c>
      <c r="W512" s="398">
        <f t="shared" si="214"/>
        <v>4.9639712029810372</v>
      </c>
      <c r="X512" s="398">
        <f t="shared" si="214"/>
        <v>4.9711769623848294</v>
      </c>
      <c r="Y512" s="398">
        <f t="shared" si="214"/>
        <v>4.9769415699078632</v>
      </c>
      <c r="Z512" s="398">
        <f t="shared" si="214"/>
        <v>4.9815532559262907</v>
      </c>
      <c r="AA512" s="398">
        <f t="shared" si="214"/>
        <v>4.9852426047410328</v>
      </c>
      <c r="AB512" s="398">
        <f t="shared" si="214"/>
        <v>4.9881940837928269</v>
      </c>
      <c r="AC512" s="398">
        <f t="shared" si="214"/>
        <v>4.9905552670342619</v>
      </c>
      <c r="AD512" s="398">
        <f t="shared" si="214"/>
        <v>4.9924442136274099</v>
      </c>
      <c r="AE512" s="398">
        <f t="shared" si="214"/>
        <v>4.9939553709019275</v>
      </c>
      <c r="AF512" s="398">
        <f t="shared" si="214"/>
        <v>4.9951642967215424</v>
      </c>
      <c r="AG512" s="398">
        <f t="shared" si="214"/>
        <v>4.9961314373772341</v>
      </c>
      <c r="AH512" s="398">
        <f t="shared" si="214"/>
        <v>4.9969051499017869</v>
      </c>
      <c r="AI512" s="398">
        <f t="shared" si="214"/>
        <v>4.9975241199214295</v>
      </c>
      <c r="AJ512" s="398">
        <f t="shared" si="214"/>
        <v>4.9980192959371443</v>
      </c>
      <c r="AK512" s="398">
        <f t="shared" si="214"/>
        <v>4.9984154367497151</v>
      </c>
      <c r="AL512" s="398">
        <f t="shared" si="214"/>
        <v>4.9987323493997717</v>
      </c>
      <c r="AM512" s="398">
        <f t="shared" si="214"/>
        <v>4.9989858795198181</v>
      </c>
      <c r="AN512" s="398">
        <f t="shared" si="214"/>
        <v>4.9991887036158547</v>
      </c>
      <c r="AP512" s="21"/>
    </row>
    <row r="513" spans="2:42" x14ac:dyDescent="0.25">
      <c r="C513" s="21" t="s">
        <v>455</v>
      </c>
      <c r="D513" s="34" t="s">
        <v>162</v>
      </c>
      <c r="E513" s="398">
        <v>2</v>
      </c>
      <c r="F513" s="398">
        <f t="shared" si="215"/>
        <v>2.6</v>
      </c>
      <c r="G513" s="398">
        <f t="shared" si="214"/>
        <v>3.08</v>
      </c>
      <c r="H513" s="398">
        <f t="shared" si="214"/>
        <v>3.4640000000000004</v>
      </c>
      <c r="I513" s="398">
        <f t="shared" si="214"/>
        <v>3.7712000000000003</v>
      </c>
      <c r="J513" s="398">
        <f t="shared" si="214"/>
        <v>4.016960000000001</v>
      </c>
      <c r="K513" s="398">
        <f t="shared" si="214"/>
        <v>4.2135680000000004</v>
      </c>
      <c r="L513" s="398">
        <f t="shared" si="214"/>
        <v>4.3708544000000007</v>
      </c>
      <c r="M513" s="398">
        <f t="shared" si="214"/>
        <v>4.4966835200000013</v>
      </c>
      <c r="N513" s="398">
        <f t="shared" si="214"/>
        <v>4.5973468160000017</v>
      </c>
      <c r="O513" s="398">
        <f t="shared" si="214"/>
        <v>4.6778774528000016</v>
      </c>
      <c r="P513" s="398">
        <f t="shared" si="214"/>
        <v>4.7423019622400009</v>
      </c>
      <c r="Q513" s="398">
        <f t="shared" si="214"/>
        <v>4.7938415697920007</v>
      </c>
      <c r="R513" s="398">
        <f t="shared" si="214"/>
        <v>4.8350732558336009</v>
      </c>
      <c r="S513" s="398">
        <f t="shared" si="214"/>
        <v>4.8680586046668815</v>
      </c>
      <c r="T513" s="398">
        <f t="shared" si="214"/>
        <v>4.8944468837335053</v>
      </c>
      <c r="U513" s="398">
        <f t="shared" si="214"/>
        <v>4.9155575069868043</v>
      </c>
      <c r="V513" s="398">
        <f t="shared" si="214"/>
        <v>4.9324460055894441</v>
      </c>
      <c r="W513" s="398">
        <f t="shared" si="214"/>
        <v>4.9459568044715549</v>
      </c>
      <c r="X513" s="398">
        <f t="shared" si="214"/>
        <v>4.9567654435772441</v>
      </c>
      <c r="Y513" s="398">
        <f t="shared" si="214"/>
        <v>4.9654123548617957</v>
      </c>
      <c r="Z513" s="398">
        <f t="shared" si="214"/>
        <v>4.9723298838894365</v>
      </c>
      <c r="AA513" s="398">
        <f t="shared" si="214"/>
        <v>4.9778639071115496</v>
      </c>
      <c r="AB513" s="398">
        <f t="shared" si="214"/>
        <v>4.9822911256892404</v>
      </c>
      <c r="AC513" s="398">
        <f t="shared" si="214"/>
        <v>4.9858329005513919</v>
      </c>
      <c r="AD513" s="398">
        <f t="shared" si="214"/>
        <v>4.9886663204411139</v>
      </c>
      <c r="AE513" s="398">
        <f t="shared" si="214"/>
        <v>4.9909330563528913</v>
      </c>
      <c r="AF513" s="398">
        <f t="shared" si="214"/>
        <v>4.9927464450823127</v>
      </c>
      <c r="AG513" s="398">
        <f t="shared" si="214"/>
        <v>4.9941971560658498</v>
      </c>
      <c r="AH513" s="398">
        <f t="shared" si="214"/>
        <v>4.9953577248526795</v>
      </c>
      <c r="AI513" s="398">
        <f t="shared" si="214"/>
        <v>4.9962861798821443</v>
      </c>
      <c r="AJ513" s="398">
        <f t="shared" si="214"/>
        <v>4.9970289439057156</v>
      </c>
      <c r="AK513" s="398">
        <f t="shared" si="214"/>
        <v>4.9976231551245727</v>
      </c>
      <c r="AL513" s="398">
        <f t="shared" si="214"/>
        <v>4.9980985240996585</v>
      </c>
      <c r="AM513" s="398">
        <f t="shared" si="214"/>
        <v>4.9984788192797271</v>
      </c>
      <c r="AN513" s="398">
        <f t="shared" si="214"/>
        <v>4.9987830554237824</v>
      </c>
      <c r="AP513" s="21"/>
    </row>
    <row r="514" spans="2:42" x14ac:dyDescent="0.25">
      <c r="C514" s="21" t="s">
        <v>393</v>
      </c>
      <c r="D514" s="34" t="s">
        <v>162</v>
      </c>
      <c r="E514" s="398">
        <v>1</v>
      </c>
      <c r="F514" s="398">
        <f t="shared" si="215"/>
        <v>1.8</v>
      </c>
      <c r="G514" s="398">
        <f t="shared" si="214"/>
        <v>2.4400000000000004</v>
      </c>
      <c r="H514" s="398">
        <f t="shared" si="214"/>
        <v>2.9520000000000004</v>
      </c>
      <c r="I514" s="398">
        <f t="shared" si="214"/>
        <v>3.3616000000000006</v>
      </c>
      <c r="J514" s="398">
        <f t="shared" si="214"/>
        <v>3.6892800000000006</v>
      </c>
      <c r="K514" s="398">
        <f t="shared" si="214"/>
        <v>3.9514240000000007</v>
      </c>
      <c r="L514" s="398">
        <f t="shared" si="214"/>
        <v>4.1611392000000009</v>
      </c>
      <c r="M514" s="398">
        <f t="shared" si="214"/>
        <v>4.3289113600000011</v>
      </c>
      <c r="N514" s="398">
        <f t="shared" si="214"/>
        <v>4.4631290880000005</v>
      </c>
      <c r="O514" s="398">
        <f t="shared" si="214"/>
        <v>4.5705032704000006</v>
      </c>
      <c r="P514" s="398">
        <f t="shared" si="214"/>
        <v>4.6564026163200012</v>
      </c>
      <c r="Q514" s="398">
        <f t="shared" si="214"/>
        <v>4.7251220930560009</v>
      </c>
      <c r="R514" s="398">
        <f t="shared" si="214"/>
        <v>4.7800976744448009</v>
      </c>
      <c r="S514" s="398">
        <f t="shared" si="214"/>
        <v>4.8240781395558407</v>
      </c>
      <c r="T514" s="398">
        <f t="shared" si="214"/>
        <v>4.8592625116446726</v>
      </c>
      <c r="U514" s="398">
        <f t="shared" si="214"/>
        <v>4.8874100093157384</v>
      </c>
      <c r="V514" s="398">
        <f t="shared" si="214"/>
        <v>4.9099280074525904</v>
      </c>
      <c r="W514" s="398">
        <f t="shared" si="214"/>
        <v>4.9279424059620727</v>
      </c>
      <c r="X514" s="398">
        <f t="shared" si="214"/>
        <v>4.9423539247696588</v>
      </c>
      <c r="Y514" s="398">
        <f t="shared" si="214"/>
        <v>4.9538831398157273</v>
      </c>
      <c r="Z514" s="398">
        <f t="shared" si="214"/>
        <v>4.9631065118525814</v>
      </c>
      <c r="AA514" s="398">
        <f t="shared" si="214"/>
        <v>4.9704852094820655</v>
      </c>
      <c r="AB514" s="398">
        <f t="shared" si="214"/>
        <v>4.9763881675856521</v>
      </c>
      <c r="AC514" s="398">
        <f t="shared" si="214"/>
        <v>4.981110534068522</v>
      </c>
      <c r="AD514" s="398">
        <f t="shared" si="214"/>
        <v>4.984888427254818</v>
      </c>
      <c r="AE514" s="398">
        <f t="shared" si="214"/>
        <v>4.9879107418038551</v>
      </c>
      <c r="AF514" s="398">
        <f t="shared" si="214"/>
        <v>4.9903285934430848</v>
      </c>
      <c r="AG514" s="398">
        <f t="shared" si="214"/>
        <v>4.9922628747544682</v>
      </c>
      <c r="AH514" s="398">
        <f t="shared" si="214"/>
        <v>4.9938102998035747</v>
      </c>
      <c r="AI514" s="398">
        <f t="shared" si="214"/>
        <v>4.9950482398428599</v>
      </c>
      <c r="AJ514" s="398">
        <f t="shared" si="214"/>
        <v>4.9960385918742887</v>
      </c>
      <c r="AK514" s="398">
        <f t="shared" si="214"/>
        <v>4.9968308734994311</v>
      </c>
      <c r="AL514" s="398">
        <f t="shared" si="214"/>
        <v>4.9974646987995452</v>
      </c>
      <c r="AM514" s="398">
        <f t="shared" si="214"/>
        <v>4.9979717590396362</v>
      </c>
      <c r="AN514" s="398">
        <f t="shared" si="214"/>
        <v>4.9983774072317093</v>
      </c>
      <c r="AP514" s="21"/>
    </row>
    <row r="515" spans="2:42" x14ac:dyDescent="0.25">
      <c r="C515" s="22" t="s">
        <v>456</v>
      </c>
      <c r="D515" s="34" t="s">
        <v>162</v>
      </c>
      <c r="E515" s="399">
        <v>0</v>
      </c>
      <c r="F515" s="399">
        <f t="shared" si="215"/>
        <v>1</v>
      </c>
      <c r="G515" s="399">
        <f t="shared" si="214"/>
        <v>1.8</v>
      </c>
      <c r="H515" s="399">
        <f t="shared" si="214"/>
        <v>2.4400000000000004</v>
      </c>
      <c r="I515" s="399">
        <f t="shared" si="214"/>
        <v>2.9520000000000004</v>
      </c>
      <c r="J515" s="399">
        <f t="shared" si="214"/>
        <v>3.3616000000000006</v>
      </c>
      <c r="K515" s="399">
        <f t="shared" si="214"/>
        <v>3.6892800000000006</v>
      </c>
      <c r="L515" s="399">
        <f t="shared" si="214"/>
        <v>3.9514240000000007</v>
      </c>
      <c r="M515" s="399">
        <f t="shared" si="214"/>
        <v>4.1611392000000009</v>
      </c>
      <c r="N515" s="399">
        <f t="shared" si="214"/>
        <v>4.3289113600000011</v>
      </c>
      <c r="O515" s="399">
        <f t="shared" si="214"/>
        <v>4.4631290880000005</v>
      </c>
      <c r="P515" s="399">
        <f t="shared" si="214"/>
        <v>4.5705032704000006</v>
      </c>
      <c r="Q515" s="399">
        <f t="shared" si="214"/>
        <v>4.6564026163200012</v>
      </c>
      <c r="R515" s="399">
        <f t="shared" si="214"/>
        <v>4.7251220930560009</v>
      </c>
      <c r="S515" s="399">
        <f t="shared" si="214"/>
        <v>4.7800976744448009</v>
      </c>
      <c r="T515" s="399">
        <f t="shared" si="214"/>
        <v>4.8240781395558407</v>
      </c>
      <c r="U515" s="399">
        <f t="shared" si="214"/>
        <v>4.8592625116446726</v>
      </c>
      <c r="V515" s="399">
        <f t="shared" si="214"/>
        <v>4.8874100093157384</v>
      </c>
      <c r="W515" s="399">
        <f t="shared" si="214"/>
        <v>4.9099280074525904</v>
      </c>
      <c r="X515" s="399">
        <f t="shared" si="214"/>
        <v>4.9279424059620727</v>
      </c>
      <c r="Y515" s="399">
        <f t="shared" si="214"/>
        <v>4.9423539247696588</v>
      </c>
      <c r="Z515" s="399">
        <f t="shared" si="214"/>
        <v>4.9538831398157273</v>
      </c>
      <c r="AA515" s="399">
        <f t="shared" si="214"/>
        <v>4.9631065118525814</v>
      </c>
      <c r="AB515" s="399">
        <f t="shared" si="214"/>
        <v>4.9704852094820655</v>
      </c>
      <c r="AC515" s="399">
        <f t="shared" si="214"/>
        <v>4.9763881675856521</v>
      </c>
      <c r="AD515" s="399">
        <f t="shared" si="214"/>
        <v>4.981110534068522</v>
      </c>
      <c r="AE515" s="399">
        <f t="shared" si="214"/>
        <v>4.984888427254818</v>
      </c>
      <c r="AF515" s="399">
        <f t="shared" si="214"/>
        <v>4.9879107418038551</v>
      </c>
      <c r="AG515" s="399">
        <f t="shared" si="214"/>
        <v>4.9903285934430848</v>
      </c>
      <c r="AH515" s="399">
        <f t="shared" si="214"/>
        <v>4.9922628747544682</v>
      </c>
      <c r="AI515" s="399">
        <f t="shared" si="214"/>
        <v>4.9938102998035747</v>
      </c>
      <c r="AJ515" s="399">
        <f t="shared" si="214"/>
        <v>4.9950482398428599</v>
      </c>
      <c r="AK515" s="399">
        <f t="shared" si="214"/>
        <v>4.9960385918742887</v>
      </c>
      <c r="AL515" s="399">
        <f t="shared" si="214"/>
        <v>4.9968308734994311</v>
      </c>
      <c r="AM515" s="399">
        <f t="shared" si="214"/>
        <v>4.9974646987995452</v>
      </c>
      <c r="AN515" s="399">
        <f t="shared" si="214"/>
        <v>4.9979717590396362</v>
      </c>
      <c r="AP515" s="26"/>
    </row>
    <row r="516" spans="2:42" x14ac:dyDescent="0.25">
      <c r="B516" s="99" t="s">
        <v>9</v>
      </c>
      <c r="C516" s="311" t="s">
        <v>627</v>
      </c>
      <c r="D516" s="318"/>
      <c r="E516" s="402"/>
      <c r="F516" s="402"/>
      <c r="G516" s="402"/>
      <c r="H516" s="402"/>
      <c r="I516" s="402"/>
      <c r="J516" s="402"/>
      <c r="K516" s="402"/>
      <c r="L516" s="402"/>
      <c r="M516" s="402"/>
      <c r="N516" s="402"/>
      <c r="O516" s="402"/>
      <c r="P516" s="402"/>
      <c r="Q516" s="402"/>
      <c r="R516" s="402"/>
      <c r="S516" s="402"/>
      <c r="T516" s="402"/>
      <c r="U516" s="402"/>
      <c r="V516" s="402"/>
      <c r="W516" s="402"/>
      <c r="X516" s="402"/>
      <c r="Y516" s="402"/>
      <c r="Z516" s="402"/>
      <c r="AA516" s="402"/>
      <c r="AB516" s="402"/>
      <c r="AC516" s="402"/>
      <c r="AD516" s="402"/>
      <c r="AE516" s="402"/>
      <c r="AF516" s="402"/>
      <c r="AG516" s="402"/>
      <c r="AH516" s="402"/>
      <c r="AI516" s="402"/>
      <c r="AJ516" s="402"/>
      <c r="AK516" s="402"/>
      <c r="AL516" s="402"/>
      <c r="AM516" s="402"/>
      <c r="AN516" s="402"/>
      <c r="AO516" s="74"/>
      <c r="AP516" s="311"/>
    </row>
    <row r="517" spans="2:42" x14ac:dyDescent="0.25">
      <c r="C517" s="20" t="s">
        <v>600</v>
      </c>
      <c r="D517" s="34" t="s">
        <v>162</v>
      </c>
      <c r="E517" s="397">
        <v>5</v>
      </c>
      <c r="F517" s="397">
        <f>E517*(1-F$508)+1</f>
        <v>5</v>
      </c>
      <c r="G517" s="397">
        <f t="shared" ref="G517:AN517" si="216">F517*(1-G$508)+1</f>
        <v>5</v>
      </c>
      <c r="H517" s="397">
        <f t="shared" si="216"/>
        <v>5</v>
      </c>
      <c r="I517" s="397">
        <f t="shared" si="216"/>
        <v>5</v>
      </c>
      <c r="J517" s="397">
        <f t="shared" si="216"/>
        <v>5</v>
      </c>
      <c r="K517" s="397">
        <f t="shared" si="216"/>
        <v>5</v>
      </c>
      <c r="L517" s="397">
        <f t="shared" si="216"/>
        <v>5</v>
      </c>
      <c r="M517" s="397">
        <f t="shared" si="216"/>
        <v>5</v>
      </c>
      <c r="N517" s="397">
        <f t="shared" si="216"/>
        <v>5</v>
      </c>
      <c r="O517" s="397">
        <f t="shared" si="216"/>
        <v>5</v>
      </c>
      <c r="P517" s="397">
        <f t="shared" si="216"/>
        <v>5</v>
      </c>
      <c r="Q517" s="397">
        <f t="shared" si="216"/>
        <v>5</v>
      </c>
      <c r="R517" s="397">
        <f t="shared" si="216"/>
        <v>5</v>
      </c>
      <c r="S517" s="397">
        <f t="shared" si="216"/>
        <v>5</v>
      </c>
      <c r="T517" s="397">
        <f t="shared" si="216"/>
        <v>5</v>
      </c>
      <c r="U517" s="397">
        <f t="shared" si="216"/>
        <v>5</v>
      </c>
      <c r="V517" s="397">
        <f t="shared" si="216"/>
        <v>5</v>
      </c>
      <c r="W517" s="397">
        <f t="shared" si="216"/>
        <v>5</v>
      </c>
      <c r="X517" s="397">
        <f t="shared" si="216"/>
        <v>5</v>
      </c>
      <c r="Y517" s="397">
        <f t="shared" si="216"/>
        <v>5</v>
      </c>
      <c r="Z517" s="397">
        <f t="shared" si="216"/>
        <v>5</v>
      </c>
      <c r="AA517" s="397">
        <f t="shared" si="216"/>
        <v>5</v>
      </c>
      <c r="AB517" s="397">
        <f t="shared" si="216"/>
        <v>5</v>
      </c>
      <c r="AC517" s="397">
        <f t="shared" si="216"/>
        <v>5</v>
      </c>
      <c r="AD517" s="397">
        <f t="shared" si="216"/>
        <v>5</v>
      </c>
      <c r="AE517" s="397">
        <f t="shared" si="216"/>
        <v>5</v>
      </c>
      <c r="AF517" s="397">
        <f t="shared" si="216"/>
        <v>5</v>
      </c>
      <c r="AG517" s="397">
        <f t="shared" si="216"/>
        <v>5</v>
      </c>
      <c r="AH517" s="397">
        <f t="shared" si="216"/>
        <v>5</v>
      </c>
      <c r="AI517" s="397">
        <f t="shared" si="216"/>
        <v>5</v>
      </c>
      <c r="AJ517" s="397">
        <f t="shared" si="216"/>
        <v>5</v>
      </c>
      <c r="AK517" s="397">
        <f t="shared" si="216"/>
        <v>5</v>
      </c>
      <c r="AL517" s="397">
        <f t="shared" si="216"/>
        <v>5</v>
      </c>
      <c r="AM517" s="397">
        <f t="shared" si="216"/>
        <v>5</v>
      </c>
      <c r="AN517" s="397">
        <f t="shared" si="216"/>
        <v>5</v>
      </c>
      <c r="AP517" s="20"/>
    </row>
    <row r="518" spans="2:42" x14ac:dyDescent="0.25">
      <c r="C518" s="20" t="s">
        <v>392</v>
      </c>
      <c r="D518" s="34" t="s">
        <v>162</v>
      </c>
      <c r="E518" s="398">
        <v>4</v>
      </c>
      <c r="F518" s="398">
        <f t="shared" ref="F518:AN518" si="217">E518*(1-F$508)+1</f>
        <v>4.2</v>
      </c>
      <c r="G518" s="398">
        <f t="shared" si="217"/>
        <v>4.3600000000000003</v>
      </c>
      <c r="H518" s="398">
        <f t="shared" si="217"/>
        <v>4.4880000000000004</v>
      </c>
      <c r="I518" s="398">
        <f t="shared" si="217"/>
        <v>4.5904000000000007</v>
      </c>
      <c r="J518" s="398">
        <f t="shared" si="217"/>
        <v>4.6723200000000009</v>
      </c>
      <c r="K518" s="398">
        <f t="shared" si="217"/>
        <v>4.7378560000000007</v>
      </c>
      <c r="L518" s="398">
        <f t="shared" si="217"/>
        <v>4.7902848000000002</v>
      </c>
      <c r="M518" s="398">
        <f t="shared" si="217"/>
        <v>4.8322278399999998</v>
      </c>
      <c r="N518" s="398">
        <f t="shared" si="217"/>
        <v>4.8657822720000006</v>
      </c>
      <c r="O518" s="398">
        <f t="shared" si="217"/>
        <v>4.8926258176000008</v>
      </c>
      <c r="P518" s="398">
        <f t="shared" si="217"/>
        <v>4.9141006540800003</v>
      </c>
      <c r="Q518" s="398">
        <f t="shared" si="217"/>
        <v>4.9312805232640002</v>
      </c>
      <c r="R518" s="398">
        <f t="shared" si="217"/>
        <v>4.9450244186112009</v>
      </c>
      <c r="S518" s="398">
        <f t="shared" si="217"/>
        <v>4.9560195348889611</v>
      </c>
      <c r="T518" s="398">
        <f t="shared" si="217"/>
        <v>4.964815627911169</v>
      </c>
      <c r="U518" s="398">
        <f t="shared" si="217"/>
        <v>4.9718525023289359</v>
      </c>
      <c r="V518" s="398">
        <f t="shared" si="217"/>
        <v>4.9774820018631489</v>
      </c>
      <c r="W518" s="398">
        <f t="shared" si="217"/>
        <v>4.9819856014905195</v>
      </c>
      <c r="X518" s="398">
        <f t="shared" si="217"/>
        <v>4.9855884811924156</v>
      </c>
      <c r="Y518" s="398">
        <f t="shared" si="217"/>
        <v>4.9884707849539325</v>
      </c>
      <c r="Z518" s="398">
        <f t="shared" si="217"/>
        <v>4.9907766279631467</v>
      </c>
      <c r="AA518" s="398">
        <f t="shared" si="217"/>
        <v>4.9926213023705177</v>
      </c>
      <c r="AB518" s="398">
        <f t="shared" si="217"/>
        <v>4.9940970418964143</v>
      </c>
      <c r="AC518" s="398">
        <f t="shared" si="217"/>
        <v>4.9952776335171318</v>
      </c>
      <c r="AD518" s="398">
        <f t="shared" si="217"/>
        <v>4.9962221068137058</v>
      </c>
      <c r="AE518" s="398">
        <f t="shared" si="217"/>
        <v>4.9969776854509647</v>
      </c>
      <c r="AF518" s="398">
        <f t="shared" si="217"/>
        <v>4.9975821483607721</v>
      </c>
      <c r="AG518" s="398">
        <f t="shared" si="217"/>
        <v>4.9980657186886184</v>
      </c>
      <c r="AH518" s="398">
        <f t="shared" si="217"/>
        <v>4.9984525749508943</v>
      </c>
      <c r="AI518" s="398">
        <f t="shared" si="217"/>
        <v>4.9987620599607157</v>
      </c>
      <c r="AJ518" s="398">
        <f t="shared" si="217"/>
        <v>4.9990096479685722</v>
      </c>
      <c r="AK518" s="398">
        <f t="shared" si="217"/>
        <v>4.9992077183748584</v>
      </c>
      <c r="AL518" s="398">
        <f t="shared" si="217"/>
        <v>4.9993661746998868</v>
      </c>
      <c r="AM518" s="398">
        <f t="shared" si="217"/>
        <v>4.999492939759909</v>
      </c>
      <c r="AN518" s="398">
        <f t="shared" si="217"/>
        <v>4.9995943518079269</v>
      </c>
      <c r="AP518" s="21"/>
    </row>
    <row r="519" spans="2:42" x14ac:dyDescent="0.25">
      <c r="C519" s="20" t="s">
        <v>454</v>
      </c>
      <c r="D519" s="34" t="s">
        <v>162</v>
      </c>
      <c r="E519" s="398">
        <v>3</v>
      </c>
      <c r="F519" s="398">
        <f t="shared" ref="F519:AN519" si="218">E519*(1-F$508)+1</f>
        <v>3.4000000000000004</v>
      </c>
      <c r="G519" s="398">
        <f t="shared" si="218"/>
        <v>3.7200000000000006</v>
      </c>
      <c r="H519" s="398">
        <f t="shared" si="218"/>
        <v>3.9760000000000009</v>
      </c>
      <c r="I519" s="398">
        <f t="shared" si="218"/>
        <v>4.1808000000000014</v>
      </c>
      <c r="J519" s="398">
        <f t="shared" si="218"/>
        <v>4.3446400000000018</v>
      </c>
      <c r="K519" s="398">
        <f t="shared" si="218"/>
        <v>4.4757120000000015</v>
      </c>
      <c r="L519" s="398">
        <f t="shared" si="218"/>
        <v>4.5805696000000014</v>
      </c>
      <c r="M519" s="398">
        <f t="shared" si="218"/>
        <v>4.6644556800000014</v>
      </c>
      <c r="N519" s="398">
        <f t="shared" si="218"/>
        <v>4.7315645440000011</v>
      </c>
      <c r="O519" s="398">
        <f t="shared" si="218"/>
        <v>4.7852516352000016</v>
      </c>
      <c r="P519" s="398">
        <f t="shared" si="218"/>
        <v>4.8282013081600015</v>
      </c>
      <c r="Q519" s="398">
        <f t="shared" si="218"/>
        <v>4.8625610465280014</v>
      </c>
      <c r="R519" s="398">
        <f t="shared" si="218"/>
        <v>4.8900488372224018</v>
      </c>
      <c r="S519" s="398">
        <f t="shared" si="218"/>
        <v>4.9120390697779222</v>
      </c>
      <c r="T519" s="398">
        <f t="shared" si="218"/>
        <v>4.9296312558223381</v>
      </c>
      <c r="U519" s="398">
        <f t="shared" si="218"/>
        <v>4.9437050046578701</v>
      </c>
      <c r="V519" s="398">
        <f t="shared" si="218"/>
        <v>4.9549640037262961</v>
      </c>
      <c r="W519" s="398">
        <f t="shared" si="218"/>
        <v>4.9639712029810372</v>
      </c>
      <c r="X519" s="398">
        <f t="shared" si="218"/>
        <v>4.9711769623848294</v>
      </c>
      <c r="Y519" s="398">
        <f t="shared" si="218"/>
        <v>4.9769415699078632</v>
      </c>
      <c r="Z519" s="398">
        <f t="shared" si="218"/>
        <v>4.9815532559262907</v>
      </c>
      <c r="AA519" s="398">
        <f t="shared" si="218"/>
        <v>4.9852426047410328</v>
      </c>
      <c r="AB519" s="398">
        <f t="shared" si="218"/>
        <v>4.9881940837928269</v>
      </c>
      <c r="AC519" s="398">
        <f t="shared" si="218"/>
        <v>4.9905552670342619</v>
      </c>
      <c r="AD519" s="398">
        <f t="shared" si="218"/>
        <v>4.9924442136274099</v>
      </c>
      <c r="AE519" s="398">
        <f t="shared" si="218"/>
        <v>4.9939553709019275</v>
      </c>
      <c r="AF519" s="398">
        <f t="shared" si="218"/>
        <v>4.9951642967215424</v>
      </c>
      <c r="AG519" s="398">
        <f t="shared" si="218"/>
        <v>4.9961314373772341</v>
      </c>
      <c r="AH519" s="398">
        <f t="shared" si="218"/>
        <v>4.9969051499017869</v>
      </c>
      <c r="AI519" s="398">
        <f t="shared" si="218"/>
        <v>4.9975241199214295</v>
      </c>
      <c r="AJ519" s="398">
        <f t="shared" si="218"/>
        <v>4.9980192959371443</v>
      </c>
      <c r="AK519" s="398">
        <f t="shared" si="218"/>
        <v>4.9984154367497151</v>
      </c>
      <c r="AL519" s="398">
        <f t="shared" si="218"/>
        <v>4.9987323493997717</v>
      </c>
      <c r="AM519" s="398">
        <f t="shared" si="218"/>
        <v>4.9989858795198181</v>
      </c>
      <c r="AN519" s="398">
        <f t="shared" si="218"/>
        <v>4.9991887036158547</v>
      </c>
      <c r="AP519" s="21"/>
    </row>
    <row r="520" spans="2:42" x14ac:dyDescent="0.25">
      <c r="C520" s="21" t="s">
        <v>455</v>
      </c>
      <c r="D520" s="34" t="s">
        <v>162</v>
      </c>
      <c r="E520" s="398">
        <v>2</v>
      </c>
      <c r="F520" s="398">
        <f t="shared" ref="F520:AN520" si="219">E520*(1-F$508)+1</f>
        <v>2.6</v>
      </c>
      <c r="G520" s="398">
        <f t="shared" si="219"/>
        <v>3.08</v>
      </c>
      <c r="H520" s="398">
        <f t="shared" si="219"/>
        <v>3.4640000000000004</v>
      </c>
      <c r="I520" s="398">
        <f t="shared" si="219"/>
        <v>3.7712000000000003</v>
      </c>
      <c r="J520" s="398">
        <f t="shared" si="219"/>
        <v>4.016960000000001</v>
      </c>
      <c r="K520" s="398">
        <f t="shared" si="219"/>
        <v>4.2135680000000004</v>
      </c>
      <c r="L520" s="398">
        <f t="shared" si="219"/>
        <v>4.3708544000000007</v>
      </c>
      <c r="M520" s="398">
        <f t="shared" si="219"/>
        <v>4.4966835200000013</v>
      </c>
      <c r="N520" s="398">
        <f t="shared" si="219"/>
        <v>4.5973468160000017</v>
      </c>
      <c r="O520" s="398">
        <f t="shared" si="219"/>
        <v>4.6778774528000016</v>
      </c>
      <c r="P520" s="398">
        <f t="shared" si="219"/>
        <v>4.7423019622400009</v>
      </c>
      <c r="Q520" s="398">
        <f t="shared" si="219"/>
        <v>4.7938415697920007</v>
      </c>
      <c r="R520" s="398">
        <f t="shared" si="219"/>
        <v>4.8350732558336009</v>
      </c>
      <c r="S520" s="398">
        <f t="shared" si="219"/>
        <v>4.8680586046668815</v>
      </c>
      <c r="T520" s="398">
        <f t="shared" si="219"/>
        <v>4.8944468837335053</v>
      </c>
      <c r="U520" s="398">
        <f t="shared" si="219"/>
        <v>4.9155575069868043</v>
      </c>
      <c r="V520" s="398">
        <f t="shared" si="219"/>
        <v>4.9324460055894441</v>
      </c>
      <c r="W520" s="398">
        <f t="shared" si="219"/>
        <v>4.9459568044715549</v>
      </c>
      <c r="X520" s="398">
        <f t="shared" si="219"/>
        <v>4.9567654435772441</v>
      </c>
      <c r="Y520" s="398">
        <f t="shared" si="219"/>
        <v>4.9654123548617957</v>
      </c>
      <c r="Z520" s="398">
        <f t="shared" si="219"/>
        <v>4.9723298838894365</v>
      </c>
      <c r="AA520" s="398">
        <f t="shared" si="219"/>
        <v>4.9778639071115496</v>
      </c>
      <c r="AB520" s="398">
        <f t="shared" si="219"/>
        <v>4.9822911256892404</v>
      </c>
      <c r="AC520" s="398">
        <f t="shared" si="219"/>
        <v>4.9858329005513919</v>
      </c>
      <c r="AD520" s="398">
        <f t="shared" si="219"/>
        <v>4.9886663204411139</v>
      </c>
      <c r="AE520" s="398">
        <f t="shared" si="219"/>
        <v>4.9909330563528913</v>
      </c>
      <c r="AF520" s="398">
        <f t="shared" si="219"/>
        <v>4.9927464450823127</v>
      </c>
      <c r="AG520" s="398">
        <f t="shared" si="219"/>
        <v>4.9941971560658498</v>
      </c>
      <c r="AH520" s="398">
        <f t="shared" si="219"/>
        <v>4.9953577248526795</v>
      </c>
      <c r="AI520" s="398">
        <f t="shared" si="219"/>
        <v>4.9962861798821443</v>
      </c>
      <c r="AJ520" s="398">
        <f t="shared" si="219"/>
        <v>4.9970289439057156</v>
      </c>
      <c r="AK520" s="398">
        <f t="shared" si="219"/>
        <v>4.9976231551245727</v>
      </c>
      <c r="AL520" s="398">
        <f t="shared" si="219"/>
        <v>4.9980985240996585</v>
      </c>
      <c r="AM520" s="398">
        <f t="shared" si="219"/>
        <v>4.9984788192797271</v>
      </c>
      <c r="AN520" s="398">
        <f t="shared" si="219"/>
        <v>4.9987830554237824</v>
      </c>
      <c r="AP520" s="21"/>
    </row>
    <row r="521" spans="2:42" x14ac:dyDescent="0.25">
      <c r="C521" s="21" t="s">
        <v>393</v>
      </c>
      <c r="D521" s="34" t="s">
        <v>162</v>
      </c>
      <c r="E521" s="398">
        <v>1</v>
      </c>
      <c r="F521" s="398">
        <f t="shared" ref="F521:AN521" si="220">E521*(1-F$508)+1</f>
        <v>1.8</v>
      </c>
      <c r="G521" s="398">
        <f t="shared" si="220"/>
        <v>2.4400000000000004</v>
      </c>
      <c r="H521" s="398">
        <f t="shared" si="220"/>
        <v>2.9520000000000004</v>
      </c>
      <c r="I521" s="398">
        <f t="shared" si="220"/>
        <v>3.3616000000000006</v>
      </c>
      <c r="J521" s="398">
        <f t="shared" si="220"/>
        <v>3.6892800000000006</v>
      </c>
      <c r="K521" s="398">
        <f t="shared" si="220"/>
        <v>3.9514240000000007</v>
      </c>
      <c r="L521" s="398">
        <f t="shared" si="220"/>
        <v>4.1611392000000009</v>
      </c>
      <c r="M521" s="398">
        <f t="shared" si="220"/>
        <v>4.3289113600000011</v>
      </c>
      <c r="N521" s="398">
        <f t="shared" si="220"/>
        <v>4.4631290880000005</v>
      </c>
      <c r="O521" s="398">
        <f t="shared" si="220"/>
        <v>4.5705032704000006</v>
      </c>
      <c r="P521" s="398">
        <f t="shared" si="220"/>
        <v>4.6564026163200012</v>
      </c>
      <c r="Q521" s="398">
        <f t="shared" si="220"/>
        <v>4.7251220930560009</v>
      </c>
      <c r="R521" s="398">
        <f t="shared" si="220"/>
        <v>4.7800976744448009</v>
      </c>
      <c r="S521" s="398">
        <f t="shared" si="220"/>
        <v>4.8240781395558407</v>
      </c>
      <c r="T521" s="398">
        <f t="shared" si="220"/>
        <v>4.8592625116446726</v>
      </c>
      <c r="U521" s="398">
        <f t="shared" si="220"/>
        <v>4.8874100093157384</v>
      </c>
      <c r="V521" s="398">
        <f t="shared" si="220"/>
        <v>4.9099280074525904</v>
      </c>
      <c r="W521" s="398">
        <f t="shared" si="220"/>
        <v>4.9279424059620727</v>
      </c>
      <c r="X521" s="398">
        <f t="shared" si="220"/>
        <v>4.9423539247696588</v>
      </c>
      <c r="Y521" s="398">
        <f t="shared" si="220"/>
        <v>4.9538831398157273</v>
      </c>
      <c r="Z521" s="398">
        <f t="shared" si="220"/>
        <v>4.9631065118525814</v>
      </c>
      <c r="AA521" s="398">
        <f t="shared" si="220"/>
        <v>4.9704852094820655</v>
      </c>
      <c r="AB521" s="398">
        <f t="shared" si="220"/>
        <v>4.9763881675856521</v>
      </c>
      <c r="AC521" s="398">
        <f t="shared" si="220"/>
        <v>4.981110534068522</v>
      </c>
      <c r="AD521" s="398">
        <f t="shared" si="220"/>
        <v>4.984888427254818</v>
      </c>
      <c r="AE521" s="398">
        <f t="shared" si="220"/>
        <v>4.9879107418038551</v>
      </c>
      <c r="AF521" s="398">
        <f t="shared" si="220"/>
        <v>4.9903285934430848</v>
      </c>
      <c r="AG521" s="398">
        <f t="shared" si="220"/>
        <v>4.9922628747544682</v>
      </c>
      <c r="AH521" s="398">
        <f t="shared" si="220"/>
        <v>4.9938102998035747</v>
      </c>
      <c r="AI521" s="398">
        <f t="shared" si="220"/>
        <v>4.9950482398428599</v>
      </c>
      <c r="AJ521" s="398">
        <f t="shared" si="220"/>
        <v>4.9960385918742887</v>
      </c>
      <c r="AK521" s="398">
        <f t="shared" si="220"/>
        <v>4.9968308734994311</v>
      </c>
      <c r="AL521" s="398">
        <f t="shared" si="220"/>
        <v>4.9974646987995452</v>
      </c>
      <c r="AM521" s="398">
        <f t="shared" si="220"/>
        <v>4.9979717590396362</v>
      </c>
      <c r="AN521" s="398">
        <f t="shared" si="220"/>
        <v>4.9983774072317093</v>
      </c>
      <c r="AP521" s="21"/>
    </row>
    <row r="522" spans="2:42" x14ac:dyDescent="0.25">
      <c r="C522" s="22" t="s">
        <v>456</v>
      </c>
      <c r="D522" s="34" t="s">
        <v>162</v>
      </c>
      <c r="E522" s="399">
        <v>0</v>
      </c>
      <c r="F522" s="399">
        <f t="shared" ref="F522:AN522" si="221">E522*(1-F$508)+1</f>
        <v>1</v>
      </c>
      <c r="G522" s="399">
        <f t="shared" si="221"/>
        <v>1.8</v>
      </c>
      <c r="H522" s="399">
        <f t="shared" si="221"/>
        <v>2.4400000000000004</v>
      </c>
      <c r="I522" s="399">
        <f t="shared" si="221"/>
        <v>2.9520000000000004</v>
      </c>
      <c r="J522" s="399">
        <f t="shared" si="221"/>
        <v>3.3616000000000006</v>
      </c>
      <c r="K522" s="399">
        <f t="shared" si="221"/>
        <v>3.6892800000000006</v>
      </c>
      <c r="L522" s="399">
        <f t="shared" si="221"/>
        <v>3.9514240000000007</v>
      </c>
      <c r="M522" s="399">
        <f t="shared" si="221"/>
        <v>4.1611392000000009</v>
      </c>
      <c r="N522" s="399">
        <f t="shared" si="221"/>
        <v>4.3289113600000011</v>
      </c>
      <c r="O522" s="399">
        <f t="shared" si="221"/>
        <v>4.4631290880000005</v>
      </c>
      <c r="P522" s="399">
        <f t="shared" si="221"/>
        <v>4.5705032704000006</v>
      </c>
      <c r="Q522" s="399">
        <f t="shared" si="221"/>
        <v>4.6564026163200012</v>
      </c>
      <c r="R522" s="399">
        <f t="shared" si="221"/>
        <v>4.7251220930560009</v>
      </c>
      <c r="S522" s="399">
        <f t="shared" si="221"/>
        <v>4.7800976744448009</v>
      </c>
      <c r="T522" s="399">
        <f t="shared" si="221"/>
        <v>4.8240781395558407</v>
      </c>
      <c r="U522" s="399">
        <f t="shared" si="221"/>
        <v>4.8592625116446726</v>
      </c>
      <c r="V522" s="399">
        <f t="shared" si="221"/>
        <v>4.8874100093157384</v>
      </c>
      <c r="W522" s="399">
        <f t="shared" si="221"/>
        <v>4.9099280074525904</v>
      </c>
      <c r="X522" s="399">
        <f t="shared" si="221"/>
        <v>4.9279424059620727</v>
      </c>
      <c r="Y522" s="399">
        <f t="shared" si="221"/>
        <v>4.9423539247696588</v>
      </c>
      <c r="Z522" s="399">
        <f t="shared" si="221"/>
        <v>4.9538831398157273</v>
      </c>
      <c r="AA522" s="399">
        <f t="shared" si="221"/>
        <v>4.9631065118525814</v>
      </c>
      <c r="AB522" s="399">
        <f t="shared" si="221"/>
        <v>4.9704852094820655</v>
      </c>
      <c r="AC522" s="399">
        <f t="shared" si="221"/>
        <v>4.9763881675856521</v>
      </c>
      <c r="AD522" s="399">
        <f t="shared" si="221"/>
        <v>4.981110534068522</v>
      </c>
      <c r="AE522" s="399">
        <f t="shared" si="221"/>
        <v>4.984888427254818</v>
      </c>
      <c r="AF522" s="399">
        <f t="shared" si="221"/>
        <v>4.9879107418038551</v>
      </c>
      <c r="AG522" s="399">
        <f t="shared" si="221"/>
        <v>4.9903285934430848</v>
      </c>
      <c r="AH522" s="399">
        <f t="shared" si="221"/>
        <v>4.9922628747544682</v>
      </c>
      <c r="AI522" s="399">
        <f t="shared" si="221"/>
        <v>4.9938102998035747</v>
      </c>
      <c r="AJ522" s="399">
        <f t="shared" si="221"/>
        <v>4.9950482398428599</v>
      </c>
      <c r="AK522" s="399">
        <f t="shared" si="221"/>
        <v>4.9960385918742887</v>
      </c>
      <c r="AL522" s="399">
        <f t="shared" si="221"/>
        <v>4.9968308734994311</v>
      </c>
      <c r="AM522" s="399">
        <f t="shared" si="221"/>
        <v>4.9974646987995452</v>
      </c>
      <c r="AN522" s="399">
        <f t="shared" si="221"/>
        <v>4.9979717590396362</v>
      </c>
      <c r="AP522" s="26"/>
    </row>
    <row r="523" spans="2:42" x14ac:dyDescent="0.25">
      <c r="B523" s="99" t="s">
        <v>9</v>
      </c>
      <c r="C523" s="311" t="s">
        <v>628</v>
      </c>
      <c r="D523" s="318"/>
      <c r="E523" s="402"/>
      <c r="F523" s="402"/>
      <c r="G523" s="402"/>
      <c r="H523" s="402"/>
      <c r="I523" s="402"/>
      <c r="J523" s="402"/>
      <c r="K523" s="402"/>
      <c r="L523" s="402"/>
      <c r="M523" s="402"/>
      <c r="N523" s="402"/>
      <c r="O523" s="402"/>
      <c r="P523" s="402"/>
      <c r="Q523" s="402"/>
      <c r="R523" s="402"/>
      <c r="S523" s="402"/>
      <c r="T523" s="402"/>
      <c r="U523" s="402"/>
      <c r="V523" s="402"/>
      <c r="W523" s="402"/>
      <c r="X523" s="402"/>
      <c r="Y523" s="402"/>
      <c r="Z523" s="402"/>
      <c r="AA523" s="402"/>
      <c r="AB523" s="402"/>
      <c r="AC523" s="402"/>
      <c r="AD523" s="402"/>
      <c r="AE523" s="402"/>
      <c r="AF523" s="402"/>
      <c r="AG523" s="402"/>
      <c r="AH523" s="402"/>
      <c r="AI523" s="402"/>
      <c r="AJ523" s="402"/>
      <c r="AK523" s="402"/>
      <c r="AL523" s="402"/>
      <c r="AM523" s="402"/>
      <c r="AN523" s="402"/>
      <c r="AO523" s="74"/>
      <c r="AP523" s="311"/>
    </row>
    <row r="524" spans="2:42" x14ac:dyDescent="0.25">
      <c r="C524" s="20" t="s">
        <v>600</v>
      </c>
      <c r="D524" s="34" t="s">
        <v>162</v>
      </c>
      <c r="E524" s="397">
        <v>5</v>
      </c>
      <c r="F524" s="397">
        <f>E524*(1-F$508)+1</f>
        <v>5</v>
      </c>
      <c r="G524" s="397">
        <f t="shared" ref="G524:AN524" si="222">F524*(1-G$508)+1</f>
        <v>5</v>
      </c>
      <c r="H524" s="397">
        <f t="shared" si="222"/>
        <v>5</v>
      </c>
      <c r="I524" s="397">
        <f t="shared" si="222"/>
        <v>5</v>
      </c>
      <c r="J524" s="397">
        <f t="shared" si="222"/>
        <v>5</v>
      </c>
      <c r="K524" s="397">
        <f t="shared" si="222"/>
        <v>5</v>
      </c>
      <c r="L524" s="397">
        <f t="shared" si="222"/>
        <v>5</v>
      </c>
      <c r="M524" s="397">
        <f t="shared" si="222"/>
        <v>5</v>
      </c>
      <c r="N524" s="397">
        <f t="shared" si="222"/>
        <v>5</v>
      </c>
      <c r="O524" s="397">
        <f t="shared" si="222"/>
        <v>5</v>
      </c>
      <c r="P524" s="397">
        <f t="shared" si="222"/>
        <v>5</v>
      </c>
      <c r="Q524" s="397">
        <f t="shared" si="222"/>
        <v>5</v>
      </c>
      <c r="R524" s="397">
        <f t="shared" si="222"/>
        <v>5</v>
      </c>
      <c r="S524" s="397">
        <f t="shared" si="222"/>
        <v>5</v>
      </c>
      <c r="T524" s="397">
        <f t="shared" si="222"/>
        <v>5</v>
      </c>
      <c r="U524" s="397">
        <f t="shared" si="222"/>
        <v>5</v>
      </c>
      <c r="V524" s="397">
        <f t="shared" si="222"/>
        <v>5</v>
      </c>
      <c r="W524" s="397">
        <f t="shared" si="222"/>
        <v>5</v>
      </c>
      <c r="X524" s="397">
        <f t="shared" si="222"/>
        <v>5</v>
      </c>
      <c r="Y524" s="397">
        <f t="shared" si="222"/>
        <v>5</v>
      </c>
      <c r="Z524" s="397">
        <f t="shared" si="222"/>
        <v>5</v>
      </c>
      <c r="AA524" s="397">
        <f t="shared" si="222"/>
        <v>5</v>
      </c>
      <c r="AB524" s="397">
        <f t="shared" si="222"/>
        <v>5</v>
      </c>
      <c r="AC524" s="397">
        <f t="shared" si="222"/>
        <v>5</v>
      </c>
      <c r="AD524" s="397">
        <f t="shared" si="222"/>
        <v>5</v>
      </c>
      <c r="AE524" s="397">
        <f t="shared" si="222"/>
        <v>5</v>
      </c>
      <c r="AF524" s="397">
        <f t="shared" si="222"/>
        <v>5</v>
      </c>
      <c r="AG524" s="397">
        <f t="shared" si="222"/>
        <v>5</v>
      </c>
      <c r="AH524" s="397">
        <f t="shared" si="222"/>
        <v>5</v>
      </c>
      <c r="AI524" s="397">
        <f t="shared" si="222"/>
        <v>5</v>
      </c>
      <c r="AJ524" s="397">
        <f t="shared" si="222"/>
        <v>5</v>
      </c>
      <c r="AK524" s="397">
        <f t="shared" si="222"/>
        <v>5</v>
      </c>
      <c r="AL524" s="397">
        <f t="shared" si="222"/>
        <v>5</v>
      </c>
      <c r="AM524" s="397">
        <f t="shared" si="222"/>
        <v>5</v>
      </c>
      <c r="AN524" s="397">
        <f t="shared" si="222"/>
        <v>5</v>
      </c>
      <c r="AP524" s="20"/>
    </row>
    <row r="525" spans="2:42" x14ac:dyDescent="0.25">
      <c r="C525" s="20" t="s">
        <v>392</v>
      </c>
      <c r="D525" s="34" t="s">
        <v>162</v>
      </c>
      <c r="E525" s="398">
        <v>4</v>
      </c>
      <c r="F525" s="398">
        <f t="shared" ref="F525:AN525" si="223">E525*(1-F$508)+1</f>
        <v>4.2</v>
      </c>
      <c r="G525" s="398">
        <f t="shared" si="223"/>
        <v>4.3600000000000003</v>
      </c>
      <c r="H525" s="398">
        <f t="shared" si="223"/>
        <v>4.4880000000000004</v>
      </c>
      <c r="I525" s="398">
        <f t="shared" si="223"/>
        <v>4.5904000000000007</v>
      </c>
      <c r="J525" s="398">
        <f t="shared" si="223"/>
        <v>4.6723200000000009</v>
      </c>
      <c r="K525" s="398">
        <f t="shared" si="223"/>
        <v>4.7378560000000007</v>
      </c>
      <c r="L525" s="398">
        <f t="shared" si="223"/>
        <v>4.7902848000000002</v>
      </c>
      <c r="M525" s="398">
        <f t="shared" si="223"/>
        <v>4.8322278399999998</v>
      </c>
      <c r="N525" s="398">
        <f t="shared" si="223"/>
        <v>4.8657822720000006</v>
      </c>
      <c r="O525" s="398">
        <f t="shared" si="223"/>
        <v>4.8926258176000008</v>
      </c>
      <c r="P525" s="398">
        <f t="shared" si="223"/>
        <v>4.9141006540800003</v>
      </c>
      <c r="Q525" s="398">
        <f t="shared" si="223"/>
        <v>4.9312805232640002</v>
      </c>
      <c r="R525" s="398">
        <f t="shared" si="223"/>
        <v>4.9450244186112009</v>
      </c>
      <c r="S525" s="398">
        <f t="shared" si="223"/>
        <v>4.9560195348889611</v>
      </c>
      <c r="T525" s="398">
        <f t="shared" si="223"/>
        <v>4.964815627911169</v>
      </c>
      <c r="U525" s="398">
        <f t="shared" si="223"/>
        <v>4.9718525023289359</v>
      </c>
      <c r="V525" s="398">
        <f t="shared" si="223"/>
        <v>4.9774820018631489</v>
      </c>
      <c r="W525" s="398">
        <f t="shared" si="223"/>
        <v>4.9819856014905195</v>
      </c>
      <c r="X525" s="398">
        <f t="shared" si="223"/>
        <v>4.9855884811924156</v>
      </c>
      <c r="Y525" s="398">
        <f t="shared" si="223"/>
        <v>4.9884707849539325</v>
      </c>
      <c r="Z525" s="398">
        <f t="shared" si="223"/>
        <v>4.9907766279631467</v>
      </c>
      <c r="AA525" s="398">
        <f t="shared" si="223"/>
        <v>4.9926213023705177</v>
      </c>
      <c r="AB525" s="398">
        <f t="shared" si="223"/>
        <v>4.9940970418964143</v>
      </c>
      <c r="AC525" s="398">
        <f t="shared" si="223"/>
        <v>4.9952776335171318</v>
      </c>
      <c r="AD525" s="398">
        <f t="shared" si="223"/>
        <v>4.9962221068137058</v>
      </c>
      <c r="AE525" s="398">
        <f t="shared" si="223"/>
        <v>4.9969776854509647</v>
      </c>
      <c r="AF525" s="398">
        <f t="shared" si="223"/>
        <v>4.9975821483607721</v>
      </c>
      <c r="AG525" s="398">
        <f t="shared" si="223"/>
        <v>4.9980657186886184</v>
      </c>
      <c r="AH525" s="398">
        <f t="shared" si="223"/>
        <v>4.9984525749508943</v>
      </c>
      <c r="AI525" s="398">
        <f t="shared" si="223"/>
        <v>4.9987620599607157</v>
      </c>
      <c r="AJ525" s="398">
        <f t="shared" si="223"/>
        <v>4.9990096479685722</v>
      </c>
      <c r="AK525" s="398">
        <f t="shared" si="223"/>
        <v>4.9992077183748584</v>
      </c>
      <c r="AL525" s="398">
        <f t="shared" si="223"/>
        <v>4.9993661746998868</v>
      </c>
      <c r="AM525" s="398">
        <f t="shared" si="223"/>
        <v>4.999492939759909</v>
      </c>
      <c r="AN525" s="398">
        <f t="shared" si="223"/>
        <v>4.9995943518079269</v>
      </c>
      <c r="AP525" s="21"/>
    </row>
    <row r="526" spans="2:42" x14ac:dyDescent="0.25">
      <c r="C526" s="20" t="s">
        <v>454</v>
      </c>
      <c r="D526" s="34" t="s">
        <v>162</v>
      </c>
      <c r="E526" s="398">
        <v>3</v>
      </c>
      <c r="F526" s="398">
        <f t="shared" ref="F526:AN526" si="224">E526*(1-F$508)+1</f>
        <v>3.4000000000000004</v>
      </c>
      <c r="G526" s="398">
        <f t="shared" si="224"/>
        <v>3.7200000000000006</v>
      </c>
      <c r="H526" s="398">
        <f t="shared" si="224"/>
        <v>3.9760000000000009</v>
      </c>
      <c r="I526" s="398">
        <f t="shared" si="224"/>
        <v>4.1808000000000014</v>
      </c>
      <c r="J526" s="398">
        <f t="shared" si="224"/>
        <v>4.3446400000000018</v>
      </c>
      <c r="K526" s="398">
        <f t="shared" si="224"/>
        <v>4.4757120000000015</v>
      </c>
      <c r="L526" s="398">
        <f t="shared" si="224"/>
        <v>4.5805696000000014</v>
      </c>
      <c r="M526" s="398">
        <f t="shared" si="224"/>
        <v>4.6644556800000014</v>
      </c>
      <c r="N526" s="398">
        <f t="shared" si="224"/>
        <v>4.7315645440000011</v>
      </c>
      <c r="O526" s="398">
        <f t="shared" si="224"/>
        <v>4.7852516352000016</v>
      </c>
      <c r="P526" s="398">
        <f t="shared" si="224"/>
        <v>4.8282013081600015</v>
      </c>
      <c r="Q526" s="398">
        <f t="shared" si="224"/>
        <v>4.8625610465280014</v>
      </c>
      <c r="R526" s="398">
        <f t="shared" si="224"/>
        <v>4.8900488372224018</v>
      </c>
      <c r="S526" s="398">
        <f t="shared" si="224"/>
        <v>4.9120390697779222</v>
      </c>
      <c r="T526" s="398">
        <f t="shared" si="224"/>
        <v>4.9296312558223381</v>
      </c>
      <c r="U526" s="398">
        <f t="shared" si="224"/>
        <v>4.9437050046578701</v>
      </c>
      <c r="V526" s="398">
        <f t="shared" si="224"/>
        <v>4.9549640037262961</v>
      </c>
      <c r="W526" s="398">
        <f t="shared" si="224"/>
        <v>4.9639712029810372</v>
      </c>
      <c r="X526" s="398">
        <f t="shared" si="224"/>
        <v>4.9711769623848294</v>
      </c>
      <c r="Y526" s="398">
        <f t="shared" si="224"/>
        <v>4.9769415699078632</v>
      </c>
      <c r="Z526" s="398">
        <f t="shared" si="224"/>
        <v>4.9815532559262907</v>
      </c>
      <c r="AA526" s="398">
        <f t="shared" si="224"/>
        <v>4.9852426047410328</v>
      </c>
      <c r="AB526" s="398">
        <f t="shared" si="224"/>
        <v>4.9881940837928269</v>
      </c>
      <c r="AC526" s="398">
        <f t="shared" si="224"/>
        <v>4.9905552670342619</v>
      </c>
      <c r="AD526" s="398">
        <f t="shared" si="224"/>
        <v>4.9924442136274099</v>
      </c>
      <c r="AE526" s="398">
        <f t="shared" si="224"/>
        <v>4.9939553709019275</v>
      </c>
      <c r="AF526" s="398">
        <f t="shared" si="224"/>
        <v>4.9951642967215424</v>
      </c>
      <c r="AG526" s="398">
        <f t="shared" si="224"/>
        <v>4.9961314373772341</v>
      </c>
      <c r="AH526" s="398">
        <f t="shared" si="224"/>
        <v>4.9969051499017869</v>
      </c>
      <c r="AI526" s="398">
        <f t="shared" si="224"/>
        <v>4.9975241199214295</v>
      </c>
      <c r="AJ526" s="398">
        <f t="shared" si="224"/>
        <v>4.9980192959371443</v>
      </c>
      <c r="AK526" s="398">
        <f t="shared" si="224"/>
        <v>4.9984154367497151</v>
      </c>
      <c r="AL526" s="398">
        <f t="shared" si="224"/>
        <v>4.9987323493997717</v>
      </c>
      <c r="AM526" s="398">
        <f t="shared" si="224"/>
        <v>4.9989858795198181</v>
      </c>
      <c r="AN526" s="398">
        <f t="shared" si="224"/>
        <v>4.9991887036158547</v>
      </c>
      <c r="AP526" s="21"/>
    </row>
    <row r="527" spans="2:42" x14ac:dyDescent="0.25">
      <c r="C527" s="21" t="s">
        <v>455</v>
      </c>
      <c r="D527" s="34" t="s">
        <v>162</v>
      </c>
      <c r="E527" s="398">
        <v>2</v>
      </c>
      <c r="F527" s="398">
        <f t="shared" ref="F527:AN527" si="225">E527*(1-F$508)+1</f>
        <v>2.6</v>
      </c>
      <c r="G527" s="398">
        <f t="shared" si="225"/>
        <v>3.08</v>
      </c>
      <c r="H527" s="398">
        <f t="shared" si="225"/>
        <v>3.4640000000000004</v>
      </c>
      <c r="I527" s="398">
        <f t="shared" si="225"/>
        <v>3.7712000000000003</v>
      </c>
      <c r="J527" s="398">
        <f t="shared" si="225"/>
        <v>4.016960000000001</v>
      </c>
      <c r="K527" s="398">
        <f t="shared" si="225"/>
        <v>4.2135680000000004</v>
      </c>
      <c r="L527" s="398">
        <f t="shared" si="225"/>
        <v>4.3708544000000007</v>
      </c>
      <c r="M527" s="398">
        <f t="shared" si="225"/>
        <v>4.4966835200000013</v>
      </c>
      <c r="N527" s="398">
        <f t="shared" si="225"/>
        <v>4.5973468160000017</v>
      </c>
      <c r="O527" s="398">
        <f t="shared" si="225"/>
        <v>4.6778774528000016</v>
      </c>
      <c r="P527" s="398">
        <f t="shared" si="225"/>
        <v>4.7423019622400009</v>
      </c>
      <c r="Q527" s="398">
        <f t="shared" si="225"/>
        <v>4.7938415697920007</v>
      </c>
      <c r="R527" s="398">
        <f t="shared" si="225"/>
        <v>4.8350732558336009</v>
      </c>
      <c r="S527" s="398">
        <f t="shared" si="225"/>
        <v>4.8680586046668815</v>
      </c>
      <c r="T527" s="398">
        <f t="shared" si="225"/>
        <v>4.8944468837335053</v>
      </c>
      <c r="U527" s="398">
        <f t="shared" si="225"/>
        <v>4.9155575069868043</v>
      </c>
      <c r="V527" s="398">
        <f t="shared" si="225"/>
        <v>4.9324460055894441</v>
      </c>
      <c r="W527" s="398">
        <f t="shared" si="225"/>
        <v>4.9459568044715549</v>
      </c>
      <c r="X527" s="398">
        <f t="shared" si="225"/>
        <v>4.9567654435772441</v>
      </c>
      <c r="Y527" s="398">
        <f t="shared" si="225"/>
        <v>4.9654123548617957</v>
      </c>
      <c r="Z527" s="398">
        <f t="shared" si="225"/>
        <v>4.9723298838894365</v>
      </c>
      <c r="AA527" s="398">
        <f t="shared" si="225"/>
        <v>4.9778639071115496</v>
      </c>
      <c r="AB527" s="398">
        <f t="shared" si="225"/>
        <v>4.9822911256892404</v>
      </c>
      <c r="AC527" s="398">
        <f t="shared" si="225"/>
        <v>4.9858329005513919</v>
      </c>
      <c r="AD527" s="398">
        <f t="shared" si="225"/>
        <v>4.9886663204411139</v>
      </c>
      <c r="AE527" s="398">
        <f t="shared" si="225"/>
        <v>4.9909330563528913</v>
      </c>
      <c r="AF527" s="398">
        <f t="shared" si="225"/>
        <v>4.9927464450823127</v>
      </c>
      <c r="AG527" s="398">
        <f t="shared" si="225"/>
        <v>4.9941971560658498</v>
      </c>
      <c r="AH527" s="398">
        <f t="shared" si="225"/>
        <v>4.9953577248526795</v>
      </c>
      <c r="AI527" s="398">
        <f t="shared" si="225"/>
        <v>4.9962861798821443</v>
      </c>
      <c r="AJ527" s="398">
        <f t="shared" si="225"/>
        <v>4.9970289439057156</v>
      </c>
      <c r="AK527" s="398">
        <f t="shared" si="225"/>
        <v>4.9976231551245727</v>
      </c>
      <c r="AL527" s="398">
        <f t="shared" si="225"/>
        <v>4.9980985240996585</v>
      </c>
      <c r="AM527" s="398">
        <f t="shared" si="225"/>
        <v>4.9984788192797271</v>
      </c>
      <c r="AN527" s="398">
        <f t="shared" si="225"/>
        <v>4.9987830554237824</v>
      </c>
      <c r="AP527" s="21"/>
    </row>
    <row r="528" spans="2:42" x14ac:dyDescent="0.25">
      <c r="C528" s="21" t="s">
        <v>393</v>
      </c>
      <c r="D528" s="34" t="s">
        <v>162</v>
      </c>
      <c r="E528" s="398">
        <v>1</v>
      </c>
      <c r="F528" s="398">
        <f t="shared" ref="F528:AN528" si="226">E528*(1-F$508)+1</f>
        <v>1.8</v>
      </c>
      <c r="G528" s="398">
        <f t="shared" si="226"/>
        <v>2.4400000000000004</v>
      </c>
      <c r="H528" s="398">
        <f t="shared" si="226"/>
        <v>2.9520000000000004</v>
      </c>
      <c r="I528" s="398">
        <f t="shared" si="226"/>
        <v>3.3616000000000006</v>
      </c>
      <c r="J528" s="398">
        <f t="shared" si="226"/>
        <v>3.6892800000000006</v>
      </c>
      <c r="K528" s="398">
        <f t="shared" si="226"/>
        <v>3.9514240000000007</v>
      </c>
      <c r="L528" s="398">
        <f t="shared" si="226"/>
        <v>4.1611392000000009</v>
      </c>
      <c r="M528" s="398">
        <f t="shared" si="226"/>
        <v>4.3289113600000011</v>
      </c>
      <c r="N528" s="398">
        <f t="shared" si="226"/>
        <v>4.4631290880000005</v>
      </c>
      <c r="O528" s="398">
        <f t="shared" si="226"/>
        <v>4.5705032704000006</v>
      </c>
      <c r="P528" s="398">
        <f t="shared" si="226"/>
        <v>4.6564026163200012</v>
      </c>
      <c r="Q528" s="398">
        <f t="shared" si="226"/>
        <v>4.7251220930560009</v>
      </c>
      <c r="R528" s="398">
        <f t="shared" si="226"/>
        <v>4.7800976744448009</v>
      </c>
      <c r="S528" s="398">
        <f t="shared" si="226"/>
        <v>4.8240781395558407</v>
      </c>
      <c r="T528" s="398">
        <f t="shared" si="226"/>
        <v>4.8592625116446726</v>
      </c>
      <c r="U528" s="398">
        <f t="shared" si="226"/>
        <v>4.8874100093157384</v>
      </c>
      <c r="V528" s="398">
        <f t="shared" si="226"/>
        <v>4.9099280074525904</v>
      </c>
      <c r="W528" s="398">
        <f t="shared" si="226"/>
        <v>4.9279424059620727</v>
      </c>
      <c r="X528" s="398">
        <f t="shared" si="226"/>
        <v>4.9423539247696588</v>
      </c>
      <c r="Y528" s="398">
        <f t="shared" si="226"/>
        <v>4.9538831398157273</v>
      </c>
      <c r="Z528" s="398">
        <f t="shared" si="226"/>
        <v>4.9631065118525814</v>
      </c>
      <c r="AA528" s="398">
        <f t="shared" si="226"/>
        <v>4.9704852094820655</v>
      </c>
      <c r="AB528" s="398">
        <f t="shared" si="226"/>
        <v>4.9763881675856521</v>
      </c>
      <c r="AC528" s="398">
        <f t="shared" si="226"/>
        <v>4.981110534068522</v>
      </c>
      <c r="AD528" s="398">
        <f t="shared" si="226"/>
        <v>4.984888427254818</v>
      </c>
      <c r="AE528" s="398">
        <f t="shared" si="226"/>
        <v>4.9879107418038551</v>
      </c>
      <c r="AF528" s="398">
        <f t="shared" si="226"/>
        <v>4.9903285934430848</v>
      </c>
      <c r="AG528" s="398">
        <f t="shared" si="226"/>
        <v>4.9922628747544682</v>
      </c>
      <c r="AH528" s="398">
        <f t="shared" si="226"/>
        <v>4.9938102998035747</v>
      </c>
      <c r="AI528" s="398">
        <f t="shared" si="226"/>
        <v>4.9950482398428599</v>
      </c>
      <c r="AJ528" s="398">
        <f t="shared" si="226"/>
        <v>4.9960385918742887</v>
      </c>
      <c r="AK528" s="398">
        <f t="shared" si="226"/>
        <v>4.9968308734994311</v>
      </c>
      <c r="AL528" s="398">
        <f t="shared" si="226"/>
        <v>4.9974646987995452</v>
      </c>
      <c r="AM528" s="398">
        <f t="shared" si="226"/>
        <v>4.9979717590396362</v>
      </c>
      <c r="AN528" s="398">
        <f t="shared" si="226"/>
        <v>4.9983774072317093</v>
      </c>
      <c r="AP528" s="21"/>
    </row>
    <row r="529" spans="2:42" x14ac:dyDescent="0.25">
      <c r="C529" s="22" t="s">
        <v>456</v>
      </c>
      <c r="D529" s="34" t="s">
        <v>162</v>
      </c>
      <c r="E529" s="399">
        <v>0</v>
      </c>
      <c r="F529" s="399">
        <f t="shared" ref="F529:AN529" si="227">E529*(1-F$508)+1</f>
        <v>1</v>
      </c>
      <c r="G529" s="399">
        <f t="shared" si="227"/>
        <v>1.8</v>
      </c>
      <c r="H529" s="399">
        <f t="shared" si="227"/>
        <v>2.4400000000000004</v>
      </c>
      <c r="I529" s="399">
        <f t="shared" si="227"/>
        <v>2.9520000000000004</v>
      </c>
      <c r="J529" s="399">
        <f t="shared" si="227"/>
        <v>3.3616000000000006</v>
      </c>
      <c r="K529" s="399">
        <f t="shared" si="227"/>
        <v>3.6892800000000006</v>
      </c>
      <c r="L529" s="399">
        <f t="shared" si="227"/>
        <v>3.9514240000000007</v>
      </c>
      <c r="M529" s="399">
        <f t="shared" si="227"/>
        <v>4.1611392000000009</v>
      </c>
      <c r="N529" s="399">
        <f t="shared" si="227"/>
        <v>4.3289113600000011</v>
      </c>
      <c r="O529" s="399">
        <f t="shared" si="227"/>
        <v>4.4631290880000005</v>
      </c>
      <c r="P529" s="399">
        <f t="shared" si="227"/>
        <v>4.5705032704000006</v>
      </c>
      <c r="Q529" s="399">
        <f t="shared" si="227"/>
        <v>4.6564026163200012</v>
      </c>
      <c r="R529" s="399">
        <f t="shared" si="227"/>
        <v>4.7251220930560009</v>
      </c>
      <c r="S529" s="399">
        <f t="shared" si="227"/>
        <v>4.7800976744448009</v>
      </c>
      <c r="T529" s="399">
        <f t="shared" si="227"/>
        <v>4.8240781395558407</v>
      </c>
      <c r="U529" s="399">
        <f t="shared" si="227"/>
        <v>4.8592625116446726</v>
      </c>
      <c r="V529" s="399">
        <f t="shared" si="227"/>
        <v>4.8874100093157384</v>
      </c>
      <c r="W529" s="399">
        <f t="shared" si="227"/>
        <v>4.9099280074525904</v>
      </c>
      <c r="X529" s="399">
        <f t="shared" si="227"/>
        <v>4.9279424059620727</v>
      </c>
      <c r="Y529" s="399">
        <f t="shared" si="227"/>
        <v>4.9423539247696588</v>
      </c>
      <c r="Z529" s="399">
        <f t="shared" si="227"/>
        <v>4.9538831398157273</v>
      </c>
      <c r="AA529" s="399">
        <f t="shared" si="227"/>
        <v>4.9631065118525814</v>
      </c>
      <c r="AB529" s="399">
        <f t="shared" si="227"/>
        <v>4.9704852094820655</v>
      </c>
      <c r="AC529" s="399">
        <f t="shared" si="227"/>
        <v>4.9763881675856521</v>
      </c>
      <c r="AD529" s="399">
        <f t="shared" si="227"/>
        <v>4.981110534068522</v>
      </c>
      <c r="AE529" s="399">
        <f t="shared" si="227"/>
        <v>4.984888427254818</v>
      </c>
      <c r="AF529" s="399">
        <f t="shared" si="227"/>
        <v>4.9879107418038551</v>
      </c>
      <c r="AG529" s="399">
        <f t="shared" si="227"/>
        <v>4.9903285934430848</v>
      </c>
      <c r="AH529" s="399">
        <f t="shared" si="227"/>
        <v>4.9922628747544682</v>
      </c>
      <c r="AI529" s="399">
        <f t="shared" si="227"/>
        <v>4.9938102998035747</v>
      </c>
      <c r="AJ529" s="399">
        <f t="shared" si="227"/>
        <v>4.9950482398428599</v>
      </c>
      <c r="AK529" s="399">
        <f t="shared" si="227"/>
        <v>4.9960385918742887</v>
      </c>
      <c r="AL529" s="399">
        <f t="shared" si="227"/>
        <v>4.9968308734994311</v>
      </c>
      <c r="AM529" s="399">
        <f t="shared" si="227"/>
        <v>4.9974646987995452</v>
      </c>
      <c r="AN529" s="399">
        <f t="shared" si="227"/>
        <v>4.9979717590396362</v>
      </c>
      <c r="AP529" s="26"/>
    </row>
    <row r="530" spans="2:42" x14ac:dyDescent="0.25">
      <c r="B530" s="99" t="s">
        <v>9</v>
      </c>
      <c r="C530" s="311" t="s">
        <v>629</v>
      </c>
      <c r="D530" s="318"/>
      <c r="E530" s="402"/>
      <c r="F530" s="402"/>
      <c r="G530" s="402"/>
      <c r="H530" s="402"/>
      <c r="I530" s="402"/>
      <c r="J530" s="402"/>
      <c r="K530" s="402"/>
      <c r="L530" s="402"/>
      <c r="M530" s="402"/>
      <c r="N530" s="402"/>
      <c r="O530" s="402"/>
      <c r="P530" s="402"/>
      <c r="Q530" s="402"/>
      <c r="R530" s="402"/>
      <c r="S530" s="402"/>
      <c r="T530" s="402"/>
      <c r="U530" s="402"/>
      <c r="V530" s="402"/>
      <c r="W530" s="402"/>
      <c r="X530" s="402"/>
      <c r="Y530" s="402"/>
      <c r="Z530" s="402"/>
      <c r="AA530" s="402"/>
      <c r="AB530" s="402"/>
      <c r="AC530" s="402"/>
      <c r="AD530" s="402"/>
      <c r="AE530" s="402"/>
      <c r="AF530" s="402"/>
      <c r="AG530" s="402"/>
      <c r="AH530" s="402"/>
      <c r="AI530" s="402"/>
      <c r="AJ530" s="402"/>
      <c r="AK530" s="402"/>
      <c r="AL530" s="402"/>
      <c r="AM530" s="402"/>
      <c r="AN530" s="402"/>
      <c r="AO530" s="74"/>
      <c r="AP530" s="311"/>
    </row>
    <row r="531" spans="2:42" x14ac:dyDescent="0.25">
      <c r="C531" s="20" t="s">
        <v>600</v>
      </c>
      <c r="D531" s="34" t="s">
        <v>162</v>
      </c>
      <c r="E531" s="397">
        <v>5</v>
      </c>
      <c r="F531" s="397">
        <f>E531*(1-F$508)+1</f>
        <v>5</v>
      </c>
      <c r="G531" s="397">
        <f t="shared" ref="G531:AN531" si="228">F531*(1-G$508)+1</f>
        <v>5</v>
      </c>
      <c r="H531" s="397">
        <f t="shared" si="228"/>
        <v>5</v>
      </c>
      <c r="I531" s="397">
        <f t="shared" si="228"/>
        <v>5</v>
      </c>
      <c r="J531" s="397">
        <f t="shared" si="228"/>
        <v>5</v>
      </c>
      <c r="K531" s="397">
        <f t="shared" si="228"/>
        <v>5</v>
      </c>
      <c r="L531" s="397">
        <f t="shared" si="228"/>
        <v>5</v>
      </c>
      <c r="M531" s="397">
        <f t="shared" si="228"/>
        <v>5</v>
      </c>
      <c r="N531" s="397">
        <f t="shared" si="228"/>
        <v>5</v>
      </c>
      <c r="O531" s="397">
        <f t="shared" si="228"/>
        <v>5</v>
      </c>
      <c r="P531" s="397">
        <f t="shared" si="228"/>
        <v>5</v>
      </c>
      <c r="Q531" s="397">
        <f t="shared" si="228"/>
        <v>5</v>
      </c>
      <c r="R531" s="397">
        <f t="shared" si="228"/>
        <v>5</v>
      </c>
      <c r="S531" s="397">
        <f t="shared" si="228"/>
        <v>5</v>
      </c>
      <c r="T531" s="397">
        <f t="shared" si="228"/>
        <v>5</v>
      </c>
      <c r="U531" s="397">
        <f t="shared" si="228"/>
        <v>5</v>
      </c>
      <c r="V531" s="397">
        <f t="shared" si="228"/>
        <v>5</v>
      </c>
      <c r="W531" s="397">
        <f t="shared" si="228"/>
        <v>5</v>
      </c>
      <c r="X531" s="397">
        <f t="shared" si="228"/>
        <v>5</v>
      </c>
      <c r="Y531" s="397">
        <f t="shared" si="228"/>
        <v>5</v>
      </c>
      <c r="Z531" s="397">
        <f t="shared" si="228"/>
        <v>5</v>
      </c>
      <c r="AA531" s="397">
        <f t="shared" si="228"/>
        <v>5</v>
      </c>
      <c r="AB531" s="397">
        <f t="shared" si="228"/>
        <v>5</v>
      </c>
      <c r="AC531" s="397">
        <f t="shared" si="228"/>
        <v>5</v>
      </c>
      <c r="AD531" s="397">
        <f t="shared" si="228"/>
        <v>5</v>
      </c>
      <c r="AE531" s="397">
        <f t="shared" si="228"/>
        <v>5</v>
      </c>
      <c r="AF531" s="397">
        <f t="shared" si="228"/>
        <v>5</v>
      </c>
      <c r="AG531" s="397">
        <f t="shared" si="228"/>
        <v>5</v>
      </c>
      <c r="AH531" s="397">
        <f t="shared" si="228"/>
        <v>5</v>
      </c>
      <c r="AI531" s="397">
        <f t="shared" si="228"/>
        <v>5</v>
      </c>
      <c r="AJ531" s="397">
        <f t="shared" si="228"/>
        <v>5</v>
      </c>
      <c r="AK531" s="397">
        <f t="shared" si="228"/>
        <v>5</v>
      </c>
      <c r="AL531" s="397">
        <f t="shared" si="228"/>
        <v>5</v>
      </c>
      <c r="AM531" s="397">
        <f t="shared" si="228"/>
        <v>5</v>
      </c>
      <c r="AN531" s="397">
        <f t="shared" si="228"/>
        <v>5</v>
      </c>
      <c r="AP531" s="20"/>
    </row>
    <row r="532" spans="2:42" x14ac:dyDescent="0.25">
      <c r="C532" s="20" t="s">
        <v>392</v>
      </c>
      <c r="D532" s="34" t="s">
        <v>162</v>
      </c>
      <c r="E532" s="398">
        <v>4</v>
      </c>
      <c r="F532" s="398">
        <f t="shared" ref="F532:AN532" si="229">E532*(1-F$508)+1</f>
        <v>4.2</v>
      </c>
      <c r="G532" s="398">
        <f t="shared" si="229"/>
        <v>4.3600000000000003</v>
      </c>
      <c r="H532" s="398">
        <f t="shared" si="229"/>
        <v>4.4880000000000004</v>
      </c>
      <c r="I532" s="398">
        <f t="shared" si="229"/>
        <v>4.5904000000000007</v>
      </c>
      <c r="J532" s="398">
        <f t="shared" si="229"/>
        <v>4.6723200000000009</v>
      </c>
      <c r="K532" s="398">
        <f t="shared" si="229"/>
        <v>4.7378560000000007</v>
      </c>
      <c r="L532" s="398">
        <f t="shared" si="229"/>
        <v>4.7902848000000002</v>
      </c>
      <c r="M532" s="398">
        <f t="shared" si="229"/>
        <v>4.8322278399999998</v>
      </c>
      <c r="N532" s="398">
        <f t="shared" si="229"/>
        <v>4.8657822720000006</v>
      </c>
      <c r="O532" s="398">
        <f t="shared" si="229"/>
        <v>4.8926258176000008</v>
      </c>
      <c r="P532" s="398">
        <f t="shared" si="229"/>
        <v>4.9141006540800003</v>
      </c>
      <c r="Q532" s="398">
        <f t="shared" si="229"/>
        <v>4.9312805232640002</v>
      </c>
      <c r="R532" s="398">
        <f t="shared" si="229"/>
        <v>4.9450244186112009</v>
      </c>
      <c r="S532" s="398">
        <f t="shared" si="229"/>
        <v>4.9560195348889611</v>
      </c>
      <c r="T532" s="398">
        <f t="shared" si="229"/>
        <v>4.964815627911169</v>
      </c>
      <c r="U532" s="398">
        <f t="shared" si="229"/>
        <v>4.9718525023289359</v>
      </c>
      <c r="V532" s="398">
        <f t="shared" si="229"/>
        <v>4.9774820018631489</v>
      </c>
      <c r="W532" s="398">
        <f t="shared" si="229"/>
        <v>4.9819856014905195</v>
      </c>
      <c r="X532" s="398">
        <f t="shared" si="229"/>
        <v>4.9855884811924156</v>
      </c>
      <c r="Y532" s="398">
        <f t="shared" si="229"/>
        <v>4.9884707849539325</v>
      </c>
      <c r="Z532" s="398">
        <f t="shared" si="229"/>
        <v>4.9907766279631467</v>
      </c>
      <c r="AA532" s="398">
        <f t="shared" si="229"/>
        <v>4.9926213023705177</v>
      </c>
      <c r="AB532" s="398">
        <f t="shared" si="229"/>
        <v>4.9940970418964143</v>
      </c>
      <c r="AC532" s="398">
        <f t="shared" si="229"/>
        <v>4.9952776335171318</v>
      </c>
      <c r="AD532" s="398">
        <f t="shared" si="229"/>
        <v>4.9962221068137058</v>
      </c>
      <c r="AE532" s="398">
        <f t="shared" si="229"/>
        <v>4.9969776854509647</v>
      </c>
      <c r="AF532" s="398">
        <f t="shared" si="229"/>
        <v>4.9975821483607721</v>
      </c>
      <c r="AG532" s="398">
        <f t="shared" si="229"/>
        <v>4.9980657186886184</v>
      </c>
      <c r="AH532" s="398">
        <f t="shared" si="229"/>
        <v>4.9984525749508943</v>
      </c>
      <c r="AI532" s="398">
        <f t="shared" si="229"/>
        <v>4.9987620599607157</v>
      </c>
      <c r="AJ532" s="398">
        <f t="shared" si="229"/>
        <v>4.9990096479685722</v>
      </c>
      <c r="AK532" s="398">
        <f t="shared" si="229"/>
        <v>4.9992077183748584</v>
      </c>
      <c r="AL532" s="398">
        <f t="shared" si="229"/>
        <v>4.9993661746998868</v>
      </c>
      <c r="AM532" s="398">
        <f t="shared" si="229"/>
        <v>4.999492939759909</v>
      </c>
      <c r="AN532" s="398">
        <f t="shared" si="229"/>
        <v>4.9995943518079269</v>
      </c>
      <c r="AP532" s="21"/>
    </row>
    <row r="533" spans="2:42" x14ac:dyDescent="0.25">
      <c r="C533" s="20" t="s">
        <v>454</v>
      </c>
      <c r="D533" s="34" t="s">
        <v>162</v>
      </c>
      <c r="E533" s="398">
        <v>3</v>
      </c>
      <c r="F533" s="398">
        <f t="shared" ref="F533:AN533" si="230">E533*(1-F$508)+1</f>
        <v>3.4000000000000004</v>
      </c>
      <c r="G533" s="398">
        <f t="shared" si="230"/>
        <v>3.7200000000000006</v>
      </c>
      <c r="H533" s="398">
        <f t="shared" si="230"/>
        <v>3.9760000000000009</v>
      </c>
      <c r="I533" s="398">
        <f t="shared" si="230"/>
        <v>4.1808000000000014</v>
      </c>
      <c r="J533" s="398">
        <f t="shared" si="230"/>
        <v>4.3446400000000018</v>
      </c>
      <c r="K533" s="398">
        <f t="shared" si="230"/>
        <v>4.4757120000000015</v>
      </c>
      <c r="L533" s="398">
        <f t="shared" si="230"/>
        <v>4.5805696000000014</v>
      </c>
      <c r="M533" s="398">
        <f t="shared" si="230"/>
        <v>4.6644556800000014</v>
      </c>
      <c r="N533" s="398">
        <f t="shared" si="230"/>
        <v>4.7315645440000011</v>
      </c>
      <c r="O533" s="398">
        <f t="shared" si="230"/>
        <v>4.7852516352000016</v>
      </c>
      <c r="P533" s="398">
        <f t="shared" si="230"/>
        <v>4.8282013081600015</v>
      </c>
      <c r="Q533" s="398">
        <f t="shared" si="230"/>
        <v>4.8625610465280014</v>
      </c>
      <c r="R533" s="398">
        <f t="shared" si="230"/>
        <v>4.8900488372224018</v>
      </c>
      <c r="S533" s="398">
        <f t="shared" si="230"/>
        <v>4.9120390697779222</v>
      </c>
      <c r="T533" s="398">
        <f t="shared" si="230"/>
        <v>4.9296312558223381</v>
      </c>
      <c r="U533" s="398">
        <f t="shared" si="230"/>
        <v>4.9437050046578701</v>
      </c>
      <c r="V533" s="398">
        <f t="shared" si="230"/>
        <v>4.9549640037262961</v>
      </c>
      <c r="W533" s="398">
        <f t="shared" si="230"/>
        <v>4.9639712029810372</v>
      </c>
      <c r="X533" s="398">
        <f t="shared" si="230"/>
        <v>4.9711769623848294</v>
      </c>
      <c r="Y533" s="398">
        <f t="shared" si="230"/>
        <v>4.9769415699078632</v>
      </c>
      <c r="Z533" s="398">
        <f t="shared" si="230"/>
        <v>4.9815532559262907</v>
      </c>
      <c r="AA533" s="398">
        <f t="shared" si="230"/>
        <v>4.9852426047410328</v>
      </c>
      <c r="AB533" s="398">
        <f t="shared" si="230"/>
        <v>4.9881940837928269</v>
      </c>
      <c r="AC533" s="398">
        <f t="shared" si="230"/>
        <v>4.9905552670342619</v>
      </c>
      <c r="AD533" s="398">
        <f t="shared" si="230"/>
        <v>4.9924442136274099</v>
      </c>
      <c r="AE533" s="398">
        <f t="shared" si="230"/>
        <v>4.9939553709019275</v>
      </c>
      <c r="AF533" s="398">
        <f t="shared" si="230"/>
        <v>4.9951642967215424</v>
      </c>
      <c r="AG533" s="398">
        <f t="shared" si="230"/>
        <v>4.9961314373772341</v>
      </c>
      <c r="AH533" s="398">
        <f t="shared" si="230"/>
        <v>4.9969051499017869</v>
      </c>
      <c r="AI533" s="398">
        <f t="shared" si="230"/>
        <v>4.9975241199214295</v>
      </c>
      <c r="AJ533" s="398">
        <f t="shared" si="230"/>
        <v>4.9980192959371443</v>
      </c>
      <c r="AK533" s="398">
        <f t="shared" si="230"/>
        <v>4.9984154367497151</v>
      </c>
      <c r="AL533" s="398">
        <f t="shared" si="230"/>
        <v>4.9987323493997717</v>
      </c>
      <c r="AM533" s="398">
        <f t="shared" si="230"/>
        <v>4.9989858795198181</v>
      </c>
      <c r="AN533" s="398">
        <f t="shared" si="230"/>
        <v>4.9991887036158547</v>
      </c>
      <c r="AP533" s="21"/>
    </row>
    <row r="534" spans="2:42" x14ac:dyDescent="0.25">
      <c r="C534" s="21" t="s">
        <v>455</v>
      </c>
      <c r="D534" s="34" t="s">
        <v>162</v>
      </c>
      <c r="E534" s="398">
        <v>2</v>
      </c>
      <c r="F534" s="398">
        <f t="shared" ref="F534:AN534" si="231">E534*(1-F$508)+1</f>
        <v>2.6</v>
      </c>
      <c r="G534" s="398">
        <f t="shared" si="231"/>
        <v>3.08</v>
      </c>
      <c r="H534" s="398">
        <f t="shared" si="231"/>
        <v>3.4640000000000004</v>
      </c>
      <c r="I534" s="398">
        <f t="shared" si="231"/>
        <v>3.7712000000000003</v>
      </c>
      <c r="J534" s="398">
        <f t="shared" si="231"/>
        <v>4.016960000000001</v>
      </c>
      <c r="K534" s="398">
        <f t="shared" si="231"/>
        <v>4.2135680000000004</v>
      </c>
      <c r="L534" s="398">
        <f t="shared" si="231"/>
        <v>4.3708544000000007</v>
      </c>
      <c r="M534" s="398">
        <f t="shared" si="231"/>
        <v>4.4966835200000013</v>
      </c>
      <c r="N534" s="398">
        <f t="shared" si="231"/>
        <v>4.5973468160000017</v>
      </c>
      <c r="O534" s="398">
        <f t="shared" si="231"/>
        <v>4.6778774528000016</v>
      </c>
      <c r="P534" s="398">
        <f t="shared" si="231"/>
        <v>4.7423019622400009</v>
      </c>
      <c r="Q534" s="398">
        <f t="shared" si="231"/>
        <v>4.7938415697920007</v>
      </c>
      <c r="R534" s="398">
        <f t="shared" si="231"/>
        <v>4.8350732558336009</v>
      </c>
      <c r="S534" s="398">
        <f t="shared" si="231"/>
        <v>4.8680586046668815</v>
      </c>
      <c r="T534" s="398">
        <f t="shared" si="231"/>
        <v>4.8944468837335053</v>
      </c>
      <c r="U534" s="398">
        <f t="shared" si="231"/>
        <v>4.9155575069868043</v>
      </c>
      <c r="V534" s="398">
        <f t="shared" si="231"/>
        <v>4.9324460055894441</v>
      </c>
      <c r="W534" s="398">
        <f t="shared" si="231"/>
        <v>4.9459568044715549</v>
      </c>
      <c r="X534" s="398">
        <f t="shared" si="231"/>
        <v>4.9567654435772441</v>
      </c>
      <c r="Y534" s="398">
        <f t="shared" si="231"/>
        <v>4.9654123548617957</v>
      </c>
      <c r="Z534" s="398">
        <f t="shared" si="231"/>
        <v>4.9723298838894365</v>
      </c>
      <c r="AA534" s="398">
        <f t="shared" si="231"/>
        <v>4.9778639071115496</v>
      </c>
      <c r="AB534" s="398">
        <f t="shared" si="231"/>
        <v>4.9822911256892404</v>
      </c>
      <c r="AC534" s="398">
        <f t="shared" si="231"/>
        <v>4.9858329005513919</v>
      </c>
      <c r="AD534" s="398">
        <f t="shared" si="231"/>
        <v>4.9886663204411139</v>
      </c>
      <c r="AE534" s="398">
        <f t="shared" si="231"/>
        <v>4.9909330563528913</v>
      </c>
      <c r="AF534" s="398">
        <f t="shared" si="231"/>
        <v>4.9927464450823127</v>
      </c>
      <c r="AG534" s="398">
        <f t="shared" si="231"/>
        <v>4.9941971560658498</v>
      </c>
      <c r="AH534" s="398">
        <f t="shared" si="231"/>
        <v>4.9953577248526795</v>
      </c>
      <c r="AI534" s="398">
        <f t="shared" si="231"/>
        <v>4.9962861798821443</v>
      </c>
      <c r="AJ534" s="398">
        <f t="shared" si="231"/>
        <v>4.9970289439057156</v>
      </c>
      <c r="AK534" s="398">
        <f t="shared" si="231"/>
        <v>4.9976231551245727</v>
      </c>
      <c r="AL534" s="398">
        <f t="shared" si="231"/>
        <v>4.9980985240996585</v>
      </c>
      <c r="AM534" s="398">
        <f t="shared" si="231"/>
        <v>4.9984788192797271</v>
      </c>
      <c r="AN534" s="398">
        <f t="shared" si="231"/>
        <v>4.9987830554237824</v>
      </c>
      <c r="AP534" s="21"/>
    </row>
    <row r="535" spans="2:42" x14ac:dyDescent="0.25">
      <c r="C535" s="21" t="s">
        <v>393</v>
      </c>
      <c r="D535" s="34" t="s">
        <v>162</v>
      </c>
      <c r="E535" s="398">
        <v>1</v>
      </c>
      <c r="F535" s="398">
        <f t="shared" ref="F535:AN535" si="232">E535*(1-F$508)+1</f>
        <v>1.8</v>
      </c>
      <c r="G535" s="398">
        <f t="shared" si="232"/>
        <v>2.4400000000000004</v>
      </c>
      <c r="H535" s="398">
        <f t="shared" si="232"/>
        <v>2.9520000000000004</v>
      </c>
      <c r="I535" s="398">
        <f t="shared" si="232"/>
        <v>3.3616000000000006</v>
      </c>
      <c r="J535" s="398">
        <f t="shared" si="232"/>
        <v>3.6892800000000006</v>
      </c>
      <c r="K535" s="398">
        <f t="shared" si="232"/>
        <v>3.9514240000000007</v>
      </c>
      <c r="L535" s="398">
        <f t="shared" si="232"/>
        <v>4.1611392000000009</v>
      </c>
      <c r="M535" s="398">
        <f t="shared" si="232"/>
        <v>4.3289113600000011</v>
      </c>
      <c r="N535" s="398">
        <f t="shared" si="232"/>
        <v>4.4631290880000005</v>
      </c>
      <c r="O535" s="398">
        <f t="shared" si="232"/>
        <v>4.5705032704000006</v>
      </c>
      <c r="P535" s="398">
        <f t="shared" si="232"/>
        <v>4.6564026163200012</v>
      </c>
      <c r="Q535" s="398">
        <f t="shared" si="232"/>
        <v>4.7251220930560009</v>
      </c>
      <c r="R535" s="398">
        <f t="shared" si="232"/>
        <v>4.7800976744448009</v>
      </c>
      <c r="S535" s="398">
        <f t="shared" si="232"/>
        <v>4.8240781395558407</v>
      </c>
      <c r="T535" s="398">
        <f t="shared" si="232"/>
        <v>4.8592625116446726</v>
      </c>
      <c r="U535" s="398">
        <f t="shared" si="232"/>
        <v>4.8874100093157384</v>
      </c>
      <c r="V535" s="398">
        <f t="shared" si="232"/>
        <v>4.9099280074525904</v>
      </c>
      <c r="W535" s="398">
        <f t="shared" si="232"/>
        <v>4.9279424059620727</v>
      </c>
      <c r="X535" s="398">
        <f t="shared" si="232"/>
        <v>4.9423539247696588</v>
      </c>
      <c r="Y535" s="398">
        <f t="shared" si="232"/>
        <v>4.9538831398157273</v>
      </c>
      <c r="Z535" s="398">
        <f t="shared" si="232"/>
        <v>4.9631065118525814</v>
      </c>
      <c r="AA535" s="398">
        <f t="shared" si="232"/>
        <v>4.9704852094820655</v>
      </c>
      <c r="AB535" s="398">
        <f t="shared" si="232"/>
        <v>4.9763881675856521</v>
      </c>
      <c r="AC535" s="398">
        <f t="shared" si="232"/>
        <v>4.981110534068522</v>
      </c>
      <c r="AD535" s="398">
        <f t="shared" si="232"/>
        <v>4.984888427254818</v>
      </c>
      <c r="AE535" s="398">
        <f t="shared" si="232"/>
        <v>4.9879107418038551</v>
      </c>
      <c r="AF535" s="398">
        <f t="shared" si="232"/>
        <v>4.9903285934430848</v>
      </c>
      <c r="AG535" s="398">
        <f t="shared" si="232"/>
        <v>4.9922628747544682</v>
      </c>
      <c r="AH535" s="398">
        <f t="shared" si="232"/>
        <v>4.9938102998035747</v>
      </c>
      <c r="AI535" s="398">
        <f t="shared" si="232"/>
        <v>4.9950482398428599</v>
      </c>
      <c r="AJ535" s="398">
        <f t="shared" si="232"/>
        <v>4.9960385918742887</v>
      </c>
      <c r="AK535" s="398">
        <f t="shared" si="232"/>
        <v>4.9968308734994311</v>
      </c>
      <c r="AL535" s="398">
        <f t="shared" si="232"/>
        <v>4.9974646987995452</v>
      </c>
      <c r="AM535" s="398">
        <f t="shared" si="232"/>
        <v>4.9979717590396362</v>
      </c>
      <c r="AN535" s="398">
        <f t="shared" si="232"/>
        <v>4.9983774072317093</v>
      </c>
      <c r="AP535" s="21"/>
    </row>
    <row r="536" spans="2:42" x14ac:dyDescent="0.25">
      <c r="C536" s="22" t="s">
        <v>456</v>
      </c>
      <c r="D536" s="34" t="s">
        <v>162</v>
      </c>
      <c r="E536" s="399">
        <v>0</v>
      </c>
      <c r="F536" s="399">
        <f t="shared" ref="F536:AN536" si="233">E536*(1-F$508)+1</f>
        <v>1</v>
      </c>
      <c r="G536" s="399">
        <f t="shared" si="233"/>
        <v>1.8</v>
      </c>
      <c r="H536" s="399">
        <f t="shared" si="233"/>
        <v>2.4400000000000004</v>
      </c>
      <c r="I536" s="399">
        <f t="shared" si="233"/>
        <v>2.9520000000000004</v>
      </c>
      <c r="J536" s="399">
        <f t="shared" si="233"/>
        <v>3.3616000000000006</v>
      </c>
      <c r="K536" s="399">
        <f t="shared" si="233"/>
        <v>3.6892800000000006</v>
      </c>
      <c r="L536" s="399">
        <f t="shared" si="233"/>
        <v>3.9514240000000007</v>
      </c>
      <c r="M536" s="399">
        <f t="shared" si="233"/>
        <v>4.1611392000000009</v>
      </c>
      <c r="N536" s="399">
        <f t="shared" si="233"/>
        <v>4.3289113600000011</v>
      </c>
      <c r="O536" s="399">
        <f t="shared" si="233"/>
        <v>4.4631290880000005</v>
      </c>
      <c r="P536" s="399">
        <f t="shared" si="233"/>
        <v>4.5705032704000006</v>
      </c>
      <c r="Q536" s="399">
        <f t="shared" si="233"/>
        <v>4.6564026163200012</v>
      </c>
      <c r="R536" s="399">
        <f t="shared" si="233"/>
        <v>4.7251220930560009</v>
      </c>
      <c r="S536" s="399">
        <f t="shared" si="233"/>
        <v>4.7800976744448009</v>
      </c>
      <c r="T536" s="399">
        <f t="shared" si="233"/>
        <v>4.8240781395558407</v>
      </c>
      <c r="U536" s="399">
        <f t="shared" si="233"/>
        <v>4.8592625116446726</v>
      </c>
      <c r="V536" s="399">
        <f t="shared" si="233"/>
        <v>4.8874100093157384</v>
      </c>
      <c r="W536" s="399">
        <f t="shared" si="233"/>
        <v>4.9099280074525904</v>
      </c>
      <c r="X536" s="399">
        <f t="shared" si="233"/>
        <v>4.9279424059620727</v>
      </c>
      <c r="Y536" s="399">
        <f t="shared" si="233"/>
        <v>4.9423539247696588</v>
      </c>
      <c r="Z536" s="399">
        <f t="shared" si="233"/>
        <v>4.9538831398157273</v>
      </c>
      <c r="AA536" s="399">
        <f t="shared" si="233"/>
        <v>4.9631065118525814</v>
      </c>
      <c r="AB536" s="399">
        <f t="shared" si="233"/>
        <v>4.9704852094820655</v>
      </c>
      <c r="AC536" s="399">
        <f t="shared" si="233"/>
        <v>4.9763881675856521</v>
      </c>
      <c r="AD536" s="399">
        <f t="shared" si="233"/>
        <v>4.981110534068522</v>
      </c>
      <c r="AE536" s="399">
        <f t="shared" si="233"/>
        <v>4.984888427254818</v>
      </c>
      <c r="AF536" s="399">
        <f t="shared" si="233"/>
        <v>4.9879107418038551</v>
      </c>
      <c r="AG536" s="399">
        <f t="shared" si="233"/>
        <v>4.9903285934430848</v>
      </c>
      <c r="AH536" s="399">
        <f t="shared" si="233"/>
        <v>4.9922628747544682</v>
      </c>
      <c r="AI536" s="399">
        <f t="shared" si="233"/>
        <v>4.9938102998035747</v>
      </c>
      <c r="AJ536" s="399">
        <f t="shared" si="233"/>
        <v>4.9950482398428599</v>
      </c>
      <c r="AK536" s="399">
        <f t="shared" si="233"/>
        <v>4.9960385918742887</v>
      </c>
      <c r="AL536" s="399">
        <f t="shared" si="233"/>
        <v>4.9968308734994311</v>
      </c>
      <c r="AM536" s="399">
        <f t="shared" si="233"/>
        <v>4.9974646987995452</v>
      </c>
      <c r="AN536" s="399">
        <f t="shared" si="233"/>
        <v>4.9979717590396362</v>
      </c>
      <c r="AP536" s="26"/>
    </row>
    <row r="537" spans="2:42" x14ac:dyDescent="0.25">
      <c r="B537" s="99" t="s">
        <v>9</v>
      </c>
      <c r="C537" s="312" t="str">
        <f>'4.2 Sector Mapping'!$B$12</f>
        <v>Public and Social Services</v>
      </c>
      <c r="D537" s="317"/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312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312"/>
      <c r="AL537" s="312"/>
      <c r="AM537" s="312"/>
      <c r="AN537" s="312"/>
      <c r="AO537" s="74"/>
      <c r="AP537" s="312"/>
    </row>
    <row r="538" spans="2:42" s="86" customFormat="1" x14ac:dyDescent="0.25">
      <c r="B538" s="3"/>
      <c r="C538" s="243" t="s">
        <v>625</v>
      </c>
      <c r="D538" s="36" t="s">
        <v>162</v>
      </c>
      <c r="E538" s="309">
        <v>0</v>
      </c>
      <c r="F538" s="309">
        <v>0</v>
      </c>
      <c r="G538" s="309">
        <v>0</v>
      </c>
      <c r="H538" s="309">
        <v>0</v>
      </c>
      <c r="I538" s="309">
        <f>J538</f>
        <v>1</v>
      </c>
      <c r="J538" s="309">
        <f>K538</f>
        <v>1</v>
      </c>
      <c r="K538" s="309">
        <f>L538</f>
        <v>1</v>
      </c>
      <c r="L538" s="309">
        <f>ROUND(M538/2,0)</f>
        <v>1</v>
      </c>
      <c r="M538" s="309">
        <f>N538</f>
        <v>1</v>
      </c>
      <c r="N538" s="309">
        <f>P538</f>
        <v>1</v>
      </c>
      <c r="O538" s="309">
        <f>P538</f>
        <v>1</v>
      </c>
      <c r="P538" s="309">
        <f>'Back-end Overview of Use Cases'!C10</f>
        <v>1</v>
      </c>
      <c r="Q538" s="309">
        <f>ROUND(IF($AB538-$P538=1,$P538,$P538+($AB538-$P538)/3),0)</f>
        <v>2</v>
      </c>
      <c r="R538" s="309">
        <f>ROUND(IF($AB538-$P538=1,$P538,$P538+($AB538-$P538)/3),0)</f>
        <v>2</v>
      </c>
      <c r="S538" s="309">
        <f>ROUND(IF($AB538-$P538=1,$P538,$P538+($AB538-$P538)/3),0)</f>
        <v>2</v>
      </c>
      <c r="T538" s="309">
        <f>ROUND(IF($AB538-$P538=1,$P538,$P538+($AB538-$P538)/3),0)</f>
        <v>2</v>
      </c>
      <c r="U538" s="309">
        <f>ROUND(AVERAGE(T538,Y538),0)</f>
        <v>3</v>
      </c>
      <c r="V538" s="309">
        <f>U538</f>
        <v>3</v>
      </c>
      <c r="W538" s="309">
        <f>V538</f>
        <v>3</v>
      </c>
      <c r="X538" s="309">
        <f>W538</f>
        <v>3</v>
      </c>
      <c r="Y538" s="309">
        <f>Z538</f>
        <v>3</v>
      </c>
      <c r="Z538" s="309">
        <f>AA538</f>
        <v>3</v>
      </c>
      <c r="AA538" s="309">
        <f>AB538</f>
        <v>3</v>
      </c>
      <c r="AB538" s="309">
        <f>'Back-end Overview of Use Cases'!D10</f>
        <v>3</v>
      </c>
      <c r="AC538" s="309">
        <f>ROUND(IF($AN538-$AB538=1,$AB538,$AB538+($AN538-$AB538)/3),0)</f>
        <v>4</v>
      </c>
      <c r="AD538" s="309">
        <f>ROUND(IF($AN538-$AB538=1,$AB538,$AB538+($AN538-$AB538)/3),0)</f>
        <v>4</v>
      </c>
      <c r="AE538" s="309">
        <f>ROUND(IF($AN538-$AB538=1,$AB538,$AB538+($AN538-$AB538)/3),0)</f>
        <v>4</v>
      </c>
      <c r="AF538" s="309">
        <f>ROUND(IF($AN538-$AB538=1,$AB538,$AB538+($AN538-$AB538)/3),0)</f>
        <v>4</v>
      </c>
      <c r="AG538" s="309">
        <f>ROUND(AVERAGE(AF538,AK538),0)</f>
        <v>6</v>
      </c>
      <c r="AH538" s="309">
        <f>AG538</f>
        <v>6</v>
      </c>
      <c r="AI538" s="309">
        <f>AH538</f>
        <v>6</v>
      </c>
      <c r="AJ538" s="309">
        <f>AI538</f>
        <v>6</v>
      </c>
      <c r="AK538" s="309">
        <f>AN538</f>
        <v>7</v>
      </c>
      <c r="AL538" s="309">
        <f>AN538</f>
        <v>7</v>
      </c>
      <c r="AM538" s="309">
        <f>AN538</f>
        <v>7</v>
      </c>
      <c r="AN538" s="309">
        <f>'Back-end Overview of Use Cases'!E10</f>
        <v>7</v>
      </c>
      <c r="AP538" s="243"/>
    </row>
    <row r="539" spans="2:42" x14ac:dyDescent="0.25">
      <c r="C539" s="289" t="s">
        <v>691</v>
      </c>
      <c r="D539" s="102" t="s">
        <v>29</v>
      </c>
      <c r="E539" s="763">
        <v>0</v>
      </c>
      <c r="F539" s="763">
        <v>0.2</v>
      </c>
      <c r="G539" s="763">
        <v>0.2</v>
      </c>
      <c r="H539" s="763">
        <v>0.2</v>
      </c>
      <c r="I539" s="763">
        <v>0.2</v>
      </c>
      <c r="J539" s="763">
        <v>0.2</v>
      </c>
      <c r="K539" s="763">
        <v>0.2</v>
      </c>
      <c r="L539" s="763">
        <v>0.2</v>
      </c>
      <c r="M539" s="763">
        <v>0.2</v>
      </c>
      <c r="N539" s="763">
        <v>0.2</v>
      </c>
      <c r="O539" s="763">
        <v>0.2</v>
      </c>
      <c r="P539" s="763">
        <v>0.2</v>
      </c>
      <c r="Q539" s="763">
        <v>0.2</v>
      </c>
      <c r="R539" s="763">
        <v>0.2</v>
      </c>
      <c r="S539" s="763">
        <v>0.2</v>
      </c>
      <c r="T539" s="763">
        <v>0.2</v>
      </c>
      <c r="U539" s="763">
        <v>0.2</v>
      </c>
      <c r="V539" s="763">
        <v>0.2</v>
      </c>
      <c r="W539" s="763">
        <v>0.2</v>
      </c>
      <c r="X539" s="763">
        <v>0.2</v>
      </c>
      <c r="Y539" s="763">
        <v>0.2</v>
      </c>
      <c r="Z539" s="763">
        <v>0.2</v>
      </c>
      <c r="AA539" s="763">
        <v>0.2</v>
      </c>
      <c r="AB539" s="763">
        <v>0.2</v>
      </c>
      <c r="AC539" s="763">
        <v>0.2</v>
      </c>
      <c r="AD539" s="763">
        <v>0.2</v>
      </c>
      <c r="AE539" s="763">
        <v>0.2</v>
      </c>
      <c r="AF539" s="763">
        <v>0.2</v>
      </c>
      <c r="AG539" s="763">
        <v>0.2</v>
      </c>
      <c r="AH539" s="763">
        <v>0.2</v>
      </c>
      <c r="AI539" s="763">
        <v>0.2</v>
      </c>
      <c r="AJ539" s="763">
        <v>0.2</v>
      </c>
      <c r="AK539" s="763">
        <v>0.2</v>
      </c>
      <c r="AL539" s="763">
        <v>0.2</v>
      </c>
      <c r="AM539" s="763">
        <v>0.2</v>
      </c>
      <c r="AN539" s="763">
        <v>0.2</v>
      </c>
      <c r="AP539" s="289"/>
    </row>
    <row r="540" spans="2:42" x14ac:dyDescent="0.25">
      <c r="B540" s="33" t="s">
        <v>9</v>
      </c>
      <c r="C540" s="761" t="s">
        <v>626</v>
      </c>
      <c r="D540" s="762"/>
      <c r="E540" s="761"/>
      <c r="F540" s="761"/>
      <c r="G540" s="761"/>
      <c r="H540" s="761"/>
      <c r="I540" s="761"/>
      <c r="J540" s="761"/>
      <c r="K540" s="761"/>
      <c r="L540" s="761"/>
      <c r="M540" s="761"/>
      <c r="N540" s="761"/>
      <c r="O540" s="761"/>
      <c r="P540" s="761"/>
      <c r="Q540" s="761"/>
      <c r="R540" s="761"/>
      <c r="S540" s="761"/>
      <c r="T540" s="761"/>
      <c r="U540" s="761"/>
      <c r="V540" s="761"/>
      <c r="W540" s="761"/>
      <c r="X540" s="761"/>
      <c r="Y540" s="761"/>
      <c r="Z540" s="761"/>
      <c r="AA540" s="761"/>
      <c r="AB540" s="761"/>
      <c r="AC540" s="761"/>
      <c r="AD540" s="761"/>
      <c r="AE540" s="761"/>
      <c r="AF540" s="761"/>
      <c r="AG540" s="761"/>
      <c r="AH540" s="761"/>
      <c r="AI540" s="761"/>
      <c r="AJ540" s="761"/>
      <c r="AK540" s="761"/>
      <c r="AL540" s="761"/>
      <c r="AM540" s="761"/>
      <c r="AN540" s="761"/>
      <c r="AP540" s="761"/>
    </row>
    <row r="541" spans="2:42" x14ac:dyDescent="0.25">
      <c r="C541" s="20" t="s">
        <v>600</v>
      </c>
      <c r="D541" s="34" t="s">
        <v>162</v>
      </c>
      <c r="E541" s="397">
        <v>5</v>
      </c>
      <c r="F541" s="397">
        <f>E541*(1-F$539)+1</f>
        <v>5</v>
      </c>
      <c r="G541" s="397">
        <f t="shared" ref="G541:AN546" si="234">F541*(1-G$539)+1</f>
        <v>5</v>
      </c>
      <c r="H541" s="397">
        <f t="shared" si="234"/>
        <v>5</v>
      </c>
      <c r="I541" s="397">
        <f t="shared" si="234"/>
        <v>5</v>
      </c>
      <c r="J541" s="397">
        <f t="shared" si="234"/>
        <v>5</v>
      </c>
      <c r="K541" s="397">
        <f t="shared" si="234"/>
        <v>5</v>
      </c>
      <c r="L541" s="397">
        <f t="shared" si="234"/>
        <v>5</v>
      </c>
      <c r="M541" s="397">
        <f t="shared" si="234"/>
        <v>5</v>
      </c>
      <c r="N541" s="397">
        <f t="shared" si="234"/>
        <v>5</v>
      </c>
      <c r="O541" s="397">
        <f t="shared" si="234"/>
        <v>5</v>
      </c>
      <c r="P541" s="397">
        <f t="shared" si="234"/>
        <v>5</v>
      </c>
      <c r="Q541" s="397">
        <f t="shared" si="234"/>
        <v>5</v>
      </c>
      <c r="R541" s="397">
        <f t="shared" si="234"/>
        <v>5</v>
      </c>
      <c r="S541" s="397">
        <f t="shared" si="234"/>
        <v>5</v>
      </c>
      <c r="T541" s="397">
        <f t="shared" si="234"/>
        <v>5</v>
      </c>
      <c r="U541" s="397">
        <f t="shared" si="234"/>
        <v>5</v>
      </c>
      <c r="V541" s="397">
        <f t="shared" si="234"/>
        <v>5</v>
      </c>
      <c r="W541" s="397">
        <f t="shared" si="234"/>
        <v>5</v>
      </c>
      <c r="X541" s="397">
        <f t="shared" si="234"/>
        <v>5</v>
      </c>
      <c r="Y541" s="397">
        <f t="shared" si="234"/>
        <v>5</v>
      </c>
      <c r="Z541" s="397">
        <f t="shared" si="234"/>
        <v>5</v>
      </c>
      <c r="AA541" s="397">
        <f t="shared" si="234"/>
        <v>5</v>
      </c>
      <c r="AB541" s="397">
        <f t="shared" si="234"/>
        <v>5</v>
      </c>
      <c r="AC541" s="397">
        <f t="shared" si="234"/>
        <v>5</v>
      </c>
      <c r="AD541" s="397">
        <f t="shared" si="234"/>
        <v>5</v>
      </c>
      <c r="AE541" s="397">
        <f t="shared" si="234"/>
        <v>5</v>
      </c>
      <c r="AF541" s="397">
        <f t="shared" si="234"/>
        <v>5</v>
      </c>
      <c r="AG541" s="397">
        <f t="shared" si="234"/>
        <v>5</v>
      </c>
      <c r="AH541" s="397">
        <f t="shared" si="234"/>
        <v>5</v>
      </c>
      <c r="AI541" s="397">
        <f t="shared" si="234"/>
        <v>5</v>
      </c>
      <c r="AJ541" s="397">
        <f t="shared" si="234"/>
        <v>5</v>
      </c>
      <c r="AK541" s="397">
        <f t="shared" si="234"/>
        <v>5</v>
      </c>
      <c r="AL541" s="397">
        <f t="shared" si="234"/>
        <v>5</v>
      </c>
      <c r="AM541" s="397">
        <f t="shared" si="234"/>
        <v>5</v>
      </c>
      <c r="AN541" s="397">
        <f t="shared" si="234"/>
        <v>5</v>
      </c>
      <c r="AO541" s="264"/>
      <c r="AP541" s="352"/>
    </row>
    <row r="542" spans="2:42" x14ac:dyDescent="0.25">
      <c r="C542" s="20" t="s">
        <v>392</v>
      </c>
      <c r="D542" s="34" t="s">
        <v>162</v>
      </c>
      <c r="E542" s="398">
        <v>4</v>
      </c>
      <c r="F542" s="398">
        <f t="shared" ref="F542:U546" si="235">E542*(1-F$539)+1</f>
        <v>4.2</v>
      </c>
      <c r="G542" s="398">
        <f t="shared" si="235"/>
        <v>4.3600000000000003</v>
      </c>
      <c r="H542" s="398">
        <f t="shared" si="235"/>
        <v>4.4880000000000004</v>
      </c>
      <c r="I542" s="398">
        <f t="shared" si="235"/>
        <v>4.5904000000000007</v>
      </c>
      <c r="J542" s="398">
        <f t="shared" si="235"/>
        <v>4.6723200000000009</v>
      </c>
      <c r="K542" s="398">
        <f t="shared" si="235"/>
        <v>4.7378560000000007</v>
      </c>
      <c r="L542" s="398">
        <f t="shared" si="235"/>
        <v>4.7902848000000002</v>
      </c>
      <c r="M542" s="398">
        <f t="shared" si="235"/>
        <v>4.8322278399999998</v>
      </c>
      <c r="N542" s="398">
        <f t="shared" si="235"/>
        <v>4.8657822720000006</v>
      </c>
      <c r="O542" s="398">
        <f t="shared" si="235"/>
        <v>4.8926258176000008</v>
      </c>
      <c r="P542" s="398">
        <f t="shared" si="235"/>
        <v>4.9141006540800003</v>
      </c>
      <c r="Q542" s="398">
        <f t="shared" si="235"/>
        <v>4.9312805232640002</v>
      </c>
      <c r="R542" s="398">
        <f t="shared" si="235"/>
        <v>4.9450244186112009</v>
      </c>
      <c r="S542" s="398">
        <f t="shared" si="235"/>
        <v>4.9560195348889611</v>
      </c>
      <c r="T542" s="398">
        <f t="shared" si="235"/>
        <v>4.964815627911169</v>
      </c>
      <c r="U542" s="398">
        <f t="shared" si="235"/>
        <v>4.9718525023289359</v>
      </c>
      <c r="V542" s="398">
        <f t="shared" si="234"/>
        <v>4.9774820018631489</v>
      </c>
      <c r="W542" s="398">
        <f t="shared" si="234"/>
        <v>4.9819856014905195</v>
      </c>
      <c r="X542" s="398">
        <f t="shared" si="234"/>
        <v>4.9855884811924156</v>
      </c>
      <c r="Y542" s="398">
        <f t="shared" si="234"/>
        <v>4.9884707849539325</v>
      </c>
      <c r="Z542" s="398">
        <f t="shared" si="234"/>
        <v>4.9907766279631467</v>
      </c>
      <c r="AA542" s="398">
        <f t="shared" si="234"/>
        <v>4.9926213023705177</v>
      </c>
      <c r="AB542" s="398">
        <f t="shared" si="234"/>
        <v>4.9940970418964143</v>
      </c>
      <c r="AC542" s="398">
        <f t="shared" si="234"/>
        <v>4.9952776335171318</v>
      </c>
      <c r="AD542" s="398">
        <f t="shared" si="234"/>
        <v>4.9962221068137058</v>
      </c>
      <c r="AE542" s="398">
        <f t="shared" si="234"/>
        <v>4.9969776854509647</v>
      </c>
      <c r="AF542" s="398">
        <f t="shared" si="234"/>
        <v>4.9975821483607721</v>
      </c>
      <c r="AG542" s="398">
        <f t="shared" si="234"/>
        <v>4.9980657186886184</v>
      </c>
      <c r="AH542" s="398">
        <f t="shared" si="234"/>
        <v>4.9984525749508943</v>
      </c>
      <c r="AI542" s="398">
        <f t="shared" si="234"/>
        <v>4.9987620599607157</v>
      </c>
      <c r="AJ542" s="398">
        <f t="shared" si="234"/>
        <v>4.9990096479685722</v>
      </c>
      <c r="AK542" s="398">
        <f t="shared" si="234"/>
        <v>4.9992077183748584</v>
      </c>
      <c r="AL542" s="398">
        <f t="shared" si="234"/>
        <v>4.9993661746998868</v>
      </c>
      <c r="AM542" s="398">
        <f t="shared" si="234"/>
        <v>4.999492939759909</v>
      </c>
      <c r="AN542" s="398">
        <f t="shared" si="234"/>
        <v>4.9995943518079269</v>
      </c>
      <c r="AO542" s="264"/>
      <c r="AP542" s="354"/>
    </row>
    <row r="543" spans="2:42" x14ac:dyDescent="0.25">
      <c r="C543" s="20" t="s">
        <v>454</v>
      </c>
      <c r="D543" s="34" t="s">
        <v>162</v>
      </c>
      <c r="E543" s="398">
        <v>3</v>
      </c>
      <c r="F543" s="398">
        <f t="shared" si="235"/>
        <v>3.4000000000000004</v>
      </c>
      <c r="G543" s="398">
        <f t="shared" si="234"/>
        <v>3.7200000000000006</v>
      </c>
      <c r="H543" s="398">
        <f t="shared" si="234"/>
        <v>3.9760000000000009</v>
      </c>
      <c r="I543" s="398">
        <f t="shared" si="234"/>
        <v>4.1808000000000014</v>
      </c>
      <c r="J543" s="398">
        <f t="shared" si="234"/>
        <v>4.3446400000000018</v>
      </c>
      <c r="K543" s="398">
        <f t="shared" si="234"/>
        <v>4.4757120000000015</v>
      </c>
      <c r="L543" s="398">
        <f t="shared" si="234"/>
        <v>4.5805696000000014</v>
      </c>
      <c r="M543" s="398">
        <f t="shared" si="234"/>
        <v>4.6644556800000014</v>
      </c>
      <c r="N543" s="398">
        <f t="shared" si="234"/>
        <v>4.7315645440000011</v>
      </c>
      <c r="O543" s="398">
        <f t="shared" si="234"/>
        <v>4.7852516352000016</v>
      </c>
      <c r="P543" s="398">
        <f t="shared" si="234"/>
        <v>4.8282013081600015</v>
      </c>
      <c r="Q543" s="398">
        <f t="shared" si="234"/>
        <v>4.8625610465280014</v>
      </c>
      <c r="R543" s="398">
        <f t="shared" si="234"/>
        <v>4.8900488372224018</v>
      </c>
      <c r="S543" s="398">
        <f t="shared" si="234"/>
        <v>4.9120390697779222</v>
      </c>
      <c r="T543" s="398">
        <f t="shared" si="234"/>
        <v>4.9296312558223381</v>
      </c>
      <c r="U543" s="398">
        <f t="shared" si="234"/>
        <v>4.9437050046578701</v>
      </c>
      <c r="V543" s="398">
        <f t="shared" si="234"/>
        <v>4.9549640037262961</v>
      </c>
      <c r="W543" s="398">
        <f t="shared" si="234"/>
        <v>4.9639712029810372</v>
      </c>
      <c r="X543" s="398">
        <f t="shared" si="234"/>
        <v>4.9711769623848294</v>
      </c>
      <c r="Y543" s="398">
        <f t="shared" si="234"/>
        <v>4.9769415699078632</v>
      </c>
      <c r="Z543" s="398">
        <f t="shared" si="234"/>
        <v>4.9815532559262907</v>
      </c>
      <c r="AA543" s="398">
        <f t="shared" si="234"/>
        <v>4.9852426047410328</v>
      </c>
      <c r="AB543" s="398">
        <f t="shared" si="234"/>
        <v>4.9881940837928269</v>
      </c>
      <c r="AC543" s="398">
        <f t="shared" si="234"/>
        <v>4.9905552670342619</v>
      </c>
      <c r="AD543" s="398">
        <f t="shared" si="234"/>
        <v>4.9924442136274099</v>
      </c>
      <c r="AE543" s="398">
        <f t="shared" si="234"/>
        <v>4.9939553709019275</v>
      </c>
      <c r="AF543" s="398">
        <f t="shared" si="234"/>
        <v>4.9951642967215424</v>
      </c>
      <c r="AG543" s="398">
        <f t="shared" si="234"/>
        <v>4.9961314373772341</v>
      </c>
      <c r="AH543" s="398">
        <f t="shared" si="234"/>
        <v>4.9969051499017869</v>
      </c>
      <c r="AI543" s="398">
        <f t="shared" si="234"/>
        <v>4.9975241199214295</v>
      </c>
      <c r="AJ543" s="398">
        <f t="shared" si="234"/>
        <v>4.9980192959371443</v>
      </c>
      <c r="AK543" s="398">
        <f t="shared" si="234"/>
        <v>4.9984154367497151</v>
      </c>
      <c r="AL543" s="398">
        <f t="shared" si="234"/>
        <v>4.9987323493997717</v>
      </c>
      <c r="AM543" s="398">
        <f t="shared" si="234"/>
        <v>4.9989858795198181</v>
      </c>
      <c r="AN543" s="398">
        <f t="shared" si="234"/>
        <v>4.9991887036158547</v>
      </c>
      <c r="AO543" s="264"/>
      <c r="AP543" s="354"/>
    </row>
    <row r="544" spans="2:42" x14ac:dyDescent="0.25">
      <c r="C544" s="21" t="s">
        <v>455</v>
      </c>
      <c r="D544" s="34" t="s">
        <v>162</v>
      </c>
      <c r="E544" s="398">
        <v>2</v>
      </c>
      <c r="F544" s="398">
        <f t="shared" si="235"/>
        <v>2.6</v>
      </c>
      <c r="G544" s="398">
        <f t="shared" si="234"/>
        <v>3.08</v>
      </c>
      <c r="H544" s="398">
        <f t="shared" si="234"/>
        <v>3.4640000000000004</v>
      </c>
      <c r="I544" s="398">
        <f t="shared" si="234"/>
        <v>3.7712000000000003</v>
      </c>
      <c r="J544" s="398">
        <f t="shared" si="234"/>
        <v>4.016960000000001</v>
      </c>
      <c r="K544" s="398">
        <f t="shared" si="234"/>
        <v>4.2135680000000004</v>
      </c>
      <c r="L544" s="398">
        <f t="shared" si="234"/>
        <v>4.3708544000000007</v>
      </c>
      <c r="M544" s="398">
        <f t="shared" si="234"/>
        <v>4.4966835200000013</v>
      </c>
      <c r="N544" s="398">
        <f t="shared" si="234"/>
        <v>4.5973468160000017</v>
      </c>
      <c r="O544" s="398">
        <f t="shared" si="234"/>
        <v>4.6778774528000016</v>
      </c>
      <c r="P544" s="398">
        <f t="shared" si="234"/>
        <v>4.7423019622400009</v>
      </c>
      <c r="Q544" s="398">
        <f t="shared" si="234"/>
        <v>4.7938415697920007</v>
      </c>
      <c r="R544" s="398">
        <f t="shared" si="234"/>
        <v>4.8350732558336009</v>
      </c>
      <c r="S544" s="398">
        <f t="shared" si="234"/>
        <v>4.8680586046668815</v>
      </c>
      <c r="T544" s="398">
        <f t="shared" si="234"/>
        <v>4.8944468837335053</v>
      </c>
      <c r="U544" s="398">
        <f t="shared" si="234"/>
        <v>4.9155575069868043</v>
      </c>
      <c r="V544" s="398">
        <f t="shared" si="234"/>
        <v>4.9324460055894441</v>
      </c>
      <c r="W544" s="398">
        <f t="shared" si="234"/>
        <v>4.9459568044715549</v>
      </c>
      <c r="X544" s="398">
        <f t="shared" si="234"/>
        <v>4.9567654435772441</v>
      </c>
      <c r="Y544" s="398">
        <f t="shared" si="234"/>
        <v>4.9654123548617957</v>
      </c>
      <c r="Z544" s="398">
        <f t="shared" si="234"/>
        <v>4.9723298838894365</v>
      </c>
      <c r="AA544" s="398">
        <f t="shared" si="234"/>
        <v>4.9778639071115496</v>
      </c>
      <c r="AB544" s="398">
        <f t="shared" si="234"/>
        <v>4.9822911256892404</v>
      </c>
      <c r="AC544" s="398">
        <f t="shared" si="234"/>
        <v>4.9858329005513919</v>
      </c>
      <c r="AD544" s="398">
        <f t="shared" si="234"/>
        <v>4.9886663204411139</v>
      </c>
      <c r="AE544" s="398">
        <f t="shared" si="234"/>
        <v>4.9909330563528913</v>
      </c>
      <c r="AF544" s="398">
        <f t="shared" si="234"/>
        <v>4.9927464450823127</v>
      </c>
      <c r="AG544" s="398">
        <f t="shared" si="234"/>
        <v>4.9941971560658498</v>
      </c>
      <c r="AH544" s="398">
        <f t="shared" si="234"/>
        <v>4.9953577248526795</v>
      </c>
      <c r="AI544" s="398">
        <f t="shared" si="234"/>
        <v>4.9962861798821443</v>
      </c>
      <c r="AJ544" s="398">
        <f t="shared" si="234"/>
        <v>4.9970289439057156</v>
      </c>
      <c r="AK544" s="398">
        <f t="shared" si="234"/>
        <v>4.9976231551245727</v>
      </c>
      <c r="AL544" s="398">
        <f t="shared" si="234"/>
        <v>4.9980985240996585</v>
      </c>
      <c r="AM544" s="398">
        <f t="shared" si="234"/>
        <v>4.9984788192797271</v>
      </c>
      <c r="AN544" s="398">
        <f t="shared" si="234"/>
        <v>4.9987830554237824</v>
      </c>
      <c r="AO544" s="264"/>
      <c r="AP544" s="354"/>
    </row>
    <row r="545" spans="2:42" x14ac:dyDescent="0.25">
      <c r="C545" s="21" t="s">
        <v>393</v>
      </c>
      <c r="D545" s="34" t="s">
        <v>162</v>
      </c>
      <c r="E545" s="398">
        <v>1</v>
      </c>
      <c r="F545" s="398">
        <f t="shared" si="235"/>
        <v>1.8</v>
      </c>
      <c r="G545" s="398">
        <f t="shared" si="234"/>
        <v>2.4400000000000004</v>
      </c>
      <c r="H545" s="398">
        <f t="shared" si="234"/>
        <v>2.9520000000000004</v>
      </c>
      <c r="I545" s="398">
        <f t="shared" si="234"/>
        <v>3.3616000000000006</v>
      </c>
      <c r="J545" s="398">
        <f t="shared" si="234"/>
        <v>3.6892800000000006</v>
      </c>
      <c r="K545" s="398">
        <f t="shared" si="234"/>
        <v>3.9514240000000007</v>
      </c>
      <c r="L545" s="398">
        <f t="shared" si="234"/>
        <v>4.1611392000000009</v>
      </c>
      <c r="M545" s="398">
        <f t="shared" si="234"/>
        <v>4.3289113600000011</v>
      </c>
      <c r="N545" s="398">
        <f t="shared" si="234"/>
        <v>4.4631290880000005</v>
      </c>
      <c r="O545" s="398">
        <f t="shared" si="234"/>
        <v>4.5705032704000006</v>
      </c>
      <c r="P545" s="398">
        <f t="shared" si="234"/>
        <v>4.6564026163200012</v>
      </c>
      <c r="Q545" s="398">
        <f t="shared" si="234"/>
        <v>4.7251220930560009</v>
      </c>
      <c r="R545" s="398">
        <f t="shared" si="234"/>
        <v>4.7800976744448009</v>
      </c>
      <c r="S545" s="398">
        <f t="shared" si="234"/>
        <v>4.8240781395558407</v>
      </c>
      <c r="T545" s="398">
        <f t="shared" si="234"/>
        <v>4.8592625116446726</v>
      </c>
      <c r="U545" s="398">
        <f t="shared" si="234"/>
        <v>4.8874100093157384</v>
      </c>
      <c r="V545" s="398">
        <f t="shared" si="234"/>
        <v>4.9099280074525904</v>
      </c>
      <c r="W545" s="398">
        <f t="shared" si="234"/>
        <v>4.9279424059620727</v>
      </c>
      <c r="X545" s="398">
        <f t="shared" si="234"/>
        <v>4.9423539247696588</v>
      </c>
      <c r="Y545" s="398">
        <f t="shared" si="234"/>
        <v>4.9538831398157273</v>
      </c>
      <c r="Z545" s="398">
        <f t="shared" si="234"/>
        <v>4.9631065118525814</v>
      </c>
      <c r="AA545" s="398">
        <f t="shared" si="234"/>
        <v>4.9704852094820655</v>
      </c>
      <c r="AB545" s="398">
        <f t="shared" si="234"/>
        <v>4.9763881675856521</v>
      </c>
      <c r="AC545" s="398">
        <f t="shared" si="234"/>
        <v>4.981110534068522</v>
      </c>
      <c r="AD545" s="398">
        <f t="shared" si="234"/>
        <v>4.984888427254818</v>
      </c>
      <c r="AE545" s="398">
        <f t="shared" si="234"/>
        <v>4.9879107418038551</v>
      </c>
      <c r="AF545" s="398">
        <f t="shared" si="234"/>
        <v>4.9903285934430848</v>
      </c>
      <c r="AG545" s="398">
        <f t="shared" si="234"/>
        <v>4.9922628747544682</v>
      </c>
      <c r="AH545" s="398">
        <f t="shared" si="234"/>
        <v>4.9938102998035747</v>
      </c>
      <c r="AI545" s="398">
        <f t="shared" si="234"/>
        <v>4.9950482398428599</v>
      </c>
      <c r="AJ545" s="398">
        <f t="shared" si="234"/>
        <v>4.9960385918742887</v>
      </c>
      <c r="AK545" s="398">
        <f t="shared" si="234"/>
        <v>4.9968308734994311</v>
      </c>
      <c r="AL545" s="398">
        <f t="shared" si="234"/>
        <v>4.9974646987995452</v>
      </c>
      <c r="AM545" s="398">
        <f t="shared" si="234"/>
        <v>4.9979717590396362</v>
      </c>
      <c r="AN545" s="398">
        <f t="shared" si="234"/>
        <v>4.9983774072317093</v>
      </c>
      <c r="AO545" s="264"/>
      <c r="AP545" s="354"/>
    </row>
    <row r="546" spans="2:42" x14ac:dyDescent="0.25">
      <c r="C546" s="22" t="s">
        <v>456</v>
      </c>
      <c r="D546" s="34" t="s">
        <v>162</v>
      </c>
      <c r="E546" s="399">
        <v>0</v>
      </c>
      <c r="F546" s="399">
        <f t="shared" si="235"/>
        <v>1</v>
      </c>
      <c r="G546" s="399">
        <f t="shared" si="234"/>
        <v>1.8</v>
      </c>
      <c r="H546" s="399">
        <f t="shared" si="234"/>
        <v>2.4400000000000004</v>
      </c>
      <c r="I546" s="399">
        <f t="shared" si="234"/>
        <v>2.9520000000000004</v>
      </c>
      <c r="J546" s="399">
        <f t="shared" si="234"/>
        <v>3.3616000000000006</v>
      </c>
      <c r="K546" s="399">
        <f t="shared" si="234"/>
        <v>3.6892800000000006</v>
      </c>
      <c r="L546" s="399">
        <f t="shared" si="234"/>
        <v>3.9514240000000007</v>
      </c>
      <c r="M546" s="399">
        <f t="shared" si="234"/>
        <v>4.1611392000000009</v>
      </c>
      <c r="N546" s="399">
        <f t="shared" si="234"/>
        <v>4.3289113600000011</v>
      </c>
      <c r="O546" s="399">
        <f t="shared" si="234"/>
        <v>4.4631290880000005</v>
      </c>
      <c r="P546" s="399">
        <f t="shared" si="234"/>
        <v>4.5705032704000006</v>
      </c>
      <c r="Q546" s="399">
        <f t="shared" si="234"/>
        <v>4.6564026163200012</v>
      </c>
      <c r="R546" s="399">
        <f t="shared" si="234"/>
        <v>4.7251220930560009</v>
      </c>
      <c r="S546" s="399">
        <f t="shared" si="234"/>
        <v>4.7800976744448009</v>
      </c>
      <c r="T546" s="399">
        <f t="shared" si="234"/>
        <v>4.8240781395558407</v>
      </c>
      <c r="U546" s="399">
        <f t="shared" si="234"/>
        <v>4.8592625116446726</v>
      </c>
      <c r="V546" s="399">
        <f t="shared" si="234"/>
        <v>4.8874100093157384</v>
      </c>
      <c r="W546" s="399">
        <f t="shared" si="234"/>
        <v>4.9099280074525904</v>
      </c>
      <c r="X546" s="399">
        <f t="shared" si="234"/>
        <v>4.9279424059620727</v>
      </c>
      <c r="Y546" s="399">
        <f t="shared" si="234"/>
        <v>4.9423539247696588</v>
      </c>
      <c r="Z546" s="399">
        <f t="shared" si="234"/>
        <v>4.9538831398157273</v>
      </c>
      <c r="AA546" s="399">
        <f t="shared" si="234"/>
        <v>4.9631065118525814</v>
      </c>
      <c r="AB546" s="399">
        <f t="shared" si="234"/>
        <v>4.9704852094820655</v>
      </c>
      <c r="AC546" s="399">
        <f t="shared" si="234"/>
        <v>4.9763881675856521</v>
      </c>
      <c r="AD546" s="399">
        <f t="shared" si="234"/>
        <v>4.981110534068522</v>
      </c>
      <c r="AE546" s="399">
        <f t="shared" si="234"/>
        <v>4.984888427254818</v>
      </c>
      <c r="AF546" s="399">
        <f t="shared" si="234"/>
        <v>4.9879107418038551</v>
      </c>
      <c r="AG546" s="399">
        <f t="shared" si="234"/>
        <v>4.9903285934430848</v>
      </c>
      <c r="AH546" s="399">
        <f t="shared" si="234"/>
        <v>4.9922628747544682</v>
      </c>
      <c r="AI546" s="399">
        <f t="shared" si="234"/>
        <v>4.9938102998035747</v>
      </c>
      <c r="AJ546" s="399">
        <f t="shared" si="234"/>
        <v>4.9950482398428599</v>
      </c>
      <c r="AK546" s="399">
        <f t="shared" si="234"/>
        <v>4.9960385918742887</v>
      </c>
      <c r="AL546" s="399">
        <f t="shared" si="234"/>
        <v>4.9968308734994311</v>
      </c>
      <c r="AM546" s="399">
        <f t="shared" si="234"/>
        <v>4.9974646987995452</v>
      </c>
      <c r="AN546" s="399">
        <f t="shared" si="234"/>
        <v>4.9979717590396362</v>
      </c>
      <c r="AO546" s="264"/>
      <c r="AP546" s="403"/>
    </row>
    <row r="547" spans="2:42" x14ac:dyDescent="0.25">
      <c r="B547" s="99" t="s">
        <v>9</v>
      </c>
      <c r="C547" s="311" t="s">
        <v>627</v>
      </c>
      <c r="D547" s="318"/>
      <c r="E547" s="402"/>
      <c r="F547" s="402"/>
      <c r="G547" s="402"/>
      <c r="H547" s="402"/>
      <c r="I547" s="402"/>
      <c r="J547" s="402"/>
      <c r="K547" s="402"/>
      <c r="L547" s="402"/>
      <c r="M547" s="402"/>
      <c r="N547" s="402"/>
      <c r="O547" s="402"/>
      <c r="P547" s="402"/>
      <c r="Q547" s="402"/>
      <c r="R547" s="402"/>
      <c r="S547" s="402"/>
      <c r="T547" s="402"/>
      <c r="U547" s="402"/>
      <c r="V547" s="402"/>
      <c r="W547" s="402"/>
      <c r="X547" s="402"/>
      <c r="Y547" s="402"/>
      <c r="Z547" s="402"/>
      <c r="AA547" s="402"/>
      <c r="AB547" s="402"/>
      <c r="AC547" s="402"/>
      <c r="AD547" s="402"/>
      <c r="AE547" s="402"/>
      <c r="AF547" s="402"/>
      <c r="AG547" s="402"/>
      <c r="AH547" s="402"/>
      <c r="AI547" s="402"/>
      <c r="AJ547" s="402"/>
      <c r="AK547" s="402"/>
      <c r="AL547" s="402"/>
      <c r="AM547" s="402"/>
      <c r="AN547" s="402"/>
      <c r="AO547" s="404"/>
      <c r="AP547" s="402"/>
    </row>
    <row r="548" spans="2:42" x14ac:dyDescent="0.25">
      <c r="C548" s="20" t="s">
        <v>600</v>
      </c>
      <c r="D548" s="34" t="s">
        <v>162</v>
      </c>
      <c r="E548" s="397">
        <v>5</v>
      </c>
      <c r="F548" s="397">
        <f>E548*(1-F$539)+1</f>
        <v>5</v>
      </c>
      <c r="G548" s="397">
        <f t="shared" ref="G548:AN548" si="236">F548*(1-G$539)+1</f>
        <v>5</v>
      </c>
      <c r="H548" s="397">
        <f t="shared" si="236"/>
        <v>5</v>
      </c>
      <c r="I548" s="397">
        <f t="shared" si="236"/>
        <v>5</v>
      </c>
      <c r="J548" s="397">
        <f t="shared" si="236"/>
        <v>5</v>
      </c>
      <c r="K548" s="397">
        <f t="shared" si="236"/>
        <v>5</v>
      </c>
      <c r="L548" s="397">
        <f t="shared" si="236"/>
        <v>5</v>
      </c>
      <c r="M548" s="397">
        <f t="shared" si="236"/>
        <v>5</v>
      </c>
      <c r="N548" s="397">
        <f t="shared" si="236"/>
        <v>5</v>
      </c>
      <c r="O548" s="397">
        <f t="shared" si="236"/>
        <v>5</v>
      </c>
      <c r="P548" s="397">
        <f t="shared" si="236"/>
        <v>5</v>
      </c>
      <c r="Q548" s="397">
        <f t="shared" si="236"/>
        <v>5</v>
      </c>
      <c r="R548" s="397">
        <f t="shared" si="236"/>
        <v>5</v>
      </c>
      <c r="S548" s="397">
        <f t="shared" si="236"/>
        <v>5</v>
      </c>
      <c r="T548" s="397">
        <f t="shared" si="236"/>
        <v>5</v>
      </c>
      <c r="U548" s="397">
        <f t="shared" si="236"/>
        <v>5</v>
      </c>
      <c r="V548" s="397">
        <f t="shared" si="236"/>
        <v>5</v>
      </c>
      <c r="W548" s="397">
        <f t="shared" si="236"/>
        <v>5</v>
      </c>
      <c r="X548" s="397">
        <f t="shared" si="236"/>
        <v>5</v>
      </c>
      <c r="Y548" s="397">
        <f t="shared" si="236"/>
        <v>5</v>
      </c>
      <c r="Z548" s="397">
        <f t="shared" si="236"/>
        <v>5</v>
      </c>
      <c r="AA548" s="397">
        <f t="shared" si="236"/>
        <v>5</v>
      </c>
      <c r="AB548" s="397">
        <f t="shared" si="236"/>
        <v>5</v>
      </c>
      <c r="AC548" s="397">
        <f t="shared" si="236"/>
        <v>5</v>
      </c>
      <c r="AD548" s="397">
        <f t="shared" si="236"/>
        <v>5</v>
      </c>
      <c r="AE548" s="397">
        <f t="shared" si="236"/>
        <v>5</v>
      </c>
      <c r="AF548" s="397">
        <f t="shared" si="236"/>
        <v>5</v>
      </c>
      <c r="AG548" s="397">
        <f t="shared" si="236"/>
        <v>5</v>
      </c>
      <c r="AH548" s="397">
        <f t="shared" si="236"/>
        <v>5</v>
      </c>
      <c r="AI548" s="397">
        <f t="shared" si="236"/>
        <v>5</v>
      </c>
      <c r="AJ548" s="397">
        <f t="shared" si="236"/>
        <v>5</v>
      </c>
      <c r="AK548" s="397">
        <f t="shared" si="236"/>
        <v>5</v>
      </c>
      <c r="AL548" s="397">
        <f t="shared" si="236"/>
        <v>5</v>
      </c>
      <c r="AM548" s="397">
        <f t="shared" si="236"/>
        <v>5</v>
      </c>
      <c r="AN548" s="397">
        <f t="shared" si="236"/>
        <v>5</v>
      </c>
      <c r="AO548" s="264"/>
      <c r="AP548" s="352"/>
    </row>
    <row r="549" spans="2:42" x14ac:dyDescent="0.25">
      <c r="C549" s="20" t="s">
        <v>392</v>
      </c>
      <c r="D549" s="34" t="s">
        <v>162</v>
      </c>
      <c r="E549" s="398">
        <v>4</v>
      </c>
      <c r="F549" s="398">
        <f t="shared" ref="F549:AN549" si="237">E549*(1-F$539)+1</f>
        <v>4.2</v>
      </c>
      <c r="G549" s="398">
        <f t="shared" si="237"/>
        <v>4.3600000000000003</v>
      </c>
      <c r="H549" s="398">
        <f t="shared" si="237"/>
        <v>4.4880000000000004</v>
      </c>
      <c r="I549" s="398">
        <f t="shared" si="237"/>
        <v>4.5904000000000007</v>
      </c>
      <c r="J549" s="398">
        <f t="shared" si="237"/>
        <v>4.6723200000000009</v>
      </c>
      <c r="K549" s="398">
        <f t="shared" si="237"/>
        <v>4.7378560000000007</v>
      </c>
      <c r="L549" s="398">
        <f t="shared" si="237"/>
        <v>4.7902848000000002</v>
      </c>
      <c r="M549" s="398">
        <f t="shared" si="237"/>
        <v>4.8322278399999998</v>
      </c>
      <c r="N549" s="398">
        <f t="shared" si="237"/>
        <v>4.8657822720000006</v>
      </c>
      <c r="O549" s="398">
        <f t="shared" si="237"/>
        <v>4.8926258176000008</v>
      </c>
      <c r="P549" s="398">
        <f t="shared" si="237"/>
        <v>4.9141006540800003</v>
      </c>
      <c r="Q549" s="398">
        <f t="shared" si="237"/>
        <v>4.9312805232640002</v>
      </c>
      <c r="R549" s="398">
        <f t="shared" si="237"/>
        <v>4.9450244186112009</v>
      </c>
      <c r="S549" s="398">
        <f t="shared" si="237"/>
        <v>4.9560195348889611</v>
      </c>
      <c r="T549" s="398">
        <f t="shared" si="237"/>
        <v>4.964815627911169</v>
      </c>
      <c r="U549" s="398">
        <f t="shared" si="237"/>
        <v>4.9718525023289359</v>
      </c>
      <c r="V549" s="398">
        <f t="shared" si="237"/>
        <v>4.9774820018631489</v>
      </c>
      <c r="W549" s="398">
        <f t="shared" si="237"/>
        <v>4.9819856014905195</v>
      </c>
      <c r="X549" s="398">
        <f t="shared" si="237"/>
        <v>4.9855884811924156</v>
      </c>
      <c r="Y549" s="398">
        <f t="shared" si="237"/>
        <v>4.9884707849539325</v>
      </c>
      <c r="Z549" s="398">
        <f t="shared" si="237"/>
        <v>4.9907766279631467</v>
      </c>
      <c r="AA549" s="398">
        <f t="shared" si="237"/>
        <v>4.9926213023705177</v>
      </c>
      <c r="AB549" s="398">
        <f t="shared" si="237"/>
        <v>4.9940970418964143</v>
      </c>
      <c r="AC549" s="398">
        <f t="shared" si="237"/>
        <v>4.9952776335171318</v>
      </c>
      <c r="AD549" s="398">
        <f t="shared" si="237"/>
        <v>4.9962221068137058</v>
      </c>
      <c r="AE549" s="398">
        <f t="shared" si="237"/>
        <v>4.9969776854509647</v>
      </c>
      <c r="AF549" s="398">
        <f t="shared" si="237"/>
        <v>4.9975821483607721</v>
      </c>
      <c r="AG549" s="398">
        <f t="shared" si="237"/>
        <v>4.9980657186886184</v>
      </c>
      <c r="AH549" s="398">
        <f t="shared" si="237"/>
        <v>4.9984525749508943</v>
      </c>
      <c r="AI549" s="398">
        <f t="shared" si="237"/>
        <v>4.9987620599607157</v>
      </c>
      <c r="AJ549" s="398">
        <f t="shared" si="237"/>
        <v>4.9990096479685722</v>
      </c>
      <c r="AK549" s="398">
        <f t="shared" si="237"/>
        <v>4.9992077183748584</v>
      </c>
      <c r="AL549" s="398">
        <f t="shared" si="237"/>
        <v>4.9993661746998868</v>
      </c>
      <c r="AM549" s="398">
        <f t="shared" si="237"/>
        <v>4.999492939759909</v>
      </c>
      <c r="AN549" s="398">
        <f t="shared" si="237"/>
        <v>4.9995943518079269</v>
      </c>
      <c r="AO549" s="264"/>
      <c r="AP549" s="354"/>
    </row>
    <row r="550" spans="2:42" x14ac:dyDescent="0.25">
      <c r="C550" s="20" t="s">
        <v>454</v>
      </c>
      <c r="D550" s="34" t="s">
        <v>162</v>
      </c>
      <c r="E550" s="398">
        <v>3</v>
      </c>
      <c r="F550" s="398">
        <f t="shared" ref="F550:AN550" si="238">E550*(1-F$539)+1</f>
        <v>3.4000000000000004</v>
      </c>
      <c r="G550" s="398">
        <f t="shared" si="238"/>
        <v>3.7200000000000006</v>
      </c>
      <c r="H550" s="398">
        <f t="shared" si="238"/>
        <v>3.9760000000000009</v>
      </c>
      <c r="I550" s="398">
        <f t="shared" si="238"/>
        <v>4.1808000000000014</v>
      </c>
      <c r="J550" s="398">
        <f t="shared" si="238"/>
        <v>4.3446400000000018</v>
      </c>
      <c r="K550" s="398">
        <f t="shared" si="238"/>
        <v>4.4757120000000015</v>
      </c>
      <c r="L550" s="398">
        <f t="shared" si="238"/>
        <v>4.5805696000000014</v>
      </c>
      <c r="M550" s="398">
        <f t="shared" si="238"/>
        <v>4.6644556800000014</v>
      </c>
      <c r="N550" s="398">
        <f t="shared" si="238"/>
        <v>4.7315645440000011</v>
      </c>
      <c r="O550" s="398">
        <f t="shared" si="238"/>
        <v>4.7852516352000016</v>
      </c>
      <c r="P550" s="398">
        <f t="shared" si="238"/>
        <v>4.8282013081600015</v>
      </c>
      <c r="Q550" s="398">
        <f t="shared" si="238"/>
        <v>4.8625610465280014</v>
      </c>
      <c r="R550" s="398">
        <f t="shared" si="238"/>
        <v>4.8900488372224018</v>
      </c>
      <c r="S550" s="398">
        <f t="shared" si="238"/>
        <v>4.9120390697779222</v>
      </c>
      <c r="T550" s="398">
        <f t="shared" si="238"/>
        <v>4.9296312558223381</v>
      </c>
      <c r="U550" s="398">
        <f t="shared" si="238"/>
        <v>4.9437050046578701</v>
      </c>
      <c r="V550" s="398">
        <f t="shared" si="238"/>
        <v>4.9549640037262961</v>
      </c>
      <c r="W550" s="398">
        <f t="shared" si="238"/>
        <v>4.9639712029810372</v>
      </c>
      <c r="X550" s="398">
        <f t="shared" si="238"/>
        <v>4.9711769623848294</v>
      </c>
      <c r="Y550" s="398">
        <f t="shared" si="238"/>
        <v>4.9769415699078632</v>
      </c>
      <c r="Z550" s="398">
        <f t="shared" si="238"/>
        <v>4.9815532559262907</v>
      </c>
      <c r="AA550" s="398">
        <f t="shared" si="238"/>
        <v>4.9852426047410328</v>
      </c>
      <c r="AB550" s="398">
        <f t="shared" si="238"/>
        <v>4.9881940837928269</v>
      </c>
      <c r="AC550" s="398">
        <f t="shared" si="238"/>
        <v>4.9905552670342619</v>
      </c>
      <c r="AD550" s="398">
        <f t="shared" si="238"/>
        <v>4.9924442136274099</v>
      </c>
      <c r="AE550" s="398">
        <f t="shared" si="238"/>
        <v>4.9939553709019275</v>
      </c>
      <c r="AF550" s="398">
        <f t="shared" si="238"/>
        <v>4.9951642967215424</v>
      </c>
      <c r="AG550" s="398">
        <f t="shared" si="238"/>
        <v>4.9961314373772341</v>
      </c>
      <c r="AH550" s="398">
        <f t="shared" si="238"/>
        <v>4.9969051499017869</v>
      </c>
      <c r="AI550" s="398">
        <f t="shared" si="238"/>
        <v>4.9975241199214295</v>
      </c>
      <c r="AJ550" s="398">
        <f t="shared" si="238"/>
        <v>4.9980192959371443</v>
      </c>
      <c r="AK550" s="398">
        <f t="shared" si="238"/>
        <v>4.9984154367497151</v>
      </c>
      <c r="AL550" s="398">
        <f t="shared" si="238"/>
        <v>4.9987323493997717</v>
      </c>
      <c r="AM550" s="398">
        <f t="shared" si="238"/>
        <v>4.9989858795198181</v>
      </c>
      <c r="AN550" s="398">
        <f t="shared" si="238"/>
        <v>4.9991887036158547</v>
      </c>
      <c r="AO550" s="264"/>
      <c r="AP550" s="354"/>
    </row>
    <row r="551" spans="2:42" x14ac:dyDescent="0.25">
      <c r="C551" s="21" t="s">
        <v>455</v>
      </c>
      <c r="D551" s="34" t="s">
        <v>162</v>
      </c>
      <c r="E551" s="398">
        <v>2</v>
      </c>
      <c r="F551" s="398">
        <f t="shared" ref="F551:AN551" si="239">E551*(1-F$539)+1</f>
        <v>2.6</v>
      </c>
      <c r="G551" s="398">
        <f t="shared" si="239"/>
        <v>3.08</v>
      </c>
      <c r="H551" s="398">
        <f t="shared" si="239"/>
        <v>3.4640000000000004</v>
      </c>
      <c r="I551" s="398">
        <f t="shared" si="239"/>
        <v>3.7712000000000003</v>
      </c>
      <c r="J551" s="398">
        <f t="shared" si="239"/>
        <v>4.016960000000001</v>
      </c>
      <c r="K551" s="398">
        <f t="shared" si="239"/>
        <v>4.2135680000000004</v>
      </c>
      <c r="L551" s="398">
        <f t="shared" si="239"/>
        <v>4.3708544000000007</v>
      </c>
      <c r="M551" s="398">
        <f t="shared" si="239"/>
        <v>4.4966835200000013</v>
      </c>
      <c r="N551" s="398">
        <f t="shared" si="239"/>
        <v>4.5973468160000017</v>
      </c>
      <c r="O551" s="398">
        <f t="shared" si="239"/>
        <v>4.6778774528000016</v>
      </c>
      <c r="P551" s="398">
        <f t="shared" si="239"/>
        <v>4.7423019622400009</v>
      </c>
      <c r="Q551" s="398">
        <f t="shared" si="239"/>
        <v>4.7938415697920007</v>
      </c>
      <c r="R551" s="398">
        <f t="shared" si="239"/>
        <v>4.8350732558336009</v>
      </c>
      <c r="S551" s="398">
        <f t="shared" si="239"/>
        <v>4.8680586046668815</v>
      </c>
      <c r="T551" s="398">
        <f t="shared" si="239"/>
        <v>4.8944468837335053</v>
      </c>
      <c r="U551" s="398">
        <f t="shared" si="239"/>
        <v>4.9155575069868043</v>
      </c>
      <c r="V551" s="398">
        <f t="shared" si="239"/>
        <v>4.9324460055894441</v>
      </c>
      <c r="W551" s="398">
        <f t="shared" si="239"/>
        <v>4.9459568044715549</v>
      </c>
      <c r="X551" s="398">
        <f t="shared" si="239"/>
        <v>4.9567654435772441</v>
      </c>
      <c r="Y551" s="398">
        <f t="shared" si="239"/>
        <v>4.9654123548617957</v>
      </c>
      <c r="Z551" s="398">
        <f t="shared" si="239"/>
        <v>4.9723298838894365</v>
      </c>
      <c r="AA551" s="398">
        <f t="shared" si="239"/>
        <v>4.9778639071115496</v>
      </c>
      <c r="AB551" s="398">
        <f t="shared" si="239"/>
        <v>4.9822911256892404</v>
      </c>
      <c r="AC551" s="398">
        <f t="shared" si="239"/>
        <v>4.9858329005513919</v>
      </c>
      <c r="AD551" s="398">
        <f t="shared" si="239"/>
        <v>4.9886663204411139</v>
      </c>
      <c r="AE551" s="398">
        <f t="shared" si="239"/>
        <v>4.9909330563528913</v>
      </c>
      <c r="AF551" s="398">
        <f t="shared" si="239"/>
        <v>4.9927464450823127</v>
      </c>
      <c r="AG551" s="398">
        <f t="shared" si="239"/>
        <v>4.9941971560658498</v>
      </c>
      <c r="AH551" s="398">
        <f t="shared" si="239"/>
        <v>4.9953577248526795</v>
      </c>
      <c r="AI551" s="398">
        <f t="shared" si="239"/>
        <v>4.9962861798821443</v>
      </c>
      <c r="AJ551" s="398">
        <f t="shared" si="239"/>
        <v>4.9970289439057156</v>
      </c>
      <c r="AK551" s="398">
        <f t="shared" si="239"/>
        <v>4.9976231551245727</v>
      </c>
      <c r="AL551" s="398">
        <f t="shared" si="239"/>
        <v>4.9980985240996585</v>
      </c>
      <c r="AM551" s="398">
        <f t="shared" si="239"/>
        <v>4.9984788192797271</v>
      </c>
      <c r="AN551" s="398">
        <f t="shared" si="239"/>
        <v>4.9987830554237824</v>
      </c>
      <c r="AO551" s="264"/>
      <c r="AP551" s="354"/>
    </row>
    <row r="552" spans="2:42" x14ac:dyDescent="0.25">
      <c r="C552" s="21" t="s">
        <v>393</v>
      </c>
      <c r="D552" s="34" t="s">
        <v>162</v>
      </c>
      <c r="E552" s="398">
        <v>1</v>
      </c>
      <c r="F552" s="398">
        <f t="shared" ref="F552:AN552" si="240">E552*(1-F$539)+1</f>
        <v>1.8</v>
      </c>
      <c r="G552" s="398">
        <f t="shared" si="240"/>
        <v>2.4400000000000004</v>
      </c>
      <c r="H552" s="398">
        <f t="shared" si="240"/>
        <v>2.9520000000000004</v>
      </c>
      <c r="I552" s="398">
        <f t="shared" si="240"/>
        <v>3.3616000000000006</v>
      </c>
      <c r="J552" s="398">
        <f t="shared" si="240"/>
        <v>3.6892800000000006</v>
      </c>
      <c r="K552" s="398">
        <f t="shared" si="240"/>
        <v>3.9514240000000007</v>
      </c>
      <c r="L552" s="398">
        <f t="shared" si="240"/>
        <v>4.1611392000000009</v>
      </c>
      <c r="M552" s="398">
        <f t="shared" si="240"/>
        <v>4.3289113600000011</v>
      </c>
      <c r="N552" s="398">
        <f t="shared" si="240"/>
        <v>4.4631290880000005</v>
      </c>
      <c r="O552" s="398">
        <f t="shared" si="240"/>
        <v>4.5705032704000006</v>
      </c>
      <c r="P552" s="398">
        <f t="shared" si="240"/>
        <v>4.6564026163200012</v>
      </c>
      <c r="Q552" s="398">
        <f t="shared" si="240"/>
        <v>4.7251220930560009</v>
      </c>
      <c r="R552" s="398">
        <f t="shared" si="240"/>
        <v>4.7800976744448009</v>
      </c>
      <c r="S552" s="398">
        <f t="shared" si="240"/>
        <v>4.8240781395558407</v>
      </c>
      <c r="T552" s="398">
        <f t="shared" si="240"/>
        <v>4.8592625116446726</v>
      </c>
      <c r="U552" s="398">
        <f t="shared" si="240"/>
        <v>4.8874100093157384</v>
      </c>
      <c r="V552" s="398">
        <f t="shared" si="240"/>
        <v>4.9099280074525904</v>
      </c>
      <c r="W552" s="398">
        <f t="shared" si="240"/>
        <v>4.9279424059620727</v>
      </c>
      <c r="X552" s="398">
        <f t="shared" si="240"/>
        <v>4.9423539247696588</v>
      </c>
      <c r="Y552" s="398">
        <f t="shared" si="240"/>
        <v>4.9538831398157273</v>
      </c>
      <c r="Z552" s="398">
        <f t="shared" si="240"/>
        <v>4.9631065118525814</v>
      </c>
      <c r="AA552" s="398">
        <f t="shared" si="240"/>
        <v>4.9704852094820655</v>
      </c>
      <c r="AB552" s="398">
        <f t="shared" si="240"/>
        <v>4.9763881675856521</v>
      </c>
      <c r="AC552" s="398">
        <f t="shared" si="240"/>
        <v>4.981110534068522</v>
      </c>
      <c r="AD552" s="398">
        <f t="shared" si="240"/>
        <v>4.984888427254818</v>
      </c>
      <c r="AE552" s="398">
        <f t="shared" si="240"/>
        <v>4.9879107418038551</v>
      </c>
      <c r="AF552" s="398">
        <f t="shared" si="240"/>
        <v>4.9903285934430848</v>
      </c>
      <c r="AG552" s="398">
        <f t="shared" si="240"/>
        <v>4.9922628747544682</v>
      </c>
      <c r="AH552" s="398">
        <f t="shared" si="240"/>
        <v>4.9938102998035747</v>
      </c>
      <c r="AI552" s="398">
        <f t="shared" si="240"/>
        <v>4.9950482398428599</v>
      </c>
      <c r="AJ552" s="398">
        <f t="shared" si="240"/>
        <v>4.9960385918742887</v>
      </c>
      <c r="AK552" s="398">
        <f t="shared" si="240"/>
        <v>4.9968308734994311</v>
      </c>
      <c r="AL552" s="398">
        <f t="shared" si="240"/>
        <v>4.9974646987995452</v>
      </c>
      <c r="AM552" s="398">
        <f t="shared" si="240"/>
        <v>4.9979717590396362</v>
      </c>
      <c r="AN552" s="398">
        <f t="shared" si="240"/>
        <v>4.9983774072317093</v>
      </c>
      <c r="AO552" s="264"/>
      <c r="AP552" s="354"/>
    </row>
    <row r="553" spans="2:42" x14ac:dyDescent="0.25">
      <c r="C553" s="22" t="s">
        <v>456</v>
      </c>
      <c r="D553" s="34" t="s">
        <v>162</v>
      </c>
      <c r="E553" s="399">
        <v>0</v>
      </c>
      <c r="F553" s="399">
        <f t="shared" ref="F553:AN553" si="241">E553*(1-F$539)+1</f>
        <v>1</v>
      </c>
      <c r="G553" s="399">
        <f t="shared" si="241"/>
        <v>1.8</v>
      </c>
      <c r="H553" s="399">
        <f t="shared" si="241"/>
        <v>2.4400000000000004</v>
      </c>
      <c r="I553" s="399">
        <f t="shared" si="241"/>
        <v>2.9520000000000004</v>
      </c>
      <c r="J553" s="399">
        <f t="shared" si="241"/>
        <v>3.3616000000000006</v>
      </c>
      <c r="K553" s="399">
        <f t="shared" si="241"/>
        <v>3.6892800000000006</v>
      </c>
      <c r="L553" s="399">
        <f t="shared" si="241"/>
        <v>3.9514240000000007</v>
      </c>
      <c r="M553" s="399">
        <f t="shared" si="241"/>
        <v>4.1611392000000009</v>
      </c>
      <c r="N553" s="399">
        <f t="shared" si="241"/>
        <v>4.3289113600000011</v>
      </c>
      <c r="O553" s="399">
        <f t="shared" si="241"/>
        <v>4.4631290880000005</v>
      </c>
      <c r="P553" s="399">
        <f t="shared" si="241"/>
        <v>4.5705032704000006</v>
      </c>
      <c r="Q553" s="399">
        <f t="shared" si="241"/>
        <v>4.6564026163200012</v>
      </c>
      <c r="R553" s="399">
        <f t="shared" si="241"/>
        <v>4.7251220930560009</v>
      </c>
      <c r="S553" s="399">
        <f t="shared" si="241"/>
        <v>4.7800976744448009</v>
      </c>
      <c r="T553" s="399">
        <f t="shared" si="241"/>
        <v>4.8240781395558407</v>
      </c>
      <c r="U553" s="399">
        <f t="shared" si="241"/>
        <v>4.8592625116446726</v>
      </c>
      <c r="V553" s="399">
        <f t="shared" si="241"/>
        <v>4.8874100093157384</v>
      </c>
      <c r="W553" s="399">
        <f t="shared" si="241"/>
        <v>4.9099280074525904</v>
      </c>
      <c r="X553" s="399">
        <f t="shared" si="241"/>
        <v>4.9279424059620727</v>
      </c>
      <c r="Y553" s="399">
        <f t="shared" si="241"/>
        <v>4.9423539247696588</v>
      </c>
      <c r="Z553" s="399">
        <f t="shared" si="241"/>
        <v>4.9538831398157273</v>
      </c>
      <c r="AA553" s="399">
        <f t="shared" si="241"/>
        <v>4.9631065118525814</v>
      </c>
      <c r="AB553" s="399">
        <f t="shared" si="241"/>
        <v>4.9704852094820655</v>
      </c>
      <c r="AC553" s="399">
        <f t="shared" si="241"/>
        <v>4.9763881675856521</v>
      </c>
      <c r="AD553" s="399">
        <f t="shared" si="241"/>
        <v>4.981110534068522</v>
      </c>
      <c r="AE553" s="399">
        <f t="shared" si="241"/>
        <v>4.984888427254818</v>
      </c>
      <c r="AF553" s="399">
        <f t="shared" si="241"/>
        <v>4.9879107418038551</v>
      </c>
      <c r="AG553" s="399">
        <f t="shared" si="241"/>
        <v>4.9903285934430848</v>
      </c>
      <c r="AH553" s="399">
        <f t="shared" si="241"/>
        <v>4.9922628747544682</v>
      </c>
      <c r="AI553" s="399">
        <f t="shared" si="241"/>
        <v>4.9938102998035747</v>
      </c>
      <c r="AJ553" s="399">
        <f t="shared" si="241"/>
        <v>4.9950482398428599</v>
      </c>
      <c r="AK553" s="399">
        <f t="shared" si="241"/>
        <v>4.9960385918742887</v>
      </c>
      <c r="AL553" s="399">
        <f t="shared" si="241"/>
        <v>4.9968308734994311</v>
      </c>
      <c r="AM553" s="399">
        <f t="shared" si="241"/>
        <v>4.9974646987995452</v>
      </c>
      <c r="AN553" s="399">
        <f t="shared" si="241"/>
        <v>4.9979717590396362</v>
      </c>
      <c r="AO553" s="264"/>
      <c r="AP553" s="403"/>
    </row>
    <row r="554" spans="2:42" x14ac:dyDescent="0.25">
      <c r="B554" s="99" t="s">
        <v>9</v>
      </c>
      <c r="C554" s="311" t="s">
        <v>628</v>
      </c>
      <c r="D554" s="318"/>
      <c r="E554" s="402"/>
      <c r="F554" s="402"/>
      <c r="G554" s="402"/>
      <c r="H554" s="402"/>
      <c r="I554" s="402"/>
      <c r="J554" s="402"/>
      <c r="K554" s="402"/>
      <c r="L554" s="402"/>
      <c r="M554" s="402"/>
      <c r="N554" s="402"/>
      <c r="O554" s="402"/>
      <c r="P554" s="402"/>
      <c r="Q554" s="402"/>
      <c r="R554" s="402"/>
      <c r="S554" s="402"/>
      <c r="T554" s="402"/>
      <c r="U554" s="402"/>
      <c r="V554" s="402"/>
      <c r="W554" s="402"/>
      <c r="X554" s="402"/>
      <c r="Y554" s="402"/>
      <c r="Z554" s="402"/>
      <c r="AA554" s="402"/>
      <c r="AB554" s="402"/>
      <c r="AC554" s="402"/>
      <c r="AD554" s="402"/>
      <c r="AE554" s="402"/>
      <c r="AF554" s="402"/>
      <c r="AG554" s="402"/>
      <c r="AH554" s="402"/>
      <c r="AI554" s="402"/>
      <c r="AJ554" s="402"/>
      <c r="AK554" s="402"/>
      <c r="AL554" s="402"/>
      <c r="AM554" s="402"/>
      <c r="AN554" s="402"/>
      <c r="AO554" s="404"/>
      <c r="AP554" s="402"/>
    </row>
    <row r="555" spans="2:42" x14ac:dyDescent="0.25">
      <c r="C555" s="20" t="s">
        <v>600</v>
      </c>
      <c r="D555" s="34" t="s">
        <v>162</v>
      </c>
      <c r="E555" s="397">
        <v>5</v>
      </c>
      <c r="F555" s="397">
        <f>E555*(1-F$539)+1</f>
        <v>5</v>
      </c>
      <c r="G555" s="397">
        <f t="shared" ref="G555:AN555" si="242">F555*(1-G$539)+1</f>
        <v>5</v>
      </c>
      <c r="H555" s="397">
        <f t="shared" si="242"/>
        <v>5</v>
      </c>
      <c r="I555" s="397">
        <f t="shared" si="242"/>
        <v>5</v>
      </c>
      <c r="J555" s="397">
        <f t="shared" si="242"/>
        <v>5</v>
      </c>
      <c r="K555" s="397">
        <f t="shared" si="242"/>
        <v>5</v>
      </c>
      <c r="L555" s="397">
        <f t="shared" si="242"/>
        <v>5</v>
      </c>
      <c r="M555" s="397">
        <f t="shared" si="242"/>
        <v>5</v>
      </c>
      <c r="N555" s="397">
        <f t="shared" si="242"/>
        <v>5</v>
      </c>
      <c r="O555" s="397">
        <f t="shared" si="242"/>
        <v>5</v>
      </c>
      <c r="P555" s="397">
        <f t="shared" si="242"/>
        <v>5</v>
      </c>
      <c r="Q555" s="397">
        <f t="shared" si="242"/>
        <v>5</v>
      </c>
      <c r="R555" s="397">
        <f t="shared" si="242"/>
        <v>5</v>
      </c>
      <c r="S555" s="397">
        <f t="shared" si="242"/>
        <v>5</v>
      </c>
      <c r="T555" s="397">
        <f t="shared" si="242"/>
        <v>5</v>
      </c>
      <c r="U555" s="397">
        <f t="shared" si="242"/>
        <v>5</v>
      </c>
      <c r="V555" s="397">
        <f t="shared" si="242"/>
        <v>5</v>
      </c>
      <c r="W555" s="397">
        <f t="shared" si="242"/>
        <v>5</v>
      </c>
      <c r="X555" s="397">
        <f t="shared" si="242"/>
        <v>5</v>
      </c>
      <c r="Y555" s="397">
        <f t="shared" si="242"/>
        <v>5</v>
      </c>
      <c r="Z555" s="397">
        <f t="shared" si="242"/>
        <v>5</v>
      </c>
      <c r="AA555" s="397">
        <f t="shared" si="242"/>
        <v>5</v>
      </c>
      <c r="AB555" s="397">
        <f t="shared" si="242"/>
        <v>5</v>
      </c>
      <c r="AC555" s="397">
        <f t="shared" si="242"/>
        <v>5</v>
      </c>
      <c r="AD555" s="397">
        <f t="shared" si="242"/>
        <v>5</v>
      </c>
      <c r="AE555" s="397">
        <f t="shared" si="242"/>
        <v>5</v>
      </c>
      <c r="AF555" s="397">
        <f t="shared" si="242"/>
        <v>5</v>
      </c>
      <c r="AG555" s="397">
        <f t="shared" si="242"/>
        <v>5</v>
      </c>
      <c r="AH555" s="397">
        <f t="shared" si="242"/>
        <v>5</v>
      </c>
      <c r="AI555" s="397">
        <f t="shared" si="242"/>
        <v>5</v>
      </c>
      <c r="AJ555" s="397">
        <f t="shared" si="242"/>
        <v>5</v>
      </c>
      <c r="AK555" s="397">
        <f t="shared" si="242"/>
        <v>5</v>
      </c>
      <c r="AL555" s="397">
        <f t="shared" si="242"/>
        <v>5</v>
      </c>
      <c r="AM555" s="397">
        <f t="shared" si="242"/>
        <v>5</v>
      </c>
      <c r="AN555" s="397">
        <f t="shared" si="242"/>
        <v>5</v>
      </c>
      <c r="AO555" s="264"/>
      <c r="AP555" s="352"/>
    </row>
    <row r="556" spans="2:42" x14ac:dyDescent="0.25">
      <c r="C556" s="20" t="s">
        <v>392</v>
      </c>
      <c r="D556" s="34" t="s">
        <v>162</v>
      </c>
      <c r="E556" s="398">
        <v>4</v>
      </c>
      <c r="F556" s="398">
        <f t="shared" ref="F556:AN556" si="243">E556*(1-F$539)+1</f>
        <v>4.2</v>
      </c>
      <c r="G556" s="398">
        <f t="shared" si="243"/>
        <v>4.3600000000000003</v>
      </c>
      <c r="H556" s="398">
        <f t="shared" si="243"/>
        <v>4.4880000000000004</v>
      </c>
      <c r="I556" s="398">
        <f t="shared" si="243"/>
        <v>4.5904000000000007</v>
      </c>
      <c r="J556" s="398">
        <f t="shared" si="243"/>
        <v>4.6723200000000009</v>
      </c>
      <c r="K556" s="398">
        <f t="shared" si="243"/>
        <v>4.7378560000000007</v>
      </c>
      <c r="L556" s="398">
        <f t="shared" si="243"/>
        <v>4.7902848000000002</v>
      </c>
      <c r="M556" s="398">
        <f t="shared" si="243"/>
        <v>4.8322278399999998</v>
      </c>
      <c r="N556" s="398">
        <f t="shared" si="243"/>
        <v>4.8657822720000006</v>
      </c>
      <c r="O556" s="398">
        <f t="shared" si="243"/>
        <v>4.8926258176000008</v>
      </c>
      <c r="P556" s="398">
        <f t="shared" si="243"/>
        <v>4.9141006540800003</v>
      </c>
      <c r="Q556" s="398">
        <f t="shared" si="243"/>
        <v>4.9312805232640002</v>
      </c>
      <c r="R556" s="398">
        <f t="shared" si="243"/>
        <v>4.9450244186112009</v>
      </c>
      <c r="S556" s="398">
        <f t="shared" si="243"/>
        <v>4.9560195348889611</v>
      </c>
      <c r="T556" s="398">
        <f t="shared" si="243"/>
        <v>4.964815627911169</v>
      </c>
      <c r="U556" s="398">
        <f t="shared" si="243"/>
        <v>4.9718525023289359</v>
      </c>
      <c r="V556" s="398">
        <f t="shared" si="243"/>
        <v>4.9774820018631489</v>
      </c>
      <c r="W556" s="398">
        <f t="shared" si="243"/>
        <v>4.9819856014905195</v>
      </c>
      <c r="X556" s="398">
        <f t="shared" si="243"/>
        <v>4.9855884811924156</v>
      </c>
      <c r="Y556" s="398">
        <f t="shared" si="243"/>
        <v>4.9884707849539325</v>
      </c>
      <c r="Z556" s="398">
        <f t="shared" si="243"/>
        <v>4.9907766279631467</v>
      </c>
      <c r="AA556" s="398">
        <f t="shared" si="243"/>
        <v>4.9926213023705177</v>
      </c>
      <c r="AB556" s="398">
        <f t="shared" si="243"/>
        <v>4.9940970418964143</v>
      </c>
      <c r="AC556" s="398">
        <f t="shared" si="243"/>
        <v>4.9952776335171318</v>
      </c>
      <c r="AD556" s="398">
        <f t="shared" si="243"/>
        <v>4.9962221068137058</v>
      </c>
      <c r="AE556" s="398">
        <f t="shared" si="243"/>
        <v>4.9969776854509647</v>
      </c>
      <c r="AF556" s="398">
        <f t="shared" si="243"/>
        <v>4.9975821483607721</v>
      </c>
      <c r="AG556" s="398">
        <f t="shared" si="243"/>
        <v>4.9980657186886184</v>
      </c>
      <c r="AH556" s="398">
        <f t="shared" si="243"/>
        <v>4.9984525749508943</v>
      </c>
      <c r="AI556" s="398">
        <f t="shared" si="243"/>
        <v>4.9987620599607157</v>
      </c>
      <c r="AJ556" s="398">
        <f t="shared" si="243"/>
        <v>4.9990096479685722</v>
      </c>
      <c r="AK556" s="398">
        <f t="shared" si="243"/>
        <v>4.9992077183748584</v>
      </c>
      <c r="AL556" s="398">
        <f t="shared" si="243"/>
        <v>4.9993661746998868</v>
      </c>
      <c r="AM556" s="398">
        <f t="shared" si="243"/>
        <v>4.999492939759909</v>
      </c>
      <c r="AN556" s="398">
        <f t="shared" si="243"/>
        <v>4.9995943518079269</v>
      </c>
      <c r="AO556" s="264"/>
      <c r="AP556" s="354"/>
    </row>
    <row r="557" spans="2:42" x14ac:dyDescent="0.25">
      <c r="C557" s="20" t="s">
        <v>454</v>
      </c>
      <c r="D557" s="34" t="s">
        <v>162</v>
      </c>
      <c r="E557" s="398">
        <v>3</v>
      </c>
      <c r="F557" s="398">
        <f t="shared" ref="F557:AN557" si="244">E557*(1-F$539)+1</f>
        <v>3.4000000000000004</v>
      </c>
      <c r="G557" s="398">
        <f t="shared" si="244"/>
        <v>3.7200000000000006</v>
      </c>
      <c r="H557" s="398">
        <f t="shared" si="244"/>
        <v>3.9760000000000009</v>
      </c>
      <c r="I557" s="398">
        <f t="shared" si="244"/>
        <v>4.1808000000000014</v>
      </c>
      <c r="J557" s="398">
        <f t="shared" si="244"/>
        <v>4.3446400000000018</v>
      </c>
      <c r="K557" s="398">
        <f t="shared" si="244"/>
        <v>4.4757120000000015</v>
      </c>
      <c r="L557" s="398">
        <f t="shared" si="244"/>
        <v>4.5805696000000014</v>
      </c>
      <c r="M557" s="398">
        <f t="shared" si="244"/>
        <v>4.6644556800000014</v>
      </c>
      <c r="N557" s="398">
        <f t="shared" si="244"/>
        <v>4.7315645440000011</v>
      </c>
      <c r="O557" s="398">
        <f t="shared" si="244"/>
        <v>4.7852516352000016</v>
      </c>
      <c r="P557" s="398">
        <f t="shared" si="244"/>
        <v>4.8282013081600015</v>
      </c>
      <c r="Q557" s="398">
        <f t="shared" si="244"/>
        <v>4.8625610465280014</v>
      </c>
      <c r="R557" s="398">
        <f t="shared" si="244"/>
        <v>4.8900488372224018</v>
      </c>
      <c r="S557" s="398">
        <f t="shared" si="244"/>
        <v>4.9120390697779222</v>
      </c>
      <c r="T557" s="398">
        <f t="shared" si="244"/>
        <v>4.9296312558223381</v>
      </c>
      <c r="U557" s="398">
        <f t="shared" si="244"/>
        <v>4.9437050046578701</v>
      </c>
      <c r="V557" s="398">
        <f t="shared" si="244"/>
        <v>4.9549640037262961</v>
      </c>
      <c r="W557" s="398">
        <f t="shared" si="244"/>
        <v>4.9639712029810372</v>
      </c>
      <c r="X557" s="398">
        <f t="shared" si="244"/>
        <v>4.9711769623848294</v>
      </c>
      <c r="Y557" s="398">
        <f t="shared" si="244"/>
        <v>4.9769415699078632</v>
      </c>
      <c r="Z557" s="398">
        <f t="shared" si="244"/>
        <v>4.9815532559262907</v>
      </c>
      <c r="AA557" s="398">
        <f t="shared" si="244"/>
        <v>4.9852426047410328</v>
      </c>
      <c r="AB557" s="398">
        <f t="shared" si="244"/>
        <v>4.9881940837928269</v>
      </c>
      <c r="AC557" s="398">
        <f t="shared" si="244"/>
        <v>4.9905552670342619</v>
      </c>
      <c r="AD557" s="398">
        <f t="shared" si="244"/>
        <v>4.9924442136274099</v>
      </c>
      <c r="AE557" s="398">
        <f t="shared" si="244"/>
        <v>4.9939553709019275</v>
      </c>
      <c r="AF557" s="398">
        <f t="shared" si="244"/>
        <v>4.9951642967215424</v>
      </c>
      <c r="AG557" s="398">
        <f t="shared" si="244"/>
        <v>4.9961314373772341</v>
      </c>
      <c r="AH557" s="398">
        <f t="shared" si="244"/>
        <v>4.9969051499017869</v>
      </c>
      <c r="AI557" s="398">
        <f t="shared" si="244"/>
        <v>4.9975241199214295</v>
      </c>
      <c r="AJ557" s="398">
        <f t="shared" si="244"/>
        <v>4.9980192959371443</v>
      </c>
      <c r="AK557" s="398">
        <f t="shared" si="244"/>
        <v>4.9984154367497151</v>
      </c>
      <c r="AL557" s="398">
        <f t="shared" si="244"/>
        <v>4.9987323493997717</v>
      </c>
      <c r="AM557" s="398">
        <f t="shared" si="244"/>
        <v>4.9989858795198181</v>
      </c>
      <c r="AN557" s="398">
        <f t="shared" si="244"/>
        <v>4.9991887036158547</v>
      </c>
      <c r="AO557" s="264"/>
      <c r="AP557" s="354"/>
    </row>
    <row r="558" spans="2:42" x14ac:dyDescent="0.25">
      <c r="C558" s="21" t="s">
        <v>455</v>
      </c>
      <c r="D558" s="34" t="s">
        <v>162</v>
      </c>
      <c r="E558" s="398">
        <v>2</v>
      </c>
      <c r="F558" s="398">
        <f t="shared" ref="F558:AN558" si="245">E558*(1-F$539)+1</f>
        <v>2.6</v>
      </c>
      <c r="G558" s="398">
        <f t="shared" si="245"/>
        <v>3.08</v>
      </c>
      <c r="H558" s="398">
        <f t="shared" si="245"/>
        <v>3.4640000000000004</v>
      </c>
      <c r="I558" s="398">
        <f t="shared" si="245"/>
        <v>3.7712000000000003</v>
      </c>
      <c r="J558" s="398">
        <f t="shared" si="245"/>
        <v>4.016960000000001</v>
      </c>
      <c r="K558" s="398">
        <f t="shared" si="245"/>
        <v>4.2135680000000004</v>
      </c>
      <c r="L558" s="398">
        <f t="shared" si="245"/>
        <v>4.3708544000000007</v>
      </c>
      <c r="M558" s="398">
        <f t="shared" si="245"/>
        <v>4.4966835200000013</v>
      </c>
      <c r="N558" s="398">
        <f t="shared" si="245"/>
        <v>4.5973468160000017</v>
      </c>
      <c r="O558" s="398">
        <f t="shared" si="245"/>
        <v>4.6778774528000016</v>
      </c>
      <c r="P558" s="398">
        <f t="shared" si="245"/>
        <v>4.7423019622400009</v>
      </c>
      <c r="Q558" s="398">
        <f t="shared" si="245"/>
        <v>4.7938415697920007</v>
      </c>
      <c r="R558" s="398">
        <f t="shared" si="245"/>
        <v>4.8350732558336009</v>
      </c>
      <c r="S558" s="398">
        <f t="shared" si="245"/>
        <v>4.8680586046668815</v>
      </c>
      <c r="T558" s="398">
        <f t="shared" si="245"/>
        <v>4.8944468837335053</v>
      </c>
      <c r="U558" s="398">
        <f t="shared" si="245"/>
        <v>4.9155575069868043</v>
      </c>
      <c r="V558" s="398">
        <f t="shared" si="245"/>
        <v>4.9324460055894441</v>
      </c>
      <c r="W558" s="398">
        <f t="shared" si="245"/>
        <v>4.9459568044715549</v>
      </c>
      <c r="X558" s="398">
        <f t="shared" si="245"/>
        <v>4.9567654435772441</v>
      </c>
      <c r="Y558" s="398">
        <f t="shared" si="245"/>
        <v>4.9654123548617957</v>
      </c>
      <c r="Z558" s="398">
        <f t="shared" si="245"/>
        <v>4.9723298838894365</v>
      </c>
      <c r="AA558" s="398">
        <f t="shared" si="245"/>
        <v>4.9778639071115496</v>
      </c>
      <c r="AB558" s="398">
        <f t="shared" si="245"/>
        <v>4.9822911256892404</v>
      </c>
      <c r="AC558" s="398">
        <f t="shared" si="245"/>
        <v>4.9858329005513919</v>
      </c>
      <c r="AD558" s="398">
        <f t="shared" si="245"/>
        <v>4.9886663204411139</v>
      </c>
      <c r="AE558" s="398">
        <f t="shared" si="245"/>
        <v>4.9909330563528913</v>
      </c>
      <c r="AF558" s="398">
        <f t="shared" si="245"/>
        <v>4.9927464450823127</v>
      </c>
      <c r="AG558" s="398">
        <f t="shared" si="245"/>
        <v>4.9941971560658498</v>
      </c>
      <c r="AH558" s="398">
        <f t="shared" si="245"/>
        <v>4.9953577248526795</v>
      </c>
      <c r="AI558" s="398">
        <f t="shared" si="245"/>
        <v>4.9962861798821443</v>
      </c>
      <c r="AJ558" s="398">
        <f t="shared" si="245"/>
        <v>4.9970289439057156</v>
      </c>
      <c r="AK558" s="398">
        <f t="shared" si="245"/>
        <v>4.9976231551245727</v>
      </c>
      <c r="AL558" s="398">
        <f t="shared" si="245"/>
        <v>4.9980985240996585</v>
      </c>
      <c r="AM558" s="398">
        <f t="shared" si="245"/>
        <v>4.9984788192797271</v>
      </c>
      <c r="AN558" s="398">
        <f t="shared" si="245"/>
        <v>4.9987830554237824</v>
      </c>
      <c r="AO558" s="264"/>
      <c r="AP558" s="354"/>
    </row>
    <row r="559" spans="2:42" x14ac:dyDescent="0.25">
      <c r="C559" s="21" t="s">
        <v>393</v>
      </c>
      <c r="D559" s="34" t="s">
        <v>162</v>
      </c>
      <c r="E559" s="398">
        <v>1</v>
      </c>
      <c r="F559" s="398">
        <f t="shared" ref="F559:AN559" si="246">E559*(1-F$539)+1</f>
        <v>1.8</v>
      </c>
      <c r="G559" s="398">
        <f t="shared" si="246"/>
        <v>2.4400000000000004</v>
      </c>
      <c r="H559" s="398">
        <f t="shared" si="246"/>
        <v>2.9520000000000004</v>
      </c>
      <c r="I559" s="398">
        <f t="shared" si="246"/>
        <v>3.3616000000000006</v>
      </c>
      <c r="J559" s="398">
        <f t="shared" si="246"/>
        <v>3.6892800000000006</v>
      </c>
      <c r="K559" s="398">
        <f t="shared" si="246"/>
        <v>3.9514240000000007</v>
      </c>
      <c r="L559" s="398">
        <f t="shared" si="246"/>
        <v>4.1611392000000009</v>
      </c>
      <c r="M559" s="398">
        <f t="shared" si="246"/>
        <v>4.3289113600000011</v>
      </c>
      <c r="N559" s="398">
        <f t="shared" si="246"/>
        <v>4.4631290880000005</v>
      </c>
      <c r="O559" s="398">
        <f t="shared" si="246"/>
        <v>4.5705032704000006</v>
      </c>
      <c r="P559" s="398">
        <f t="shared" si="246"/>
        <v>4.6564026163200012</v>
      </c>
      <c r="Q559" s="398">
        <f t="shared" si="246"/>
        <v>4.7251220930560009</v>
      </c>
      <c r="R559" s="398">
        <f t="shared" si="246"/>
        <v>4.7800976744448009</v>
      </c>
      <c r="S559" s="398">
        <f t="shared" si="246"/>
        <v>4.8240781395558407</v>
      </c>
      <c r="T559" s="398">
        <f t="shared" si="246"/>
        <v>4.8592625116446726</v>
      </c>
      <c r="U559" s="398">
        <f t="shared" si="246"/>
        <v>4.8874100093157384</v>
      </c>
      <c r="V559" s="398">
        <f t="shared" si="246"/>
        <v>4.9099280074525904</v>
      </c>
      <c r="W559" s="398">
        <f t="shared" si="246"/>
        <v>4.9279424059620727</v>
      </c>
      <c r="X559" s="398">
        <f t="shared" si="246"/>
        <v>4.9423539247696588</v>
      </c>
      <c r="Y559" s="398">
        <f t="shared" si="246"/>
        <v>4.9538831398157273</v>
      </c>
      <c r="Z559" s="398">
        <f t="shared" si="246"/>
        <v>4.9631065118525814</v>
      </c>
      <c r="AA559" s="398">
        <f t="shared" si="246"/>
        <v>4.9704852094820655</v>
      </c>
      <c r="AB559" s="398">
        <f t="shared" si="246"/>
        <v>4.9763881675856521</v>
      </c>
      <c r="AC559" s="398">
        <f t="shared" si="246"/>
        <v>4.981110534068522</v>
      </c>
      <c r="AD559" s="398">
        <f t="shared" si="246"/>
        <v>4.984888427254818</v>
      </c>
      <c r="AE559" s="398">
        <f t="shared" si="246"/>
        <v>4.9879107418038551</v>
      </c>
      <c r="AF559" s="398">
        <f t="shared" si="246"/>
        <v>4.9903285934430848</v>
      </c>
      <c r="AG559" s="398">
        <f t="shared" si="246"/>
        <v>4.9922628747544682</v>
      </c>
      <c r="AH559" s="398">
        <f t="shared" si="246"/>
        <v>4.9938102998035747</v>
      </c>
      <c r="AI559" s="398">
        <f t="shared" si="246"/>
        <v>4.9950482398428599</v>
      </c>
      <c r="AJ559" s="398">
        <f t="shared" si="246"/>
        <v>4.9960385918742887</v>
      </c>
      <c r="AK559" s="398">
        <f t="shared" si="246"/>
        <v>4.9968308734994311</v>
      </c>
      <c r="AL559" s="398">
        <f t="shared" si="246"/>
        <v>4.9974646987995452</v>
      </c>
      <c r="AM559" s="398">
        <f t="shared" si="246"/>
        <v>4.9979717590396362</v>
      </c>
      <c r="AN559" s="398">
        <f t="shared" si="246"/>
        <v>4.9983774072317093</v>
      </c>
      <c r="AO559" s="264"/>
      <c r="AP559" s="354"/>
    </row>
    <row r="560" spans="2:42" x14ac:dyDescent="0.25">
      <c r="C560" s="22" t="s">
        <v>456</v>
      </c>
      <c r="D560" s="34" t="s">
        <v>162</v>
      </c>
      <c r="E560" s="399">
        <v>0</v>
      </c>
      <c r="F560" s="399">
        <f t="shared" ref="F560:AN560" si="247">E560*(1-F$539)+1</f>
        <v>1</v>
      </c>
      <c r="G560" s="399">
        <f t="shared" si="247"/>
        <v>1.8</v>
      </c>
      <c r="H560" s="399">
        <f t="shared" si="247"/>
        <v>2.4400000000000004</v>
      </c>
      <c r="I560" s="399">
        <f t="shared" si="247"/>
        <v>2.9520000000000004</v>
      </c>
      <c r="J560" s="399">
        <f t="shared" si="247"/>
        <v>3.3616000000000006</v>
      </c>
      <c r="K560" s="399">
        <f t="shared" si="247"/>
        <v>3.6892800000000006</v>
      </c>
      <c r="L560" s="399">
        <f t="shared" si="247"/>
        <v>3.9514240000000007</v>
      </c>
      <c r="M560" s="399">
        <f t="shared" si="247"/>
        <v>4.1611392000000009</v>
      </c>
      <c r="N560" s="399">
        <f t="shared" si="247"/>
        <v>4.3289113600000011</v>
      </c>
      <c r="O560" s="399">
        <f t="shared" si="247"/>
        <v>4.4631290880000005</v>
      </c>
      <c r="P560" s="399">
        <f t="shared" si="247"/>
        <v>4.5705032704000006</v>
      </c>
      <c r="Q560" s="399">
        <f t="shared" si="247"/>
        <v>4.6564026163200012</v>
      </c>
      <c r="R560" s="399">
        <f t="shared" si="247"/>
        <v>4.7251220930560009</v>
      </c>
      <c r="S560" s="399">
        <f t="shared" si="247"/>
        <v>4.7800976744448009</v>
      </c>
      <c r="T560" s="399">
        <f t="shared" si="247"/>
        <v>4.8240781395558407</v>
      </c>
      <c r="U560" s="399">
        <f t="shared" si="247"/>
        <v>4.8592625116446726</v>
      </c>
      <c r="V560" s="399">
        <f t="shared" si="247"/>
        <v>4.8874100093157384</v>
      </c>
      <c r="W560" s="399">
        <f t="shared" si="247"/>
        <v>4.9099280074525904</v>
      </c>
      <c r="X560" s="399">
        <f t="shared" si="247"/>
        <v>4.9279424059620727</v>
      </c>
      <c r="Y560" s="399">
        <f t="shared" si="247"/>
        <v>4.9423539247696588</v>
      </c>
      <c r="Z560" s="399">
        <f t="shared" si="247"/>
        <v>4.9538831398157273</v>
      </c>
      <c r="AA560" s="399">
        <f t="shared" si="247"/>
        <v>4.9631065118525814</v>
      </c>
      <c r="AB560" s="399">
        <f t="shared" si="247"/>
        <v>4.9704852094820655</v>
      </c>
      <c r="AC560" s="399">
        <f t="shared" si="247"/>
        <v>4.9763881675856521</v>
      </c>
      <c r="AD560" s="399">
        <f t="shared" si="247"/>
        <v>4.981110534068522</v>
      </c>
      <c r="AE560" s="399">
        <f t="shared" si="247"/>
        <v>4.984888427254818</v>
      </c>
      <c r="AF560" s="399">
        <f t="shared" si="247"/>
        <v>4.9879107418038551</v>
      </c>
      <c r="AG560" s="399">
        <f t="shared" si="247"/>
        <v>4.9903285934430848</v>
      </c>
      <c r="AH560" s="399">
        <f t="shared" si="247"/>
        <v>4.9922628747544682</v>
      </c>
      <c r="AI560" s="399">
        <f t="shared" si="247"/>
        <v>4.9938102998035747</v>
      </c>
      <c r="AJ560" s="399">
        <f t="shared" si="247"/>
        <v>4.9950482398428599</v>
      </c>
      <c r="AK560" s="399">
        <f t="shared" si="247"/>
        <v>4.9960385918742887</v>
      </c>
      <c r="AL560" s="399">
        <f t="shared" si="247"/>
        <v>4.9968308734994311</v>
      </c>
      <c r="AM560" s="399">
        <f t="shared" si="247"/>
        <v>4.9974646987995452</v>
      </c>
      <c r="AN560" s="399">
        <f t="shared" si="247"/>
        <v>4.9979717590396362</v>
      </c>
      <c r="AO560" s="264"/>
      <c r="AP560" s="403"/>
    </row>
    <row r="561" spans="2:42" x14ac:dyDescent="0.25">
      <c r="B561" s="99" t="s">
        <v>9</v>
      </c>
      <c r="C561" s="311" t="s">
        <v>629</v>
      </c>
      <c r="D561" s="318"/>
      <c r="E561" s="402"/>
      <c r="F561" s="402"/>
      <c r="G561" s="402"/>
      <c r="H561" s="402"/>
      <c r="I561" s="402"/>
      <c r="J561" s="402"/>
      <c r="K561" s="402"/>
      <c r="L561" s="402"/>
      <c r="M561" s="402"/>
      <c r="N561" s="402"/>
      <c r="O561" s="402"/>
      <c r="P561" s="402"/>
      <c r="Q561" s="402"/>
      <c r="R561" s="402"/>
      <c r="S561" s="402"/>
      <c r="T561" s="402"/>
      <c r="U561" s="402"/>
      <c r="V561" s="402"/>
      <c r="W561" s="402"/>
      <c r="X561" s="402"/>
      <c r="Y561" s="402"/>
      <c r="Z561" s="402"/>
      <c r="AA561" s="402"/>
      <c r="AB561" s="402"/>
      <c r="AC561" s="402"/>
      <c r="AD561" s="402"/>
      <c r="AE561" s="402"/>
      <c r="AF561" s="402"/>
      <c r="AG561" s="402"/>
      <c r="AH561" s="402"/>
      <c r="AI561" s="402"/>
      <c r="AJ561" s="402"/>
      <c r="AK561" s="402"/>
      <c r="AL561" s="402"/>
      <c r="AM561" s="402"/>
      <c r="AN561" s="402"/>
      <c r="AO561" s="404"/>
      <c r="AP561" s="402"/>
    </row>
    <row r="562" spans="2:42" x14ac:dyDescent="0.25">
      <c r="C562" s="20" t="s">
        <v>600</v>
      </c>
      <c r="D562" s="34" t="s">
        <v>162</v>
      </c>
      <c r="E562" s="397">
        <v>5</v>
      </c>
      <c r="F562" s="397">
        <f>E562*(1-F$539)+1</f>
        <v>5</v>
      </c>
      <c r="G562" s="397">
        <f t="shared" ref="G562:AN562" si="248">F562*(1-G$539)+1</f>
        <v>5</v>
      </c>
      <c r="H562" s="397">
        <f t="shared" si="248"/>
        <v>5</v>
      </c>
      <c r="I562" s="397">
        <f t="shared" si="248"/>
        <v>5</v>
      </c>
      <c r="J562" s="397">
        <f t="shared" si="248"/>
        <v>5</v>
      </c>
      <c r="K562" s="397">
        <f t="shared" si="248"/>
        <v>5</v>
      </c>
      <c r="L562" s="397">
        <f t="shared" si="248"/>
        <v>5</v>
      </c>
      <c r="M562" s="397">
        <f t="shared" si="248"/>
        <v>5</v>
      </c>
      <c r="N562" s="397">
        <f t="shared" si="248"/>
        <v>5</v>
      </c>
      <c r="O562" s="397">
        <f t="shared" si="248"/>
        <v>5</v>
      </c>
      <c r="P562" s="397">
        <f t="shared" si="248"/>
        <v>5</v>
      </c>
      <c r="Q562" s="397">
        <f t="shared" si="248"/>
        <v>5</v>
      </c>
      <c r="R562" s="397">
        <f t="shared" si="248"/>
        <v>5</v>
      </c>
      <c r="S562" s="397">
        <f t="shared" si="248"/>
        <v>5</v>
      </c>
      <c r="T562" s="397">
        <f t="shared" si="248"/>
        <v>5</v>
      </c>
      <c r="U562" s="397">
        <f t="shared" si="248"/>
        <v>5</v>
      </c>
      <c r="V562" s="397">
        <f t="shared" si="248"/>
        <v>5</v>
      </c>
      <c r="W562" s="397">
        <f t="shared" si="248"/>
        <v>5</v>
      </c>
      <c r="X562" s="397">
        <f t="shared" si="248"/>
        <v>5</v>
      </c>
      <c r="Y562" s="397">
        <f t="shared" si="248"/>
        <v>5</v>
      </c>
      <c r="Z562" s="397">
        <f t="shared" si="248"/>
        <v>5</v>
      </c>
      <c r="AA562" s="397">
        <f t="shared" si="248"/>
        <v>5</v>
      </c>
      <c r="AB562" s="397">
        <f t="shared" si="248"/>
        <v>5</v>
      </c>
      <c r="AC562" s="397">
        <f t="shared" si="248"/>
        <v>5</v>
      </c>
      <c r="AD562" s="397">
        <f t="shared" si="248"/>
        <v>5</v>
      </c>
      <c r="AE562" s="397">
        <f t="shared" si="248"/>
        <v>5</v>
      </c>
      <c r="AF562" s="397">
        <f t="shared" si="248"/>
        <v>5</v>
      </c>
      <c r="AG562" s="397">
        <f t="shared" si="248"/>
        <v>5</v>
      </c>
      <c r="AH562" s="397">
        <f t="shared" si="248"/>
        <v>5</v>
      </c>
      <c r="AI562" s="397">
        <f t="shared" si="248"/>
        <v>5</v>
      </c>
      <c r="AJ562" s="397">
        <f t="shared" si="248"/>
        <v>5</v>
      </c>
      <c r="AK562" s="397">
        <f t="shared" si="248"/>
        <v>5</v>
      </c>
      <c r="AL562" s="397">
        <f t="shared" si="248"/>
        <v>5</v>
      </c>
      <c r="AM562" s="397">
        <f t="shared" si="248"/>
        <v>5</v>
      </c>
      <c r="AN562" s="397">
        <f t="shared" si="248"/>
        <v>5</v>
      </c>
      <c r="AO562" s="264"/>
      <c r="AP562" s="352"/>
    </row>
    <row r="563" spans="2:42" x14ac:dyDescent="0.25">
      <c r="C563" s="20" t="s">
        <v>392</v>
      </c>
      <c r="D563" s="34" t="s">
        <v>162</v>
      </c>
      <c r="E563" s="398">
        <v>4</v>
      </c>
      <c r="F563" s="398">
        <f t="shared" ref="F563:AN563" si="249">E563*(1-F$539)+1</f>
        <v>4.2</v>
      </c>
      <c r="G563" s="398">
        <f t="shared" si="249"/>
        <v>4.3600000000000003</v>
      </c>
      <c r="H563" s="398">
        <f t="shared" si="249"/>
        <v>4.4880000000000004</v>
      </c>
      <c r="I563" s="398">
        <f t="shared" si="249"/>
        <v>4.5904000000000007</v>
      </c>
      <c r="J563" s="398">
        <f t="shared" si="249"/>
        <v>4.6723200000000009</v>
      </c>
      <c r="K563" s="398">
        <f t="shared" si="249"/>
        <v>4.7378560000000007</v>
      </c>
      <c r="L563" s="398">
        <f t="shared" si="249"/>
        <v>4.7902848000000002</v>
      </c>
      <c r="M563" s="398">
        <f t="shared" si="249"/>
        <v>4.8322278399999998</v>
      </c>
      <c r="N563" s="398">
        <f t="shared" si="249"/>
        <v>4.8657822720000006</v>
      </c>
      <c r="O563" s="398">
        <f t="shared" si="249"/>
        <v>4.8926258176000008</v>
      </c>
      <c r="P563" s="398">
        <f t="shared" si="249"/>
        <v>4.9141006540800003</v>
      </c>
      <c r="Q563" s="398">
        <f t="shared" si="249"/>
        <v>4.9312805232640002</v>
      </c>
      <c r="R563" s="398">
        <f t="shared" si="249"/>
        <v>4.9450244186112009</v>
      </c>
      <c r="S563" s="398">
        <f t="shared" si="249"/>
        <v>4.9560195348889611</v>
      </c>
      <c r="T563" s="398">
        <f t="shared" si="249"/>
        <v>4.964815627911169</v>
      </c>
      <c r="U563" s="398">
        <f t="shared" si="249"/>
        <v>4.9718525023289359</v>
      </c>
      <c r="V563" s="398">
        <f t="shared" si="249"/>
        <v>4.9774820018631489</v>
      </c>
      <c r="W563" s="398">
        <f t="shared" si="249"/>
        <v>4.9819856014905195</v>
      </c>
      <c r="X563" s="398">
        <f t="shared" si="249"/>
        <v>4.9855884811924156</v>
      </c>
      <c r="Y563" s="398">
        <f t="shared" si="249"/>
        <v>4.9884707849539325</v>
      </c>
      <c r="Z563" s="398">
        <f t="shared" si="249"/>
        <v>4.9907766279631467</v>
      </c>
      <c r="AA563" s="398">
        <f t="shared" si="249"/>
        <v>4.9926213023705177</v>
      </c>
      <c r="AB563" s="398">
        <f t="shared" si="249"/>
        <v>4.9940970418964143</v>
      </c>
      <c r="AC563" s="398">
        <f t="shared" si="249"/>
        <v>4.9952776335171318</v>
      </c>
      <c r="AD563" s="398">
        <f t="shared" si="249"/>
        <v>4.9962221068137058</v>
      </c>
      <c r="AE563" s="398">
        <f t="shared" si="249"/>
        <v>4.9969776854509647</v>
      </c>
      <c r="AF563" s="398">
        <f t="shared" si="249"/>
        <v>4.9975821483607721</v>
      </c>
      <c r="AG563" s="398">
        <f t="shared" si="249"/>
        <v>4.9980657186886184</v>
      </c>
      <c r="AH563" s="398">
        <f t="shared" si="249"/>
        <v>4.9984525749508943</v>
      </c>
      <c r="AI563" s="398">
        <f t="shared" si="249"/>
        <v>4.9987620599607157</v>
      </c>
      <c r="AJ563" s="398">
        <f t="shared" si="249"/>
        <v>4.9990096479685722</v>
      </c>
      <c r="AK563" s="398">
        <f t="shared" si="249"/>
        <v>4.9992077183748584</v>
      </c>
      <c r="AL563" s="398">
        <f t="shared" si="249"/>
        <v>4.9993661746998868</v>
      </c>
      <c r="AM563" s="398">
        <f t="shared" si="249"/>
        <v>4.999492939759909</v>
      </c>
      <c r="AN563" s="398">
        <f t="shared" si="249"/>
        <v>4.9995943518079269</v>
      </c>
      <c r="AO563" s="264"/>
      <c r="AP563" s="354"/>
    </row>
    <row r="564" spans="2:42" x14ac:dyDescent="0.25">
      <c r="C564" s="20" t="s">
        <v>454</v>
      </c>
      <c r="D564" s="34" t="s">
        <v>162</v>
      </c>
      <c r="E564" s="398">
        <v>3</v>
      </c>
      <c r="F564" s="398">
        <f t="shared" ref="F564:AN564" si="250">E564*(1-F$539)+1</f>
        <v>3.4000000000000004</v>
      </c>
      <c r="G564" s="398">
        <f t="shared" si="250"/>
        <v>3.7200000000000006</v>
      </c>
      <c r="H564" s="398">
        <f t="shared" si="250"/>
        <v>3.9760000000000009</v>
      </c>
      <c r="I564" s="398">
        <f t="shared" si="250"/>
        <v>4.1808000000000014</v>
      </c>
      <c r="J564" s="398">
        <f t="shared" si="250"/>
        <v>4.3446400000000018</v>
      </c>
      <c r="K564" s="398">
        <f t="shared" si="250"/>
        <v>4.4757120000000015</v>
      </c>
      <c r="L564" s="398">
        <f t="shared" si="250"/>
        <v>4.5805696000000014</v>
      </c>
      <c r="M564" s="398">
        <f t="shared" si="250"/>
        <v>4.6644556800000014</v>
      </c>
      <c r="N564" s="398">
        <f t="shared" si="250"/>
        <v>4.7315645440000011</v>
      </c>
      <c r="O564" s="398">
        <f t="shared" si="250"/>
        <v>4.7852516352000016</v>
      </c>
      <c r="P564" s="398">
        <f t="shared" si="250"/>
        <v>4.8282013081600015</v>
      </c>
      <c r="Q564" s="398">
        <f t="shared" si="250"/>
        <v>4.8625610465280014</v>
      </c>
      <c r="R564" s="398">
        <f t="shared" si="250"/>
        <v>4.8900488372224018</v>
      </c>
      <c r="S564" s="398">
        <f t="shared" si="250"/>
        <v>4.9120390697779222</v>
      </c>
      <c r="T564" s="398">
        <f t="shared" si="250"/>
        <v>4.9296312558223381</v>
      </c>
      <c r="U564" s="398">
        <f t="shared" si="250"/>
        <v>4.9437050046578701</v>
      </c>
      <c r="V564" s="398">
        <f t="shared" si="250"/>
        <v>4.9549640037262961</v>
      </c>
      <c r="W564" s="398">
        <f t="shared" si="250"/>
        <v>4.9639712029810372</v>
      </c>
      <c r="X564" s="398">
        <f t="shared" si="250"/>
        <v>4.9711769623848294</v>
      </c>
      <c r="Y564" s="398">
        <f t="shared" si="250"/>
        <v>4.9769415699078632</v>
      </c>
      <c r="Z564" s="398">
        <f t="shared" si="250"/>
        <v>4.9815532559262907</v>
      </c>
      <c r="AA564" s="398">
        <f t="shared" si="250"/>
        <v>4.9852426047410328</v>
      </c>
      <c r="AB564" s="398">
        <f t="shared" si="250"/>
        <v>4.9881940837928269</v>
      </c>
      <c r="AC564" s="398">
        <f t="shared" si="250"/>
        <v>4.9905552670342619</v>
      </c>
      <c r="AD564" s="398">
        <f t="shared" si="250"/>
        <v>4.9924442136274099</v>
      </c>
      <c r="AE564" s="398">
        <f t="shared" si="250"/>
        <v>4.9939553709019275</v>
      </c>
      <c r="AF564" s="398">
        <f t="shared" si="250"/>
        <v>4.9951642967215424</v>
      </c>
      <c r="AG564" s="398">
        <f t="shared" si="250"/>
        <v>4.9961314373772341</v>
      </c>
      <c r="AH564" s="398">
        <f t="shared" si="250"/>
        <v>4.9969051499017869</v>
      </c>
      <c r="AI564" s="398">
        <f t="shared" si="250"/>
        <v>4.9975241199214295</v>
      </c>
      <c r="AJ564" s="398">
        <f t="shared" si="250"/>
        <v>4.9980192959371443</v>
      </c>
      <c r="AK564" s="398">
        <f t="shared" si="250"/>
        <v>4.9984154367497151</v>
      </c>
      <c r="AL564" s="398">
        <f t="shared" si="250"/>
        <v>4.9987323493997717</v>
      </c>
      <c r="AM564" s="398">
        <f t="shared" si="250"/>
        <v>4.9989858795198181</v>
      </c>
      <c r="AN564" s="398">
        <f t="shared" si="250"/>
        <v>4.9991887036158547</v>
      </c>
      <c r="AO564" s="264"/>
      <c r="AP564" s="354"/>
    </row>
    <row r="565" spans="2:42" x14ac:dyDescent="0.25">
      <c r="C565" s="21" t="s">
        <v>455</v>
      </c>
      <c r="D565" s="34" t="s">
        <v>162</v>
      </c>
      <c r="E565" s="398">
        <v>2</v>
      </c>
      <c r="F565" s="398">
        <f t="shared" ref="F565:AN565" si="251">E565*(1-F$539)+1</f>
        <v>2.6</v>
      </c>
      <c r="G565" s="398">
        <f t="shared" si="251"/>
        <v>3.08</v>
      </c>
      <c r="H565" s="398">
        <f t="shared" si="251"/>
        <v>3.4640000000000004</v>
      </c>
      <c r="I565" s="398">
        <f t="shared" si="251"/>
        <v>3.7712000000000003</v>
      </c>
      <c r="J565" s="398">
        <f t="shared" si="251"/>
        <v>4.016960000000001</v>
      </c>
      <c r="K565" s="398">
        <f t="shared" si="251"/>
        <v>4.2135680000000004</v>
      </c>
      <c r="L565" s="398">
        <f t="shared" si="251"/>
        <v>4.3708544000000007</v>
      </c>
      <c r="M565" s="398">
        <f t="shared" si="251"/>
        <v>4.4966835200000013</v>
      </c>
      <c r="N565" s="398">
        <f t="shared" si="251"/>
        <v>4.5973468160000017</v>
      </c>
      <c r="O565" s="398">
        <f t="shared" si="251"/>
        <v>4.6778774528000016</v>
      </c>
      <c r="P565" s="398">
        <f t="shared" si="251"/>
        <v>4.7423019622400009</v>
      </c>
      <c r="Q565" s="398">
        <f t="shared" si="251"/>
        <v>4.7938415697920007</v>
      </c>
      <c r="R565" s="398">
        <f t="shared" si="251"/>
        <v>4.8350732558336009</v>
      </c>
      <c r="S565" s="398">
        <f t="shared" si="251"/>
        <v>4.8680586046668815</v>
      </c>
      <c r="T565" s="398">
        <f t="shared" si="251"/>
        <v>4.8944468837335053</v>
      </c>
      <c r="U565" s="398">
        <f t="shared" si="251"/>
        <v>4.9155575069868043</v>
      </c>
      <c r="V565" s="398">
        <f t="shared" si="251"/>
        <v>4.9324460055894441</v>
      </c>
      <c r="W565" s="398">
        <f t="shared" si="251"/>
        <v>4.9459568044715549</v>
      </c>
      <c r="X565" s="398">
        <f t="shared" si="251"/>
        <v>4.9567654435772441</v>
      </c>
      <c r="Y565" s="398">
        <f t="shared" si="251"/>
        <v>4.9654123548617957</v>
      </c>
      <c r="Z565" s="398">
        <f t="shared" si="251"/>
        <v>4.9723298838894365</v>
      </c>
      <c r="AA565" s="398">
        <f t="shared" si="251"/>
        <v>4.9778639071115496</v>
      </c>
      <c r="AB565" s="398">
        <f t="shared" si="251"/>
        <v>4.9822911256892404</v>
      </c>
      <c r="AC565" s="398">
        <f t="shared" si="251"/>
        <v>4.9858329005513919</v>
      </c>
      <c r="AD565" s="398">
        <f t="shared" si="251"/>
        <v>4.9886663204411139</v>
      </c>
      <c r="AE565" s="398">
        <f t="shared" si="251"/>
        <v>4.9909330563528913</v>
      </c>
      <c r="AF565" s="398">
        <f t="shared" si="251"/>
        <v>4.9927464450823127</v>
      </c>
      <c r="AG565" s="398">
        <f t="shared" si="251"/>
        <v>4.9941971560658498</v>
      </c>
      <c r="AH565" s="398">
        <f t="shared" si="251"/>
        <v>4.9953577248526795</v>
      </c>
      <c r="AI565" s="398">
        <f t="shared" si="251"/>
        <v>4.9962861798821443</v>
      </c>
      <c r="AJ565" s="398">
        <f t="shared" si="251"/>
        <v>4.9970289439057156</v>
      </c>
      <c r="AK565" s="398">
        <f t="shared" si="251"/>
        <v>4.9976231551245727</v>
      </c>
      <c r="AL565" s="398">
        <f t="shared" si="251"/>
        <v>4.9980985240996585</v>
      </c>
      <c r="AM565" s="398">
        <f t="shared" si="251"/>
        <v>4.9984788192797271</v>
      </c>
      <c r="AN565" s="398">
        <f t="shared" si="251"/>
        <v>4.9987830554237824</v>
      </c>
      <c r="AO565" s="264"/>
      <c r="AP565" s="354"/>
    </row>
    <row r="566" spans="2:42" x14ac:dyDescent="0.25">
      <c r="C566" s="21" t="s">
        <v>393</v>
      </c>
      <c r="D566" s="34" t="s">
        <v>162</v>
      </c>
      <c r="E566" s="398">
        <v>1</v>
      </c>
      <c r="F566" s="398">
        <f t="shared" ref="F566:AN566" si="252">E566*(1-F$539)+1</f>
        <v>1.8</v>
      </c>
      <c r="G566" s="398">
        <f t="shared" si="252"/>
        <v>2.4400000000000004</v>
      </c>
      <c r="H566" s="398">
        <f t="shared" si="252"/>
        <v>2.9520000000000004</v>
      </c>
      <c r="I566" s="398">
        <f t="shared" si="252"/>
        <v>3.3616000000000006</v>
      </c>
      <c r="J566" s="398">
        <f t="shared" si="252"/>
        <v>3.6892800000000006</v>
      </c>
      <c r="K566" s="398">
        <f t="shared" si="252"/>
        <v>3.9514240000000007</v>
      </c>
      <c r="L566" s="398">
        <f t="shared" si="252"/>
        <v>4.1611392000000009</v>
      </c>
      <c r="M566" s="398">
        <f t="shared" si="252"/>
        <v>4.3289113600000011</v>
      </c>
      <c r="N566" s="398">
        <f t="shared" si="252"/>
        <v>4.4631290880000005</v>
      </c>
      <c r="O566" s="398">
        <f t="shared" si="252"/>
        <v>4.5705032704000006</v>
      </c>
      <c r="P566" s="398">
        <f t="shared" si="252"/>
        <v>4.6564026163200012</v>
      </c>
      <c r="Q566" s="398">
        <f t="shared" si="252"/>
        <v>4.7251220930560009</v>
      </c>
      <c r="R566" s="398">
        <f t="shared" si="252"/>
        <v>4.7800976744448009</v>
      </c>
      <c r="S566" s="398">
        <f t="shared" si="252"/>
        <v>4.8240781395558407</v>
      </c>
      <c r="T566" s="398">
        <f t="shared" si="252"/>
        <v>4.8592625116446726</v>
      </c>
      <c r="U566" s="398">
        <f t="shared" si="252"/>
        <v>4.8874100093157384</v>
      </c>
      <c r="V566" s="398">
        <f t="shared" si="252"/>
        <v>4.9099280074525904</v>
      </c>
      <c r="W566" s="398">
        <f t="shared" si="252"/>
        <v>4.9279424059620727</v>
      </c>
      <c r="X566" s="398">
        <f t="shared" si="252"/>
        <v>4.9423539247696588</v>
      </c>
      <c r="Y566" s="398">
        <f t="shared" si="252"/>
        <v>4.9538831398157273</v>
      </c>
      <c r="Z566" s="398">
        <f t="shared" si="252"/>
        <v>4.9631065118525814</v>
      </c>
      <c r="AA566" s="398">
        <f t="shared" si="252"/>
        <v>4.9704852094820655</v>
      </c>
      <c r="AB566" s="398">
        <f t="shared" si="252"/>
        <v>4.9763881675856521</v>
      </c>
      <c r="AC566" s="398">
        <f t="shared" si="252"/>
        <v>4.981110534068522</v>
      </c>
      <c r="AD566" s="398">
        <f t="shared" si="252"/>
        <v>4.984888427254818</v>
      </c>
      <c r="AE566" s="398">
        <f t="shared" si="252"/>
        <v>4.9879107418038551</v>
      </c>
      <c r="AF566" s="398">
        <f t="shared" si="252"/>
        <v>4.9903285934430848</v>
      </c>
      <c r="AG566" s="398">
        <f t="shared" si="252"/>
        <v>4.9922628747544682</v>
      </c>
      <c r="AH566" s="398">
        <f t="shared" si="252"/>
        <v>4.9938102998035747</v>
      </c>
      <c r="AI566" s="398">
        <f t="shared" si="252"/>
        <v>4.9950482398428599</v>
      </c>
      <c r="AJ566" s="398">
        <f t="shared" si="252"/>
        <v>4.9960385918742887</v>
      </c>
      <c r="AK566" s="398">
        <f t="shared" si="252"/>
        <v>4.9968308734994311</v>
      </c>
      <c r="AL566" s="398">
        <f t="shared" si="252"/>
        <v>4.9974646987995452</v>
      </c>
      <c r="AM566" s="398">
        <f t="shared" si="252"/>
        <v>4.9979717590396362</v>
      </c>
      <c r="AN566" s="398">
        <f t="shared" si="252"/>
        <v>4.9983774072317093</v>
      </c>
      <c r="AO566" s="264"/>
      <c r="AP566" s="354"/>
    </row>
    <row r="567" spans="2:42" x14ac:dyDescent="0.25">
      <c r="C567" s="22" t="s">
        <v>456</v>
      </c>
      <c r="D567" s="34" t="s">
        <v>162</v>
      </c>
      <c r="E567" s="399">
        <v>0</v>
      </c>
      <c r="F567" s="399">
        <f t="shared" ref="F567:AN567" si="253">E567*(1-F$539)+1</f>
        <v>1</v>
      </c>
      <c r="G567" s="399">
        <f t="shared" si="253"/>
        <v>1.8</v>
      </c>
      <c r="H567" s="399">
        <f t="shared" si="253"/>
        <v>2.4400000000000004</v>
      </c>
      <c r="I567" s="399">
        <f t="shared" si="253"/>
        <v>2.9520000000000004</v>
      </c>
      <c r="J567" s="399">
        <f t="shared" si="253"/>
        <v>3.3616000000000006</v>
      </c>
      <c r="K567" s="399">
        <f t="shared" si="253"/>
        <v>3.6892800000000006</v>
      </c>
      <c r="L567" s="399">
        <f t="shared" si="253"/>
        <v>3.9514240000000007</v>
      </c>
      <c r="M567" s="399">
        <f t="shared" si="253"/>
        <v>4.1611392000000009</v>
      </c>
      <c r="N567" s="399">
        <f t="shared" si="253"/>
        <v>4.3289113600000011</v>
      </c>
      <c r="O567" s="399">
        <f t="shared" si="253"/>
        <v>4.4631290880000005</v>
      </c>
      <c r="P567" s="399">
        <f t="shared" si="253"/>
        <v>4.5705032704000006</v>
      </c>
      <c r="Q567" s="399">
        <f t="shared" si="253"/>
        <v>4.6564026163200012</v>
      </c>
      <c r="R567" s="399">
        <f t="shared" si="253"/>
        <v>4.7251220930560009</v>
      </c>
      <c r="S567" s="399">
        <f t="shared" si="253"/>
        <v>4.7800976744448009</v>
      </c>
      <c r="T567" s="399">
        <f t="shared" si="253"/>
        <v>4.8240781395558407</v>
      </c>
      <c r="U567" s="399">
        <f t="shared" si="253"/>
        <v>4.8592625116446726</v>
      </c>
      <c r="V567" s="399">
        <f t="shared" si="253"/>
        <v>4.8874100093157384</v>
      </c>
      <c r="W567" s="399">
        <f t="shared" si="253"/>
        <v>4.9099280074525904</v>
      </c>
      <c r="X567" s="399">
        <f t="shared" si="253"/>
        <v>4.9279424059620727</v>
      </c>
      <c r="Y567" s="399">
        <f t="shared" si="253"/>
        <v>4.9423539247696588</v>
      </c>
      <c r="Z567" s="399">
        <f t="shared" si="253"/>
        <v>4.9538831398157273</v>
      </c>
      <c r="AA567" s="399">
        <f t="shared" si="253"/>
        <v>4.9631065118525814</v>
      </c>
      <c r="AB567" s="399">
        <f t="shared" si="253"/>
        <v>4.9704852094820655</v>
      </c>
      <c r="AC567" s="399">
        <f t="shared" si="253"/>
        <v>4.9763881675856521</v>
      </c>
      <c r="AD567" s="399">
        <f t="shared" si="253"/>
        <v>4.981110534068522</v>
      </c>
      <c r="AE567" s="399">
        <f t="shared" si="253"/>
        <v>4.984888427254818</v>
      </c>
      <c r="AF567" s="399">
        <f t="shared" si="253"/>
        <v>4.9879107418038551</v>
      </c>
      <c r="AG567" s="399">
        <f t="shared" si="253"/>
        <v>4.9903285934430848</v>
      </c>
      <c r="AH567" s="399">
        <f t="shared" si="253"/>
        <v>4.9922628747544682</v>
      </c>
      <c r="AI567" s="399">
        <f t="shared" si="253"/>
        <v>4.9938102998035747</v>
      </c>
      <c r="AJ567" s="399">
        <f t="shared" si="253"/>
        <v>4.9950482398428599</v>
      </c>
      <c r="AK567" s="399">
        <f t="shared" si="253"/>
        <v>4.9960385918742887</v>
      </c>
      <c r="AL567" s="399">
        <f t="shared" si="253"/>
        <v>4.9968308734994311</v>
      </c>
      <c r="AM567" s="399">
        <f t="shared" si="253"/>
        <v>4.9974646987995452</v>
      </c>
      <c r="AN567" s="399">
        <f t="shared" si="253"/>
        <v>4.9979717590396362</v>
      </c>
      <c r="AO567" s="264"/>
      <c r="AP567" s="403"/>
    </row>
    <row r="568" spans="2:42" x14ac:dyDescent="0.25">
      <c r="B568" s="99" t="s">
        <v>9</v>
      </c>
      <c r="C568" s="312" t="str">
        <f>'4.2 Sector Mapping'!$B$13</f>
        <v>Real Estate and Construction</v>
      </c>
      <c r="D568" s="317"/>
      <c r="E568" s="312"/>
      <c r="F568" s="312"/>
      <c r="G568" s="312"/>
      <c r="H568" s="312"/>
      <c r="I568" s="312"/>
      <c r="J568" s="312"/>
      <c r="K568" s="312"/>
      <c r="L568" s="312"/>
      <c r="M568" s="312"/>
      <c r="N568" s="312"/>
      <c r="O568" s="312"/>
      <c r="P568" s="312"/>
      <c r="Q568" s="312"/>
      <c r="R568" s="312"/>
      <c r="S568" s="312"/>
      <c r="T568" s="312"/>
      <c r="U568" s="312"/>
      <c r="V568" s="312"/>
      <c r="W568" s="312"/>
      <c r="X568" s="312"/>
      <c r="Y568" s="312"/>
      <c r="Z568" s="312"/>
      <c r="AA568" s="312"/>
      <c r="AB568" s="312"/>
      <c r="AC568" s="312"/>
      <c r="AD568" s="312"/>
      <c r="AE568" s="312"/>
      <c r="AF568" s="312"/>
      <c r="AG568" s="312"/>
      <c r="AH568" s="312"/>
      <c r="AI568" s="312"/>
      <c r="AJ568" s="312"/>
      <c r="AK568" s="312"/>
      <c r="AL568" s="312"/>
      <c r="AM568" s="312"/>
      <c r="AN568" s="312"/>
      <c r="AO568" s="74"/>
      <c r="AP568" s="312"/>
    </row>
    <row r="569" spans="2:42" s="86" customFormat="1" x14ac:dyDescent="0.25">
      <c r="B569" s="3"/>
      <c r="C569" s="243" t="s">
        <v>625</v>
      </c>
      <c r="D569" s="36" t="s">
        <v>162</v>
      </c>
      <c r="E569" s="309">
        <v>3</v>
      </c>
      <c r="F569" s="309">
        <v>3</v>
      </c>
      <c r="G569" s="309">
        <f>ROUND(P569/3,0)</f>
        <v>0</v>
      </c>
      <c r="H569" s="309">
        <f>G569</f>
        <v>0</v>
      </c>
      <c r="I569" s="309">
        <f>ROUND(P569/2,0)</f>
        <v>0</v>
      </c>
      <c r="J569" s="309">
        <f>ROUND(P569/2,0)</f>
        <v>0</v>
      </c>
      <c r="K569" s="309">
        <f>ROUND(P569/1.5,0)</f>
        <v>0</v>
      </c>
      <c r="L569" s="309">
        <f>K569</f>
        <v>0</v>
      </c>
      <c r="M569" s="309">
        <f>ROUND(P569/1.25,0)</f>
        <v>0</v>
      </c>
      <c r="N569" s="309">
        <f>ROUND(P569/1.25,0)</f>
        <v>0</v>
      </c>
      <c r="O569" s="309">
        <f>P569</f>
        <v>0</v>
      </c>
      <c r="P569" s="309">
        <f>'Back-end Overview of Use Cases'!C11</f>
        <v>0</v>
      </c>
      <c r="Q569" s="309">
        <f>ROUND(IF($AB569-$P569=1,$P569,$P569+($AB569-$P569)/3),0)</f>
        <v>1</v>
      </c>
      <c r="R569" s="309">
        <f>ROUND(IF($AB569-$P569=1,$P569,$P569+($AB569-$P569)/3),0)</f>
        <v>1</v>
      </c>
      <c r="S569" s="309">
        <f>ROUND(IF($AB569-$P569=1,$P569,$P569+($AB569-$P569)/3),0)</f>
        <v>1</v>
      </c>
      <c r="T569" s="309">
        <f>ROUND(IF($AB569-$P569=1,$P569,$P569+($AB569-$P569)/3),0)</f>
        <v>1</v>
      </c>
      <c r="U569" s="309">
        <f>ROUND(AVERAGE(T569,Y569),0)</f>
        <v>3</v>
      </c>
      <c r="V569" s="309">
        <f>U569</f>
        <v>3</v>
      </c>
      <c r="W569" s="309">
        <f>V569</f>
        <v>3</v>
      </c>
      <c r="X569" s="309">
        <f>W569</f>
        <v>3</v>
      </c>
      <c r="Y569" s="309">
        <f>Z569</f>
        <v>4</v>
      </c>
      <c r="Z569" s="309">
        <f>AA569</f>
        <v>4</v>
      </c>
      <c r="AA569" s="309">
        <f>AB569</f>
        <v>4</v>
      </c>
      <c r="AB569" s="309">
        <f>'Back-end Overview of Use Cases'!D11</f>
        <v>4</v>
      </c>
      <c r="AC569" s="309">
        <f>ROUND(IF($AN569-$AB569=1,$AB569,$AB569+($AN569-$AB569)/3),0)</f>
        <v>7</v>
      </c>
      <c r="AD569" s="309">
        <f>ROUND(IF($AN569-$AB569=1,$AB569,$AB569+($AN569-$AB569)/3),0)</f>
        <v>7</v>
      </c>
      <c r="AE569" s="309">
        <f>ROUND(IF($AN569-$AB569=1,$AB569,$AB569+($AN569-$AB569)/3),0)</f>
        <v>7</v>
      </c>
      <c r="AF569" s="309">
        <f>ROUND(IF($AN569-$AB569=1,$AB569,$AB569+($AN569-$AB569)/3),0)</f>
        <v>7</v>
      </c>
      <c r="AG569" s="309">
        <f>ROUND(AVERAGE(AF569,AK569),0)</f>
        <v>10</v>
      </c>
      <c r="AH569" s="309">
        <f>AG569</f>
        <v>10</v>
      </c>
      <c r="AI569" s="309">
        <f>AH569</f>
        <v>10</v>
      </c>
      <c r="AJ569" s="309">
        <f>AI569</f>
        <v>10</v>
      </c>
      <c r="AK569" s="309">
        <f>AN569</f>
        <v>12</v>
      </c>
      <c r="AL569" s="309">
        <f>AN569</f>
        <v>12</v>
      </c>
      <c r="AM569" s="309">
        <f>AN569</f>
        <v>12</v>
      </c>
      <c r="AN569" s="309">
        <f>'Back-end Overview of Use Cases'!E11</f>
        <v>12</v>
      </c>
      <c r="AP569" s="243"/>
    </row>
    <row r="570" spans="2:42" x14ac:dyDescent="0.25">
      <c r="C570" s="299" t="s">
        <v>691</v>
      </c>
      <c r="D570" s="330" t="s">
        <v>29</v>
      </c>
      <c r="E570" s="421">
        <v>0</v>
      </c>
      <c r="F570" s="421">
        <v>0.2</v>
      </c>
      <c r="G570" s="421">
        <v>0.2</v>
      </c>
      <c r="H570" s="421">
        <v>0.2</v>
      </c>
      <c r="I570" s="421">
        <v>0.2</v>
      </c>
      <c r="J570" s="421">
        <v>0.2</v>
      </c>
      <c r="K570" s="421">
        <v>0.2</v>
      </c>
      <c r="L570" s="421">
        <v>0.2</v>
      </c>
      <c r="M570" s="421">
        <v>0.2</v>
      </c>
      <c r="N570" s="421">
        <v>0.2</v>
      </c>
      <c r="O570" s="421">
        <v>0.2</v>
      </c>
      <c r="P570" s="421">
        <v>0.2</v>
      </c>
      <c r="Q570" s="421">
        <v>0.2</v>
      </c>
      <c r="R570" s="421">
        <v>0.2</v>
      </c>
      <c r="S570" s="421">
        <v>0.2</v>
      </c>
      <c r="T570" s="421">
        <v>0.2</v>
      </c>
      <c r="U570" s="421">
        <v>0.2</v>
      </c>
      <c r="V570" s="421">
        <v>0.2</v>
      </c>
      <c r="W570" s="421">
        <v>0.2</v>
      </c>
      <c r="X570" s="421">
        <v>0.2</v>
      </c>
      <c r="Y570" s="421">
        <v>0.2</v>
      </c>
      <c r="Z570" s="421">
        <v>0.2</v>
      </c>
      <c r="AA570" s="421">
        <v>0.2</v>
      </c>
      <c r="AB570" s="421">
        <v>0.2</v>
      </c>
      <c r="AC570" s="421">
        <v>0.2</v>
      </c>
      <c r="AD570" s="421">
        <v>0.2</v>
      </c>
      <c r="AE570" s="421">
        <v>0.2</v>
      </c>
      <c r="AF570" s="421">
        <v>0.2</v>
      </c>
      <c r="AG570" s="421">
        <v>0.2</v>
      </c>
      <c r="AH570" s="421">
        <v>0.2</v>
      </c>
      <c r="AI570" s="421">
        <v>0.2</v>
      </c>
      <c r="AJ570" s="421">
        <v>0.2</v>
      </c>
      <c r="AK570" s="421">
        <v>0.2</v>
      </c>
      <c r="AL570" s="421">
        <v>0.2</v>
      </c>
      <c r="AM570" s="421">
        <v>0.2</v>
      </c>
      <c r="AN570" s="421">
        <v>0.2</v>
      </c>
      <c r="AP570" s="299"/>
    </row>
    <row r="571" spans="2:42" x14ac:dyDescent="0.25">
      <c r="B571" s="99" t="s">
        <v>9</v>
      </c>
      <c r="C571" s="311" t="s">
        <v>626</v>
      </c>
      <c r="D571" s="318"/>
      <c r="E571" s="311"/>
      <c r="F571" s="311"/>
      <c r="G571" s="311"/>
      <c r="H571" s="311"/>
      <c r="I571" s="311"/>
      <c r="J571" s="311"/>
      <c r="K571" s="311"/>
      <c r="L571" s="311"/>
      <c r="M571" s="311"/>
      <c r="N571" s="311"/>
      <c r="O571" s="311"/>
      <c r="P571" s="311"/>
      <c r="Q571" s="311"/>
      <c r="R571" s="311"/>
      <c r="S571" s="311"/>
      <c r="T571" s="311"/>
      <c r="U571" s="311"/>
      <c r="V571" s="311"/>
      <c r="W571" s="311"/>
      <c r="X571" s="311"/>
      <c r="Y571" s="311"/>
      <c r="Z571" s="311"/>
      <c r="AA571" s="311"/>
      <c r="AB571" s="311"/>
      <c r="AC571" s="311"/>
      <c r="AD571" s="311"/>
      <c r="AE571" s="311"/>
      <c r="AF571" s="311"/>
      <c r="AG571" s="311"/>
      <c r="AH571" s="311"/>
      <c r="AI571" s="311"/>
      <c r="AJ571" s="311"/>
      <c r="AK571" s="311"/>
      <c r="AL571" s="311"/>
      <c r="AM571" s="311"/>
      <c r="AN571" s="311"/>
      <c r="AO571" s="74"/>
      <c r="AP571" s="311"/>
    </row>
    <row r="572" spans="2:42" x14ac:dyDescent="0.25">
      <c r="C572" s="20" t="s">
        <v>600</v>
      </c>
      <c r="D572" s="34" t="s">
        <v>162</v>
      </c>
      <c r="E572" s="397">
        <v>5</v>
      </c>
      <c r="F572" s="397">
        <f>E572*(1-F$570)+1</f>
        <v>5</v>
      </c>
      <c r="G572" s="397">
        <f t="shared" ref="G572:AN577" si="254">F572*(1-G$570)+1</f>
        <v>5</v>
      </c>
      <c r="H572" s="397">
        <f t="shared" si="254"/>
        <v>5</v>
      </c>
      <c r="I572" s="397">
        <f t="shared" si="254"/>
        <v>5</v>
      </c>
      <c r="J572" s="397">
        <f t="shared" si="254"/>
        <v>5</v>
      </c>
      <c r="K572" s="397">
        <f t="shared" si="254"/>
        <v>5</v>
      </c>
      <c r="L572" s="397">
        <f t="shared" si="254"/>
        <v>5</v>
      </c>
      <c r="M572" s="397">
        <f t="shared" si="254"/>
        <v>5</v>
      </c>
      <c r="N572" s="397">
        <f t="shared" si="254"/>
        <v>5</v>
      </c>
      <c r="O572" s="397">
        <f t="shared" si="254"/>
        <v>5</v>
      </c>
      <c r="P572" s="397">
        <f t="shared" si="254"/>
        <v>5</v>
      </c>
      <c r="Q572" s="397">
        <f t="shared" si="254"/>
        <v>5</v>
      </c>
      <c r="R572" s="397">
        <f t="shared" si="254"/>
        <v>5</v>
      </c>
      <c r="S572" s="397">
        <f t="shared" si="254"/>
        <v>5</v>
      </c>
      <c r="T572" s="397">
        <f t="shared" si="254"/>
        <v>5</v>
      </c>
      <c r="U572" s="397">
        <f t="shared" si="254"/>
        <v>5</v>
      </c>
      <c r="V572" s="397">
        <f t="shared" si="254"/>
        <v>5</v>
      </c>
      <c r="W572" s="397">
        <f t="shared" si="254"/>
        <v>5</v>
      </c>
      <c r="X572" s="397">
        <f t="shared" si="254"/>
        <v>5</v>
      </c>
      <c r="Y572" s="397">
        <f t="shared" si="254"/>
        <v>5</v>
      </c>
      <c r="Z572" s="397">
        <f t="shared" si="254"/>
        <v>5</v>
      </c>
      <c r="AA572" s="397">
        <f t="shared" si="254"/>
        <v>5</v>
      </c>
      <c r="AB572" s="397">
        <f t="shared" si="254"/>
        <v>5</v>
      </c>
      <c r="AC572" s="397">
        <f t="shared" si="254"/>
        <v>5</v>
      </c>
      <c r="AD572" s="397">
        <f t="shared" si="254"/>
        <v>5</v>
      </c>
      <c r="AE572" s="397">
        <f t="shared" si="254"/>
        <v>5</v>
      </c>
      <c r="AF572" s="397">
        <f t="shared" si="254"/>
        <v>5</v>
      </c>
      <c r="AG572" s="397">
        <f t="shared" si="254"/>
        <v>5</v>
      </c>
      <c r="AH572" s="397">
        <f t="shared" si="254"/>
        <v>5</v>
      </c>
      <c r="AI572" s="397">
        <f t="shared" si="254"/>
        <v>5</v>
      </c>
      <c r="AJ572" s="397">
        <f t="shared" si="254"/>
        <v>5</v>
      </c>
      <c r="AK572" s="397">
        <f t="shared" si="254"/>
        <v>5</v>
      </c>
      <c r="AL572" s="397">
        <f t="shared" si="254"/>
        <v>5</v>
      </c>
      <c r="AM572" s="397">
        <f t="shared" si="254"/>
        <v>5</v>
      </c>
      <c r="AN572" s="397">
        <f t="shared" si="254"/>
        <v>5</v>
      </c>
      <c r="AP572" s="20"/>
    </row>
    <row r="573" spans="2:42" x14ac:dyDescent="0.25">
      <c r="C573" s="20" t="s">
        <v>392</v>
      </c>
      <c r="D573" s="34" t="s">
        <v>162</v>
      </c>
      <c r="E573" s="398">
        <v>4</v>
      </c>
      <c r="F573" s="398">
        <f t="shared" ref="F573:U577" si="255">E573*(1-F$570)+1</f>
        <v>4.2</v>
      </c>
      <c r="G573" s="398">
        <f t="shared" si="255"/>
        <v>4.3600000000000003</v>
      </c>
      <c r="H573" s="398">
        <f t="shared" si="255"/>
        <v>4.4880000000000004</v>
      </c>
      <c r="I573" s="398">
        <f t="shared" si="255"/>
        <v>4.5904000000000007</v>
      </c>
      <c r="J573" s="398">
        <f t="shared" si="255"/>
        <v>4.6723200000000009</v>
      </c>
      <c r="K573" s="398">
        <f t="shared" si="255"/>
        <v>4.7378560000000007</v>
      </c>
      <c r="L573" s="398">
        <f t="shared" si="255"/>
        <v>4.7902848000000002</v>
      </c>
      <c r="M573" s="398">
        <f t="shared" si="255"/>
        <v>4.8322278399999998</v>
      </c>
      <c r="N573" s="398">
        <f t="shared" si="255"/>
        <v>4.8657822720000006</v>
      </c>
      <c r="O573" s="398">
        <f t="shared" si="255"/>
        <v>4.8926258176000008</v>
      </c>
      <c r="P573" s="398">
        <f t="shared" si="255"/>
        <v>4.9141006540800003</v>
      </c>
      <c r="Q573" s="398">
        <f t="shared" si="255"/>
        <v>4.9312805232640002</v>
      </c>
      <c r="R573" s="398">
        <f t="shared" si="255"/>
        <v>4.9450244186112009</v>
      </c>
      <c r="S573" s="398">
        <f t="shared" si="255"/>
        <v>4.9560195348889611</v>
      </c>
      <c r="T573" s="398">
        <f t="shared" si="255"/>
        <v>4.964815627911169</v>
      </c>
      <c r="U573" s="398">
        <f t="shared" si="255"/>
        <v>4.9718525023289359</v>
      </c>
      <c r="V573" s="398">
        <f t="shared" si="254"/>
        <v>4.9774820018631489</v>
      </c>
      <c r="W573" s="398">
        <f t="shared" si="254"/>
        <v>4.9819856014905195</v>
      </c>
      <c r="X573" s="398">
        <f t="shared" si="254"/>
        <v>4.9855884811924156</v>
      </c>
      <c r="Y573" s="398">
        <f t="shared" si="254"/>
        <v>4.9884707849539325</v>
      </c>
      <c r="Z573" s="398">
        <f t="shared" si="254"/>
        <v>4.9907766279631467</v>
      </c>
      <c r="AA573" s="398">
        <f t="shared" si="254"/>
        <v>4.9926213023705177</v>
      </c>
      <c r="AB573" s="398">
        <f t="shared" si="254"/>
        <v>4.9940970418964143</v>
      </c>
      <c r="AC573" s="398">
        <f t="shared" si="254"/>
        <v>4.9952776335171318</v>
      </c>
      <c r="AD573" s="398">
        <f t="shared" si="254"/>
        <v>4.9962221068137058</v>
      </c>
      <c r="AE573" s="398">
        <f t="shared" si="254"/>
        <v>4.9969776854509647</v>
      </c>
      <c r="AF573" s="398">
        <f t="shared" si="254"/>
        <v>4.9975821483607721</v>
      </c>
      <c r="AG573" s="398">
        <f t="shared" si="254"/>
        <v>4.9980657186886184</v>
      </c>
      <c r="AH573" s="398">
        <f t="shared" si="254"/>
        <v>4.9984525749508943</v>
      </c>
      <c r="AI573" s="398">
        <f t="shared" si="254"/>
        <v>4.9987620599607157</v>
      </c>
      <c r="AJ573" s="398">
        <f t="shared" si="254"/>
        <v>4.9990096479685722</v>
      </c>
      <c r="AK573" s="398">
        <f t="shared" si="254"/>
        <v>4.9992077183748584</v>
      </c>
      <c r="AL573" s="398">
        <f t="shared" si="254"/>
        <v>4.9993661746998868</v>
      </c>
      <c r="AM573" s="398">
        <f t="shared" si="254"/>
        <v>4.999492939759909</v>
      </c>
      <c r="AN573" s="398">
        <f t="shared" si="254"/>
        <v>4.9995943518079269</v>
      </c>
      <c r="AP573" s="21"/>
    </row>
    <row r="574" spans="2:42" x14ac:dyDescent="0.25">
      <c r="C574" s="20" t="s">
        <v>454</v>
      </c>
      <c r="D574" s="34" t="s">
        <v>162</v>
      </c>
      <c r="E574" s="398">
        <v>3</v>
      </c>
      <c r="F574" s="398">
        <f t="shared" si="255"/>
        <v>3.4000000000000004</v>
      </c>
      <c r="G574" s="398">
        <f t="shared" si="254"/>
        <v>3.7200000000000006</v>
      </c>
      <c r="H574" s="398">
        <f t="shared" si="254"/>
        <v>3.9760000000000009</v>
      </c>
      <c r="I574" s="398">
        <f t="shared" si="254"/>
        <v>4.1808000000000014</v>
      </c>
      <c r="J574" s="398">
        <f t="shared" si="254"/>
        <v>4.3446400000000018</v>
      </c>
      <c r="K574" s="398">
        <f t="shared" si="254"/>
        <v>4.4757120000000015</v>
      </c>
      <c r="L574" s="398">
        <f t="shared" si="254"/>
        <v>4.5805696000000014</v>
      </c>
      <c r="M574" s="398">
        <f t="shared" si="254"/>
        <v>4.6644556800000014</v>
      </c>
      <c r="N574" s="398">
        <f t="shared" si="254"/>
        <v>4.7315645440000011</v>
      </c>
      <c r="O574" s="398">
        <f t="shared" si="254"/>
        <v>4.7852516352000016</v>
      </c>
      <c r="P574" s="398">
        <f t="shared" si="254"/>
        <v>4.8282013081600015</v>
      </c>
      <c r="Q574" s="398">
        <f t="shared" si="254"/>
        <v>4.8625610465280014</v>
      </c>
      <c r="R574" s="398">
        <f t="shared" si="254"/>
        <v>4.8900488372224018</v>
      </c>
      <c r="S574" s="398">
        <f t="shared" si="254"/>
        <v>4.9120390697779222</v>
      </c>
      <c r="T574" s="398">
        <f t="shared" si="254"/>
        <v>4.9296312558223381</v>
      </c>
      <c r="U574" s="398">
        <f t="shared" si="254"/>
        <v>4.9437050046578701</v>
      </c>
      <c r="V574" s="398">
        <f t="shared" si="254"/>
        <v>4.9549640037262961</v>
      </c>
      <c r="W574" s="398">
        <f t="shared" si="254"/>
        <v>4.9639712029810372</v>
      </c>
      <c r="X574" s="398">
        <f t="shared" si="254"/>
        <v>4.9711769623848294</v>
      </c>
      <c r="Y574" s="398">
        <f t="shared" si="254"/>
        <v>4.9769415699078632</v>
      </c>
      <c r="Z574" s="398">
        <f t="shared" si="254"/>
        <v>4.9815532559262907</v>
      </c>
      <c r="AA574" s="398">
        <f t="shared" si="254"/>
        <v>4.9852426047410328</v>
      </c>
      <c r="AB574" s="398">
        <f t="shared" si="254"/>
        <v>4.9881940837928269</v>
      </c>
      <c r="AC574" s="398">
        <f t="shared" si="254"/>
        <v>4.9905552670342619</v>
      </c>
      <c r="AD574" s="398">
        <f t="shared" si="254"/>
        <v>4.9924442136274099</v>
      </c>
      <c r="AE574" s="398">
        <f t="shared" si="254"/>
        <v>4.9939553709019275</v>
      </c>
      <c r="AF574" s="398">
        <f t="shared" si="254"/>
        <v>4.9951642967215424</v>
      </c>
      <c r="AG574" s="398">
        <f t="shared" si="254"/>
        <v>4.9961314373772341</v>
      </c>
      <c r="AH574" s="398">
        <f t="shared" si="254"/>
        <v>4.9969051499017869</v>
      </c>
      <c r="AI574" s="398">
        <f t="shared" si="254"/>
        <v>4.9975241199214295</v>
      </c>
      <c r="AJ574" s="398">
        <f t="shared" si="254"/>
        <v>4.9980192959371443</v>
      </c>
      <c r="AK574" s="398">
        <f t="shared" si="254"/>
        <v>4.9984154367497151</v>
      </c>
      <c r="AL574" s="398">
        <f t="shared" si="254"/>
        <v>4.9987323493997717</v>
      </c>
      <c r="AM574" s="398">
        <f t="shared" si="254"/>
        <v>4.9989858795198181</v>
      </c>
      <c r="AN574" s="398">
        <f t="shared" si="254"/>
        <v>4.9991887036158547</v>
      </c>
      <c r="AP574" s="21"/>
    </row>
    <row r="575" spans="2:42" x14ac:dyDescent="0.25">
      <c r="C575" s="21" t="s">
        <v>455</v>
      </c>
      <c r="D575" s="34" t="s">
        <v>162</v>
      </c>
      <c r="E575" s="398">
        <v>2</v>
      </c>
      <c r="F575" s="398">
        <f t="shared" si="255"/>
        <v>2.6</v>
      </c>
      <c r="G575" s="398">
        <f t="shared" si="254"/>
        <v>3.08</v>
      </c>
      <c r="H575" s="398">
        <f t="shared" si="254"/>
        <v>3.4640000000000004</v>
      </c>
      <c r="I575" s="398">
        <f t="shared" si="254"/>
        <v>3.7712000000000003</v>
      </c>
      <c r="J575" s="398">
        <f t="shared" si="254"/>
        <v>4.016960000000001</v>
      </c>
      <c r="K575" s="398">
        <f t="shared" si="254"/>
        <v>4.2135680000000004</v>
      </c>
      <c r="L575" s="398">
        <f t="shared" si="254"/>
        <v>4.3708544000000007</v>
      </c>
      <c r="M575" s="398">
        <f t="shared" si="254"/>
        <v>4.4966835200000013</v>
      </c>
      <c r="N575" s="398">
        <f t="shared" si="254"/>
        <v>4.5973468160000017</v>
      </c>
      <c r="O575" s="398">
        <f t="shared" si="254"/>
        <v>4.6778774528000016</v>
      </c>
      <c r="P575" s="398">
        <f t="shared" si="254"/>
        <v>4.7423019622400009</v>
      </c>
      <c r="Q575" s="398">
        <f t="shared" si="254"/>
        <v>4.7938415697920007</v>
      </c>
      <c r="R575" s="398">
        <f t="shared" si="254"/>
        <v>4.8350732558336009</v>
      </c>
      <c r="S575" s="398">
        <f t="shared" si="254"/>
        <v>4.8680586046668815</v>
      </c>
      <c r="T575" s="398">
        <f t="shared" si="254"/>
        <v>4.8944468837335053</v>
      </c>
      <c r="U575" s="398">
        <f t="shared" si="254"/>
        <v>4.9155575069868043</v>
      </c>
      <c r="V575" s="398">
        <f t="shared" si="254"/>
        <v>4.9324460055894441</v>
      </c>
      <c r="W575" s="398">
        <f t="shared" si="254"/>
        <v>4.9459568044715549</v>
      </c>
      <c r="X575" s="398">
        <f t="shared" si="254"/>
        <v>4.9567654435772441</v>
      </c>
      <c r="Y575" s="398">
        <f t="shared" si="254"/>
        <v>4.9654123548617957</v>
      </c>
      <c r="Z575" s="398">
        <f t="shared" si="254"/>
        <v>4.9723298838894365</v>
      </c>
      <c r="AA575" s="398">
        <f t="shared" si="254"/>
        <v>4.9778639071115496</v>
      </c>
      <c r="AB575" s="398">
        <f t="shared" si="254"/>
        <v>4.9822911256892404</v>
      </c>
      <c r="AC575" s="398">
        <f t="shared" si="254"/>
        <v>4.9858329005513919</v>
      </c>
      <c r="AD575" s="398">
        <f t="shared" si="254"/>
        <v>4.9886663204411139</v>
      </c>
      <c r="AE575" s="398">
        <f t="shared" si="254"/>
        <v>4.9909330563528913</v>
      </c>
      <c r="AF575" s="398">
        <f t="shared" si="254"/>
        <v>4.9927464450823127</v>
      </c>
      <c r="AG575" s="398">
        <f t="shared" si="254"/>
        <v>4.9941971560658498</v>
      </c>
      <c r="AH575" s="398">
        <f t="shared" si="254"/>
        <v>4.9953577248526795</v>
      </c>
      <c r="AI575" s="398">
        <f t="shared" si="254"/>
        <v>4.9962861798821443</v>
      </c>
      <c r="AJ575" s="398">
        <f t="shared" si="254"/>
        <v>4.9970289439057156</v>
      </c>
      <c r="AK575" s="398">
        <f t="shared" si="254"/>
        <v>4.9976231551245727</v>
      </c>
      <c r="AL575" s="398">
        <f t="shared" si="254"/>
        <v>4.9980985240996585</v>
      </c>
      <c r="AM575" s="398">
        <f t="shared" si="254"/>
        <v>4.9984788192797271</v>
      </c>
      <c r="AN575" s="398">
        <f t="shared" si="254"/>
        <v>4.9987830554237824</v>
      </c>
      <c r="AP575" s="21"/>
    </row>
    <row r="576" spans="2:42" x14ac:dyDescent="0.25">
      <c r="C576" s="21" t="s">
        <v>393</v>
      </c>
      <c r="D576" s="34" t="s">
        <v>162</v>
      </c>
      <c r="E576" s="398">
        <v>1</v>
      </c>
      <c r="F576" s="398">
        <f t="shared" si="255"/>
        <v>1.8</v>
      </c>
      <c r="G576" s="398">
        <f t="shared" si="254"/>
        <v>2.4400000000000004</v>
      </c>
      <c r="H576" s="398">
        <f t="shared" si="254"/>
        <v>2.9520000000000004</v>
      </c>
      <c r="I576" s="398">
        <f t="shared" si="254"/>
        <v>3.3616000000000006</v>
      </c>
      <c r="J576" s="398">
        <f t="shared" si="254"/>
        <v>3.6892800000000006</v>
      </c>
      <c r="K576" s="398">
        <f t="shared" si="254"/>
        <v>3.9514240000000007</v>
      </c>
      <c r="L576" s="398">
        <f t="shared" si="254"/>
        <v>4.1611392000000009</v>
      </c>
      <c r="M576" s="398">
        <f t="shared" si="254"/>
        <v>4.3289113600000011</v>
      </c>
      <c r="N576" s="398">
        <f t="shared" si="254"/>
        <v>4.4631290880000005</v>
      </c>
      <c r="O576" s="398">
        <f t="shared" si="254"/>
        <v>4.5705032704000006</v>
      </c>
      <c r="P576" s="398">
        <f t="shared" si="254"/>
        <v>4.6564026163200012</v>
      </c>
      <c r="Q576" s="398">
        <f t="shared" si="254"/>
        <v>4.7251220930560009</v>
      </c>
      <c r="R576" s="398">
        <f t="shared" si="254"/>
        <v>4.7800976744448009</v>
      </c>
      <c r="S576" s="398">
        <f t="shared" si="254"/>
        <v>4.8240781395558407</v>
      </c>
      <c r="T576" s="398">
        <f t="shared" si="254"/>
        <v>4.8592625116446726</v>
      </c>
      <c r="U576" s="398">
        <f t="shared" si="254"/>
        <v>4.8874100093157384</v>
      </c>
      <c r="V576" s="398">
        <f t="shared" si="254"/>
        <v>4.9099280074525904</v>
      </c>
      <c r="W576" s="398">
        <f t="shared" si="254"/>
        <v>4.9279424059620727</v>
      </c>
      <c r="X576" s="398">
        <f t="shared" si="254"/>
        <v>4.9423539247696588</v>
      </c>
      <c r="Y576" s="398">
        <f t="shared" si="254"/>
        <v>4.9538831398157273</v>
      </c>
      <c r="Z576" s="398">
        <f t="shared" si="254"/>
        <v>4.9631065118525814</v>
      </c>
      <c r="AA576" s="398">
        <f t="shared" si="254"/>
        <v>4.9704852094820655</v>
      </c>
      <c r="AB576" s="398">
        <f t="shared" si="254"/>
        <v>4.9763881675856521</v>
      </c>
      <c r="AC576" s="398">
        <f t="shared" si="254"/>
        <v>4.981110534068522</v>
      </c>
      <c r="AD576" s="398">
        <f t="shared" si="254"/>
        <v>4.984888427254818</v>
      </c>
      <c r="AE576" s="398">
        <f t="shared" si="254"/>
        <v>4.9879107418038551</v>
      </c>
      <c r="AF576" s="398">
        <f t="shared" si="254"/>
        <v>4.9903285934430848</v>
      </c>
      <c r="AG576" s="398">
        <f t="shared" si="254"/>
        <v>4.9922628747544682</v>
      </c>
      <c r="AH576" s="398">
        <f t="shared" si="254"/>
        <v>4.9938102998035747</v>
      </c>
      <c r="AI576" s="398">
        <f t="shared" si="254"/>
        <v>4.9950482398428599</v>
      </c>
      <c r="AJ576" s="398">
        <f t="shared" si="254"/>
        <v>4.9960385918742887</v>
      </c>
      <c r="AK576" s="398">
        <f t="shared" si="254"/>
        <v>4.9968308734994311</v>
      </c>
      <c r="AL576" s="398">
        <f t="shared" si="254"/>
        <v>4.9974646987995452</v>
      </c>
      <c r="AM576" s="398">
        <f t="shared" si="254"/>
        <v>4.9979717590396362</v>
      </c>
      <c r="AN576" s="398">
        <f t="shared" si="254"/>
        <v>4.9983774072317093</v>
      </c>
      <c r="AP576" s="21"/>
    </row>
    <row r="577" spans="2:42" x14ac:dyDescent="0.25">
      <c r="C577" s="22" t="s">
        <v>456</v>
      </c>
      <c r="D577" s="34" t="s">
        <v>162</v>
      </c>
      <c r="E577" s="399">
        <v>0</v>
      </c>
      <c r="F577" s="399">
        <f t="shared" si="255"/>
        <v>1</v>
      </c>
      <c r="G577" s="399">
        <f t="shared" si="254"/>
        <v>1.8</v>
      </c>
      <c r="H577" s="399">
        <f t="shared" si="254"/>
        <v>2.4400000000000004</v>
      </c>
      <c r="I577" s="399">
        <f t="shared" si="254"/>
        <v>2.9520000000000004</v>
      </c>
      <c r="J577" s="399">
        <f t="shared" si="254"/>
        <v>3.3616000000000006</v>
      </c>
      <c r="K577" s="399">
        <f t="shared" si="254"/>
        <v>3.6892800000000006</v>
      </c>
      <c r="L577" s="399">
        <f t="shared" si="254"/>
        <v>3.9514240000000007</v>
      </c>
      <c r="M577" s="399">
        <f t="shared" si="254"/>
        <v>4.1611392000000009</v>
      </c>
      <c r="N577" s="399">
        <f t="shared" si="254"/>
        <v>4.3289113600000011</v>
      </c>
      <c r="O577" s="399">
        <f t="shared" si="254"/>
        <v>4.4631290880000005</v>
      </c>
      <c r="P577" s="399">
        <f t="shared" si="254"/>
        <v>4.5705032704000006</v>
      </c>
      <c r="Q577" s="399">
        <f t="shared" si="254"/>
        <v>4.6564026163200012</v>
      </c>
      <c r="R577" s="399">
        <f t="shared" si="254"/>
        <v>4.7251220930560009</v>
      </c>
      <c r="S577" s="399">
        <f t="shared" si="254"/>
        <v>4.7800976744448009</v>
      </c>
      <c r="T577" s="399">
        <f t="shared" si="254"/>
        <v>4.8240781395558407</v>
      </c>
      <c r="U577" s="399">
        <f t="shared" si="254"/>
        <v>4.8592625116446726</v>
      </c>
      <c r="V577" s="399">
        <f t="shared" si="254"/>
        <v>4.8874100093157384</v>
      </c>
      <c r="W577" s="399">
        <f t="shared" si="254"/>
        <v>4.9099280074525904</v>
      </c>
      <c r="X577" s="399">
        <f t="shared" si="254"/>
        <v>4.9279424059620727</v>
      </c>
      <c r="Y577" s="399">
        <f t="shared" si="254"/>
        <v>4.9423539247696588</v>
      </c>
      <c r="Z577" s="399">
        <f t="shared" si="254"/>
        <v>4.9538831398157273</v>
      </c>
      <c r="AA577" s="399">
        <f t="shared" si="254"/>
        <v>4.9631065118525814</v>
      </c>
      <c r="AB577" s="399">
        <f t="shared" si="254"/>
        <v>4.9704852094820655</v>
      </c>
      <c r="AC577" s="399">
        <f t="shared" si="254"/>
        <v>4.9763881675856521</v>
      </c>
      <c r="AD577" s="399">
        <f t="shared" si="254"/>
        <v>4.981110534068522</v>
      </c>
      <c r="AE577" s="399">
        <f t="shared" si="254"/>
        <v>4.984888427254818</v>
      </c>
      <c r="AF577" s="399">
        <f t="shared" si="254"/>
        <v>4.9879107418038551</v>
      </c>
      <c r="AG577" s="399">
        <f t="shared" si="254"/>
        <v>4.9903285934430848</v>
      </c>
      <c r="AH577" s="399">
        <f t="shared" si="254"/>
        <v>4.9922628747544682</v>
      </c>
      <c r="AI577" s="399">
        <f t="shared" si="254"/>
        <v>4.9938102998035747</v>
      </c>
      <c r="AJ577" s="399">
        <f t="shared" si="254"/>
        <v>4.9950482398428599</v>
      </c>
      <c r="AK577" s="399">
        <f t="shared" si="254"/>
        <v>4.9960385918742887</v>
      </c>
      <c r="AL577" s="399">
        <f t="shared" si="254"/>
        <v>4.9968308734994311</v>
      </c>
      <c r="AM577" s="399">
        <f t="shared" si="254"/>
        <v>4.9974646987995452</v>
      </c>
      <c r="AN577" s="399">
        <f t="shared" si="254"/>
        <v>4.9979717590396362</v>
      </c>
      <c r="AP577" s="26"/>
    </row>
    <row r="578" spans="2:42" x14ac:dyDescent="0.25">
      <c r="B578" s="99" t="s">
        <v>9</v>
      </c>
      <c r="C578" s="311" t="s">
        <v>627</v>
      </c>
      <c r="D578" s="318"/>
      <c r="E578" s="402"/>
      <c r="F578" s="402"/>
      <c r="G578" s="402"/>
      <c r="H578" s="402"/>
      <c r="I578" s="402"/>
      <c r="J578" s="402"/>
      <c r="K578" s="402"/>
      <c r="L578" s="402"/>
      <c r="M578" s="402"/>
      <c r="N578" s="402"/>
      <c r="O578" s="402"/>
      <c r="P578" s="402"/>
      <c r="Q578" s="402"/>
      <c r="R578" s="402"/>
      <c r="S578" s="402"/>
      <c r="T578" s="402"/>
      <c r="U578" s="402"/>
      <c r="V578" s="402"/>
      <c r="W578" s="402"/>
      <c r="X578" s="402"/>
      <c r="Y578" s="402"/>
      <c r="Z578" s="402"/>
      <c r="AA578" s="402"/>
      <c r="AB578" s="402"/>
      <c r="AC578" s="402"/>
      <c r="AD578" s="402"/>
      <c r="AE578" s="402"/>
      <c r="AF578" s="402"/>
      <c r="AG578" s="402"/>
      <c r="AH578" s="402"/>
      <c r="AI578" s="402"/>
      <c r="AJ578" s="402"/>
      <c r="AK578" s="402"/>
      <c r="AL578" s="402"/>
      <c r="AM578" s="402"/>
      <c r="AN578" s="402"/>
      <c r="AO578" s="74"/>
      <c r="AP578" s="311"/>
    </row>
    <row r="579" spans="2:42" x14ac:dyDescent="0.25">
      <c r="C579" s="20" t="s">
        <v>600</v>
      </c>
      <c r="D579" s="34" t="s">
        <v>162</v>
      </c>
      <c r="E579" s="397">
        <v>5</v>
      </c>
      <c r="F579" s="397">
        <f>E579*(1-F$570)+1</f>
        <v>5</v>
      </c>
      <c r="G579" s="397">
        <f t="shared" ref="G579:AN579" si="256">F579*(1-G$570)+1</f>
        <v>5</v>
      </c>
      <c r="H579" s="397">
        <f t="shared" si="256"/>
        <v>5</v>
      </c>
      <c r="I579" s="397">
        <f t="shared" si="256"/>
        <v>5</v>
      </c>
      <c r="J579" s="397">
        <f t="shared" si="256"/>
        <v>5</v>
      </c>
      <c r="K579" s="397">
        <f t="shared" si="256"/>
        <v>5</v>
      </c>
      <c r="L579" s="397">
        <f t="shared" si="256"/>
        <v>5</v>
      </c>
      <c r="M579" s="397">
        <f t="shared" si="256"/>
        <v>5</v>
      </c>
      <c r="N579" s="397">
        <f t="shared" si="256"/>
        <v>5</v>
      </c>
      <c r="O579" s="397">
        <f t="shared" si="256"/>
        <v>5</v>
      </c>
      <c r="P579" s="397">
        <f t="shared" si="256"/>
        <v>5</v>
      </c>
      <c r="Q579" s="397">
        <f t="shared" si="256"/>
        <v>5</v>
      </c>
      <c r="R579" s="397">
        <f t="shared" si="256"/>
        <v>5</v>
      </c>
      <c r="S579" s="397">
        <f t="shared" si="256"/>
        <v>5</v>
      </c>
      <c r="T579" s="397">
        <f t="shared" si="256"/>
        <v>5</v>
      </c>
      <c r="U579" s="397">
        <f t="shared" si="256"/>
        <v>5</v>
      </c>
      <c r="V579" s="397">
        <f t="shared" si="256"/>
        <v>5</v>
      </c>
      <c r="W579" s="397">
        <f t="shared" si="256"/>
        <v>5</v>
      </c>
      <c r="X579" s="397">
        <f t="shared" si="256"/>
        <v>5</v>
      </c>
      <c r="Y579" s="397">
        <f t="shared" si="256"/>
        <v>5</v>
      </c>
      <c r="Z579" s="397">
        <f t="shared" si="256"/>
        <v>5</v>
      </c>
      <c r="AA579" s="397">
        <f t="shared" si="256"/>
        <v>5</v>
      </c>
      <c r="AB579" s="397">
        <f t="shared" si="256"/>
        <v>5</v>
      </c>
      <c r="AC579" s="397">
        <f t="shared" si="256"/>
        <v>5</v>
      </c>
      <c r="AD579" s="397">
        <f t="shared" si="256"/>
        <v>5</v>
      </c>
      <c r="AE579" s="397">
        <f t="shared" si="256"/>
        <v>5</v>
      </c>
      <c r="AF579" s="397">
        <f t="shared" si="256"/>
        <v>5</v>
      </c>
      <c r="AG579" s="397">
        <f t="shared" si="256"/>
        <v>5</v>
      </c>
      <c r="AH579" s="397">
        <f t="shared" si="256"/>
        <v>5</v>
      </c>
      <c r="AI579" s="397">
        <f t="shared" si="256"/>
        <v>5</v>
      </c>
      <c r="AJ579" s="397">
        <f t="shared" si="256"/>
        <v>5</v>
      </c>
      <c r="AK579" s="397">
        <f t="shared" si="256"/>
        <v>5</v>
      </c>
      <c r="AL579" s="397">
        <f t="shared" si="256"/>
        <v>5</v>
      </c>
      <c r="AM579" s="397">
        <f t="shared" si="256"/>
        <v>5</v>
      </c>
      <c r="AN579" s="397">
        <f t="shared" si="256"/>
        <v>5</v>
      </c>
      <c r="AP579" s="20"/>
    </row>
    <row r="580" spans="2:42" x14ac:dyDescent="0.25">
      <c r="C580" s="20" t="s">
        <v>392</v>
      </c>
      <c r="D580" s="34" t="s">
        <v>162</v>
      </c>
      <c r="E580" s="398">
        <v>4</v>
      </c>
      <c r="F580" s="398">
        <f t="shared" ref="F580:AN580" si="257">E580*(1-F$570)+1</f>
        <v>4.2</v>
      </c>
      <c r="G580" s="398">
        <f t="shared" si="257"/>
        <v>4.3600000000000003</v>
      </c>
      <c r="H580" s="398">
        <f t="shared" si="257"/>
        <v>4.4880000000000004</v>
      </c>
      <c r="I580" s="398">
        <f t="shared" si="257"/>
        <v>4.5904000000000007</v>
      </c>
      <c r="J580" s="398">
        <f t="shared" si="257"/>
        <v>4.6723200000000009</v>
      </c>
      <c r="K580" s="398">
        <f t="shared" si="257"/>
        <v>4.7378560000000007</v>
      </c>
      <c r="L580" s="398">
        <f t="shared" si="257"/>
        <v>4.7902848000000002</v>
      </c>
      <c r="M580" s="398">
        <f t="shared" si="257"/>
        <v>4.8322278399999998</v>
      </c>
      <c r="N580" s="398">
        <f t="shared" si="257"/>
        <v>4.8657822720000006</v>
      </c>
      <c r="O580" s="398">
        <f t="shared" si="257"/>
        <v>4.8926258176000008</v>
      </c>
      <c r="P580" s="398">
        <f t="shared" si="257"/>
        <v>4.9141006540800003</v>
      </c>
      <c r="Q580" s="398">
        <f t="shared" si="257"/>
        <v>4.9312805232640002</v>
      </c>
      <c r="R580" s="398">
        <f t="shared" si="257"/>
        <v>4.9450244186112009</v>
      </c>
      <c r="S580" s="398">
        <f t="shared" si="257"/>
        <v>4.9560195348889611</v>
      </c>
      <c r="T580" s="398">
        <f t="shared" si="257"/>
        <v>4.964815627911169</v>
      </c>
      <c r="U580" s="398">
        <f t="shared" si="257"/>
        <v>4.9718525023289359</v>
      </c>
      <c r="V580" s="398">
        <f t="shared" si="257"/>
        <v>4.9774820018631489</v>
      </c>
      <c r="W580" s="398">
        <f t="shared" si="257"/>
        <v>4.9819856014905195</v>
      </c>
      <c r="X580" s="398">
        <f t="shared" si="257"/>
        <v>4.9855884811924156</v>
      </c>
      <c r="Y580" s="398">
        <f t="shared" si="257"/>
        <v>4.9884707849539325</v>
      </c>
      <c r="Z580" s="398">
        <f t="shared" si="257"/>
        <v>4.9907766279631467</v>
      </c>
      <c r="AA580" s="398">
        <f t="shared" si="257"/>
        <v>4.9926213023705177</v>
      </c>
      <c r="AB580" s="398">
        <f t="shared" si="257"/>
        <v>4.9940970418964143</v>
      </c>
      <c r="AC580" s="398">
        <f t="shared" si="257"/>
        <v>4.9952776335171318</v>
      </c>
      <c r="AD580" s="398">
        <f t="shared" si="257"/>
        <v>4.9962221068137058</v>
      </c>
      <c r="AE580" s="398">
        <f t="shared" si="257"/>
        <v>4.9969776854509647</v>
      </c>
      <c r="AF580" s="398">
        <f t="shared" si="257"/>
        <v>4.9975821483607721</v>
      </c>
      <c r="AG580" s="398">
        <f t="shared" si="257"/>
        <v>4.9980657186886184</v>
      </c>
      <c r="AH580" s="398">
        <f t="shared" si="257"/>
        <v>4.9984525749508943</v>
      </c>
      <c r="AI580" s="398">
        <f t="shared" si="257"/>
        <v>4.9987620599607157</v>
      </c>
      <c r="AJ580" s="398">
        <f t="shared" si="257"/>
        <v>4.9990096479685722</v>
      </c>
      <c r="AK580" s="398">
        <f t="shared" si="257"/>
        <v>4.9992077183748584</v>
      </c>
      <c r="AL580" s="398">
        <f t="shared" si="257"/>
        <v>4.9993661746998868</v>
      </c>
      <c r="AM580" s="398">
        <f t="shared" si="257"/>
        <v>4.999492939759909</v>
      </c>
      <c r="AN580" s="398">
        <f t="shared" si="257"/>
        <v>4.9995943518079269</v>
      </c>
      <c r="AP580" s="21"/>
    </row>
    <row r="581" spans="2:42" x14ac:dyDescent="0.25">
      <c r="C581" s="20" t="s">
        <v>454</v>
      </c>
      <c r="D581" s="34" t="s">
        <v>162</v>
      </c>
      <c r="E581" s="398">
        <v>3</v>
      </c>
      <c r="F581" s="398">
        <f t="shared" ref="F581:AN581" si="258">E581*(1-F$570)+1</f>
        <v>3.4000000000000004</v>
      </c>
      <c r="G581" s="398">
        <f t="shared" si="258"/>
        <v>3.7200000000000006</v>
      </c>
      <c r="H581" s="398">
        <f t="shared" si="258"/>
        <v>3.9760000000000009</v>
      </c>
      <c r="I581" s="398">
        <f t="shared" si="258"/>
        <v>4.1808000000000014</v>
      </c>
      <c r="J581" s="398">
        <f t="shared" si="258"/>
        <v>4.3446400000000018</v>
      </c>
      <c r="K581" s="398">
        <f t="shared" si="258"/>
        <v>4.4757120000000015</v>
      </c>
      <c r="L581" s="398">
        <f t="shared" si="258"/>
        <v>4.5805696000000014</v>
      </c>
      <c r="M581" s="398">
        <f t="shared" si="258"/>
        <v>4.6644556800000014</v>
      </c>
      <c r="N581" s="398">
        <f t="shared" si="258"/>
        <v>4.7315645440000011</v>
      </c>
      <c r="O581" s="398">
        <f t="shared" si="258"/>
        <v>4.7852516352000016</v>
      </c>
      <c r="P581" s="398">
        <f t="shared" si="258"/>
        <v>4.8282013081600015</v>
      </c>
      <c r="Q581" s="398">
        <f t="shared" si="258"/>
        <v>4.8625610465280014</v>
      </c>
      <c r="R581" s="398">
        <f t="shared" si="258"/>
        <v>4.8900488372224018</v>
      </c>
      <c r="S581" s="398">
        <f t="shared" si="258"/>
        <v>4.9120390697779222</v>
      </c>
      <c r="T581" s="398">
        <f t="shared" si="258"/>
        <v>4.9296312558223381</v>
      </c>
      <c r="U581" s="398">
        <f t="shared" si="258"/>
        <v>4.9437050046578701</v>
      </c>
      <c r="V581" s="398">
        <f t="shared" si="258"/>
        <v>4.9549640037262961</v>
      </c>
      <c r="W581" s="398">
        <f t="shared" si="258"/>
        <v>4.9639712029810372</v>
      </c>
      <c r="X581" s="398">
        <f t="shared" si="258"/>
        <v>4.9711769623848294</v>
      </c>
      <c r="Y581" s="398">
        <f t="shared" si="258"/>
        <v>4.9769415699078632</v>
      </c>
      <c r="Z581" s="398">
        <f t="shared" si="258"/>
        <v>4.9815532559262907</v>
      </c>
      <c r="AA581" s="398">
        <f t="shared" si="258"/>
        <v>4.9852426047410328</v>
      </c>
      <c r="AB581" s="398">
        <f t="shared" si="258"/>
        <v>4.9881940837928269</v>
      </c>
      <c r="AC581" s="398">
        <f t="shared" si="258"/>
        <v>4.9905552670342619</v>
      </c>
      <c r="AD581" s="398">
        <f t="shared" si="258"/>
        <v>4.9924442136274099</v>
      </c>
      <c r="AE581" s="398">
        <f t="shared" si="258"/>
        <v>4.9939553709019275</v>
      </c>
      <c r="AF581" s="398">
        <f t="shared" si="258"/>
        <v>4.9951642967215424</v>
      </c>
      <c r="AG581" s="398">
        <f t="shared" si="258"/>
        <v>4.9961314373772341</v>
      </c>
      <c r="AH581" s="398">
        <f t="shared" si="258"/>
        <v>4.9969051499017869</v>
      </c>
      <c r="AI581" s="398">
        <f t="shared" si="258"/>
        <v>4.9975241199214295</v>
      </c>
      <c r="AJ581" s="398">
        <f t="shared" si="258"/>
        <v>4.9980192959371443</v>
      </c>
      <c r="AK581" s="398">
        <f t="shared" si="258"/>
        <v>4.9984154367497151</v>
      </c>
      <c r="AL581" s="398">
        <f t="shared" si="258"/>
        <v>4.9987323493997717</v>
      </c>
      <c r="AM581" s="398">
        <f t="shared" si="258"/>
        <v>4.9989858795198181</v>
      </c>
      <c r="AN581" s="398">
        <f t="shared" si="258"/>
        <v>4.9991887036158547</v>
      </c>
      <c r="AP581" s="21"/>
    </row>
    <row r="582" spans="2:42" x14ac:dyDescent="0.25">
      <c r="C582" s="21" t="s">
        <v>455</v>
      </c>
      <c r="D582" s="34" t="s">
        <v>162</v>
      </c>
      <c r="E582" s="398">
        <v>2</v>
      </c>
      <c r="F582" s="398">
        <f t="shared" ref="F582:AN582" si="259">E582*(1-F$570)+1</f>
        <v>2.6</v>
      </c>
      <c r="G582" s="398">
        <f t="shared" si="259"/>
        <v>3.08</v>
      </c>
      <c r="H582" s="398">
        <f t="shared" si="259"/>
        <v>3.4640000000000004</v>
      </c>
      <c r="I582" s="398">
        <f t="shared" si="259"/>
        <v>3.7712000000000003</v>
      </c>
      <c r="J582" s="398">
        <f t="shared" si="259"/>
        <v>4.016960000000001</v>
      </c>
      <c r="K582" s="398">
        <f t="shared" si="259"/>
        <v>4.2135680000000004</v>
      </c>
      <c r="L582" s="398">
        <f t="shared" si="259"/>
        <v>4.3708544000000007</v>
      </c>
      <c r="M582" s="398">
        <f t="shared" si="259"/>
        <v>4.4966835200000013</v>
      </c>
      <c r="N582" s="398">
        <f t="shared" si="259"/>
        <v>4.5973468160000017</v>
      </c>
      <c r="O582" s="398">
        <f t="shared" si="259"/>
        <v>4.6778774528000016</v>
      </c>
      <c r="P582" s="398">
        <f t="shared" si="259"/>
        <v>4.7423019622400009</v>
      </c>
      <c r="Q582" s="398">
        <f t="shared" si="259"/>
        <v>4.7938415697920007</v>
      </c>
      <c r="R582" s="398">
        <f t="shared" si="259"/>
        <v>4.8350732558336009</v>
      </c>
      <c r="S582" s="398">
        <f t="shared" si="259"/>
        <v>4.8680586046668815</v>
      </c>
      <c r="T582" s="398">
        <f t="shared" si="259"/>
        <v>4.8944468837335053</v>
      </c>
      <c r="U582" s="398">
        <f t="shared" si="259"/>
        <v>4.9155575069868043</v>
      </c>
      <c r="V582" s="398">
        <f t="shared" si="259"/>
        <v>4.9324460055894441</v>
      </c>
      <c r="W582" s="398">
        <f t="shared" si="259"/>
        <v>4.9459568044715549</v>
      </c>
      <c r="X582" s="398">
        <f t="shared" si="259"/>
        <v>4.9567654435772441</v>
      </c>
      <c r="Y582" s="398">
        <f t="shared" si="259"/>
        <v>4.9654123548617957</v>
      </c>
      <c r="Z582" s="398">
        <f t="shared" si="259"/>
        <v>4.9723298838894365</v>
      </c>
      <c r="AA582" s="398">
        <f t="shared" si="259"/>
        <v>4.9778639071115496</v>
      </c>
      <c r="AB582" s="398">
        <f t="shared" si="259"/>
        <v>4.9822911256892404</v>
      </c>
      <c r="AC582" s="398">
        <f t="shared" si="259"/>
        <v>4.9858329005513919</v>
      </c>
      <c r="AD582" s="398">
        <f t="shared" si="259"/>
        <v>4.9886663204411139</v>
      </c>
      <c r="AE582" s="398">
        <f t="shared" si="259"/>
        <v>4.9909330563528913</v>
      </c>
      <c r="AF582" s="398">
        <f t="shared" si="259"/>
        <v>4.9927464450823127</v>
      </c>
      <c r="AG582" s="398">
        <f t="shared" si="259"/>
        <v>4.9941971560658498</v>
      </c>
      <c r="AH582" s="398">
        <f t="shared" si="259"/>
        <v>4.9953577248526795</v>
      </c>
      <c r="AI582" s="398">
        <f t="shared" si="259"/>
        <v>4.9962861798821443</v>
      </c>
      <c r="AJ582" s="398">
        <f t="shared" si="259"/>
        <v>4.9970289439057156</v>
      </c>
      <c r="AK582" s="398">
        <f t="shared" si="259"/>
        <v>4.9976231551245727</v>
      </c>
      <c r="AL582" s="398">
        <f t="shared" si="259"/>
        <v>4.9980985240996585</v>
      </c>
      <c r="AM582" s="398">
        <f t="shared" si="259"/>
        <v>4.9984788192797271</v>
      </c>
      <c r="AN582" s="398">
        <f t="shared" si="259"/>
        <v>4.9987830554237824</v>
      </c>
      <c r="AP582" s="21"/>
    </row>
    <row r="583" spans="2:42" x14ac:dyDescent="0.25">
      <c r="C583" s="21" t="s">
        <v>393</v>
      </c>
      <c r="D583" s="34" t="s">
        <v>162</v>
      </c>
      <c r="E583" s="398">
        <v>1</v>
      </c>
      <c r="F583" s="398">
        <f t="shared" ref="F583:AN583" si="260">E583*(1-F$570)+1</f>
        <v>1.8</v>
      </c>
      <c r="G583" s="398">
        <f t="shared" si="260"/>
        <v>2.4400000000000004</v>
      </c>
      <c r="H583" s="398">
        <f t="shared" si="260"/>
        <v>2.9520000000000004</v>
      </c>
      <c r="I583" s="398">
        <f t="shared" si="260"/>
        <v>3.3616000000000006</v>
      </c>
      <c r="J583" s="398">
        <f t="shared" si="260"/>
        <v>3.6892800000000006</v>
      </c>
      <c r="K583" s="398">
        <f t="shared" si="260"/>
        <v>3.9514240000000007</v>
      </c>
      <c r="L583" s="398">
        <f t="shared" si="260"/>
        <v>4.1611392000000009</v>
      </c>
      <c r="M583" s="398">
        <f t="shared" si="260"/>
        <v>4.3289113600000011</v>
      </c>
      <c r="N583" s="398">
        <f t="shared" si="260"/>
        <v>4.4631290880000005</v>
      </c>
      <c r="O583" s="398">
        <f t="shared" si="260"/>
        <v>4.5705032704000006</v>
      </c>
      <c r="P583" s="398">
        <f t="shared" si="260"/>
        <v>4.6564026163200012</v>
      </c>
      <c r="Q583" s="398">
        <f t="shared" si="260"/>
        <v>4.7251220930560009</v>
      </c>
      <c r="R583" s="398">
        <f t="shared" si="260"/>
        <v>4.7800976744448009</v>
      </c>
      <c r="S583" s="398">
        <f t="shared" si="260"/>
        <v>4.8240781395558407</v>
      </c>
      <c r="T583" s="398">
        <f t="shared" si="260"/>
        <v>4.8592625116446726</v>
      </c>
      <c r="U583" s="398">
        <f t="shared" si="260"/>
        <v>4.8874100093157384</v>
      </c>
      <c r="V583" s="398">
        <f t="shared" si="260"/>
        <v>4.9099280074525904</v>
      </c>
      <c r="W583" s="398">
        <f t="shared" si="260"/>
        <v>4.9279424059620727</v>
      </c>
      <c r="X583" s="398">
        <f t="shared" si="260"/>
        <v>4.9423539247696588</v>
      </c>
      <c r="Y583" s="398">
        <f t="shared" si="260"/>
        <v>4.9538831398157273</v>
      </c>
      <c r="Z583" s="398">
        <f t="shared" si="260"/>
        <v>4.9631065118525814</v>
      </c>
      <c r="AA583" s="398">
        <f t="shared" si="260"/>
        <v>4.9704852094820655</v>
      </c>
      <c r="AB583" s="398">
        <f t="shared" si="260"/>
        <v>4.9763881675856521</v>
      </c>
      <c r="AC583" s="398">
        <f t="shared" si="260"/>
        <v>4.981110534068522</v>
      </c>
      <c r="AD583" s="398">
        <f t="shared" si="260"/>
        <v>4.984888427254818</v>
      </c>
      <c r="AE583" s="398">
        <f t="shared" si="260"/>
        <v>4.9879107418038551</v>
      </c>
      <c r="AF583" s="398">
        <f t="shared" si="260"/>
        <v>4.9903285934430848</v>
      </c>
      <c r="AG583" s="398">
        <f t="shared" si="260"/>
        <v>4.9922628747544682</v>
      </c>
      <c r="AH583" s="398">
        <f t="shared" si="260"/>
        <v>4.9938102998035747</v>
      </c>
      <c r="AI583" s="398">
        <f t="shared" si="260"/>
        <v>4.9950482398428599</v>
      </c>
      <c r="AJ583" s="398">
        <f t="shared" si="260"/>
        <v>4.9960385918742887</v>
      </c>
      <c r="AK583" s="398">
        <f t="shared" si="260"/>
        <v>4.9968308734994311</v>
      </c>
      <c r="AL583" s="398">
        <f t="shared" si="260"/>
        <v>4.9974646987995452</v>
      </c>
      <c r="AM583" s="398">
        <f t="shared" si="260"/>
        <v>4.9979717590396362</v>
      </c>
      <c r="AN583" s="398">
        <f t="shared" si="260"/>
        <v>4.9983774072317093</v>
      </c>
      <c r="AP583" s="21"/>
    </row>
    <row r="584" spans="2:42" x14ac:dyDescent="0.25">
      <c r="C584" s="22" t="s">
        <v>456</v>
      </c>
      <c r="D584" s="34" t="s">
        <v>162</v>
      </c>
      <c r="E584" s="399">
        <v>0</v>
      </c>
      <c r="F584" s="399">
        <f t="shared" ref="F584:AN584" si="261">E584*(1-F$570)+1</f>
        <v>1</v>
      </c>
      <c r="G584" s="399">
        <f t="shared" si="261"/>
        <v>1.8</v>
      </c>
      <c r="H584" s="399">
        <f t="shared" si="261"/>
        <v>2.4400000000000004</v>
      </c>
      <c r="I584" s="399">
        <f t="shared" si="261"/>
        <v>2.9520000000000004</v>
      </c>
      <c r="J584" s="399">
        <f t="shared" si="261"/>
        <v>3.3616000000000006</v>
      </c>
      <c r="K584" s="399">
        <f t="shared" si="261"/>
        <v>3.6892800000000006</v>
      </c>
      <c r="L584" s="399">
        <f t="shared" si="261"/>
        <v>3.9514240000000007</v>
      </c>
      <c r="M584" s="399">
        <f t="shared" si="261"/>
        <v>4.1611392000000009</v>
      </c>
      <c r="N584" s="399">
        <f t="shared" si="261"/>
        <v>4.3289113600000011</v>
      </c>
      <c r="O584" s="399">
        <f t="shared" si="261"/>
        <v>4.4631290880000005</v>
      </c>
      <c r="P584" s="399">
        <f t="shared" si="261"/>
        <v>4.5705032704000006</v>
      </c>
      <c r="Q584" s="399">
        <f t="shared" si="261"/>
        <v>4.6564026163200012</v>
      </c>
      <c r="R584" s="399">
        <f t="shared" si="261"/>
        <v>4.7251220930560009</v>
      </c>
      <c r="S584" s="399">
        <f t="shared" si="261"/>
        <v>4.7800976744448009</v>
      </c>
      <c r="T584" s="399">
        <f t="shared" si="261"/>
        <v>4.8240781395558407</v>
      </c>
      <c r="U584" s="399">
        <f t="shared" si="261"/>
        <v>4.8592625116446726</v>
      </c>
      <c r="V584" s="399">
        <f t="shared" si="261"/>
        <v>4.8874100093157384</v>
      </c>
      <c r="W584" s="399">
        <f t="shared" si="261"/>
        <v>4.9099280074525904</v>
      </c>
      <c r="X584" s="399">
        <f t="shared" si="261"/>
        <v>4.9279424059620727</v>
      </c>
      <c r="Y584" s="399">
        <f t="shared" si="261"/>
        <v>4.9423539247696588</v>
      </c>
      <c r="Z584" s="399">
        <f t="shared" si="261"/>
        <v>4.9538831398157273</v>
      </c>
      <c r="AA584" s="399">
        <f t="shared" si="261"/>
        <v>4.9631065118525814</v>
      </c>
      <c r="AB584" s="399">
        <f t="shared" si="261"/>
        <v>4.9704852094820655</v>
      </c>
      <c r="AC584" s="399">
        <f t="shared" si="261"/>
        <v>4.9763881675856521</v>
      </c>
      <c r="AD584" s="399">
        <f t="shared" si="261"/>
        <v>4.981110534068522</v>
      </c>
      <c r="AE584" s="399">
        <f t="shared" si="261"/>
        <v>4.984888427254818</v>
      </c>
      <c r="AF584" s="399">
        <f t="shared" si="261"/>
        <v>4.9879107418038551</v>
      </c>
      <c r="AG584" s="399">
        <f t="shared" si="261"/>
        <v>4.9903285934430848</v>
      </c>
      <c r="AH584" s="399">
        <f t="shared" si="261"/>
        <v>4.9922628747544682</v>
      </c>
      <c r="AI584" s="399">
        <f t="shared" si="261"/>
        <v>4.9938102998035747</v>
      </c>
      <c r="AJ584" s="399">
        <f t="shared" si="261"/>
        <v>4.9950482398428599</v>
      </c>
      <c r="AK584" s="399">
        <f t="shared" si="261"/>
        <v>4.9960385918742887</v>
      </c>
      <c r="AL584" s="399">
        <f t="shared" si="261"/>
        <v>4.9968308734994311</v>
      </c>
      <c r="AM584" s="399">
        <f t="shared" si="261"/>
        <v>4.9974646987995452</v>
      </c>
      <c r="AN584" s="399">
        <f t="shared" si="261"/>
        <v>4.9979717590396362</v>
      </c>
      <c r="AP584" s="26"/>
    </row>
    <row r="585" spans="2:42" x14ac:dyDescent="0.25">
      <c r="B585" s="99" t="s">
        <v>9</v>
      </c>
      <c r="C585" s="311" t="s">
        <v>628</v>
      </c>
      <c r="D585" s="318"/>
      <c r="E585" s="402"/>
      <c r="F585" s="402"/>
      <c r="G585" s="402"/>
      <c r="H585" s="402"/>
      <c r="I585" s="402"/>
      <c r="J585" s="402"/>
      <c r="K585" s="402"/>
      <c r="L585" s="402"/>
      <c r="M585" s="402"/>
      <c r="N585" s="402"/>
      <c r="O585" s="402"/>
      <c r="P585" s="402"/>
      <c r="Q585" s="402"/>
      <c r="R585" s="402"/>
      <c r="S585" s="402"/>
      <c r="T585" s="402"/>
      <c r="U585" s="402"/>
      <c r="V585" s="402"/>
      <c r="W585" s="402"/>
      <c r="X585" s="402"/>
      <c r="Y585" s="402"/>
      <c r="Z585" s="402"/>
      <c r="AA585" s="402"/>
      <c r="AB585" s="402"/>
      <c r="AC585" s="402"/>
      <c r="AD585" s="402"/>
      <c r="AE585" s="402"/>
      <c r="AF585" s="402"/>
      <c r="AG585" s="402"/>
      <c r="AH585" s="402"/>
      <c r="AI585" s="402"/>
      <c r="AJ585" s="402"/>
      <c r="AK585" s="402"/>
      <c r="AL585" s="402"/>
      <c r="AM585" s="402"/>
      <c r="AN585" s="402"/>
      <c r="AO585" s="74"/>
      <c r="AP585" s="311"/>
    </row>
    <row r="586" spans="2:42" x14ac:dyDescent="0.25">
      <c r="C586" s="20" t="s">
        <v>600</v>
      </c>
      <c r="D586" s="34" t="s">
        <v>162</v>
      </c>
      <c r="E586" s="397">
        <v>5</v>
      </c>
      <c r="F586" s="397">
        <f>E586*(1-F$570)+1</f>
        <v>5</v>
      </c>
      <c r="G586" s="397">
        <f t="shared" ref="G586:AN586" si="262">F586*(1-G$570)+1</f>
        <v>5</v>
      </c>
      <c r="H586" s="397">
        <f t="shared" si="262"/>
        <v>5</v>
      </c>
      <c r="I586" s="397">
        <f t="shared" si="262"/>
        <v>5</v>
      </c>
      <c r="J586" s="397">
        <f t="shared" si="262"/>
        <v>5</v>
      </c>
      <c r="K586" s="397">
        <f t="shared" si="262"/>
        <v>5</v>
      </c>
      <c r="L586" s="397">
        <f t="shared" si="262"/>
        <v>5</v>
      </c>
      <c r="M586" s="397">
        <f t="shared" si="262"/>
        <v>5</v>
      </c>
      <c r="N586" s="397">
        <f t="shared" si="262"/>
        <v>5</v>
      </c>
      <c r="O586" s="397">
        <f t="shared" si="262"/>
        <v>5</v>
      </c>
      <c r="P586" s="397">
        <f t="shared" si="262"/>
        <v>5</v>
      </c>
      <c r="Q586" s="397">
        <f t="shared" si="262"/>
        <v>5</v>
      </c>
      <c r="R586" s="397">
        <f t="shared" si="262"/>
        <v>5</v>
      </c>
      <c r="S586" s="397">
        <f t="shared" si="262"/>
        <v>5</v>
      </c>
      <c r="T586" s="397">
        <f t="shared" si="262"/>
        <v>5</v>
      </c>
      <c r="U586" s="397">
        <f t="shared" si="262"/>
        <v>5</v>
      </c>
      <c r="V586" s="397">
        <f t="shared" si="262"/>
        <v>5</v>
      </c>
      <c r="W586" s="397">
        <f t="shared" si="262"/>
        <v>5</v>
      </c>
      <c r="X586" s="397">
        <f t="shared" si="262"/>
        <v>5</v>
      </c>
      <c r="Y586" s="397">
        <f t="shared" si="262"/>
        <v>5</v>
      </c>
      <c r="Z586" s="397">
        <f t="shared" si="262"/>
        <v>5</v>
      </c>
      <c r="AA586" s="397">
        <f t="shared" si="262"/>
        <v>5</v>
      </c>
      <c r="AB586" s="397">
        <f t="shared" si="262"/>
        <v>5</v>
      </c>
      <c r="AC586" s="397">
        <f t="shared" si="262"/>
        <v>5</v>
      </c>
      <c r="AD586" s="397">
        <f t="shared" si="262"/>
        <v>5</v>
      </c>
      <c r="AE586" s="397">
        <f t="shared" si="262"/>
        <v>5</v>
      </c>
      <c r="AF586" s="397">
        <f t="shared" si="262"/>
        <v>5</v>
      </c>
      <c r="AG586" s="397">
        <f t="shared" si="262"/>
        <v>5</v>
      </c>
      <c r="AH586" s="397">
        <f t="shared" si="262"/>
        <v>5</v>
      </c>
      <c r="AI586" s="397">
        <f t="shared" si="262"/>
        <v>5</v>
      </c>
      <c r="AJ586" s="397">
        <f t="shared" si="262"/>
        <v>5</v>
      </c>
      <c r="AK586" s="397">
        <f t="shared" si="262"/>
        <v>5</v>
      </c>
      <c r="AL586" s="397">
        <f t="shared" si="262"/>
        <v>5</v>
      </c>
      <c r="AM586" s="397">
        <f t="shared" si="262"/>
        <v>5</v>
      </c>
      <c r="AN586" s="397">
        <f t="shared" si="262"/>
        <v>5</v>
      </c>
      <c r="AP586" s="20"/>
    </row>
    <row r="587" spans="2:42" x14ac:dyDescent="0.25">
      <c r="C587" s="20" t="s">
        <v>392</v>
      </c>
      <c r="D587" s="34" t="s">
        <v>162</v>
      </c>
      <c r="E587" s="398">
        <v>4</v>
      </c>
      <c r="F587" s="398">
        <f t="shared" ref="F587:AN587" si="263">E587*(1-F$570)+1</f>
        <v>4.2</v>
      </c>
      <c r="G587" s="398">
        <f t="shared" si="263"/>
        <v>4.3600000000000003</v>
      </c>
      <c r="H587" s="398">
        <f t="shared" si="263"/>
        <v>4.4880000000000004</v>
      </c>
      <c r="I587" s="398">
        <f t="shared" si="263"/>
        <v>4.5904000000000007</v>
      </c>
      <c r="J587" s="398">
        <f t="shared" si="263"/>
        <v>4.6723200000000009</v>
      </c>
      <c r="K587" s="398">
        <f t="shared" si="263"/>
        <v>4.7378560000000007</v>
      </c>
      <c r="L587" s="398">
        <f t="shared" si="263"/>
        <v>4.7902848000000002</v>
      </c>
      <c r="M587" s="398">
        <f t="shared" si="263"/>
        <v>4.8322278399999998</v>
      </c>
      <c r="N587" s="398">
        <f t="shared" si="263"/>
        <v>4.8657822720000006</v>
      </c>
      <c r="O587" s="398">
        <f t="shared" si="263"/>
        <v>4.8926258176000008</v>
      </c>
      <c r="P587" s="398">
        <f t="shared" si="263"/>
        <v>4.9141006540800003</v>
      </c>
      <c r="Q587" s="398">
        <f t="shared" si="263"/>
        <v>4.9312805232640002</v>
      </c>
      <c r="R587" s="398">
        <f t="shared" si="263"/>
        <v>4.9450244186112009</v>
      </c>
      <c r="S587" s="398">
        <f t="shared" si="263"/>
        <v>4.9560195348889611</v>
      </c>
      <c r="T587" s="398">
        <f t="shared" si="263"/>
        <v>4.964815627911169</v>
      </c>
      <c r="U587" s="398">
        <f t="shared" si="263"/>
        <v>4.9718525023289359</v>
      </c>
      <c r="V587" s="398">
        <f t="shared" si="263"/>
        <v>4.9774820018631489</v>
      </c>
      <c r="W587" s="398">
        <f t="shared" si="263"/>
        <v>4.9819856014905195</v>
      </c>
      <c r="X587" s="398">
        <f t="shared" si="263"/>
        <v>4.9855884811924156</v>
      </c>
      <c r="Y587" s="398">
        <f t="shared" si="263"/>
        <v>4.9884707849539325</v>
      </c>
      <c r="Z587" s="398">
        <f t="shared" si="263"/>
        <v>4.9907766279631467</v>
      </c>
      <c r="AA587" s="398">
        <f t="shared" si="263"/>
        <v>4.9926213023705177</v>
      </c>
      <c r="AB587" s="398">
        <f t="shared" si="263"/>
        <v>4.9940970418964143</v>
      </c>
      <c r="AC587" s="398">
        <f t="shared" si="263"/>
        <v>4.9952776335171318</v>
      </c>
      <c r="AD587" s="398">
        <f t="shared" si="263"/>
        <v>4.9962221068137058</v>
      </c>
      <c r="AE587" s="398">
        <f t="shared" si="263"/>
        <v>4.9969776854509647</v>
      </c>
      <c r="AF587" s="398">
        <f t="shared" si="263"/>
        <v>4.9975821483607721</v>
      </c>
      <c r="AG587" s="398">
        <f t="shared" si="263"/>
        <v>4.9980657186886184</v>
      </c>
      <c r="AH587" s="398">
        <f t="shared" si="263"/>
        <v>4.9984525749508943</v>
      </c>
      <c r="AI587" s="398">
        <f t="shared" si="263"/>
        <v>4.9987620599607157</v>
      </c>
      <c r="AJ587" s="398">
        <f t="shared" si="263"/>
        <v>4.9990096479685722</v>
      </c>
      <c r="AK587" s="398">
        <f t="shared" si="263"/>
        <v>4.9992077183748584</v>
      </c>
      <c r="AL587" s="398">
        <f t="shared" si="263"/>
        <v>4.9993661746998868</v>
      </c>
      <c r="AM587" s="398">
        <f t="shared" si="263"/>
        <v>4.999492939759909</v>
      </c>
      <c r="AN587" s="398">
        <f t="shared" si="263"/>
        <v>4.9995943518079269</v>
      </c>
      <c r="AP587" s="21"/>
    </row>
    <row r="588" spans="2:42" x14ac:dyDescent="0.25">
      <c r="C588" s="20" t="s">
        <v>454</v>
      </c>
      <c r="D588" s="34" t="s">
        <v>162</v>
      </c>
      <c r="E588" s="398">
        <v>3</v>
      </c>
      <c r="F588" s="398">
        <f t="shared" ref="F588:AN588" si="264">E588*(1-F$570)+1</f>
        <v>3.4000000000000004</v>
      </c>
      <c r="G588" s="398">
        <f t="shared" si="264"/>
        <v>3.7200000000000006</v>
      </c>
      <c r="H588" s="398">
        <f t="shared" si="264"/>
        <v>3.9760000000000009</v>
      </c>
      <c r="I588" s="398">
        <f t="shared" si="264"/>
        <v>4.1808000000000014</v>
      </c>
      <c r="J588" s="398">
        <f t="shared" si="264"/>
        <v>4.3446400000000018</v>
      </c>
      <c r="K588" s="398">
        <f t="shared" si="264"/>
        <v>4.4757120000000015</v>
      </c>
      <c r="L588" s="398">
        <f t="shared" si="264"/>
        <v>4.5805696000000014</v>
      </c>
      <c r="M588" s="398">
        <f t="shared" si="264"/>
        <v>4.6644556800000014</v>
      </c>
      <c r="N588" s="398">
        <f t="shared" si="264"/>
        <v>4.7315645440000011</v>
      </c>
      <c r="O588" s="398">
        <f t="shared" si="264"/>
        <v>4.7852516352000016</v>
      </c>
      <c r="P588" s="398">
        <f t="shared" si="264"/>
        <v>4.8282013081600015</v>
      </c>
      <c r="Q588" s="398">
        <f t="shared" si="264"/>
        <v>4.8625610465280014</v>
      </c>
      <c r="R588" s="398">
        <f t="shared" si="264"/>
        <v>4.8900488372224018</v>
      </c>
      <c r="S588" s="398">
        <f t="shared" si="264"/>
        <v>4.9120390697779222</v>
      </c>
      <c r="T588" s="398">
        <f t="shared" si="264"/>
        <v>4.9296312558223381</v>
      </c>
      <c r="U588" s="398">
        <f t="shared" si="264"/>
        <v>4.9437050046578701</v>
      </c>
      <c r="V588" s="398">
        <f t="shared" si="264"/>
        <v>4.9549640037262961</v>
      </c>
      <c r="W588" s="398">
        <f t="shared" si="264"/>
        <v>4.9639712029810372</v>
      </c>
      <c r="X588" s="398">
        <f t="shared" si="264"/>
        <v>4.9711769623848294</v>
      </c>
      <c r="Y588" s="398">
        <f t="shared" si="264"/>
        <v>4.9769415699078632</v>
      </c>
      <c r="Z588" s="398">
        <f t="shared" si="264"/>
        <v>4.9815532559262907</v>
      </c>
      <c r="AA588" s="398">
        <f t="shared" si="264"/>
        <v>4.9852426047410328</v>
      </c>
      <c r="AB588" s="398">
        <f t="shared" si="264"/>
        <v>4.9881940837928269</v>
      </c>
      <c r="AC588" s="398">
        <f t="shared" si="264"/>
        <v>4.9905552670342619</v>
      </c>
      <c r="AD588" s="398">
        <f t="shared" si="264"/>
        <v>4.9924442136274099</v>
      </c>
      <c r="AE588" s="398">
        <f t="shared" si="264"/>
        <v>4.9939553709019275</v>
      </c>
      <c r="AF588" s="398">
        <f t="shared" si="264"/>
        <v>4.9951642967215424</v>
      </c>
      <c r="AG588" s="398">
        <f t="shared" si="264"/>
        <v>4.9961314373772341</v>
      </c>
      <c r="AH588" s="398">
        <f t="shared" si="264"/>
        <v>4.9969051499017869</v>
      </c>
      <c r="AI588" s="398">
        <f t="shared" si="264"/>
        <v>4.9975241199214295</v>
      </c>
      <c r="AJ588" s="398">
        <f t="shared" si="264"/>
        <v>4.9980192959371443</v>
      </c>
      <c r="AK588" s="398">
        <f t="shared" si="264"/>
        <v>4.9984154367497151</v>
      </c>
      <c r="AL588" s="398">
        <f t="shared" si="264"/>
        <v>4.9987323493997717</v>
      </c>
      <c r="AM588" s="398">
        <f t="shared" si="264"/>
        <v>4.9989858795198181</v>
      </c>
      <c r="AN588" s="398">
        <f t="shared" si="264"/>
        <v>4.9991887036158547</v>
      </c>
      <c r="AP588" s="21"/>
    </row>
    <row r="589" spans="2:42" x14ac:dyDescent="0.25">
      <c r="C589" s="21" t="s">
        <v>455</v>
      </c>
      <c r="D589" s="34" t="s">
        <v>162</v>
      </c>
      <c r="E589" s="398">
        <v>2</v>
      </c>
      <c r="F589" s="398">
        <f t="shared" ref="F589:AN589" si="265">E589*(1-F$570)+1</f>
        <v>2.6</v>
      </c>
      <c r="G589" s="398">
        <f t="shared" si="265"/>
        <v>3.08</v>
      </c>
      <c r="H589" s="398">
        <f t="shared" si="265"/>
        <v>3.4640000000000004</v>
      </c>
      <c r="I589" s="398">
        <f t="shared" si="265"/>
        <v>3.7712000000000003</v>
      </c>
      <c r="J589" s="398">
        <f t="shared" si="265"/>
        <v>4.016960000000001</v>
      </c>
      <c r="K589" s="398">
        <f t="shared" si="265"/>
        <v>4.2135680000000004</v>
      </c>
      <c r="L589" s="398">
        <f t="shared" si="265"/>
        <v>4.3708544000000007</v>
      </c>
      <c r="M589" s="398">
        <f t="shared" si="265"/>
        <v>4.4966835200000013</v>
      </c>
      <c r="N589" s="398">
        <f t="shared" si="265"/>
        <v>4.5973468160000017</v>
      </c>
      <c r="O589" s="398">
        <f t="shared" si="265"/>
        <v>4.6778774528000016</v>
      </c>
      <c r="P589" s="398">
        <f t="shared" si="265"/>
        <v>4.7423019622400009</v>
      </c>
      <c r="Q589" s="398">
        <f t="shared" si="265"/>
        <v>4.7938415697920007</v>
      </c>
      <c r="R589" s="398">
        <f t="shared" si="265"/>
        <v>4.8350732558336009</v>
      </c>
      <c r="S589" s="398">
        <f t="shared" si="265"/>
        <v>4.8680586046668815</v>
      </c>
      <c r="T589" s="398">
        <f t="shared" si="265"/>
        <v>4.8944468837335053</v>
      </c>
      <c r="U589" s="398">
        <f t="shared" si="265"/>
        <v>4.9155575069868043</v>
      </c>
      <c r="V589" s="398">
        <f t="shared" si="265"/>
        <v>4.9324460055894441</v>
      </c>
      <c r="W589" s="398">
        <f t="shared" si="265"/>
        <v>4.9459568044715549</v>
      </c>
      <c r="X589" s="398">
        <f t="shared" si="265"/>
        <v>4.9567654435772441</v>
      </c>
      <c r="Y589" s="398">
        <f t="shared" si="265"/>
        <v>4.9654123548617957</v>
      </c>
      <c r="Z589" s="398">
        <f t="shared" si="265"/>
        <v>4.9723298838894365</v>
      </c>
      <c r="AA589" s="398">
        <f t="shared" si="265"/>
        <v>4.9778639071115496</v>
      </c>
      <c r="AB589" s="398">
        <f t="shared" si="265"/>
        <v>4.9822911256892404</v>
      </c>
      <c r="AC589" s="398">
        <f t="shared" si="265"/>
        <v>4.9858329005513919</v>
      </c>
      <c r="AD589" s="398">
        <f t="shared" si="265"/>
        <v>4.9886663204411139</v>
      </c>
      <c r="AE589" s="398">
        <f t="shared" si="265"/>
        <v>4.9909330563528913</v>
      </c>
      <c r="AF589" s="398">
        <f t="shared" si="265"/>
        <v>4.9927464450823127</v>
      </c>
      <c r="AG589" s="398">
        <f t="shared" si="265"/>
        <v>4.9941971560658498</v>
      </c>
      <c r="AH589" s="398">
        <f t="shared" si="265"/>
        <v>4.9953577248526795</v>
      </c>
      <c r="AI589" s="398">
        <f t="shared" si="265"/>
        <v>4.9962861798821443</v>
      </c>
      <c r="AJ589" s="398">
        <f t="shared" si="265"/>
        <v>4.9970289439057156</v>
      </c>
      <c r="AK589" s="398">
        <f t="shared" si="265"/>
        <v>4.9976231551245727</v>
      </c>
      <c r="AL589" s="398">
        <f t="shared" si="265"/>
        <v>4.9980985240996585</v>
      </c>
      <c r="AM589" s="398">
        <f t="shared" si="265"/>
        <v>4.9984788192797271</v>
      </c>
      <c r="AN589" s="398">
        <f t="shared" si="265"/>
        <v>4.9987830554237824</v>
      </c>
      <c r="AP589" s="21"/>
    </row>
    <row r="590" spans="2:42" x14ac:dyDescent="0.25">
      <c r="C590" s="21" t="s">
        <v>393</v>
      </c>
      <c r="D590" s="34" t="s">
        <v>162</v>
      </c>
      <c r="E590" s="398">
        <v>1</v>
      </c>
      <c r="F590" s="398">
        <f t="shared" ref="F590:AN590" si="266">E590*(1-F$570)+1</f>
        <v>1.8</v>
      </c>
      <c r="G590" s="398">
        <f t="shared" si="266"/>
        <v>2.4400000000000004</v>
      </c>
      <c r="H590" s="398">
        <f t="shared" si="266"/>
        <v>2.9520000000000004</v>
      </c>
      <c r="I590" s="398">
        <f t="shared" si="266"/>
        <v>3.3616000000000006</v>
      </c>
      <c r="J590" s="398">
        <f t="shared" si="266"/>
        <v>3.6892800000000006</v>
      </c>
      <c r="K590" s="398">
        <f t="shared" si="266"/>
        <v>3.9514240000000007</v>
      </c>
      <c r="L590" s="398">
        <f t="shared" si="266"/>
        <v>4.1611392000000009</v>
      </c>
      <c r="M590" s="398">
        <f t="shared" si="266"/>
        <v>4.3289113600000011</v>
      </c>
      <c r="N590" s="398">
        <f t="shared" si="266"/>
        <v>4.4631290880000005</v>
      </c>
      <c r="O590" s="398">
        <f t="shared" si="266"/>
        <v>4.5705032704000006</v>
      </c>
      <c r="P590" s="398">
        <f t="shared" si="266"/>
        <v>4.6564026163200012</v>
      </c>
      <c r="Q590" s="398">
        <f t="shared" si="266"/>
        <v>4.7251220930560009</v>
      </c>
      <c r="R590" s="398">
        <f t="shared" si="266"/>
        <v>4.7800976744448009</v>
      </c>
      <c r="S590" s="398">
        <f t="shared" si="266"/>
        <v>4.8240781395558407</v>
      </c>
      <c r="T590" s="398">
        <f t="shared" si="266"/>
        <v>4.8592625116446726</v>
      </c>
      <c r="U590" s="398">
        <f t="shared" si="266"/>
        <v>4.8874100093157384</v>
      </c>
      <c r="V590" s="398">
        <f t="shared" si="266"/>
        <v>4.9099280074525904</v>
      </c>
      <c r="W590" s="398">
        <f t="shared" si="266"/>
        <v>4.9279424059620727</v>
      </c>
      <c r="X590" s="398">
        <f t="shared" si="266"/>
        <v>4.9423539247696588</v>
      </c>
      <c r="Y590" s="398">
        <f t="shared" si="266"/>
        <v>4.9538831398157273</v>
      </c>
      <c r="Z590" s="398">
        <f t="shared" si="266"/>
        <v>4.9631065118525814</v>
      </c>
      <c r="AA590" s="398">
        <f t="shared" si="266"/>
        <v>4.9704852094820655</v>
      </c>
      <c r="AB590" s="398">
        <f t="shared" si="266"/>
        <v>4.9763881675856521</v>
      </c>
      <c r="AC590" s="398">
        <f t="shared" si="266"/>
        <v>4.981110534068522</v>
      </c>
      <c r="AD590" s="398">
        <f t="shared" si="266"/>
        <v>4.984888427254818</v>
      </c>
      <c r="AE590" s="398">
        <f t="shared" si="266"/>
        <v>4.9879107418038551</v>
      </c>
      <c r="AF590" s="398">
        <f t="shared" si="266"/>
        <v>4.9903285934430848</v>
      </c>
      <c r="AG590" s="398">
        <f t="shared" si="266"/>
        <v>4.9922628747544682</v>
      </c>
      <c r="AH590" s="398">
        <f t="shared" si="266"/>
        <v>4.9938102998035747</v>
      </c>
      <c r="AI590" s="398">
        <f t="shared" si="266"/>
        <v>4.9950482398428599</v>
      </c>
      <c r="AJ590" s="398">
        <f t="shared" si="266"/>
        <v>4.9960385918742887</v>
      </c>
      <c r="AK590" s="398">
        <f t="shared" si="266"/>
        <v>4.9968308734994311</v>
      </c>
      <c r="AL590" s="398">
        <f t="shared" si="266"/>
        <v>4.9974646987995452</v>
      </c>
      <c r="AM590" s="398">
        <f t="shared" si="266"/>
        <v>4.9979717590396362</v>
      </c>
      <c r="AN590" s="398">
        <f t="shared" si="266"/>
        <v>4.9983774072317093</v>
      </c>
      <c r="AP590" s="21"/>
    </row>
    <row r="591" spans="2:42" x14ac:dyDescent="0.25">
      <c r="C591" s="22" t="s">
        <v>456</v>
      </c>
      <c r="D591" s="34" t="s">
        <v>162</v>
      </c>
      <c r="E591" s="399">
        <v>0</v>
      </c>
      <c r="F591" s="399">
        <f t="shared" ref="F591:AN591" si="267">E591*(1-F$570)+1</f>
        <v>1</v>
      </c>
      <c r="G591" s="399">
        <f t="shared" si="267"/>
        <v>1.8</v>
      </c>
      <c r="H591" s="399">
        <f t="shared" si="267"/>
        <v>2.4400000000000004</v>
      </c>
      <c r="I591" s="399">
        <f t="shared" si="267"/>
        <v>2.9520000000000004</v>
      </c>
      <c r="J591" s="399">
        <f t="shared" si="267"/>
        <v>3.3616000000000006</v>
      </c>
      <c r="K591" s="399">
        <f t="shared" si="267"/>
        <v>3.6892800000000006</v>
      </c>
      <c r="L591" s="399">
        <f t="shared" si="267"/>
        <v>3.9514240000000007</v>
      </c>
      <c r="M591" s="399">
        <f t="shared" si="267"/>
        <v>4.1611392000000009</v>
      </c>
      <c r="N591" s="399">
        <f t="shared" si="267"/>
        <v>4.3289113600000011</v>
      </c>
      <c r="O591" s="399">
        <f t="shared" si="267"/>
        <v>4.4631290880000005</v>
      </c>
      <c r="P591" s="399">
        <f t="shared" si="267"/>
        <v>4.5705032704000006</v>
      </c>
      <c r="Q591" s="399">
        <f t="shared" si="267"/>
        <v>4.6564026163200012</v>
      </c>
      <c r="R591" s="399">
        <f t="shared" si="267"/>
        <v>4.7251220930560009</v>
      </c>
      <c r="S591" s="399">
        <f t="shared" si="267"/>
        <v>4.7800976744448009</v>
      </c>
      <c r="T591" s="399">
        <f t="shared" si="267"/>
        <v>4.8240781395558407</v>
      </c>
      <c r="U591" s="399">
        <f t="shared" si="267"/>
        <v>4.8592625116446726</v>
      </c>
      <c r="V591" s="399">
        <f t="shared" si="267"/>
        <v>4.8874100093157384</v>
      </c>
      <c r="W591" s="399">
        <f t="shared" si="267"/>
        <v>4.9099280074525904</v>
      </c>
      <c r="X591" s="399">
        <f t="shared" si="267"/>
        <v>4.9279424059620727</v>
      </c>
      <c r="Y591" s="399">
        <f t="shared" si="267"/>
        <v>4.9423539247696588</v>
      </c>
      <c r="Z591" s="399">
        <f t="shared" si="267"/>
        <v>4.9538831398157273</v>
      </c>
      <c r="AA591" s="399">
        <f t="shared" si="267"/>
        <v>4.9631065118525814</v>
      </c>
      <c r="AB591" s="399">
        <f t="shared" si="267"/>
        <v>4.9704852094820655</v>
      </c>
      <c r="AC591" s="399">
        <f t="shared" si="267"/>
        <v>4.9763881675856521</v>
      </c>
      <c r="AD591" s="399">
        <f t="shared" si="267"/>
        <v>4.981110534068522</v>
      </c>
      <c r="AE591" s="399">
        <f t="shared" si="267"/>
        <v>4.984888427254818</v>
      </c>
      <c r="AF591" s="399">
        <f t="shared" si="267"/>
        <v>4.9879107418038551</v>
      </c>
      <c r="AG591" s="399">
        <f t="shared" si="267"/>
        <v>4.9903285934430848</v>
      </c>
      <c r="AH591" s="399">
        <f t="shared" si="267"/>
        <v>4.9922628747544682</v>
      </c>
      <c r="AI591" s="399">
        <f t="shared" si="267"/>
        <v>4.9938102998035747</v>
      </c>
      <c r="AJ591" s="399">
        <f t="shared" si="267"/>
        <v>4.9950482398428599</v>
      </c>
      <c r="AK591" s="399">
        <f t="shared" si="267"/>
        <v>4.9960385918742887</v>
      </c>
      <c r="AL591" s="399">
        <f t="shared" si="267"/>
        <v>4.9968308734994311</v>
      </c>
      <c r="AM591" s="399">
        <f t="shared" si="267"/>
        <v>4.9974646987995452</v>
      </c>
      <c r="AN591" s="399">
        <f t="shared" si="267"/>
        <v>4.9979717590396362</v>
      </c>
      <c r="AP591" s="26"/>
    </row>
    <row r="592" spans="2:42" x14ac:dyDescent="0.25">
      <c r="B592" s="99" t="s">
        <v>9</v>
      </c>
      <c r="C592" s="311" t="s">
        <v>629</v>
      </c>
      <c r="D592" s="318"/>
      <c r="E592" s="402"/>
      <c r="F592" s="402"/>
      <c r="G592" s="402"/>
      <c r="H592" s="402"/>
      <c r="I592" s="402"/>
      <c r="J592" s="402"/>
      <c r="K592" s="402"/>
      <c r="L592" s="402"/>
      <c r="M592" s="402"/>
      <c r="N592" s="402"/>
      <c r="O592" s="402"/>
      <c r="P592" s="402"/>
      <c r="Q592" s="402"/>
      <c r="R592" s="402"/>
      <c r="S592" s="402"/>
      <c r="T592" s="402"/>
      <c r="U592" s="402"/>
      <c r="V592" s="402"/>
      <c r="W592" s="402"/>
      <c r="X592" s="402"/>
      <c r="Y592" s="402"/>
      <c r="Z592" s="402"/>
      <c r="AA592" s="402"/>
      <c r="AB592" s="402"/>
      <c r="AC592" s="402"/>
      <c r="AD592" s="402"/>
      <c r="AE592" s="402"/>
      <c r="AF592" s="402"/>
      <c r="AG592" s="402"/>
      <c r="AH592" s="402"/>
      <c r="AI592" s="402"/>
      <c r="AJ592" s="402"/>
      <c r="AK592" s="402"/>
      <c r="AL592" s="402"/>
      <c r="AM592" s="402"/>
      <c r="AN592" s="402"/>
      <c r="AO592" s="74"/>
      <c r="AP592" s="311"/>
    </row>
    <row r="593" spans="2:42" x14ac:dyDescent="0.25">
      <c r="C593" s="20" t="s">
        <v>600</v>
      </c>
      <c r="D593" s="34" t="s">
        <v>162</v>
      </c>
      <c r="E593" s="397">
        <v>5</v>
      </c>
      <c r="F593" s="397">
        <f>E593*(1-F$570)+1</f>
        <v>5</v>
      </c>
      <c r="G593" s="397">
        <f t="shared" ref="G593:AN593" si="268">F593*(1-G$570)+1</f>
        <v>5</v>
      </c>
      <c r="H593" s="397">
        <f t="shared" si="268"/>
        <v>5</v>
      </c>
      <c r="I593" s="397">
        <f t="shared" si="268"/>
        <v>5</v>
      </c>
      <c r="J593" s="397">
        <f t="shared" si="268"/>
        <v>5</v>
      </c>
      <c r="K593" s="397">
        <f t="shared" si="268"/>
        <v>5</v>
      </c>
      <c r="L593" s="397">
        <f t="shared" si="268"/>
        <v>5</v>
      </c>
      <c r="M593" s="397">
        <f t="shared" si="268"/>
        <v>5</v>
      </c>
      <c r="N593" s="397">
        <f t="shared" si="268"/>
        <v>5</v>
      </c>
      <c r="O593" s="397">
        <f t="shared" si="268"/>
        <v>5</v>
      </c>
      <c r="P593" s="397">
        <f t="shared" si="268"/>
        <v>5</v>
      </c>
      <c r="Q593" s="397">
        <f t="shared" si="268"/>
        <v>5</v>
      </c>
      <c r="R593" s="397">
        <f t="shared" si="268"/>
        <v>5</v>
      </c>
      <c r="S593" s="397">
        <f t="shared" si="268"/>
        <v>5</v>
      </c>
      <c r="T593" s="397">
        <f t="shared" si="268"/>
        <v>5</v>
      </c>
      <c r="U593" s="397">
        <f t="shared" si="268"/>
        <v>5</v>
      </c>
      <c r="V593" s="397">
        <f t="shared" si="268"/>
        <v>5</v>
      </c>
      <c r="W593" s="397">
        <f t="shared" si="268"/>
        <v>5</v>
      </c>
      <c r="X593" s="397">
        <f t="shared" si="268"/>
        <v>5</v>
      </c>
      <c r="Y593" s="397">
        <f t="shared" si="268"/>
        <v>5</v>
      </c>
      <c r="Z593" s="397">
        <f t="shared" si="268"/>
        <v>5</v>
      </c>
      <c r="AA593" s="397">
        <f t="shared" si="268"/>
        <v>5</v>
      </c>
      <c r="AB593" s="397">
        <f t="shared" si="268"/>
        <v>5</v>
      </c>
      <c r="AC593" s="397">
        <f t="shared" si="268"/>
        <v>5</v>
      </c>
      <c r="AD593" s="397">
        <f t="shared" si="268"/>
        <v>5</v>
      </c>
      <c r="AE593" s="397">
        <f t="shared" si="268"/>
        <v>5</v>
      </c>
      <c r="AF593" s="397">
        <f t="shared" si="268"/>
        <v>5</v>
      </c>
      <c r="AG593" s="397">
        <f t="shared" si="268"/>
        <v>5</v>
      </c>
      <c r="AH593" s="397">
        <f t="shared" si="268"/>
        <v>5</v>
      </c>
      <c r="AI593" s="397">
        <f t="shared" si="268"/>
        <v>5</v>
      </c>
      <c r="AJ593" s="397">
        <f t="shared" si="268"/>
        <v>5</v>
      </c>
      <c r="AK593" s="397">
        <f t="shared" si="268"/>
        <v>5</v>
      </c>
      <c r="AL593" s="397">
        <f t="shared" si="268"/>
        <v>5</v>
      </c>
      <c r="AM593" s="397">
        <f t="shared" si="268"/>
        <v>5</v>
      </c>
      <c r="AN593" s="397">
        <f t="shared" si="268"/>
        <v>5</v>
      </c>
      <c r="AP593" s="20"/>
    </row>
    <row r="594" spans="2:42" x14ac:dyDescent="0.25">
      <c r="C594" s="20" t="s">
        <v>392</v>
      </c>
      <c r="D594" s="34" t="s">
        <v>162</v>
      </c>
      <c r="E594" s="398">
        <v>4</v>
      </c>
      <c r="F594" s="398">
        <f t="shared" ref="F594:AN594" si="269">E594*(1-F$570)+1</f>
        <v>4.2</v>
      </c>
      <c r="G594" s="398">
        <f t="shared" si="269"/>
        <v>4.3600000000000003</v>
      </c>
      <c r="H594" s="398">
        <f t="shared" si="269"/>
        <v>4.4880000000000004</v>
      </c>
      <c r="I594" s="398">
        <f t="shared" si="269"/>
        <v>4.5904000000000007</v>
      </c>
      <c r="J594" s="398">
        <f t="shared" si="269"/>
        <v>4.6723200000000009</v>
      </c>
      <c r="K594" s="398">
        <f t="shared" si="269"/>
        <v>4.7378560000000007</v>
      </c>
      <c r="L594" s="398">
        <f t="shared" si="269"/>
        <v>4.7902848000000002</v>
      </c>
      <c r="M594" s="398">
        <f t="shared" si="269"/>
        <v>4.8322278399999998</v>
      </c>
      <c r="N594" s="398">
        <f t="shared" si="269"/>
        <v>4.8657822720000006</v>
      </c>
      <c r="O594" s="398">
        <f t="shared" si="269"/>
        <v>4.8926258176000008</v>
      </c>
      <c r="P594" s="398">
        <f t="shared" si="269"/>
        <v>4.9141006540800003</v>
      </c>
      <c r="Q594" s="398">
        <f t="shared" si="269"/>
        <v>4.9312805232640002</v>
      </c>
      <c r="R594" s="398">
        <f t="shared" si="269"/>
        <v>4.9450244186112009</v>
      </c>
      <c r="S594" s="398">
        <f t="shared" si="269"/>
        <v>4.9560195348889611</v>
      </c>
      <c r="T594" s="398">
        <f t="shared" si="269"/>
        <v>4.964815627911169</v>
      </c>
      <c r="U594" s="398">
        <f t="shared" si="269"/>
        <v>4.9718525023289359</v>
      </c>
      <c r="V594" s="398">
        <f t="shared" si="269"/>
        <v>4.9774820018631489</v>
      </c>
      <c r="W594" s="398">
        <f t="shared" si="269"/>
        <v>4.9819856014905195</v>
      </c>
      <c r="X594" s="398">
        <f t="shared" si="269"/>
        <v>4.9855884811924156</v>
      </c>
      <c r="Y594" s="398">
        <f t="shared" si="269"/>
        <v>4.9884707849539325</v>
      </c>
      <c r="Z594" s="398">
        <f t="shared" si="269"/>
        <v>4.9907766279631467</v>
      </c>
      <c r="AA594" s="398">
        <f t="shared" si="269"/>
        <v>4.9926213023705177</v>
      </c>
      <c r="AB594" s="398">
        <f t="shared" si="269"/>
        <v>4.9940970418964143</v>
      </c>
      <c r="AC594" s="398">
        <f t="shared" si="269"/>
        <v>4.9952776335171318</v>
      </c>
      <c r="AD594" s="398">
        <f t="shared" si="269"/>
        <v>4.9962221068137058</v>
      </c>
      <c r="AE594" s="398">
        <f t="shared" si="269"/>
        <v>4.9969776854509647</v>
      </c>
      <c r="AF594" s="398">
        <f t="shared" si="269"/>
        <v>4.9975821483607721</v>
      </c>
      <c r="AG594" s="398">
        <f t="shared" si="269"/>
        <v>4.9980657186886184</v>
      </c>
      <c r="AH594" s="398">
        <f t="shared" si="269"/>
        <v>4.9984525749508943</v>
      </c>
      <c r="AI594" s="398">
        <f t="shared" si="269"/>
        <v>4.9987620599607157</v>
      </c>
      <c r="AJ594" s="398">
        <f t="shared" si="269"/>
        <v>4.9990096479685722</v>
      </c>
      <c r="AK594" s="398">
        <f t="shared" si="269"/>
        <v>4.9992077183748584</v>
      </c>
      <c r="AL594" s="398">
        <f t="shared" si="269"/>
        <v>4.9993661746998868</v>
      </c>
      <c r="AM594" s="398">
        <f t="shared" si="269"/>
        <v>4.999492939759909</v>
      </c>
      <c r="AN594" s="398">
        <f t="shared" si="269"/>
        <v>4.9995943518079269</v>
      </c>
      <c r="AP594" s="21"/>
    </row>
    <row r="595" spans="2:42" x14ac:dyDescent="0.25">
      <c r="C595" s="20" t="s">
        <v>454</v>
      </c>
      <c r="D595" s="34" t="s">
        <v>162</v>
      </c>
      <c r="E595" s="398">
        <v>3</v>
      </c>
      <c r="F595" s="398">
        <f t="shared" ref="F595:AN595" si="270">E595*(1-F$570)+1</f>
        <v>3.4000000000000004</v>
      </c>
      <c r="G595" s="398">
        <f t="shared" si="270"/>
        <v>3.7200000000000006</v>
      </c>
      <c r="H595" s="398">
        <f t="shared" si="270"/>
        <v>3.9760000000000009</v>
      </c>
      <c r="I595" s="398">
        <f t="shared" si="270"/>
        <v>4.1808000000000014</v>
      </c>
      <c r="J595" s="398">
        <f t="shared" si="270"/>
        <v>4.3446400000000018</v>
      </c>
      <c r="K595" s="398">
        <f t="shared" si="270"/>
        <v>4.4757120000000015</v>
      </c>
      <c r="L595" s="398">
        <f t="shared" si="270"/>
        <v>4.5805696000000014</v>
      </c>
      <c r="M595" s="398">
        <f t="shared" si="270"/>
        <v>4.6644556800000014</v>
      </c>
      <c r="N595" s="398">
        <f t="shared" si="270"/>
        <v>4.7315645440000011</v>
      </c>
      <c r="O595" s="398">
        <f t="shared" si="270"/>
        <v>4.7852516352000016</v>
      </c>
      <c r="P595" s="398">
        <f t="shared" si="270"/>
        <v>4.8282013081600015</v>
      </c>
      <c r="Q595" s="398">
        <f t="shared" si="270"/>
        <v>4.8625610465280014</v>
      </c>
      <c r="R595" s="398">
        <f t="shared" si="270"/>
        <v>4.8900488372224018</v>
      </c>
      <c r="S595" s="398">
        <f t="shared" si="270"/>
        <v>4.9120390697779222</v>
      </c>
      <c r="T595" s="398">
        <f t="shared" si="270"/>
        <v>4.9296312558223381</v>
      </c>
      <c r="U595" s="398">
        <f t="shared" si="270"/>
        <v>4.9437050046578701</v>
      </c>
      <c r="V595" s="398">
        <f t="shared" si="270"/>
        <v>4.9549640037262961</v>
      </c>
      <c r="W595" s="398">
        <f t="shared" si="270"/>
        <v>4.9639712029810372</v>
      </c>
      <c r="X595" s="398">
        <f t="shared" si="270"/>
        <v>4.9711769623848294</v>
      </c>
      <c r="Y595" s="398">
        <f t="shared" si="270"/>
        <v>4.9769415699078632</v>
      </c>
      <c r="Z595" s="398">
        <f t="shared" si="270"/>
        <v>4.9815532559262907</v>
      </c>
      <c r="AA595" s="398">
        <f t="shared" si="270"/>
        <v>4.9852426047410328</v>
      </c>
      <c r="AB595" s="398">
        <f t="shared" si="270"/>
        <v>4.9881940837928269</v>
      </c>
      <c r="AC595" s="398">
        <f t="shared" si="270"/>
        <v>4.9905552670342619</v>
      </c>
      <c r="AD595" s="398">
        <f t="shared" si="270"/>
        <v>4.9924442136274099</v>
      </c>
      <c r="AE595" s="398">
        <f t="shared" si="270"/>
        <v>4.9939553709019275</v>
      </c>
      <c r="AF595" s="398">
        <f t="shared" si="270"/>
        <v>4.9951642967215424</v>
      </c>
      <c r="AG595" s="398">
        <f t="shared" si="270"/>
        <v>4.9961314373772341</v>
      </c>
      <c r="AH595" s="398">
        <f t="shared" si="270"/>
        <v>4.9969051499017869</v>
      </c>
      <c r="AI595" s="398">
        <f t="shared" si="270"/>
        <v>4.9975241199214295</v>
      </c>
      <c r="AJ595" s="398">
        <f t="shared" si="270"/>
        <v>4.9980192959371443</v>
      </c>
      <c r="AK595" s="398">
        <f t="shared" si="270"/>
        <v>4.9984154367497151</v>
      </c>
      <c r="AL595" s="398">
        <f t="shared" si="270"/>
        <v>4.9987323493997717</v>
      </c>
      <c r="AM595" s="398">
        <f t="shared" si="270"/>
        <v>4.9989858795198181</v>
      </c>
      <c r="AN595" s="398">
        <f t="shared" si="270"/>
        <v>4.9991887036158547</v>
      </c>
      <c r="AP595" s="21"/>
    </row>
    <row r="596" spans="2:42" x14ac:dyDescent="0.25">
      <c r="C596" s="21" t="s">
        <v>455</v>
      </c>
      <c r="D596" s="34" t="s">
        <v>162</v>
      </c>
      <c r="E596" s="398">
        <v>2</v>
      </c>
      <c r="F596" s="398">
        <f t="shared" ref="F596:AN596" si="271">E596*(1-F$570)+1</f>
        <v>2.6</v>
      </c>
      <c r="G596" s="398">
        <f t="shared" si="271"/>
        <v>3.08</v>
      </c>
      <c r="H596" s="398">
        <f t="shared" si="271"/>
        <v>3.4640000000000004</v>
      </c>
      <c r="I596" s="398">
        <f t="shared" si="271"/>
        <v>3.7712000000000003</v>
      </c>
      <c r="J596" s="398">
        <f t="shared" si="271"/>
        <v>4.016960000000001</v>
      </c>
      <c r="K596" s="398">
        <f t="shared" si="271"/>
        <v>4.2135680000000004</v>
      </c>
      <c r="L596" s="398">
        <f t="shared" si="271"/>
        <v>4.3708544000000007</v>
      </c>
      <c r="M596" s="398">
        <f t="shared" si="271"/>
        <v>4.4966835200000013</v>
      </c>
      <c r="N596" s="398">
        <f t="shared" si="271"/>
        <v>4.5973468160000017</v>
      </c>
      <c r="O596" s="398">
        <f t="shared" si="271"/>
        <v>4.6778774528000016</v>
      </c>
      <c r="P596" s="398">
        <f t="shared" si="271"/>
        <v>4.7423019622400009</v>
      </c>
      <c r="Q596" s="398">
        <f t="shared" si="271"/>
        <v>4.7938415697920007</v>
      </c>
      <c r="R596" s="398">
        <f t="shared" si="271"/>
        <v>4.8350732558336009</v>
      </c>
      <c r="S596" s="398">
        <f t="shared" si="271"/>
        <v>4.8680586046668815</v>
      </c>
      <c r="T596" s="398">
        <f t="shared" si="271"/>
        <v>4.8944468837335053</v>
      </c>
      <c r="U596" s="398">
        <f t="shared" si="271"/>
        <v>4.9155575069868043</v>
      </c>
      <c r="V596" s="398">
        <f t="shared" si="271"/>
        <v>4.9324460055894441</v>
      </c>
      <c r="W596" s="398">
        <f t="shared" si="271"/>
        <v>4.9459568044715549</v>
      </c>
      <c r="X596" s="398">
        <f t="shared" si="271"/>
        <v>4.9567654435772441</v>
      </c>
      <c r="Y596" s="398">
        <f t="shared" si="271"/>
        <v>4.9654123548617957</v>
      </c>
      <c r="Z596" s="398">
        <f t="shared" si="271"/>
        <v>4.9723298838894365</v>
      </c>
      <c r="AA596" s="398">
        <f t="shared" si="271"/>
        <v>4.9778639071115496</v>
      </c>
      <c r="AB596" s="398">
        <f t="shared" si="271"/>
        <v>4.9822911256892404</v>
      </c>
      <c r="AC596" s="398">
        <f t="shared" si="271"/>
        <v>4.9858329005513919</v>
      </c>
      <c r="AD596" s="398">
        <f t="shared" si="271"/>
        <v>4.9886663204411139</v>
      </c>
      <c r="AE596" s="398">
        <f t="shared" si="271"/>
        <v>4.9909330563528913</v>
      </c>
      <c r="AF596" s="398">
        <f t="shared" si="271"/>
        <v>4.9927464450823127</v>
      </c>
      <c r="AG596" s="398">
        <f t="shared" si="271"/>
        <v>4.9941971560658498</v>
      </c>
      <c r="AH596" s="398">
        <f t="shared" si="271"/>
        <v>4.9953577248526795</v>
      </c>
      <c r="AI596" s="398">
        <f t="shared" si="271"/>
        <v>4.9962861798821443</v>
      </c>
      <c r="AJ596" s="398">
        <f t="shared" si="271"/>
        <v>4.9970289439057156</v>
      </c>
      <c r="AK596" s="398">
        <f t="shared" si="271"/>
        <v>4.9976231551245727</v>
      </c>
      <c r="AL596" s="398">
        <f t="shared" si="271"/>
        <v>4.9980985240996585</v>
      </c>
      <c r="AM596" s="398">
        <f t="shared" si="271"/>
        <v>4.9984788192797271</v>
      </c>
      <c r="AN596" s="398">
        <f t="shared" si="271"/>
        <v>4.9987830554237824</v>
      </c>
      <c r="AP596" s="21"/>
    </row>
    <row r="597" spans="2:42" x14ac:dyDescent="0.25">
      <c r="C597" s="21" t="s">
        <v>393</v>
      </c>
      <c r="D597" s="34" t="s">
        <v>162</v>
      </c>
      <c r="E597" s="398">
        <v>1</v>
      </c>
      <c r="F597" s="398">
        <f t="shared" ref="F597:AN597" si="272">E597*(1-F$570)+1</f>
        <v>1.8</v>
      </c>
      <c r="G597" s="398">
        <f t="shared" si="272"/>
        <v>2.4400000000000004</v>
      </c>
      <c r="H597" s="398">
        <f t="shared" si="272"/>
        <v>2.9520000000000004</v>
      </c>
      <c r="I597" s="398">
        <f t="shared" si="272"/>
        <v>3.3616000000000006</v>
      </c>
      <c r="J597" s="398">
        <f t="shared" si="272"/>
        <v>3.6892800000000006</v>
      </c>
      <c r="K597" s="398">
        <f t="shared" si="272"/>
        <v>3.9514240000000007</v>
      </c>
      <c r="L597" s="398">
        <f t="shared" si="272"/>
        <v>4.1611392000000009</v>
      </c>
      <c r="M597" s="398">
        <f t="shared" si="272"/>
        <v>4.3289113600000011</v>
      </c>
      <c r="N597" s="398">
        <f t="shared" si="272"/>
        <v>4.4631290880000005</v>
      </c>
      <c r="O597" s="398">
        <f t="shared" si="272"/>
        <v>4.5705032704000006</v>
      </c>
      <c r="P597" s="398">
        <f t="shared" si="272"/>
        <v>4.6564026163200012</v>
      </c>
      <c r="Q597" s="398">
        <f t="shared" si="272"/>
        <v>4.7251220930560009</v>
      </c>
      <c r="R597" s="398">
        <f t="shared" si="272"/>
        <v>4.7800976744448009</v>
      </c>
      <c r="S597" s="398">
        <f t="shared" si="272"/>
        <v>4.8240781395558407</v>
      </c>
      <c r="T597" s="398">
        <f t="shared" si="272"/>
        <v>4.8592625116446726</v>
      </c>
      <c r="U597" s="398">
        <f t="shared" si="272"/>
        <v>4.8874100093157384</v>
      </c>
      <c r="V597" s="398">
        <f t="shared" si="272"/>
        <v>4.9099280074525904</v>
      </c>
      <c r="W597" s="398">
        <f t="shared" si="272"/>
        <v>4.9279424059620727</v>
      </c>
      <c r="X597" s="398">
        <f t="shared" si="272"/>
        <v>4.9423539247696588</v>
      </c>
      <c r="Y597" s="398">
        <f t="shared" si="272"/>
        <v>4.9538831398157273</v>
      </c>
      <c r="Z597" s="398">
        <f t="shared" si="272"/>
        <v>4.9631065118525814</v>
      </c>
      <c r="AA597" s="398">
        <f t="shared" si="272"/>
        <v>4.9704852094820655</v>
      </c>
      <c r="AB597" s="398">
        <f t="shared" si="272"/>
        <v>4.9763881675856521</v>
      </c>
      <c r="AC597" s="398">
        <f t="shared" si="272"/>
        <v>4.981110534068522</v>
      </c>
      <c r="AD597" s="398">
        <f t="shared" si="272"/>
        <v>4.984888427254818</v>
      </c>
      <c r="AE597" s="398">
        <f t="shared" si="272"/>
        <v>4.9879107418038551</v>
      </c>
      <c r="AF597" s="398">
        <f t="shared" si="272"/>
        <v>4.9903285934430848</v>
      </c>
      <c r="AG597" s="398">
        <f t="shared" si="272"/>
        <v>4.9922628747544682</v>
      </c>
      <c r="AH597" s="398">
        <f t="shared" si="272"/>
        <v>4.9938102998035747</v>
      </c>
      <c r="AI597" s="398">
        <f t="shared" si="272"/>
        <v>4.9950482398428599</v>
      </c>
      <c r="AJ597" s="398">
        <f t="shared" si="272"/>
        <v>4.9960385918742887</v>
      </c>
      <c r="AK597" s="398">
        <f t="shared" si="272"/>
        <v>4.9968308734994311</v>
      </c>
      <c r="AL597" s="398">
        <f t="shared" si="272"/>
        <v>4.9974646987995452</v>
      </c>
      <c r="AM597" s="398">
        <f t="shared" si="272"/>
        <v>4.9979717590396362</v>
      </c>
      <c r="AN597" s="398">
        <f t="shared" si="272"/>
        <v>4.9983774072317093</v>
      </c>
      <c r="AP597" s="21"/>
    </row>
    <row r="598" spans="2:42" x14ac:dyDescent="0.25">
      <c r="C598" s="22" t="s">
        <v>456</v>
      </c>
      <c r="D598" s="34" t="s">
        <v>162</v>
      </c>
      <c r="E598" s="399">
        <v>0</v>
      </c>
      <c r="F598" s="399">
        <f t="shared" ref="F598:AN598" si="273">E598*(1-F$570)+1</f>
        <v>1</v>
      </c>
      <c r="G598" s="399">
        <f t="shared" si="273"/>
        <v>1.8</v>
      </c>
      <c r="H598" s="399">
        <f t="shared" si="273"/>
        <v>2.4400000000000004</v>
      </c>
      <c r="I598" s="399">
        <f t="shared" si="273"/>
        <v>2.9520000000000004</v>
      </c>
      <c r="J598" s="399">
        <f t="shared" si="273"/>
        <v>3.3616000000000006</v>
      </c>
      <c r="K598" s="399">
        <f t="shared" si="273"/>
        <v>3.6892800000000006</v>
      </c>
      <c r="L598" s="399">
        <f t="shared" si="273"/>
        <v>3.9514240000000007</v>
      </c>
      <c r="M598" s="399">
        <f t="shared" si="273"/>
        <v>4.1611392000000009</v>
      </c>
      <c r="N598" s="399">
        <f t="shared" si="273"/>
        <v>4.3289113600000011</v>
      </c>
      <c r="O598" s="399">
        <f t="shared" si="273"/>
        <v>4.4631290880000005</v>
      </c>
      <c r="P598" s="399">
        <f t="shared" si="273"/>
        <v>4.5705032704000006</v>
      </c>
      <c r="Q598" s="399">
        <f t="shared" si="273"/>
        <v>4.6564026163200012</v>
      </c>
      <c r="R598" s="399">
        <f t="shared" si="273"/>
        <v>4.7251220930560009</v>
      </c>
      <c r="S598" s="399">
        <f t="shared" si="273"/>
        <v>4.7800976744448009</v>
      </c>
      <c r="T598" s="399">
        <f t="shared" si="273"/>
        <v>4.8240781395558407</v>
      </c>
      <c r="U598" s="399">
        <f t="shared" si="273"/>
        <v>4.8592625116446726</v>
      </c>
      <c r="V598" s="399">
        <f t="shared" si="273"/>
        <v>4.8874100093157384</v>
      </c>
      <c r="W598" s="399">
        <f t="shared" si="273"/>
        <v>4.9099280074525904</v>
      </c>
      <c r="X598" s="399">
        <f t="shared" si="273"/>
        <v>4.9279424059620727</v>
      </c>
      <c r="Y598" s="399">
        <f t="shared" si="273"/>
        <v>4.9423539247696588</v>
      </c>
      <c r="Z598" s="399">
        <f t="shared" si="273"/>
        <v>4.9538831398157273</v>
      </c>
      <c r="AA598" s="399">
        <f t="shared" si="273"/>
        <v>4.9631065118525814</v>
      </c>
      <c r="AB598" s="399">
        <f t="shared" si="273"/>
        <v>4.9704852094820655</v>
      </c>
      <c r="AC598" s="399">
        <f t="shared" si="273"/>
        <v>4.9763881675856521</v>
      </c>
      <c r="AD598" s="399">
        <f t="shared" si="273"/>
        <v>4.981110534068522</v>
      </c>
      <c r="AE598" s="399">
        <f t="shared" si="273"/>
        <v>4.984888427254818</v>
      </c>
      <c r="AF598" s="399">
        <f t="shared" si="273"/>
        <v>4.9879107418038551</v>
      </c>
      <c r="AG598" s="399">
        <f t="shared" si="273"/>
        <v>4.9903285934430848</v>
      </c>
      <c r="AH598" s="399">
        <f t="shared" si="273"/>
        <v>4.9922628747544682</v>
      </c>
      <c r="AI598" s="399">
        <f t="shared" si="273"/>
        <v>4.9938102998035747</v>
      </c>
      <c r="AJ598" s="399">
        <f t="shared" si="273"/>
        <v>4.9950482398428599</v>
      </c>
      <c r="AK598" s="399">
        <f t="shared" si="273"/>
        <v>4.9960385918742887</v>
      </c>
      <c r="AL598" s="399">
        <f t="shared" si="273"/>
        <v>4.9968308734994311</v>
      </c>
      <c r="AM598" s="399">
        <f t="shared" si="273"/>
        <v>4.9974646987995452</v>
      </c>
      <c r="AN598" s="399">
        <f t="shared" si="273"/>
        <v>4.9979717590396362</v>
      </c>
      <c r="AP598" s="26"/>
    </row>
    <row r="599" spans="2:42" x14ac:dyDescent="0.25">
      <c r="B599" s="99" t="s">
        <v>9</v>
      </c>
      <c r="C599" s="312" t="str">
        <f>'4.2 Sector Mapping'!$B$14</f>
        <v>Retail and Consumer Goods</v>
      </c>
      <c r="D599" s="317"/>
      <c r="E599" s="312"/>
      <c r="F599" s="312"/>
      <c r="G599" s="312"/>
      <c r="H599" s="312"/>
      <c r="I599" s="312"/>
      <c r="J599" s="312"/>
      <c r="K599" s="312"/>
      <c r="L599" s="312"/>
      <c r="M599" s="312"/>
      <c r="N599" s="312"/>
      <c r="O599" s="312"/>
      <c r="P599" s="312"/>
      <c r="Q599" s="312"/>
      <c r="R599" s="312"/>
      <c r="S599" s="312"/>
      <c r="T599" s="312"/>
      <c r="U599" s="312"/>
      <c r="V599" s="312"/>
      <c r="W599" s="312"/>
      <c r="X599" s="312"/>
      <c r="Y599" s="312"/>
      <c r="Z599" s="312"/>
      <c r="AA599" s="312"/>
      <c r="AB599" s="312"/>
      <c r="AC599" s="312"/>
      <c r="AD599" s="312"/>
      <c r="AE599" s="312"/>
      <c r="AF599" s="312"/>
      <c r="AG599" s="312"/>
      <c r="AH599" s="312"/>
      <c r="AI599" s="312"/>
      <c r="AJ599" s="312"/>
      <c r="AK599" s="312"/>
      <c r="AL599" s="312"/>
      <c r="AM599" s="312"/>
      <c r="AN599" s="312"/>
      <c r="AO599" s="74"/>
      <c r="AP599" s="312"/>
    </row>
    <row r="600" spans="2:42" s="86" customFormat="1" x14ac:dyDescent="0.25">
      <c r="B600" s="3"/>
      <c r="C600" s="243" t="s">
        <v>625</v>
      </c>
      <c r="D600" s="36" t="s">
        <v>162</v>
      </c>
      <c r="E600" s="309">
        <v>2</v>
      </c>
      <c r="F600" s="309">
        <v>2</v>
      </c>
      <c r="G600" s="309">
        <f>ROUND(P600/6,0)</f>
        <v>1</v>
      </c>
      <c r="H600" s="309">
        <f>G600</f>
        <v>1</v>
      </c>
      <c r="I600" s="309">
        <f>ROUND(P600/4,0)</f>
        <v>2</v>
      </c>
      <c r="J600" s="309">
        <f>ROUND(P600/4,0)</f>
        <v>2</v>
      </c>
      <c r="K600" s="309">
        <f>ROUND(P600/3,0)</f>
        <v>2</v>
      </c>
      <c r="L600" s="309">
        <f>K600</f>
        <v>2</v>
      </c>
      <c r="M600" s="309">
        <f>ROUND(P600/2,0)</f>
        <v>4</v>
      </c>
      <c r="N600" s="309">
        <f>ROUND(P600/1.5,0)</f>
        <v>5</v>
      </c>
      <c r="O600" s="309">
        <f>ROUND(P600/1.15,0)</f>
        <v>6</v>
      </c>
      <c r="P600" s="309">
        <f>'Back-end Overview of Use Cases'!C12</f>
        <v>7</v>
      </c>
      <c r="Q600" s="309">
        <f>ROUND(IF($AB600-$P600=1,$P600,$P600+($AB600-$P600)/3),0)</f>
        <v>8</v>
      </c>
      <c r="R600" s="309">
        <f>ROUND(IF($AB600-$P600=1,$P600,$P600+($AB600-$P600)/3),0)</f>
        <v>8</v>
      </c>
      <c r="S600" s="309">
        <f>ROUND(IF($AB600-$P600=1,$P600,$P600+($AB600-$P600)/3),0)</f>
        <v>8</v>
      </c>
      <c r="T600" s="309">
        <f>ROUND(IF($AB600-$P600=1,$P600,$P600+($AB600-$P600)/3),0)</f>
        <v>8</v>
      </c>
      <c r="U600" s="309">
        <f>ROUND(AVERAGE(T600,Y600),0)</f>
        <v>10</v>
      </c>
      <c r="V600" s="309">
        <f>U600</f>
        <v>10</v>
      </c>
      <c r="W600" s="309">
        <f>V600</f>
        <v>10</v>
      </c>
      <c r="X600" s="309">
        <f>W600</f>
        <v>10</v>
      </c>
      <c r="Y600" s="309">
        <f>Z600</f>
        <v>11</v>
      </c>
      <c r="Z600" s="309">
        <f>AA600</f>
        <v>11</v>
      </c>
      <c r="AA600" s="309">
        <f>AB600</f>
        <v>11</v>
      </c>
      <c r="AB600" s="309">
        <f>'Back-end Overview of Use Cases'!D12</f>
        <v>11</v>
      </c>
      <c r="AC600" s="309">
        <f>ROUND(IF($AN600-$AB600=1,$AB600,$AB600+($AN600-$AB600)/3),0)</f>
        <v>16</v>
      </c>
      <c r="AD600" s="309">
        <f>ROUND(IF($AN600-$AB600=1,$AB600,$AB600+($AN600-$AB600)/3),0)</f>
        <v>16</v>
      </c>
      <c r="AE600" s="309">
        <f>ROUND(IF($AN600-$AB600=1,$AB600,$AB600+($AN600-$AB600)/3),0)</f>
        <v>16</v>
      </c>
      <c r="AF600" s="309">
        <f>ROUND(IF($AN600-$AB600=1,$AB600,$AB600+($AN600-$AB600)/3),0)</f>
        <v>16</v>
      </c>
      <c r="AG600" s="309">
        <f>ROUND(AVERAGE(AF600,AK600),0)</f>
        <v>21</v>
      </c>
      <c r="AH600" s="309">
        <f>AG600</f>
        <v>21</v>
      </c>
      <c r="AI600" s="309">
        <f>AH600</f>
        <v>21</v>
      </c>
      <c r="AJ600" s="309">
        <f>AI600</f>
        <v>21</v>
      </c>
      <c r="AK600" s="309">
        <f>AN600</f>
        <v>26</v>
      </c>
      <c r="AL600" s="309">
        <f>AN600</f>
        <v>26</v>
      </c>
      <c r="AM600" s="309">
        <f>AN600</f>
        <v>26</v>
      </c>
      <c r="AN600" s="309">
        <f>'Back-end Overview of Use Cases'!E12</f>
        <v>26</v>
      </c>
      <c r="AP600" s="243"/>
    </row>
    <row r="601" spans="2:42" x14ac:dyDescent="0.25">
      <c r="C601" s="299" t="s">
        <v>691</v>
      </c>
      <c r="D601" s="330" t="s">
        <v>29</v>
      </c>
      <c r="E601" s="421">
        <v>0</v>
      </c>
      <c r="F601" s="421">
        <v>0.2</v>
      </c>
      <c r="G601" s="421">
        <v>0.2</v>
      </c>
      <c r="H601" s="421">
        <v>0.2</v>
      </c>
      <c r="I601" s="421">
        <v>0.2</v>
      </c>
      <c r="J601" s="421">
        <v>0.2</v>
      </c>
      <c r="K601" s="421">
        <v>0.2</v>
      </c>
      <c r="L601" s="421">
        <v>0.2</v>
      </c>
      <c r="M601" s="421">
        <v>0.2</v>
      </c>
      <c r="N601" s="421">
        <v>0.2</v>
      </c>
      <c r="O601" s="421">
        <v>0.2</v>
      </c>
      <c r="P601" s="421">
        <v>0.2</v>
      </c>
      <c r="Q601" s="421">
        <v>0.2</v>
      </c>
      <c r="R601" s="421">
        <v>0.2</v>
      </c>
      <c r="S601" s="421">
        <v>0.2</v>
      </c>
      <c r="T601" s="421">
        <v>0.2</v>
      </c>
      <c r="U601" s="421">
        <v>0.2</v>
      </c>
      <c r="V601" s="421">
        <v>0.2</v>
      </c>
      <c r="W601" s="421">
        <v>0.2</v>
      </c>
      <c r="X601" s="421">
        <v>0.2</v>
      </c>
      <c r="Y601" s="421">
        <v>0.2</v>
      </c>
      <c r="Z601" s="421">
        <v>0.2</v>
      </c>
      <c r="AA601" s="421">
        <v>0.2</v>
      </c>
      <c r="AB601" s="421">
        <v>0.2</v>
      </c>
      <c r="AC601" s="421">
        <v>0.2</v>
      </c>
      <c r="AD601" s="421">
        <v>0.2</v>
      </c>
      <c r="AE601" s="421">
        <v>0.2</v>
      </c>
      <c r="AF601" s="421">
        <v>0.2</v>
      </c>
      <c r="AG601" s="421">
        <v>0.2</v>
      </c>
      <c r="AH601" s="421">
        <v>0.2</v>
      </c>
      <c r="AI601" s="421">
        <v>0.2</v>
      </c>
      <c r="AJ601" s="421">
        <v>0.2</v>
      </c>
      <c r="AK601" s="421">
        <v>0.2</v>
      </c>
      <c r="AL601" s="421">
        <v>0.2</v>
      </c>
      <c r="AM601" s="421">
        <v>0.2</v>
      </c>
      <c r="AN601" s="421">
        <v>0.2</v>
      </c>
      <c r="AP601" s="299"/>
    </row>
    <row r="602" spans="2:42" x14ac:dyDescent="0.25">
      <c r="B602" s="99" t="s">
        <v>9</v>
      </c>
      <c r="C602" s="311" t="s">
        <v>626</v>
      </c>
      <c r="D602" s="318"/>
      <c r="E602" s="311"/>
      <c r="F602" s="311"/>
      <c r="G602" s="311"/>
      <c r="H602" s="311"/>
      <c r="I602" s="311"/>
      <c r="J602" s="311"/>
      <c r="K602" s="311"/>
      <c r="L602" s="311"/>
      <c r="M602" s="311"/>
      <c r="N602" s="311"/>
      <c r="O602" s="311"/>
      <c r="P602" s="311"/>
      <c r="Q602" s="311"/>
      <c r="R602" s="311"/>
      <c r="S602" s="311"/>
      <c r="T602" s="311"/>
      <c r="U602" s="311"/>
      <c r="V602" s="311"/>
      <c r="W602" s="311"/>
      <c r="X602" s="311"/>
      <c r="Y602" s="311"/>
      <c r="Z602" s="311"/>
      <c r="AA602" s="311"/>
      <c r="AB602" s="311"/>
      <c r="AC602" s="311"/>
      <c r="AD602" s="311"/>
      <c r="AE602" s="311"/>
      <c r="AF602" s="311"/>
      <c r="AG602" s="311"/>
      <c r="AH602" s="311"/>
      <c r="AI602" s="311"/>
      <c r="AJ602" s="311"/>
      <c r="AK602" s="311"/>
      <c r="AL602" s="311"/>
      <c r="AM602" s="311"/>
      <c r="AN602" s="311"/>
      <c r="AO602" s="74"/>
      <c r="AP602" s="311"/>
    </row>
    <row r="603" spans="2:42" x14ac:dyDescent="0.25">
      <c r="C603" s="20" t="s">
        <v>600</v>
      </c>
      <c r="D603" s="34" t="s">
        <v>162</v>
      </c>
      <c r="E603" s="397">
        <v>5</v>
      </c>
      <c r="F603" s="397">
        <f>E603*(1-F$601)+1</f>
        <v>5</v>
      </c>
      <c r="G603" s="397">
        <f t="shared" ref="G603:AN603" si="274">F603*(1-G$601)+1</f>
        <v>5</v>
      </c>
      <c r="H603" s="397">
        <f t="shared" si="274"/>
        <v>5</v>
      </c>
      <c r="I603" s="397">
        <f t="shared" si="274"/>
        <v>5</v>
      </c>
      <c r="J603" s="397">
        <f t="shared" si="274"/>
        <v>5</v>
      </c>
      <c r="K603" s="397">
        <f t="shared" si="274"/>
        <v>5</v>
      </c>
      <c r="L603" s="397">
        <f t="shared" si="274"/>
        <v>5</v>
      </c>
      <c r="M603" s="397">
        <f t="shared" si="274"/>
        <v>5</v>
      </c>
      <c r="N603" s="397">
        <f t="shared" si="274"/>
        <v>5</v>
      </c>
      <c r="O603" s="397">
        <f t="shared" si="274"/>
        <v>5</v>
      </c>
      <c r="P603" s="397">
        <f t="shared" si="274"/>
        <v>5</v>
      </c>
      <c r="Q603" s="397">
        <f t="shared" si="274"/>
        <v>5</v>
      </c>
      <c r="R603" s="397">
        <f t="shared" si="274"/>
        <v>5</v>
      </c>
      <c r="S603" s="397">
        <f t="shared" si="274"/>
        <v>5</v>
      </c>
      <c r="T603" s="397">
        <f t="shared" si="274"/>
        <v>5</v>
      </c>
      <c r="U603" s="397">
        <f t="shared" si="274"/>
        <v>5</v>
      </c>
      <c r="V603" s="397">
        <f t="shared" si="274"/>
        <v>5</v>
      </c>
      <c r="W603" s="397">
        <f t="shared" si="274"/>
        <v>5</v>
      </c>
      <c r="X603" s="397">
        <f t="shared" si="274"/>
        <v>5</v>
      </c>
      <c r="Y603" s="397">
        <f t="shared" si="274"/>
        <v>5</v>
      </c>
      <c r="Z603" s="397">
        <f t="shared" si="274"/>
        <v>5</v>
      </c>
      <c r="AA603" s="397">
        <f t="shared" si="274"/>
        <v>5</v>
      </c>
      <c r="AB603" s="397">
        <f t="shared" si="274"/>
        <v>5</v>
      </c>
      <c r="AC603" s="397">
        <f t="shared" si="274"/>
        <v>5</v>
      </c>
      <c r="AD603" s="397">
        <f t="shared" si="274"/>
        <v>5</v>
      </c>
      <c r="AE603" s="397">
        <f t="shared" si="274"/>
        <v>5</v>
      </c>
      <c r="AF603" s="397">
        <f t="shared" si="274"/>
        <v>5</v>
      </c>
      <c r="AG603" s="397">
        <f t="shared" si="274"/>
        <v>5</v>
      </c>
      <c r="AH603" s="397">
        <f t="shared" si="274"/>
        <v>5</v>
      </c>
      <c r="AI603" s="397">
        <f t="shared" si="274"/>
        <v>5</v>
      </c>
      <c r="AJ603" s="397">
        <f t="shared" si="274"/>
        <v>5</v>
      </c>
      <c r="AK603" s="397">
        <f t="shared" si="274"/>
        <v>5</v>
      </c>
      <c r="AL603" s="397">
        <f t="shared" si="274"/>
        <v>5</v>
      </c>
      <c r="AM603" s="397">
        <f t="shared" si="274"/>
        <v>5</v>
      </c>
      <c r="AN603" s="397">
        <f t="shared" si="274"/>
        <v>5</v>
      </c>
      <c r="AP603" s="20"/>
    </row>
    <row r="604" spans="2:42" x14ac:dyDescent="0.25">
      <c r="C604" s="20" t="s">
        <v>392</v>
      </c>
      <c r="D604" s="34" t="s">
        <v>162</v>
      </c>
      <c r="E604" s="398">
        <v>4</v>
      </c>
      <c r="F604" s="398">
        <f t="shared" ref="F604:AN604" si="275">E604*(1-F$601)+1</f>
        <v>4.2</v>
      </c>
      <c r="G604" s="398">
        <f t="shared" si="275"/>
        <v>4.3600000000000003</v>
      </c>
      <c r="H604" s="398">
        <f t="shared" si="275"/>
        <v>4.4880000000000004</v>
      </c>
      <c r="I604" s="398">
        <f t="shared" si="275"/>
        <v>4.5904000000000007</v>
      </c>
      <c r="J604" s="398">
        <f t="shared" si="275"/>
        <v>4.6723200000000009</v>
      </c>
      <c r="K604" s="398">
        <f t="shared" si="275"/>
        <v>4.7378560000000007</v>
      </c>
      <c r="L604" s="398">
        <f t="shared" si="275"/>
        <v>4.7902848000000002</v>
      </c>
      <c r="M604" s="398">
        <f t="shared" si="275"/>
        <v>4.8322278399999998</v>
      </c>
      <c r="N604" s="398">
        <f t="shared" si="275"/>
        <v>4.8657822720000006</v>
      </c>
      <c r="O604" s="398">
        <f t="shared" si="275"/>
        <v>4.8926258176000008</v>
      </c>
      <c r="P604" s="398">
        <f t="shared" si="275"/>
        <v>4.9141006540800003</v>
      </c>
      <c r="Q604" s="398">
        <f t="shared" si="275"/>
        <v>4.9312805232640002</v>
      </c>
      <c r="R604" s="398">
        <f t="shared" si="275"/>
        <v>4.9450244186112009</v>
      </c>
      <c r="S604" s="398">
        <f t="shared" si="275"/>
        <v>4.9560195348889611</v>
      </c>
      <c r="T604" s="398">
        <f t="shared" si="275"/>
        <v>4.964815627911169</v>
      </c>
      <c r="U604" s="398">
        <f t="shared" si="275"/>
        <v>4.9718525023289359</v>
      </c>
      <c r="V604" s="398">
        <f t="shared" si="275"/>
        <v>4.9774820018631489</v>
      </c>
      <c r="W604" s="398">
        <f t="shared" si="275"/>
        <v>4.9819856014905195</v>
      </c>
      <c r="X604" s="398">
        <f t="shared" si="275"/>
        <v>4.9855884811924156</v>
      </c>
      <c r="Y604" s="398">
        <f t="shared" si="275"/>
        <v>4.9884707849539325</v>
      </c>
      <c r="Z604" s="398">
        <f t="shared" si="275"/>
        <v>4.9907766279631467</v>
      </c>
      <c r="AA604" s="398">
        <f t="shared" si="275"/>
        <v>4.9926213023705177</v>
      </c>
      <c r="AB604" s="398">
        <f t="shared" si="275"/>
        <v>4.9940970418964143</v>
      </c>
      <c r="AC604" s="398">
        <f t="shared" si="275"/>
        <v>4.9952776335171318</v>
      </c>
      <c r="AD604" s="398">
        <f t="shared" si="275"/>
        <v>4.9962221068137058</v>
      </c>
      <c r="AE604" s="398">
        <f t="shared" si="275"/>
        <v>4.9969776854509647</v>
      </c>
      <c r="AF604" s="398">
        <f t="shared" si="275"/>
        <v>4.9975821483607721</v>
      </c>
      <c r="AG604" s="398">
        <f t="shared" si="275"/>
        <v>4.9980657186886184</v>
      </c>
      <c r="AH604" s="398">
        <f t="shared" si="275"/>
        <v>4.9984525749508943</v>
      </c>
      <c r="AI604" s="398">
        <f t="shared" si="275"/>
        <v>4.9987620599607157</v>
      </c>
      <c r="AJ604" s="398">
        <f t="shared" si="275"/>
        <v>4.9990096479685722</v>
      </c>
      <c r="AK604" s="398">
        <f t="shared" si="275"/>
        <v>4.9992077183748584</v>
      </c>
      <c r="AL604" s="398">
        <f t="shared" si="275"/>
        <v>4.9993661746998868</v>
      </c>
      <c r="AM604" s="398">
        <f t="shared" si="275"/>
        <v>4.999492939759909</v>
      </c>
      <c r="AN604" s="398">
        <f t="shared" si="275"/>
        <v>4.9995943518079269</v>
      </c>
      <c r="AP604" s="21"/>
    </row>
    <row r="605" spans="2:42" x14ac:dyDescent="0.25">
      <c r="C605" s="20" t="s">
        <v>454</v>
      </c>
      <c r="D605" s="34" t="s">
        <v>162</v>
      </c>
      <c r="E605" s="398">
        <v>3</v>
      </c>
      <c r="F605" s="398">
        <f t="shared" ref="F605:AN605" si="276">E605*(1-F$601)+1</f>
        <v>3.4000000000000004</v>
      </c>
      <c r="G605" s="398">
        <f t="shared" si="276"/>
        <v>3.7200000000000006</v>
      </c>
      <c r="H605" s="398">
        <f t="shared" si="276"/>
        <v>3.9760000000000009</v>
      </c>
      <c r="I605" s="398">
        <f t="shared" si="276"/>
        <v>4.1808000000000014</v>
      </c>
      <c r="J605" s="398">
        <f t="shared" si="276"/>
        <v>4.3446400000000018</v>
      </c>
      <c r="K605" s="398">
        <f t="shared" si="276"/>
        <v>4.4757120000000015</v>
      </c>
      <c r="L605" s="398">
        <f t="shared" si="276"/>
        <v>4.5805696000000014</v>
      </c>
      <c r="M605" s="398">
        <f t="shared" si="276"/>
        <v>4.6644556800000014</v>
      </c>
      <c r="N605" s="398">
        <f t="shared" si="276"/>
        <v>4.7315645440000011</v>
      </c>
      <c r="O605" s="398">
        <f t="shared" si="276"/>
        <v>4.7852516352000016</v>
      </c>
      <c r="P605" s="398">
        <f t="shared" si="276"/>
        <v>4.8282013081600015</v>
      </c>
      <c r="Q605" s="398">
        <f t="shared" si="276"/>
        <v>4.8625610465280014</v>
      </c>
      <c r="R605" s="398">
        <f t="shared" si="276"/>
        <v>4.8900488372224018</v>
      </c>
      <c r="S605" s="398">
        <f t="shared" si="276"/>
        <v>4.9120390697779222</v>
      </c>
      <c r="T605" s="398">
        <f t="shared" si="276"/>
        <v>4.9296312558223381</v>
      </c>
      <c r="U605" s="398">
        <f t="shared" si="276"/>
        <v>4.9437050046578701</v>
      </c>
      <c r="V605" s="398">
        <f t="shared" si="276"/>
        <v>4.9549640037262961</v>
      </c>
      <c r="W605" s="398">
        <f t="shared" si="276"/>
        <v>4.9639712029810372</v>
      </c>
      <c r="X605" s="398">
        <f t="shared" si="276"/>
        <v>4.9711769623848294</v>
      </c>
      <c r="Y605" s="398">
        <f t="shared" si="276"/>
        <v>4.9769415699078632</v>
      </c>
      <c r="Z605" s="398">
        <f t="shared" si="276"/>
        <v>4.9815532559262907</v>
      </c>
      <c r="AA605" s="398">
        <f t="shared" si="276"/>
        <v>4.9852426047410328</v>
      </c>
      <c r="AB605" s="398">
        <f t="shared" si="276"/>
        <v>4.9881940837928269</v>
      </c>
      <c r="AC605" s="398">
        <f t="shared" si="276"/>
        <v>4.9905552670342619</v>
      </c>
      <c r="AD605" s="398">
        <f t="shared" si="276"/>
        <v>4.9924442136274099</v>
      </c>
      <c r="AE605" s="398">
        <f t="shared" si="276"/>
        <v>4.9939553709019275</v>
      </c>
      <c r="AF605" s="398">
        <f t="shared" si="276"/>
        <v>4.9951642967215424</v>
      </c>
      <c r="AG605" s="398">
        <f t="shared" si="276"/>
        <v>4.9961314373772341</v>
      </c>
      <c r="AH605" s="398">
        <f t="shared" si="276"/>
        <v>4.9969051499017869</v>
      </c>
      <c r="AI605" s="398">
        <f t="shared" si="276"/>
        <v>4.9975241199214295</v>
      </c>
      <c r="AJ605" s="398">
        <f t="shared" si="276"/>
        <v>4.9980192959371443</v>
      </c>
      <c r="AK605" s="398">
        <f t="shared" si="276"/>
        <v>4.9984154367497151</v>
      </c>
      <c r="AL605" s="398">
        <f t="shared" si="276"/>
        <v>4.9987323493997717</v>
      </c>
      <c r="AM605" s="398">
        <f t="shared" si="276"/>
        <v>4.9989858795198181</v>
      </c>
      <c r="AN605" s="398">
        <f t="shared" si="276"/>
        <v>4.9991887036158547</v>
      </c>
      <c r="AP605" s="21"/>
    </row>
    <row r="606" spans="2:42" x14ac:dyDescent="0.25">
      <c r="C606" s="21" t="s">
        <v>455</v>
      </c>
      <c r="D606" s="34" t="s">
        <v>162</v>
      </c>
      <c r="E606" s="398">
        <v>2</v>
      </c>
      <c r="F606" s="398">
        <f t="shared" ref="F606:AN606" si="277">E606*(1-F$601)+1</f>
        <v>2.6</v>
      </c>
      <c r="G606" s="398">
        <f t="shared" si="277"/>
        <v>3.08</v>
      </c>
      <c r="H606" s="398">
        <f t="shared" si="277"/>
        <v>3.4640000000000004</v>
      </c>
      <c r="I606" s="398">
        <f t="shared" si="277"/>
        <v>3.7712000000000003</v>
      </c>
      <c r="J606" s="398">
        <f t="shared" si="277"/>
        <v>4.016960000000001</v>
      </c>
      <c r="K606" s="398">
        <f t="shared" si="277"/>
        <v>4.2135680000000004</v>
      </c>
      <c r="L606" s="398">
        <f t="shared" si="277"/>
        <v>4.3708544000000007</v>
      </c>
      <c r="M606" s="398">
        <f t="shared" si="277"/>
        <v>4.4966835200000013</v>
      </c>
      <c r="N606" s="398">
        <f t="shared" si="277"/>
        <v>4.5973468160000017</v>
      </c>
      <c r="O606" s="398">
        <f t="shared" si="277"/>
        <v>4.6778774528000016</v>
      </c>
      <c r="P606" s="398">
        <f t="shared" si="277"/>
        <v>4.7423019622400009</v>
      </c>
      <c r="Q606" s="398">
        <f t="shared" si="277"/>
        <v>4.7938415697920007</v>
      </c>
      <c r="R606" s="398">
        <f t="shared" si="277"/>
        <v>4.8350732558336009</v>
      </c>
      <c r="S606" s="398">
        <f t="shared" si="277"/>
        <v>4.8680586046668815</v>
      </c>
      <c r="T606" s="398">
        <f t="shared" si="277"/>
        <v>4.8944468837335053</v>
      </c>
      <c r="U606" s="398">
        <f t="shared" si="277"/>
        <v>4.9155575069868043</v>
      </c>
      <c r="V606" s="398">
        <f t="shared" si="277"/>
        <v>4.9324460055894441</v>
      </c>
      <c r="W606" s="398">
        <f t="shared" si="277"/>
        <v>4.9459568044715549</v>
      </c>
      <c r="X606" s="398">
        <f t="shared" si="277"/>
        <v>4.9567654435772441</v>
      </c>
      <c r="Y606" s="398">
        <f t="shared" si="277"/>
        <v>4.9654123548617957</v>
      </c>
      <c r="Z606" s="398">
        <f t="shared" si="277"/>
        <v>4.9723298838894365</v>
      </c>
      <c r="AA606" s="398">
        <f t="shared" si="277"/>
        <v>4.9778639071115496</v>
      </c>
      <c r="AB606" s="398">
        <f t="shared" si="277"/>
        <v>4.9822911256892404</v>
      </c>
      <c r="AC606" s="398">
        <f t="shared" si="277"/>
        <v>4.9858329005513919</v>
      </c>
      <c r="AD606" s="398">
        <f t="shared" si="277"/>
        <v>4.9886663204411139</v>
      </c>
      <c r="AE606" s="398">
        <f t="shared" si="277"/>
        <v>4.9909330563528913</v>
      </c>
      <c r="AF606" s="398">
        <f t="shared" si="277"/>
        <v>4.9927464450823127</v>
      </c>
      <c r="AG606" s="398">
        <f t="shared" si="277"/>
        <v>4.9941971560658498</v>
      </c>
      <c r="AH606" s="398">
        <f t="shared" si="277"/>
        <v>4.9953577248526795</v>
      </c>
      <c r="AI606" s="398">
        <f t="shared" si="277"/>
        <v>4.9962861798821443</v>
      </c>
      <c r="AJ606" s="398">
        <f t="shared" si="277"/>
        <v>4.9970289439057156</v>
      </c>
      <c r="AK606" s="398">
        <f t="shared" si="277"/>
        <v>4.9976231551245727</v>
      </c>
      <c r="AL606" s="398">
        <f t="shared" si="277"/>
        <v>4.9980985240996585</v>
      </c>
      <c r="AM606" s="398">
        <f t="shared" si="277"/>
        <v>4.9984788192797271</v>
      </c>
      <c r="AN606" s="398">
        <f t="shared" si="277"/>
        <v>4.9987830554237824</v>
      </c>
      <c r="AP606" s="21"/>
    </row>
    <row r="607" spans="2:42" x14ac:dyDescent="0.25">
      <c r="C607" s="21" t="s">
        <v>393</v>
      </c>
      <c r="D607" s="34" t="s">
        <v>162</v>
      </c>
      <c r="E607" s="398">
        <v>1</v>
      </c>
      <c r="F607" s="398">
        <f t="shared" ref="F607:AN607" si="278">E607*(1-F$601)+1</f>
        <v>1.8</v>
      </c>
      <c r="G607" s="398">
        <f t="shared" si="278"/>
        <v>2.4400000000000004</v>
      </c>
      <c r="H607" s="398">
        <f t="shared" si="278"/>
        <v>2.9520000000000004</v>
      </c>
      <c r="I607" s="398">
        <f t="shared" si="278"/>
        <v>3.3616000000000006</v>
      </c>
      <c r="J607" s="398">
        <f t="shared" si="278"/>
        <v>3.6892800000000006</v>
      </c>
      <c r="K607" s="398">
        <f t="shared" si="278"/>
        <v>3.9514240000000007</v>
      </c>
      <c r="L607" s="398">
        <f t="shared" si="278"/>
        <v>4.1611392000000009</v>
      </c>
      <c r="M607" s="398">
        <f t="shared" si="278"/>
        <v>4.3289113600000011</v>
      </c>
      <c r="N607" s="398">
        <f t="shared" si="278"/>
        <v>4.4631290880000005</v>
      </c>
      <c r="O607" s="398">
        <f t="shared" si="278"/>
        <v>4.5705032704000006</v>
      </c>
      <c r="P607" s="398">
        <f t="shared" si="278"/>
        <v>4.6564026163200012</v>
      </c>
      <c r="Q607" s="398">
        <f t="shared" si="278"/>
        <v>4.7251220930560009</v>
      </c>
      <c r="R607" s="398">
        <f t="shared" si="278"/>
        <v>4.7800976744448009</v>
      </c>
      <c r="S607" s="398">
        <f t="shared" si="278"/>
        <v>4.8240781395558407</v>
      </c>
      <c r="T607" s="398">
        <f t="shared" si="278"/>
        <v>4.8592625116446726</v>
      </c>
      <c r="U607" s="398">
        <f t="shared" si="278"/>
        <v>4.8874100093157384</v>
      </c>
      <c r="V607" s="398">
        <f t="shared" si="278"/>
        <v>4.9099280074525904</v>
      </c>
      <c r="W607" s="398">
        <f t="shared" si="278"/>
        <v>4.9279424059620727</v>
      </c>
      <c r="X607" s="398">
        <f t="shared" si="278"/>
        <v>4.9423539247696588</v>
      </c>
      <c r="Y607" s="398">
        <f t="shared" si="278"/>
        <v>4.9538831398157273</v>
      </c>
      <c r="Z607" s="398">
        <f t="shared" si="278"/>
        <v>4.9631065118525814</v>
      </c>
      <c r="AA607" s="398">
        <f t="shared" si="278"/>
        <v>4.9704852094820655</v>
      </c>
      <c r="AB607" s="398">
        <f t="shared" si="278"/>
        <v>4.9763881675856521</v>
      </c>
      <c r="AC607" s="398">
        <f t="shared" si="278"/>
        <v>4.981110534068522</v>
      </c>
      <c r="AD607" s="398">
        <f t="shared" si="278"/>
        <v>4.984888427254818</v>
      </c>
      <c r="AE607" s="398">
        <f t="shared" si="278"/>
        <v>4.9879107418038551</v>
      </c>
      <c r="AF607" s="398">
        <f t="shared" si="278"/>
        <v>4.9903285934430848</v>
      </c>
      <c r="AG607" s="398">
        <f t="shared" si="278"/>
        <v>4.9922628747544682</v>
      </c>
      <c r="AH607" s="398">
        <f t="shared" si="278"/>
        <v>4.9938102998035747</v>
      </c>
      <c r="AI607" s="398">
        <f t="shared" si="278"/>
        <v>4.9950482398428599</v>
      </c>
      <c r="AJ607" s="398">
        <f t="shared" si="278"/>
        <v>4.9960385918742887</v>
      </c>
      <c r="AK607" s="398">
        <f t="shared" si="278"/>
        <v>4.9968308734994311</v>
      </c>
      <c r="AL607" s="398">
        <f t="shared" si="278"/>
        <v>4.9974646987995452</v>
      </c>
      <c r="AM607" s="398">
        <f t="shared" si="278"/>
        <v>4.9979717590396362</v>
      </c>
      <c r="AN607" s="398">
        <f t="shared" si="278"/>
        <v>4.9983774072317093</v>
      </c>
      <c r="AP607" s="21"/>
    </row>
    <row r="608" spans="2:42" x14ac:dyDescent="0.25">
      <c r="C608" s="22" t="s">
        <v>456</v>
      </c>
      <c r="D608" s="34" t="s">
        <v>162</v>
      </c>
      <c r="E608" s="399">
        <v>0</v>
      </c>
      <c r="F608" s="399">
        <f t="shared" ref="F608:AN608" si="279">E608*(1-F$601)+1</f>
        <v>1</v>
      </c>
      <c r="G608" s="399">
        <f t="shared" si="279"/>
        <v>1.8</v>
      </c>
      <c r="H608" s="399">
        <f t="shared" si="279"/>
        <v>2.4400000000000004</v>
      </c>
      <c r="I608" s="399">
        <f t="shared" si="279"/>
        <v>2.9520000000000004</v>
      </c>
      <c r="J608" s="399">
        <f t="shared" si="279"/>
        <v>3.3616000000000006</v>
      </c>
      <c r="K608" s="399">
        <f t="shared" si="279"/>
        <v>3.6892800000000006</v>
      </c>
      <c r="L608" s="399">
        <f t="shared" si="279"/>
        <v>3.9514240000000007</v>
      </c>
      <c r="M608" s="399">
        <f t="shared" si="279"/>
        <v>4.1611392000000009</v>
      </c>
      <c r="N608" s="399">
        <f t="shared" si="279"/>
        <v>4.3289113600000011</v>
      </c>
      <c r="O608" s="399">
        <f t="shared" si="279"/>
        <v>4.4631290880000005</v>
      </c>
      <c r="P608" s="399">
        <f t="shared" si="279"/>
        <v>4.5705032704000006</v>
      </c>
      <c r="Q608" s="399">
        <f t="shared" si="279"/>
        <v>4.6564026163200012</v>
      </c>
      <c r="R608" s="399">
        <f t="shared" si="279"/>
        <v>4.7251220930560009</v>
      </c>
      <c r="S608" s="399">
        <f t="shared" si="279"/>
        <v>4.7800976744448009</v>
      </c>
      <c r="T608" s="399">
        <f t="shared" si="279"/>
        <v>4.8240781395558407</v>
      </c>
      <c r="U608" s="399">
        <f t="shared" si="279"/>
        <v>4.8592625116446726</v>
      </c>
      <c r="V608" s="399">
        <f t="shared" si="279"/>
        <v>4.8874100093157384</v>
      </c>
      <c r="W608" s="399">
        <f t="shared" si="279"/>
        <v>4.9099280074525904</v>
      </c>
      <c r="X608" s="399">
        <f t="shared" si="279"/>
        <v>4.9279424059620727</v>
      </c>
      <c r="Y608" s="399">
        <f t="shared" si="279"/>
        <v>4.9423539247696588</v>
      </c>
      <c r="Z608" s="399">
        <f t="shared" si="279"/>
        <v>4.9538831398157273</v>
      </c>
      <c r="AA608" s="399">
        <f t="shared" si="279"/>
        <v>4.9631065118525814</v>
      </c>
      <c r="AB608" s="399">
        <f t="shared" si="279"/>
        <v>4.9704852094820655</v>
      </c>
      <c r="AC608" s="399">
        <f t="shared" si="279"/>
        <v>4.9763881675856521</v>
      </c>
      <c r="AD608" s="399">
        <f t="shared" si="279"/>
        <v>4.981110534068522</v>
      </c>
      <c r="AE608" s="399">
        <f t="shared" si="279"/>
        <v>4.984888427254818</v>
      </c>
      <c r="AF608" s="399">
        <f t="shared" si="279"/>
        <v>4.9879107418038551</v>
      </c>
      <c r="AG608" s="399">
        <f t="shared" si="279"/>
        <v>4.9903285934430848</v>
      </c>
      <c r="AH608" s="399">
        <f t="shared" si="279"/>
        <v>4.9922628747544682</v>
      </c>
      <c r="AI608" s="399">
        <f t="shared" si="279"/>
        <v>4.9938102998035747</v>
      </c>
      <c r="AJ608" s="399">
        <f t="shared" si="279"/>
        <v>4.9950482398428599</v>
      </c>
      <c r="AK608" s="399">
        <f t="shared" si="279"/>
        <v>4.9960385918742887</v>
      </c>
      <c r="AL608" s="399">
        <f t="shared" si="279"/>
        <v>4.9968308734994311</v>
      </c>
      <c r="AM608" s="399">
        <f t="shared" si="279"/>
        <v>4.9974646987995452</v>
      </c>
      <c r="AN608" s="399">
        <f t="shared" si="279"/>
        <v>4.9979717590396362</v>
      </c>
      <c r="AP608" s="26"/>
    </row>
    <row r="609" spans="2:42" x14ac:dyDescent="0.25">
      <c r="B609" s="99" t="s">
        <v>9</v>
      </c>
      <c r="C609" s="311" t="s">
        <v>627</v>
      </c>
      <c r="D609" s="318"/>
      <c r="E609" s="402"/>
      <c r="F609" s="402"/>
      <c r="G609" s="402"/>
      <c r="H609" s="402"/>
      <c r="I609" s="402"/>
      <c r="J609" s="402"/>
      <c r="K609" s="402"/>
      <c r="L609" s="402"/>
      <c r="M609" s="402"/>
      <c r="N609" s="402"/>
      <c r="O609" s="402"/>
      <c r="P609" s="402"/>
      <c r="Q609" s="402"/>
      <c r="R609" s="402"/>
      <c r="S609" s="402"/>
      <c r="T609" s="402"/>
      <c r="U609" s="402"/>
      <c r="V609" s="402"/>
      <c r="W609" s="402"/>
      <c r="X609" s="402"/>
      <c r="Y609" s="402"/>
      <c r="Z609" s="402"/>
      <c r="AA609" s="402"/>
      <c r="AB609" s="402"/>
      <c r="AC609" s="402"/>
      <c r="AD609" s="402"/>
      <c r="AE609" s="402"/>
      <c r="AF609" s="402"/>
      <c r="AG609" s="402"/>
      <c r="AH609" s="402"/>
      <c r="AI609" s="402"/>
      <c r="AJ609" s="402"/>
      <c r="AK609" s="402"/>
      <c r="AL609" s="402"/>
      <c r="AM609" s="402"/>
      <c r="AN609" s="402"/>
      <c r="AO609" s="74"/>
      <c r="AP609" s="311"/>
    </row>
    <row r="610" spans="2:42" x14ac:dyDescent="0.25">
      <c r="C610" s="20" t="s">
        <v>600</v>
      </c>
      <c r="D610" s="34" t="s">
        <v>162</v>
      </c>
      <c r="E610" s="397">
        <v>5</v>
      </c>
      <c r="F610" s="397">
        <f>E610*(1-F$601)+1</f>
        <v>5</v>
      </c>
      <c r="G610" s="397">
        <f t="shared" ref="G610:AN610" si="280">F610*(1-G$601)+1</f>
        <v>5</v>
      </c>
      <c r="H610" s="397">
        <f t="shared" si="280"/>
        <v>5</v>
      </c>
      <c r="I610" s="397">
        <f t="shared" si="280"/>
        <v>5</v>
      </c>
      <c r="J610" s="397">
        <f t="shared" si="280"/>
        <v>5</v>
      </c>
      <c r="K610" s="397">
        <f t="shared" si="280"/>
        <v>5</v>
      </c>
      <c r="L610" s="397">
        <f t="shared" si="280"/>
        <v>5</v>
      </c>
      <c r="M610" s="397">
        <f t="shared" si="280"/>
        <v>5</v>
      </c>
      <c r="N610" s="397">
        <f t="shared" si="280"/>
        <v>5</v>
      </c>
      <c r="O610" s="397">
        <f t="shared" si="280"/>
        <v>5</v>
      </c>
      <c r="P610" s="397">
        <f t="shared" si="280"/>
        <v>5</v>
      </c>
      <c r="Q610" s="397">
        <f t="shared" si="280"/>
        <v>5</v>
      </c>
      <c r="R610" s="397">
        <f t="shared" si="280"/>
        <v>5</v>
      </c>
      <c r="S610" s="397">
        <f t="shared" si="280"/>
        <v>5</v>
      </c>
      <c r="T610" s="397">
        <f t="shared" si="280"/>
        <v>5</v>
      </c>
      <c r="U610" s="397">
        <f t="shared" si="280"/>
        <v>5</v>
      </c>
      <c r="V610" s="397">
        <f t="shared" si="280"/>
        <v>5</v>
      </c>
      <c r="W610" s="397">
        <f t="shared" si="280"/>
        <v>5</v>
      </c>
      <c r="X610" s="397">
        <f t="shared" si="280"/>
        <v>5</v>
      </c>
      <c r="Y610" s="397">
        <f t="shared" si="280"/>
        <v>5</v>
      </c>
      <c r="Z610" s="397">
        <f t="shared" si="280"/>
        <v>5</v>
      </c>
      <c r="AA610" s="397">
        <f t="shared" si="280"/>
        <v>5</v>
      </c>
      <c r="AB610" s="397">
        <f t="shared" si="280"/>
        <v>5</v>
      </c>
      <c r="AC610" s="397">
        <f t="shared" si="280"/>
        <v>5</v>
      </c>
      <c r="AD610" s="397">
        <f t="shared" si="280"/>
        <v>5</v>
      </c>
      <c r="AE610" s="397">
        <f t="shared" si="280"/>
        <v>5</v>
      </c>
      <c r="AF610" s="397">
        <f t="shared" si="280"/>
        <v>5</v>
      </c>
      <c r="AG610" s="397">
        <f t="shared" si="280"/>
        <v>5</v>
      </c>
      <c r="AH610" s="397">
        <f t="shared" si="280"/>
        <v>5</v>
      </c>
      <c r="AI610" s="397">
        <f t="shared" si="280"/>
        <v>5</v>
      </c>
      <c r="AJ610" s="397">
        <f t="shared" si="280"/>
        <v>5</v>
      </c>
      <c r="AK610" s="397">
        <f t="shared" si="280"/>
        <v>5</v>
      </c>
      <c r="AL610" s="397">
        <f t="shared" si="280"/>
        <v>5</v>
      </c>
      <c r="AM610" s="397">
        <f t="shared" si="280"/>
        <v>5</v>
      </c>
      <c r="AN610" s="397">
        <f t="shared" si="280"/>
        <v>5</v>
      </c>
      <c r="AP610" s="20"/>
    </row>
    <row r="611" spans="2:42" x14ac:dyDescent="0.25">
      <c r="C611" s="20" t="s">
        <v>392</v>
      </c>
      <c r="D611" s="34" t="s">
        <v>162</v>
      </c>
      <c r="E611" s="398">
        <v>4</v>
      </c>
      <c r="F611" s="398">
        <f t="shared" ref="F611:AN611" si="281">E611*(1-F$601)+1</f>
        <v>4.2</v>
      </c>
      <c r="G611" s="398">
        <f t="shared" si="281"/>
        <v>4.3600000000000003</v>
      </c>
      <c r="H611" s="398">
        <f t="shared" si="281"/>
        <v>4.4880000000000004</v>
      </c>
      <c r="I611" s="398">
        <f t="shared" si="281"/>
        <v>4.5904000000000007</v>
      </c>
      <c r="J611" s="398">
        <f t="shared" si="281"/>
        <v>4.6723200000000009</v>
      </c>
      <c r="K611" s="398">
        <f t="shared" si="281"/>
        <v>4.7378560000000007</v>
      </c>
      <c r="L611" s="398">
        <f t="shared" si="281"/>
        <v>4.7902848000000002</v>
      </c>
      <c r="M611" s="398">
        <f t="shared" si="281"/>
        <v>4.8322278399999998</v>
      </c>
      <c r="N611" s="398">
        <f t="shared" si="281"/>
        <v>4.8657822720000006</v>
      </c>
      <c r="O611" s="398">
        <f t="shared" si="281"/>
        <v>4.8926258176000008</v>
      </c>
      <c r="P611" s="398">
        <f t="shared" si="281"/>
        <v>4.9141006540800003</v>
      </c>
      <c r="Q611" s="398">
        <f t="shared" si="281"/>
        <v>4.9312805232640002</v>
      </c>
      <c r="R611" s="398">
        <f t="shared" si="281"/>
        <v>4.9450244186112009</v>
      </c>
      <c r="S611" s="398">
        <f t="shared" si="281"/>
        <v>4.9560195348889611</v>
      </c>
      <c r="T611" s="398">
        <f t="shared" si="281"/>
        <v>4.964815627911169</v>
      </c>
      <c r="U611" s="398">
        <f t="shared" si="281"/>
        <v>4.9718525023289359</v>
      </c>
      <c r="V611" s="398">
        <f t="shared" si="281"/>
        <v>4.9774820018631489</v>
      </c>
      <c r="W611" s="398">
        <f t="shared" si="281"/>
        <v>4.9819856014905195</v>
      </c>
      <c r="X611" s="398">
        <f t="shared" si="281"/>
        <v>4.9855884811924156</v>
      </c>
      <c r="Y611" s="398">
        <f t="shared" si="281"/>
        <v>4.9884707849539325</v>
      </c>
      <c r="Z611" s="398">
        <f t="shared" si="281"/>
        <v>4.9907766279631467</v>
      </c>
      <c r="AA611" s="398">
        <f t="shared" si="281"/>
        <v>4.9926213023705177</v>
      </c>
      <c r="AB611" s="398">
        <f t="shared" si="281"/>
        <v>4.9940970418964143</v>
      </c>
      <c r="AC611" s="398">
        <f t="shared" si="281"/>
        <v>4.9952776335171318</v>
      </c>
      <c r="AD611" s="398">
        <f t="shared" si="281"/>
        <v>4.9962221068137058</v>
      </c>
      <c r="AE611" s="398">
        <f t="shared" si="281"/>
        <v>4.9969776854509647</v>
      </c>
      <c r="AF611" s="398">
        <f t="shared" si="281"/>
        <v>4.9975821483607721</v>
      </c>
      <c r="AG611" s="398">
        <f t="shared" si="281"/>
        <v>4.9980657186886184</v>
      </c>
      <c r="AH611" s="398">
        <f t="shared" si="281"/>
        <v>4.9984525749508943</v>
      </c>
      <c r="AI611" s="398">
        <f t="shared" si="281"/>
        <v>4.9987620599607157</v>
      </c>
      <c r="AJ611" s="398">
        <f t="shared" si="281"/>
        <v>4.9990096479685722</v>
      </c>
      <c r="AK611" s="398">
        <f t="shared" si="281"/>
        <v>4.9992077183748584</v>
      </c>
      <c r="AL611" s="398">
        <f t="shared" si="281"/>
        <v>4.9993661746998868</v>
      </c>
      <c r="AM611" s="398">
        <f t="shared" si="281"/>
        <v>4.999492939759909</v>
      </c>
      <c r="AN611" s="398">
        <f t="shared" si="281"/>
        <v>4.9995943518079269</v>
      </c>
      <c r="AP611" s="21"/>
    </row>
    <row r="612" spans="2:42" x14ac:dyDescent="0.25">
      <c r="C612" s="20" t="s">
        <v>454</v>
      </c>
      <c r="D612" s="34" t="s">
        <v>162</v>
      </c>
      <c r="E612" s="398">
        <v>3</v>
      </c>
      <c r="F612" s="398">
        <f t="shared" ref="F612:AN612" si="282">E612*(1-F$601)+1</f>
        <v>3.4000000000000004</v>
      </c>
      <c r="G612" s="398">
        <f t="shared" si="282"/>
        <v>3.7200000000000006</v>
      </c>
      <c r="H612" s="398">
        <f t="shared" si="282"/>
        <v>3.9760000000000009</v>
      </c>
      <c r="I612" s="398">
        <f t="shared" si="282"/>
        <v>4.1808000000000014</v>
      </c>
      <c r="J612" s="398">
        <f t="shared" si="282"/>
        <v>4.3446400000000018</v>
      </c>
      <c r="K612" s="398">
        <f t="shared" si="282"/>
        <v>4.4757120000000015</v>
      </c>
      <c r="L612" s="398">
        <f t="shared" si="282"/>
        <v>4.5805696000000014</v>
      </c>
      <c r="M612" s="398">
        <f t="shared" si="282"/>
        <v>4.6644556800000014</v>
      </c>
      <c r="N612" s="398">
        <f t="shared" si="282"/>
        <v>4.7315645440000011</v>
      </c>
      <c r="O612" s="398">
        <f t="shared" si="282"/>
        <v>4.7852516352000016</v>
      </c>
      <c r="P612" s="398">
        <f t="shared" si="282"/>
        <v>4.8282013081600015</v>
      </c>
      <c r="Q612" s="398">
        <f t="shared" si="282"/>
        <v>4.8625610465280014</v>
      </c>
      <c r="R612" s="398">
        <f t="shared" si="282"/>
        <v>4.8900488372224018</v>
      </c>
      <c r="S612" s="398">
        <f t="shared" si="282"/>
        <v>4.9120390697779222</v>
      </c>
      <c r="T612" s="398">
        <f t="shared" si="282"/>
        <v>4.9296312558223381</v>
      </c>
      <c r="U612" s="398">
        <f t="shared" si="282"/>
        <v>4.9437050046578701</v>
      </c>
      <c r="V612" s="398">
        <f t="shared" si="282"/>
        <v>4.9549640037262961</v>
      </c>
      <c r="W612" s="398">
        <f t="shared" si="282"/>
        <v>4.9639712029810372</v>
      </c>
      <c r="X612" s="398">
        <f t="shared" si="282"/>
        <v>4.9711769623848294</v>
      </c>
      <c r="Y612" s="398">
        <f t="shared" si="282"/>
        <v>4.9769415699078632</v>
      </c>
      <c r="Z612" s="398">
        <f t="shared" si="282"/>
        <v>4.9815532559262907</v>
      </c>
      <c r="AA612" s="398">
        <f t="shared" si="282"/>
        <v>4.9852426047410328</v>
      </c>
      <c r="AB612" s="398">
        <f t="shared" si="282"/>
        <v>4.9881940837928269</v>
      </c>
      <c r="AC612" s="398">
        <f t="shared" si="282"/>
        <v>4.9905552670342619</v>
      </c>
      <c r="AD612" s="398">
        <f t="shared" si="282"/>
        <v>4.9924442136274099</v>
      </c>
      <c r="AE612" s="398">
        <f t="shared" si="282"/>
        <v>4.9939553709019275</v>
      </c>
      <c r="AF612" s="398">
        <f t="shared" si="282"/>
        <v>4.9951642967215424</v>
      </c>
      <c r="AG612" s="398">
        <f t="shared" si="282"/>
        <v>4.9961314373772341</v>
      </c>
      <c r="AH612" s="398">
        <f t="shared" si="282"/>
        <v>4.9969051499017869</v>
      </c>
      <c r="AI612" s="398">
        <f t="shared" si="282"/>
        <v>4.9975241199214295</v>
      </c>
      <c r="AJ612" s="398">
        <f t="shared" si="282"/>
        <v>4.9980192959371443</v>
      </c>
      <c r="AK612" s="398">
        <f t="shared" si="282"/>
        <v>4.9984154367497151</v>
      </c>
      <c r="AL612" s="398">
        <f t="shared" si="282"/>
        <v>4.9987323493997717</v>
      </c>
      <c r="AM612" s="398">
        <f t="shared" si="282"/>
        <v>4.9989858795198181</v>
      </c>
      <c r="AN612" s="398">
        <f t="shared" si="282"/>
        <v>4.9991887036158547</v>
      </c>
      <c r="AP612" s="21"/>
    </row>
    <row r="613" spans="2:42" x14ac:dyDescent="0.25">
      <c r="C613" s="21" t="s">
        <v>455</v>
      </c>
      <c r="D613" s="34" t="s">
        <v>162</v>
      </c>
      <c r="E613" s="398">
        <v>2</v>
      </c>
      <c r="F613" s="398">
        <f t="shared" ref="F613:AN613" si="283">E613*(1-F$601)+1</f>
        <v>2.6</v>
      </c>
      <c r="G613" s="398">
        <f t="shared" si="283"/>
        <v>3.08</v>
      </c>
      <c r="H613" s="398">
        <f t="shared" si="283"/>
        <v>3.4640000000000004</v>
      </c>
      <c r="I613" s="398">
        <f t="shared" si="283"/>
        <v>3.7712000000000003</v>
      </c>
      <c r="J613" s="398">
        <f t="shared" si="283"/>
        <v>4.016960000000001</v>
      </c>
      <c r="K613" s="398">
        <f t="shared" si="283"/>
        <v>4.2135680000000004</v>
      </c>
      <c r="L613" s="398">
        <f t="shared" si="283"/>
        <v>4.3708544000000007</v>
      </c>
      <c r="M613" s="398">
        <f t="shared" si="283"/>
        <v>4.4966835200000013</v>
      </c>
      <c r="N613" s="398">
        <f t="shared" si="283"/>
        <v>4.5973468160000017</v>
      </c>
      <c r="O613" s="398">
        <f t="shared" si="283"/>
        <v>4.6778774528000016</v>
      </c>
      <c r="P613" s="398">
        <f t="shared" si="283"/>
        <v>4.7423019622400009</v>
      </c>
      <c r="Q613" s="398">
        <f t="shared" si="283"/>
        <v>4.7938415697920007</v>
      </c>
      <c r="R613" s="398">
        <f t="shared" si="283"/>
        <v>4.8350732558336009</v>
      </c>
      <c r="S613" s="398">
        <f t="shared" si="283"/>
        <v>4.8680586046668815</v>
      </c>
      <c r="T613" s="398">
        <f t="shared" si="283"/>
        <v>4.8944468837335053</v>
      </c>
      <c r="U613" s="398">
        <f t="shared" si="283"/>
        <v>4.9155575069868043</v>
      </c>
      <c r="V613" s="398">
        <f t="shared" si="283"/>
        <v>4.9324460055894441</v>
      </c>
      <c r="W613" s="398">
        <f t="shared" si="283"/>
        <v>4.9459568044715549</v>
      </c>
      <c r="X613" s="398">
        <f t="shared" si="283"/>
        <v>4.9567654435772441</v>
      </c>
      <c r="Y613" s="398">
        <f t="shared" si="283"/>
        <v>4.9654123548617957</v>
      </c>
      <c r="Z613" s="398">
        <f t="shared" si="283"/>
        <v>4.9723298838894365</v>
      </c>
      <c r="AA613" s="398">
        <f t="shared" si="283"/>
        <v>4.9778639071115496</v>
      </c>
      <c r="AB613" s="398">
        <f t="shared" si="283"/>
        <v>4.9822911256892404</v>
      </c>
      <c r="AC613" s="398">
        <f t="shared" si="283"/>
        <v>4.9858329005513919</v>
      </c>
      <c r="AD613" s="398">
        <f t="shared" si="283"/>
        <v>4.9886663204411139</v>
      </c>
      <c r="AE613" s="398">
        <f t="shared" si="283"/>
        <v>4.9909330563528913</v>
      </c>
      <c r="AF613" s="398">
        <f t="shared" si="283"/>
        <v>4.9927464450823127</v>
      </c>
      <c r="AG613" s="398">
        <f t="shared" si="283"/>
        <v>4.9941971560658498</v>
      </c>
      <c r="AH613" s="398">
        <f t="shared" si="283"/>
        <v>4.9953577248526795</v>
      </c>
      <c r="AI613" s="398">
        <f t="shared" si="283"/>
        <v>4.9962861798821443</v>
      </c>
      <c r="AJ613" s="398">
        <f t="shared" si="283"/>
        <v>4.9970289439057156</v>
      </c>
      <c r="AK613" s="398">
        <f t="shared" si="283"/>
        <v>4.9976231551245727</v>
      </c>
      <c r="AL613" s="398">
        <f t="shared" si="283"/>
        <v>4.9980985240996585</v>
      </c>
      <c r="AM613" s="398">
        <f t="shared" si="283"/>
        <v>4.9984788192797271</v>
      </c>
      <c r="AN613" s="398">
        <f t="shared" si="283"/>
        <v>4.9987830554237824</v>
      </c>
      <c r="AP613" s="21"/>
    </row>
    <row r="614" spans="2:42" x14ac:dyDescent="0.25">
      <c r="C614" s="21" t="s">
        <v>393</v>
      </c>
      <c r="D614" s="34" t="s">
        <v>162</v>
      </c>
      <c r="E614" s="398">
        <v>1</v>
      </c>
      <c r="F614" s="398">
        <f t="shared" ref="F614:AN614" si="284">E614*(1-F$601)+1</f>
        <v>1.8</v>
      </c>
      <c r="G614" s="398">
        <f t="shared" si="284"/>
        <v>2.4400000000000004</v>
      </c>
      <c r="H614" s="398">
        <f t="shared" si="284"/>
        <v>2.9520000000000004</v>
      </c>
      <c r="I614" s="398">
        <f t="shared" si="284"/>
        <v>3.3616000000000006</v>
      </c>
      <c r="J614" s="398">
        <f t="shared" si="284"/>
        <v>3.6892800000000006</v>
      </c>
      <c r="K614" s="398">
        <f t="shared" si="284"/>
        <v>3.9514240000000007</v>
      </c>
      <c r="L614" s="398">
        <f t="shared" si="284"/>
        <v>4.1611392000000009</v>
      </c>
      <c r="M614" s="398">
        <f t="shared" si="284"/>
        <v>4.3289113600000011</v>
      </c>
      <c r="N614" s="398">
        <f t="shared" si="284"/>
        <v>4.4631290880000005</v>
      </c>
      <c r="O614" s="398">
        <f t="shared" si="284"/>
        <v>4.5705032704000006</v>
      </c>
      <c r="P614" s="398">
        <f t="shared" si="284"/>
        <v>4.6564026163200012</v>
      </c>
      <c r="Q614" s="398">
        <f t="shared" si="284"/>
        <v>4.7251220930560009</v>
      </c>
      <c r="R614" s="398">
        <f t="shared" si="284"/>
        <v>4.7800976744448009</v>
      </c>
      <c r="S614" s="398">
        <f t="shared" si="284"/>
        <v>4.8240781395558407</v>
      </c>
      <c r="T614" s="398">
        <f t="shared" si="284"/>
        <v>4.8592625116446726</v>
      </c>
      <c r="U614" s="398">
        <f t="shared" si="284"/>
        <v>4.8874100093157384</v>
      </c>
      <c r="V614" s="398">
        <f t="shared" si="284"/>
        <v>4.9099280074525904</v>
      </c>
      <c r="W614" s="398">
        <f t="shared" si="284"/>
        <v>4.9279424059620727</v>
      </c>
      <c r="X614" s="398">
        <f t="shared" si="284"/>
        <v>4.9423539247696588</v>
      </c>
      <c r="Y614" s="398">
        <f t="shared" si="284"/>
        <v>4.9538831398157273</v>
      </c>
      <c r="Z614" s="398">
        <f t="shared" si="284"/>
        <v>4.9631065118525814</v>
      </c>
      <c r="AA614" s="398">
        <f t="shared" si="284"/>
        <v>4.9704852094820655</v>
      </c>
      <c r="AB614" s="398">
        <f t="shared" si="284"/>
        <v>4.9763881675856521</v>
      </c>
      <c r="AC614" s="398">
        <f t="shared" si="284"/>
        <v>4.981110534068522</v>
      </c>
      <c r="AD614" s="398">
        <f t="shared" si="284"/>
        <v>4.984888427254818</v>
      </c>
      <c r="AE614" s="398">
        <f t="shared" si="284"/>
        <v>4.9879107418038551</v>
      </c>
      <c r="AF614" s="398">
        <f t="shared" si="284"/>
        <v>4.9903285934430848</v>
      </c>
      <c r="AG614" s="398">
        <f t="shared" si="284"/>
        <v>4.9922628747544682</v>
      </c>
      <c r="AH614" s="398">
        <f t="shared" si="284"/>
        <v>4.9938102998035747</v>
      </c>
      <c r="AI614" s="398">
        <f t="shared" si="284"/>
        <v>4.9950482398428599</v>
      </c>
      <c r="AJ614" s="398">
        <f t="shared" si="284"/>
        <v>4.9960385918742887</v>
      </c>
      <c r="AK614" s="398">
        <f t="shared" si="284"/>
        <v>4.9968308734994311</v>
      </c>
      <c r="AL614" s="398">
        <f t="shared" si="284"/>
        <v>4.9974646987995452</v>
      </c>
      <c r="AM614" s="398">
        <f t="shared" si="284"/>
        <v>4.9979717590396362</v>
      </c>
      <c r="AN614" s="398">
        <f t="shared" si="284"/>
        <v>4.9983774072317093</v>
      </c>
      <c r="AP614" s="21"/>
    </row>
    <row r="615" spans="2:42" x14ac:dyDescent="0.25">
      <c r="C615" s="22" t="s">
        <v>456</v>
      </c>
      <c r="D615" s="34" t="s">
        <v>162</v>
      </c>
      <c r="E615" s="399">
        <v>0</v>
      </c>
      <c r="F615" s="399">
        <f t="shared" ref="F615:AN615" si="285">E615*(1-F$601)+1</f>
        <v>1</v>
      </c>
      <c r="G615" s="399">
        <f t="shared" si="285"/>
        <v>1.8</v>
      </c>
      <c r="H615" s="399">
        <f t="shared" si="285"/>
        <v>2.4400000000000004</v>
      </c>
      <c r="I615" s="399">
        <f t="shared" si="285"/>
        <v>2.9520000000000004</v>
      </c>
      <c r="J615" s="399">
        <f t="shared" si="285"/>
        <v>3.3616000000000006</v>
      </c>
      <c r="K615" s="399">
        <f t="shared" si="285"/>
        <v>3.6892800000000006</v>
      </c>
      <c r="L615" s="399">
        <f t="shared" si="285"/>
        <v>3.9514240000000007</v>
      </c>
      <c r="M615" s="399">
        <f t="shared" si="285"/>
        <v>4.1611392000000009</v>
      </c>
      <c r="N615" s="399">
        <f t="shared" si="285"/>
        <v>4.3289113600000011</v>
      </c>
      <c r="O615" s="399">
        <f t="shared" si="285"/>
        <v>4.4631290880000005</v>
      </c>
      <c r="P615" s="399">
        <f t="shared" si="285"/>
        <v>4.5705032704000006</v>
      </c>
      <c r="Q615" s="399">
        <f t="shared" si="285"/>
        <v>4.6564026163200012</v>
      </c>
      <c r="R615" s="399">
        <f t="shared" si="285"/>
        <v>4.7251220930560009</v>
      </c>
      <c r="S615" s="399">
        <f t="shared" si="285"/>
        <v>4.7800976744448009</v>
      </c>
      <c r="T615" s="399">
        <f t="shared" si="285"/>
        <v>4.8240781395558407</v>
      </c>
      <c r="U615" s="399">
        <f t="shared" si="285"/>
        <v>4.8592625116446726</v>
      </c>
      <c r="V615" s="399">
        <f t="shared" si="285"/>
        <v>4.8874100093157384</v>
      </c>
      <c r="W615" s="399">
        <f t="shared" si="285"/>
        <v>4.9099280074525904</v>
      </c>
      <c r="X615" s="399">
        <f t="shared" si="285"/>
        <v>4.9279424059620727</v>
      </c>
      <c r="Y615" s="399">
        <f t="shared" si="285"/>
        <v>4.9423539247696588</v>
      </c>
      <c r="Z615" s="399">
        <f t="shared" si="285"/>
        <v>4.9538831398157273</v>
      </c>
      <c r="AA615" s="399">
        <f t="shared" si="285"/>
        <v>4.9631065118525814</v>
      </c>
      <c r="AB615" s="399">
        <f t="shared" si="285"/>
        <v>4.9704852094820655</v>
      </c>
      <c r="AC615" s="399">
        <f t="shared" si="285"/>
        <v>4.9763881675856521</v>
      </c>
      <c r="AD615" s="399">
        <f t="shared" si="285"/>
        <v>4.981110534068522</v>
      </c>
      <c r="AE615" s="399">
        <f t="shared" si="285"/>
        <v>4.984888427254818</v>
      </c>
      <c r="AF615" s="399">
        <f t="shared" si="285"/>
        <v>4.9879107418038551</v>
      </c>
      <c r="AG615" s="399">
        <f t="shared" si="285"/>
        <v>4.9903285934430848</v>
      </c>
      <c r="AH615" s="399">
        <f t="shared" si="285"/>
        <v>4.9922628747544682</v>
      </c>
      <c r="AI615" s="399">
        <f t="shared" si="285"/>
        <v>4.9938102998035747</v>
      </c>
      <c r="AJ615" s="399">
        <f t="shared" si="285"/>
        <v>4.9950482398428599</v>
      </c>
      <c r="AK615" s="399">
        <f t="shared" si="285"/>
        <v>4.9960385918742887</v>
      </c>
      <c r="AL615" s="399">
        <f t="shared" si="285"/>
        <v>4.9968308734994311</v>
      </c>
      <c r="AM615" s="399">
        <f t="shared" si="285"/>
        <v>4.9974646987995452</v>
      </c>
      <c r="AN615" s="399">
        <f t="shared" si="285"/>
        <v>4.9979717590396362</v>
      </c>
      <c r="AP615" s="26"/>
    </row>
    <row r="616" spans="2:42" x14ac:dyDescent="0.25">
      <c r="B616" s="99" t="s">
        <v>9</v>
      </c>
      <c r="C616" s="311" t="s">
        <v>628</v>
      </c>
      <c r="D616" s="318"/>
      <c r="E616" s="402"/>
      <c r="F616" s="402"/>
      <c r="G616" s="402"/>
      <c r="H616" s="402"/>
      <c r="I616" s="402"/>
      <c r="J616" s="402"/>
      <c r="K616" s="402"/>
      <c r="L616" s="402"/>
      <c r="M616" s="402"/>
      <c r="N616" s="402"/>
      <c r="O616" s="402"/>
      <c r="P616" s="402"/>
      <c r="Q616" s="402"/>
      <c r="R616" s="402"/>
      <c r="S616" s="402"/>
      <c r="T616" s="402"/>
      <c r="U616" s="402"/>
      <c r="V616" s="402"/>
      <c r="W616" s="402"/>
      <c r="X616" s="402"/>
      <c r="Y616" s="402"/>
      <c r="Z616" s="402"/>
      <c r="AA616" s="402"/>
      <c r="AB616" s="402"/>
      <c r="AC616" s="402"/>
      <c r="AD616" s="402"/>
      <c r="AE616" s="402"/>
      <c r="AF616" s="402"/>
      <c r="AG616" s="402"/>
      <c r="AH616" s="402"/>
      <c r="AI616" s="402"/>
      <c r="AJ616" s="402"/>
      <c r="AK616" s="402"/>
      <c r="AL616" s="402"/>
      <c r="AM616" s="402"/>
      <c r="AN616" s="402"/>
      <c r="AO616" s="74"/>
      <c r="AP616" s="311"/>
    </row>
    <row r="617" spans="2:42" x14ac:dyDescent="0.25">
      <c r="C617" s="20" t="s">
        <v>600</v>
      </c>
      <c r="D617" s="34" t="s">
        <v>162</v>
      </c>
      <c r="E617" s="397">
        <v>5</v>
      </c>
      <c r="F617" s="397">
        <f>E617*(1-F$601)+1</f>
        <v>5</v>
      </c>
      <c r="G617" s="397">
        <f t="shared" ref="G617:AN617" si="286">F617*(1-G$601)+1</f>
        <v>5</v>
      </c>
      <c r="H617" s="397">
        <f t="shared" si="286"/>
        <v>5</v>
      </c>
      <c r="I617" s="397">
        <f t="shared" si="286"/>
        <v>5</v>
      </c>
      <c r="J617" s="397">
        <f t="shared" si="286"/>
        <v>5</v>
      </c>
      <c r="K617" s="397">
        <f t="shared" si="286"/>
        <v>5</v>
      </c>
      <c r="L617" s="397">
        <f t="shared" si="286"/>
        <v>5</v>
      </c>
      <c r="M617" s="397">
        <f t="shared" si="286"/>
        <v>5</v>
      </c>
      <c r="N617" s="397">
        <f t="shared" si="286"/>
        <v>5</v>
      </c>
      <c r="O617" s="397">
        <f t="shared" si="286"/>
        <v>5</v>
      </c>
      <c r="P617" s="397">
        <f t="shared" si="286"/>
        <v>5</v>
      </c>
      <c r="Q617" s="397">
        <f t="shared" si="286"/>
        <v>5</v>
      </c>
      <c r="R617" s="397">
        <f t="shared" si="286"/>
        <v>5</v>
      </c>
      <c r="S617" s="397">
        <f t="shared" si="286"/>
        <v>5</v>
      </c>
      <c r="T617" s="397">
        <f t="shared" si="286"/>
        <v>5</v>
      </c>
      <c r="U617" s="397">
        <f t="shared" si="286"/>
        <v>5</v>
      </c>
      <c r="V617" s="397">
        <f t="shared" si="286"/>
        <v>5</v>
      </c>
      <c r="W617" s="397">
        <f t="shared" si="286"/>
        <v>5</v>
      </c>
      <c r="X617" s="397">
        <f t="shared" si="286"/>
        <v>5</v>
      </c>
      <c r="Y617" s="397">
        <f t="shared" si="286"/>
        <v>5</v>
      </c>
      <c r="Z617" s="397">
        <f t="shared" si="286"/>
        <v>5</v>
      </c>
      <c r="AA617" s="397">
        <f t="shared" si="286"/>
        <v>5</v>
      </c>
      <c r="AB617" s="397">
        <f t="shared" si="286"/>
        <v>5</v>
      </c>
      <c r="AC617" s="397">
        <f t="shared" si="286"/>
        <v>5</v>
      </c>
      <c r="AD617" s="397">
        <f t="shared" si="286"/>
        <v>5</v>
      </c>
      <c r="AE617" s="397">
        <f t="shared" si="286"/>
        <v>5</v>
      </c>
      <c r="AF617" s="397">
        <f t="shared" si="286"/>
        <v>5</v>
      </c>
      <c r="AG617" s="397">
        <f t="shared" si="286"/>
        <v>5</v>
      </c>
      <c r="AH617" s="397">
        <f t="shared" si="286"/>
        <v>5</v>
      </c>
      <c r="AI617" s="397">
        <f t="shared" si="286"/>
        <v>5</v>
      </c>
      <c r="AJ617" s="397">
        <f t="shared" si="286"/>
        <v>5</v>
      </c>
      <c r="AK617" s="397">
        <f t="shared" si="286"/>
        <v>5</v>
      </c>
      <c r="AL617" s="397">
        <f t="shared" si="286"/>
        <v>5</v>
      </c>
      <c r="AM617" s="397">
        <f t="shared" si="286"/>
        <v>5</v>
      </c>
      <c r="AN617" s="397">
        <f t="shared" si="286"/>
        <v>5</v>
      </c>
      <c r="AP617" s="20"/>
    </row>
    <row r="618" spans="2:42" x14ac:dyDescent="0.25">
      <c r="C618" s="20" t="s">
        <v>392</v>
      </c>
      <c r="D618" s="34" t="s">
        <v>162</v>
      </c>
      <c r="E618" s="398">
        <v>4</v>
      </c>
      <c r="F618" s="398">
        <f t="shared" ref="F618:AN618" si="287">E618*(1-F$601)+1</f>
        <v>4.2</v>
      </c>
      <c r="G618" s="398">
        <f t="shared" si="287"/>
        <v>4.3600000000000003</v>
      </c>
      <c r="H618" s="398">
        <f t="shared" si="287"/>
        <v>4.4880000000000004</v>
      </c>
      <c r="I618" s="398">
        <f t="shared" si="287"/>
        <v>4.5904000000000007</v>
      </c>
      <c r="J618" s="398">
        <f t="shared" si="287"/>
        <v>4.6723200000000009</v>
      </c>
      <c r="K618" s="398">
        <f t="shared" si="287"/>
        <v>4.7378560000000007</v>
      </c>
      <c r="L618" s="398">
        <f t="shared" si="287"/>
        <v>4.7902848000000002</v>
      </c>
      <c r="M618" s="398">
        <f t="shared" si="287"/>
        <v>4.8322278399999998</v>
      </c>
      <c r="N618" s="398">
        <f t="shared" si="287"/>
        <v>4.8657822720000006</v>
      </c>
      <c r="O618" s="398">
        <f t="shared" si="287"/>
        <v>4.8926258176000008</v>
      </c>
      <c r="P618" s="398">
        <f t="shared" si="287"/>
        <v>4.9141006540800003</v>
      </c>
      <c r="Q618" s="398">
        <f t="shared" si="287"/>
        <v>4.9312805232640002</v>
      </c>
      <c r="R618" s="398">
        <f t="shared" si="287"/>
        <v>4.9450244186112009</v>
      </c>
      <c r="S618" s="398">
        <f t="shared" si="287"/>
        <v>4.9560195348889611</v>
      </c>
      <c r="T618" s="398">
        <f t="shared" si="287"/>
        <v>4.964815627911169</v>
      </c>
      <c r="U618" s="398">
        <f t="shared" si="287"/>
        <v>4.9718525023289359</v>
      </c>
      <c r="V618" s="398">
        <f t="shared" si="287"/>
        <v>4.9774820018631489</v>
      </c>
      <c r="W618" s="398">
        <f t="shared" si="287"/>
        <v>4.9819856014905195</v>
      </c>
      <c r="X618" s="398">
        <f t="shared" si="287"/>
        <v>4.9855884811924156</v>
      </c>
      <c r="Y618" s="398">
        <f t="shared" si="287"/>
        <v>4.9884707849539325</v>
      </c>
      <c r="Z618" s="398">
        <f t="shared" si="287"/>
        <v>4.9907766279631467</v>
      </c>
      <c r="AA618" s="398">
        <f t="shared" si="287"/>
        <v>4.9926213023705177</v>
      </c>
      <c r="AB618" s="398">
        <f t="shared" si="287"/>
        <v>4.9940970418964143</v>
      </c>
      <c r="AC618" s="398">
        <f t="shared" si="287"/>
        <v>4.9952776335171318</v>
      </c>
      <c r="AD618" s="398">
        <f t="shared" si="287"/>
        <v>4.9962221068137058</v>
      </c>
      <c r="AE618" s="398">
        <f t="shared" si="287"/>
        <v>4.9969776854509647</v>
      </c>
      <c r="AF618" s="398">
        <f t="shared" si="287"/>
        <v>4.9975821483607721</v>
      </c>
      <c r="AG618" s="398">
        <f t="shared" si="287"/>
        <v>4.9980657186886184</v>
      </c>
      <c r="AH618" s="398">
        <f t="shared" si="287"/>
        <v>4.9984525749508943</v>
      </c>
      <c r="AI618" s="398">
        <f t="shared" si="287"/>
        <v>4.9987620599607157</v>
      </c>
      <c r="AJ618" s="398">
        <f t="shared" si="287"/>
        <v>4.9990096479685722</v>
      </c>
      <c r="AK618" s="398">
        <f t="shared" si="287"/>
        <v>4.9992077183748584</v>
      </c>
      <c r="AL618" s="398">
        <f t="shared" si="287"/>
        <v>4.9993661746998868</v>
      </c>
      <c r="AM618" s="398">
        <f t="shared" si="287"/>
        <v>4.999492939759909</v>
      </c>
      <c r="AN618" s="398">
        <f t="shared" si="287"/>
        <v>4.9995943518079269</v>
      </c>
      <c r="AP618" s="21"/>
    </row>
    <row r="619" spans="2:42" x14ac:dyDescent="0.25">
      <c r="C619" s="20" t="s">
        <v>454</v>
      </c>
      <c r="D619" s="34" t="s">
        <v>162</v>
      </c>
      <c r="E619" s="398">
        <v>3</v>
      </c>
      <c r="F619" s="398">
        <f t="shared" ref="F619:AN619" si="288">E619*(1-F$601)+1</f>
        <v>3.4000000000000004</v>
      </c>
      <c r="G619" s="398">
        <f t="shared" si="288"/>
        <v>3.7200000000000006</v>
      </c>
      <c r="H619" s="398">
        <f t="shared" si="288"/>
        <v>3.9760000000000009</v>
      </c>
      <c r="I619" s="398">
        <f t="shared" si="288"/>
        <v>4.1808000000000014</v>
      </c>
      <c r="J619" s="398">
        <f t="shared" si="288"/>
        <v>4.3446400000000018</v>
      </c>
      <c r="K619" s="398">
        <f t="shared" si="288"/>
        <v>4.4757120000000015</v>
      </c>
      <c r="L619" s="398">
        <f t="shared" si="288"/>
        <v>4.5805696000000014</v>
      </c>
      <c r="M619" s="398">
        <f t="shared" si="288"/>
        <v>4.6644556800000014</v>
      </c>
      <c r="N619" s="398">
        <f t="shared" si="288"/>
        <v>4.7315645440000011</v>
      </c>
      <c r="O619" s="398">
        <f t="shared" si="288"/>
        <v>4.7852516352000016</v>
      </c>
      <c r="P619" s="398">
        <f t="shared" si="288"/>
        <v>4.8282013081600015</v>
      </c>
      <c r="Q619" s="398">
        <f t="shared" si="288"/>
        <v>4.8625610465280014</v>
      </c>
      <c r="R619" s="398">
        <f t="shared" si="288"/>
        <v>4.8900488372224018</v>
      </c>
      <c r="S619" s="398">
        <f t="shared" si="288"/>
        <v>4.9120390697779222</v>
      </c>
      <c r="T619" s="398">
        <f t="shared" si="288"/>
        <v>4.9296312558223381</v>
      </c>
      <c r="U619" s="398">
        <f t="shared" si="288"/>
        <v>4.9437050046578701</v>
      </c>
      <c r="V619" s="398">
        <f t="shared" si="288"/>
        <v>4.9549640037262961</v>
      </c>
      <c r="W619" s="398">
        <f t="shared" si="288"/>
        <v>4.9639712029810372</v>
      </c>
      <c r="X619" s="398">
        <f t="shared" si="288"/>
        <v>4.9711769623848294</v>
      </c>
      <c r="Y619" s="398">
        <f t="shared" si="288"/>
        <v>4.9769415699078632</v>
      </c>
      <c r="Z619" s="398">
        <f t="shared" si="288"/>
        <v>4.9815532559262907</v>
      </c>
      <c r="AA619" s="398">
        <f t="shared" si="288"/>
        <v>4.9852426047410328</v>
      </c>
      <c r="AB619" s="398">
        <f t="shared" si="288"/>
        <v>4.9881940837928269</v>
      </c>
      <c r="AC619" s="398">
        <f t="shared" si="288"/>
        <v>4.9905552670342619</v>
      </c>
      <c r="AD619" s="398">
        <f t="shared" si="288"/>
        <v>4.9924442136274099</v>
      </c>
      <c r="AE619" s="398">
        <f t="shared" si="288"/>
        <v>4.9939553709019275</v>
      </c>
      <c r="AF619" s="398">
        <f t="shared" si="288"/>
        <v>4.9951642967215424</v>
      </c>
      <c r="AG619" s="398">
        <f t="shared" si="288"/>
        <v>4.9961314373772341</v>
      </c>
      <c r="AH619" s="398">
        <f t="shared" si="288"/>
        <v>4.9969051499017869</v>
      </c>
      <c r="AI619" s="398">
        <f t="shared" si="288"/>
        <v>4.9975241199214295</v>
      </c>
      <c r="AJ619" s="398">
        <f t="shared" si="288"/>
        <v>4.9980192959371443</v>
      </c>
      <c r="AK619" s="398">
        <f t="shared" si="288"/>
        <v>4.9984154367497151</v>
      </c>
      <c r="AL619" s="398">
        <f t="shared" si="288"/>
        <v>4.9987323493997717</v>
      </c>
      <c r="AM619" s="398">
        <f t="shared" si="288"/>
        <v>4.9989858795198181</v>
      </c>
      <c r="AN619" s="398">
        <f t="shared" si="288"/>
        <v>4.9991887036158547</v>
      </c>
      <c r="AP619" s="21"/>
    </row>
    <row r="620" spans="2:42" x14ac:dyDescent="0.25">
      <c r="C620" s="21" t="s">
        <v>455</v>
      </c>
      <c r="D620" s="34" t="s">
        <v>162</v>
      </c>
      <c r="E620" s="398">
        <v>2</v>
      </c>
      <c r="F620" s="398">
        <f t="shared" ref="F620:AN620" si="289">E620*(1-F$601)+1</f>
        <v>2.6</v>
      </c>
      <c r="G620" s="398">
        <f t="shared" si="289"/>
        <v>3.08</v>
      </c>
      <c r="H620" s="398">
        <f t="shared" si="289"/>
        <v>3.4640000000000004</v>
      </c>
      <c r="I620" s="398">
        <f t="shared" si="289"/>
        <v>3.7712000000000003</v>
      </c>
      <c r="J620" s="398">
        <f t="shared" si="289"/>
        <v>4.016960000000001</v>
      </c>
      <c r="K620" s="398">
        <f t="shared" si="289"/>
        <v>4.2135680000000004</v>
      </c>
      <c r="L620" s="398">
        <f t="shared" si="289"/>
        <v>4.3708544000000007</v>
      </c>
      <c r="M620" s="398">
        <f t="shared" si="289"/>
        <v>4.4966835200000013</v>
      </c>
      <c r="N620" s="398">
        <f t="shared" si="289"/>
        <v>4.5973468160000017</v>
      </c>
      <c r="O620" s="398">
        <f t="shared" si="289"/>
        <v>4.6778774528000016</v>
      </c>
      <c r="P620" s="398">
        <f t="shared" si="289"/>
        <v>4.7423019622400009</v>
      </c>
      <c r="Q620" s="398">
        <f t="shared" si="289"/>
        <v>4.7938415697920007</v>
      </c>
      <c r="R620" s="398">
        <f t="shared" si="289"/>
        <v>4.8350732558336009</v>
      </c>
      <c r="S620" s="398">
        <f t="shared" si="289"/>
        <v>4.8680586046668815</v>
      </c>
      <c r="T620" s="398">
        <f t="shared" si="289"/>
        <v>4.8944468837335053</v>
      </c>
      <c r="U620" s="398">
        <f t="shared" si="289"/>
        <v>4.9155575069868043</v>
      </c>
      <c r="V620" s="398">
        <f t="shared" si="289"/>
        <v>4.9324460055894441</v>
      </c>
      <c r="W620" s="398">
        <f t="shared" si="289"/>
        <v>4.9459568044715549</v>
      </c>
      <c r="X620" s="398">
        <f t="shared" si="289"/>
        <v>4.9567654435772441</v>
      </c>
      <c r="Y620" s="398">
        <f t="shared" si="289"/>
        <v>4.9654123548617957</v>
      </c>
      <c r="Z620" s="398">
        <f t="shared" si="289"/>
        <v>4.9723298838894365</v>
      </c>
      <c r="AA620" s="398">
        <f t="shared" si="289"/>
        <v>4.9778639071115496</v>
      </c>
      <c r="AB620" s="398">
        <f t="shared" si="289"/>
        <v>4.9822911256892404</v>
      </c>
      <c r="AC620" s="398">
        <f t="shared" si="289"/>
        <v>4.9858329005513919</v>
      </c>
      <c r="AD620" s="398">
        <f t="shared" si="289"/>
        <v>4.9886663204411139</v>
      </c>
      <c r="AE620" s="398">
        <f t="shared" si="289"/>
        <v>4.9909330563528913</v>
      </c>
      <c r="AF620" s="398">
        <f t="shared" si="289"/>
        <v>4.9927464450823127</v>
      </c>
      <c r="AG620" s="398">
        <f t="shared" si="289"/>
        <v>4.9941971560658498</v>
      </c>
      <c r="AH620" s="398">
        <f t="shared" si="289"/>
        <v>4.9953577248526795</v>
      </c>
      <c r="AI620" s="398">
        <f t="shared" si="289"/>
        <v>4.9962861798821443</v>
      </c>
      <c r="AJ620" s="398">
        <f t="shared" si="289"/>
        <v>4.9970289439057156</v>
      </c>
      <c r="AK620" s="398">
        <f t="shared" si="289"/>
        <v>4.9976231551245727</v>
      </c>
      <c r="AL620" s="398">
        <f t="shared" si="289"/>
        <v>4.9980985240996585</v>
      </c>
      <c r="AM620" s="398">
        <f t="shared" si="289"/>
        <v>4.9984788192797271</v>
      </c>
      <c r="AN620" s="398">
        <f t="shared" si="289"/>
        <v>4.9987830554237824</v>
      </c>
      <c r="AP620" s="21"/>
    </row>
    <row r="621" spans="2:42" x14ac:dyDescent="0.25">
      <c r="C621" s="21" t="s">
        <v>393</v>
      </c>
      <c r="D621" s="34" t="s">
        <v>162</v>
      </c>
      <c r="E621" s="398">
        <v>1</v>
      </c>
      <c r="F621" s="398">
        <f t="shared" ref="F621:AN621" si="290">E621*(1-F$601)+1</f>
        <v>1.8</v>
      </c>
      <c r="G621" s="398">
        <f t="shared" si="290"/>
        <v>2.4400000000000004</v>
      </c>
      <c r="H621" s="398">
        <f t="shared" si="290"/>
        <v>2.9520000000000004</v>
      </c>
      <c r="I621" s="398">
        <f t="shared" si="290"/>
        <v>3.3616000000000006</v>
      </c>
      <c r="J621" s="398">
        <f t="shared" si="290"/>
        <v>3.6892800000000006</v>
      </c>
      <c r="K621" s="398">
        <f t="shared" si="290"/>
        <v>3.9514240000000007</v>
      </c>
      <c r="L621" s="398">
        <f t="shared" si="290"/>
        <v>4.1611392000000009</v>
      </c>
      <c r="M621" s="398">
        <f t="shared" si="290"/>
        <v>4.3289113600000011</v>
      </c>
      <c r="N621" s="398">
        <f t="shared" si="290"/>
        <v>4.4631290880000005</v>
      </c>
      <c r="O621" s="398">
        <f t="shared" si="290"/>
        <v>4.5705032704000006</v>
      </c>
      <c r="P621" s="398">
        <f t="shared" si="290"/>
        <v>4.6564026163200012</v>
      </c>
      <c r="Q621" s="398">
        <f t="shared" si="290"/>
        <v>4.7251220930560009</v>
      </c>
      <c r="R621" s="398">
        <f t="shared" si="290"/>
        <v>4.7800976744448009</v>
      </c>
      <c r="S621" s="398">
        <f t="shared" si="290"/>
        <v>4.8240781395558407</v>
      </c>
      <c r="T621" s="398">
        <f t="shared" si="290"/>
        <v>4.8592625116446726</v>
      </c>
      <c r="U621" s="398">
        <f t="shared" si="290"/>
        <v>4.8874100093157384</v>
      </c>
      <c r="V621" s="398">
        <f t="shared" si="290"/>
        <v>4.9099280074525904</v>
      </c>
      <c r="W621" s="398">
        <f t="shared" si="290"/>
        <v>4.9279424059620727</v>
      </c>
      <c r="X621" s="398">
        <f t="shared" si="290"/>
        <v>4.9423539247696588</v>
      </c>
      <c r="Y621" s="398">
        <f t="shared" si="290"/>
        <v>4.9538831398157273</v>
      </c>
      <c r="Z621" s="398">
        <f t="shared" si="290"/>
        <v>4.9631065118525814</v>
      </c>
      <c r="AA621" s="398">
        <f t="shared" si="290"/>
        <v>4.9704852094820655</v>
      </c>
      <c r="AB621" s="398">
        <f t="shared" si="290"/>
        <v>4.9763881675856521</v>
      </c>
      <c r="AC621" s="398">
        <f t="shared" si="290"/>
        <v>4.981110534068522</v>
      </c>
      <c r="AD621" s="398">
        <f t="shared" si="290"/>
        <v>4.984888427254818</v>
      </c>
      <c r="AE621" s="398">
        <f t="shared" si="290"/>
        <v>4.9879107418038551</v>
      </c>
      <c r="AF621" s="398">
        <f t="shared" si="290"/>
        <v>4.9903285934430848</v>
      </c>
      <c r="AG621" s="398">
        <f t="shared" si="290"/>
        <v>4.9922628747544682</v>
      </c>
      <c r="AH621" s="398">
        <f t="shared" si="290"/>
        <v>4.9938102998035747</v>
      </c>
      <c r="AI621" s="398">
        <f t="shared" si="290"/>
        <v>4.9950482398428599</v>
      </c>
      <c r="AJ621" s="398">
        <f t="shared" si="290"/>
        <v>4.9960385918742887</v>
      </c>
      <c r="AK621" s="398">
        <f t="shared" si="290"/>
        <v>4.9968308734994311</v>
      </c>
      <c r="AL621" s="398">
        <f t="shared" si="290"/>
        <v>4.9974646987995452</v>
      </c>
      <c r="AM621" s="398">
        <f t="shared" si="290"/>
        <v>4.9979717590396362</v>
      </c>
      <c r="AN621" s="398">
        <f t="shared" si="290"/>
        <v>4.9983774072317093</v>
      </c>
      <c r="AP621" s="21"/>
    </row>
    <row r="622" spans="2:42" x14ac:dyDescent="0.25">
      <c r="C622" s="22" t="s">
        <v>456</v>
      </c>
      <c r="D622" s="34" t="s">
        <v>162</v>
      </c>
      <c r="E622" s="399">
        <v>0</v>
      </c>
      <c r="F622" s="399">
        <f t="shared" ref="F622:AN622" si="291">E622*(1-F$601)+1</f>
        <v>1</v>
      </c>
      <c r="G622" s="399">
        <f t="shared" si="291"/>
        <v>1.8</v>
      </c>
      <c r="H622" s="399">
        <f t="shared" si="291"/>
        <v>2.4400000000000004</v>
      </c>
      <c r="I622" s="399">
        <f t="shared" si="291"/>
        <v>2.9520000000000004</v>
      </c>
      <c r="J622" s="399">
        <f t="shared" si="291"/>
        <v>3.3616000000000006</v>
      </c>
      <c r="K622" s="399">
        <f t="shared" si="291"/>
        <v>3.6892800000000006</v>
      </c>
      <c r="L622" s="399">
        <f t="shared" si="291"/>
        <v>3.9514240000000007</v>
      </c>
      <c r="M622" s="399">
        <f t="shared" si="291"/>
        <v>4.1611392000000009</v>
      </c>
      <c r="N622" s="399">
        <f t="shared" si="291"/>
        <v>4.3289113600000011</v>
      </c>
      <c r="O622" s="399">
        <f t="shared" si="291"/>
        <v>4.4631290880000005</v>
      </c>
      <c r="P622" s="399">
        <f t="shared" si="291"/>
        <v>4.5705032704000006</v>
      </c>
      <c r="Q622" s="399">
        <f t="shared" si="291"/>
        <v>4.6564026163200012</v>
      </c>
      <c r="R622" s="399">
        <f t="shared" si="291"/>
        <v>4.7251220930560009</v>
      </c>
      <c r="S622" s="399">
        <f t="shared" si="291"/>
        <v>4.7800976744448009</v>
      </c>
      <c r="T622" s="399">
        <f t="shared" si="291"/>
        <v>4.8240781395558407</v>
      </c>
      <c r="U622" s="399">
        <f t="shared" si="291"/>
        <v>4.8592625116446726</v>
      </c>
      <c r="V622" s="399">
        <f t="shared" si="291"/>
        <v>4.8874100093157384</v>
      </c>
      <c r="W622" s="399">
        <f t="shared" si="291"/>
        <v>4.9099280074525904</v>
      </c>
      <c r="X622" s="399">
        <f t="shared" si="291"/>
        <v>4.9279424059620727</v>
      </c>
      <c r="Y622" s="399">
        <f t="shared" si="291"/>
        <v>4.9423539247696588</v>
      </c>
      <c r="Z622" s="399">
        <f t="shared" si="291"/>
        <v>4.9538831398157273</v>
      </c>
      <c r="AA622" s="399">
        <f t="shared" si="291"/>
        <v>4.9631065118525814</v>
      </c>
      <c r="AB622" s="399">
        <f t="shared" si="291"/>
        <v>4.9704852094820655</v>
      </c>
      <c r="AC622" s="399">
        <f t="shared" si="291"/>
        <v>4.9763881675856521</v>
      </c>
      <c r="AD622" s="399">
        <f t="shared" si="291"/>
        <v>4.981110534068522</v>
      </c>
      <c r="AE622" s="399">
        <f t="shared" si="291"/>
        <v>4.984888427254818</v>
      </c>
      <c r="AF622" s="399">
        <f t="shared" si="291"/>
        <v>4.9879107418038551</v>
      </c>
      <c r="AG622" s="399">
        <f t="shared" si="291"/>
        <v>4.9903285934430848</v>
      </c>
      <c r="AH622" s="399">
        <f t="shared" si="291"/>
        <v>4.9922628747544682</v>
      </c>
      <c r="AI622" s="399">
        <f t="shared" si="291"/>
        <v>4.9938102998035747</v>
      </c>
      <c r="AJ622" s="399">
        <f t="shared" si="291"/>
        <v>4.9950482398428599</v>
      </c>
      <c r="AK622" s="399">
        <f t="shared" si="291"/>
        <v>4.9960385918742887</v>
      </c>
      <c r="AL622" s="399">
        <f t="shared" si="291"/>
        <v>4.9968308734994311</v>
      </c>
      <c r="AM622" s="399">
        <f t="shared" si="291"/>
        <v>4.9974646987995452</v>
      </c>
      <c r="AN622" s="399">
        <f t="shared" si="291"/>
        <v>4.9979717590396362</v>
      </c>
      <c r="AP622" s="26"/>
    </row>
    <row r="623" spans="2:42" x14ac:dyDescent="0.25">
      <c r="B623" s="99" t="s">
        <v>9</v>
      </c>
      <c r="C623" s="311" t="s">
        <v>629</v>
      </c>
      <c r="D623" s="318"/>
      <c r="E623" s="402"/>
      <c r="F623" s="402"/>
      <c r="G623" s="402"/>
      <c r="H623" s="402"/>
      <c r="I623" s="402"/>
      <c r="J623" s="402"/>
      <c r="K623" s="402"/>
      <c r="L623" s="402"/>
      <c r="M623" s="402"/>
      <c r="N623" s="402"/>
      <c r="O623" s="402"/>
      <c r="P623" s="402"/>
      <c r="Q623" s="402"/>
      <c r="R623" s="402"/>
      <c r="S623" s="402"/>
      <c r="T623" s="402"/>
      <c r="U623" s="402"/>
      <c r="V623" s="402"/>
      <c r="W623" s="402"/>
      <c r="X623" s="402"/>
      <c r="Y623" s="402"/>
      <c r="Z623" s="402"/>
      <c r="AA623" s="402"/>
      <c r="AB623" s="402"/>
      <c r="AC623" s="402"/>
      <c r="AD623" s="402"/>
      <c r="AE623" s="402"/>
      <c r="AF623" s="402"/>
      <c r="AG623" s="402"/>
      <c r="AH623" s="402"/>
      <c r="AI623" s="402"/>
      <c r="AJ623" s="402"/>
      <c r="AK623" s="402"/>
      <c r="AL623" s="402"/>
      <c r="AM623" s="402"/>
      <c r="AN623" s="402"/>
      <c r="AO623" s="74"/>
      <c r="AP623" s="311"/>
    </row>
    <row r="624" spans="2:42" x14ac:dyDescent="0.25">
      <c r="C624" s="20" t="s">
        <v>600</v>
      </c>
      <c r="D624" s="34" t="s">
        <v>162</v>
      </c>
      <c r="E624" s="397">
        <v>5</v>
      </c>
      <c r="F624" s="397">
        <f>E624*(1-F$601)+1</f>
        <v>5</v>
      </c>
      <c r="G624" s="397">
        <f t="shared" ref="G624:AN624" si="292">F624*(1-G$601)+1</f>
        <v>5</v>
      </c>
      <c r="H624" s="397">
        <f t="shared" si="292"/>
        <v>5</v>
      </c>
      <c r="I624" s="397">
        <f t="shared" si="292"/>
        <v>5</v>
      </c>
      <c r="J624" s="397">
        <f t="shared" si="292"/>
        <v>5</v>
      </c>
      <c r="K624" s="397">
        <f t="shared" si="292"/>
        <v>5</v>
      </c>
      <c r="L624" s="397">
        <f t="shared" si="292"/>
        <v>5</v>
      </c>
      <c r="M624" s="397">
        <f t="shared" si="292"/>
        <v>5</v>
      </c>
      <c r="N624" s="397">
        <f t="shared" si="292"/>
        <v>5</v>
      </c>
      <c r="O624" s="397">
        <f t="shared" si="292"/>
        <v>5</v>
      </c>
      <c r="P624" s="397">
        <f t="shared" si="292"/>
        <v>5</v>
      </c>
      <c r="Q624" s="397">
        <f t="shared" si="292"/>
        <v>5</v>
      </c>
      <c r="R624" s="397">
        <f t="shared" si="292"/>
        <v>5</v>
      </c>
      <c r="S624" s="397">
        <f t="shared" si="292"/>
        <v>5</v>
      </c>
      <c r="T624" s="397">
        <f t="shared" si="292"/>
        <v>5</v>
      </c>
      <c r="U624" s="397">
        <f t="shared" si="292"/>
        <v>5</v>
      </c>
      <c r="V624" s="397">
        <f t="shared" si="292"/>
        <v>5</v>
      </c>
      <c r="W624" s="397">
        <f t="shared" si="292"/>
        <v>5</v>
      </c>
      <c r="X624" s="397">
        <f t="shared" si="292"/>
        <v>5</v>
      </c>
      <c r="Y624" s="397">
        <f t="shared" si="292"/>
        <v>5</v>
      </c>
      <c r="Z624" s="397">
        <f t="shared" si="292"/>
        <v>5</v>
      </c>
      <c r="AA624" s="397">
        <f t="shared" si="292"/>
        <v>5</v>
      </c>
      <c r="AB624" s="397">
        <f t="shared" si="292"/>
        <v>5</v>
      </c>
      <c r="AC624" s="397">
        <f t="shared" si="292"/>
        <v>5</v>
      </c>
      <c r="AD624" s="397">
        <f t="shared" si="292"/>
        <v>5</v>
      </c>
      <c r="AE624" s="397">
        <f t="shared" si="292"/>
        <v>5</v>
      </c>
      <c r="AF624" s="397">
        <f t="shared" si="292"/>
        <v>5</v>
      </c>
      <c r="AG624" s="397">
        <f t="shared" si="292"/>
        <v>5</v>
      </c>
      <c r="AH624" s="397">
        <f t="shared" si="292"/>
        <v>5</v>
      </c>
      <c r="AI624" s="397">
        <f t="shared" si="292"/>
        <v>5</v>
      </c>
      <c r="AJ624" s="397">
        <f t="shared" si="292"/>
        <v>5</v>
      </c>
      <c r="AK624" s="397">
        <f t="shared" si="292"/>
        <v>5</v>
      </c>
      <c r="AL624" s="397">
        <f t="shared" si="292"/>
        <v>5</v>
      </c>
      <c r="AM624" s="397">
        <f t="shared" si="292"/>
        <v>5</v>
      </c>
      <c r="AN624" s="397">
        <f t="shared" si="292"/>
        <v>5</v>
      </c>
      <c r="AP624" s="20"/>
    </row>
    <row r="625" spans="2:42" x14ac:dyDescent="0.25">
      <c r="C625" s="20" t="s">
        <v>392</v>
      </c>
      <c r="D625" s="34" t="s">
        <v>162</v>
      </c>
      <c r="E625" s="398">
        <v>4</v>
      </c>
      <c r="F625" s="398">
        <f t="shared" ref="F625:AN625" si="293">E625*(1-F$601)+1</f>
        <v>4.2</v>
      </c>
      <c r="G625" s="398">
        <f t="shared" si="293"/>
        <v>4.3600000000000003</v>
      </c>
      <c r="H625" s="398">
        <f t="shared" si="293"/>
        <v>4.4880000000000004</v>
      </c>
      <c r="I625" s="398">
        <f t="shared" si="293"/>
        <v>4.5904000000000007</v>
      </c>
      <c r="J625" s="398">
        <f t="shared" si="293"/>
        <v>4.6723200000000009</v>
      </c>
      <c r="K625" s="398">
        <f t="shared" si="293"/>
        <v>4.7378560000000007</v>
      </c>
      <c r="L625" s="398">
        <f t="shared" si="293"/>
        <v>4.7902848000000002</v>
      </c>
      <c r="M625" s="398">
        <f t="shared" si="293"/>
        <v>4.8322278399999998</v>
      </c>
      <c r="N625" s="398">
        <f t="shared" si="293"/>
        <v>4.8657822720000006</v>
      </c>
      <c r="O625" s="398">
        <f t="shared" si="293"/>
        <v>4.8926258176000008</v>
      </c>
      <c r="P625" s="398">
        <f t="shared" si="293"/>
        <v>4.9141006540800003</v>
      </c>
      <c r="Q625" s="398">
        <f t="shared" si="293"/>
        <v>4.9312805232640002</v>
      </c>
      <c r="R625" s="398">
        <f t="shared" si="293"/>
        <v>4.9450244186112009</v>
      </c>
      <c r="S625" s="398">
        <f t="shared" si="293"/>
        <v>4.9560195348889611</v>
      </c>
      <c r="T625" s="398">
        <f t="shared" si="293"/>
        <v>4.964815627911169</v>
      </c>
      <c r="U625" s="398">
        <f t="shared" si="293"/>
        <v>4.9718525023289359</v>
      </c>
      <c r="V625" s="398">
        <f t="shared" si="293"/>
        <v>4.9774820018631489</v>
      </c>
      <c r="W625" s="398">
        <f t="shared" si="293"/>
        <v>4.9819856014905195</v>
      </c>
      <c r="X625" s="398">
        <f t="shared" si="293"/>
        <v>4.9855884811924156</v>
      </c>
      <c r="Y625" s="398">
        <f t="shared" si="293"/>
        <v>4.9884707849539325</v>
      </c>
      <c r="Z625" s="398">
        <f t="shared" si="293"/>
        <v>4.9907766279631467</v>
      </c>
      <c r="AA625" s="398">
        <f t="shared" si="293"/>
        <v>4.9926213023705177</v>
      </c>
      <c r="AB625" s="398">
        <f t="shared" si="293"/>
        <v>4.9940970418964143</v>
      </c>
      <c r="AC625" s="398">
        <f t="shared" si="293"/>
        <v>4.9952776335171318</v>
      </c>
      <c r="AD625" s="398">
        <f t="shared" si="293"/>
        <v>4.9962221068137058</v>
      </c>
      <c r="AE625" s="398">
        <f t="shared" si="293"/>
        <v>4.9969776854509647</v>
      </c>
      <c r="AF625" s="398">
        <f t="shared" si="293"/>
        <v>4.9975821483607721</v>
      </c>
      <c r="AG625" s="398">
        <f t="shared" si="293"/>
        <v>4.9980657186886184</v>
      </c>
      <c r="AH625" s="398">
        <f t="shared" si="293"/>
        <v>4.9984525749508943</v>
      </c>
      <c r="AI625" s="398">
        <f t="shared" si="293"/>
        <v>4.9987620599607157</v>
      </c>
      <c r="AJ625" s="398">
        <f t="shared" si="293"/>
        <v>4.9990096479685722</v>
      </c>
      <c r="AK625" s="398">
        <f t="shared" si="293"/>
        <v>4.9992077183748584</v>
      </c>
      <c r="AL625" s="398">
        <f t="shared" si="293"/>
        <v>4.9993661746998868</v>
      </c>
      <c r="AM625" s="398">
        <f t="shared" si="293"/>
        <v>4.999492939759909</v>
      </c>
      <c r="AN625" s="398">
        <f t="shared" si="293"/>
        <v>4.9995943518079269</v>
      </c>
      <c r="AP625" s="21"/>
    </row>
    <row r="626" spans="2:42" x14ac:dyDescent="0.25">
      <c r="C626" s="20" t="s">
        <v>454</v>
      </c>
      <c r="D626" s="34" t="s">
        <v>162</v>
      </c>
      <c r="E626" s="398">
        <v>3</v>
      </c>
      <c r="F626" s="398">
        <f t="shared" ref="F626:AN626" si="294">E626*(1-F$601)+1</f>
        <v>3.4000000000000004</v>
      </c>
      <c r="G626" s="398">
        <f t="shared" si="294"/>
        <v>3.7200000000000006</v>
      </c>
      <c r="H626" s="398">
        <f t="shared" si="294"/>
        <v>3.9760000000000009</v>
      </c>
      <c r="I626" s="398">
        <f t="shared" si="294"/>
        <v>4.1808000000000014</v>
      </c>
      <c r="J626" s="398">
        <f t="shared" si="294"/>
        <v>4.3446400000000018</v>
      </c>
      <c r="K626" s="398">
        <f t="shared" si="294"/>
        <v>4.4757120000000015</v>
      </c>
      <c r="L626" s="398">
        <f t="shared" si="294"/>
        <v>4.5805696000000014</v>
      </c>
      <c r="M626" s="398">
        <f t="shared" si="294"/>
        <v>4.6644556800000014</v>
      </c>
      <c r="N626" s="398">
        <f t="shared" si="294"/>
        <v>4.7315645440000011</v>
      </c>
      <c r="O626" s="398">
        <f t="shared" si="294"/>
        <v>4.7852516352000016</v>
      </c>
      <c r="P626" s="398">
        <f t="shared" si="294"/>
        <v>4.8282013081600015</v>
      </c>
      <c r="Q626" s="398">
        <f t="shared" si="294"/>
        <v>4.8625610465280014</v>
      </c>
      <c r="R626" s="398">
        <f t="shared" si="294"/>
        <v>4.8900488372224018</v>
      </c>
      <c r="S626" s="398">
        <f t="shared" si="294"/>
        <v>4.9120390697779222</v>
      </c>
      <c r="T626" s="398">
        <f t="shared" si="294"/>
        <v>4.9296312558223381</v>
      </c>
      <c r="U626" s="398">
        <f t="shared" si="294"/>
        <v>4.9437050046578701</v>
      </c>
      <c r="V626" s="398">
        <f t="shared" si="294"/>
        <v>4.9549640037262961</v>
      </c>
      <c r="W626" s="398">
        <f t="shared" si="294"/>
        <v>4.9639712029810372</v>
      </c>
      <c r="X626" s="398">
        <f t="shared" si="294"/>
        <v>4.9711769623848294</v>
      </c>
      <c r="Y626" s="398">
        <f t="shared" si="294"/>
        <v>4.9769415699078632</v>
      </c>
      <c r="Z626" s="398">
        <f t="shared" si="294"/>
        <v>4.9815532559262907</v>
      </c>
      <c r="AA626" s="398">
        <f t="shared" si="294"/>
        <v>4.9852426047410328</v>
      </c>
      <c r="AB626" s="398">
        <f t="shared" si="294"/>
        <v>4.9881940837928269</v>
      </c>
      <c r="AC626" s="398">
        <f t="shared" si="294"/>
        <v>4.9905552670342619</v>
      </c>
      <c r="AD626" s="398">
        <f t="shared" si="294"/>
        <v>4.9924442136274099</v>
      </c>
      <c r="AE626" s="398">
        <f t="shared" si="294"/>
        <v>4.9939553709019275</v>
      </c>
      <c r="AF626" s="398">
        <f t="shared" si="294"/>
        <v>4.9951642967215424</v>
      </c>
      <c r="AG626" s="398">
        <f t="shared" si="294"/>
        <v>4.9961314373772341</v>
      </c>
      <c r="AH626" s="398">
        <f t="shared" si="294"/>
        <v>4.9969051499017869</v>
      </c>
      <c r="AI626" s="398">
        <f t="shared" si="294"/>
        <v>4.9975241199214295</v>
      </c>
      <c r="AJ626" s="398">
        <f t="shared" si="294"/>
        <v>4.9980192959371443</v>
      </c>
      <c r="AK626" s="398">
        <f t="shared" si="294"/>
        <v>4.9984154367497151</v>
      </c>
      <c r="AL626" s="398">
        <f t="shared" si="294"/>
        <v>4.9987323493997717</v>
      </c>
      <c r="AM626" s="398">
        <f t="shared" si="294"/>
        <v>4.9989858795198181</v>
      </c>
      <c r="AN626" s="398">
        <f t="shared" si="294"/>
        <v>4.9991887036158547</v>
      </c>
      <c r="AP626" s="21"/>
    </row>
    <row r="627" spans="2:42" x14ac:dyDescent="0.25">
      <c r="C627" s="21" t="s">
        <v>455</v>
      </c>
      <c r="D627" s="34" t="s">
        <v>162</v>
      </c>
      <c r="E627" s="398">
        <v>2</v>
      </c>
      <c r="F627" s="398">
        <f t="shared" ref="F627:AN627" si="295">E627*(1-F$601)+1</f>
        <v>2.6</v>
      </c>
      <c r="G627" s="398">
        <f t="shared" si="295"/>
        <v>3.08</v>
      </c>
      <c r="H627" s="398">
        <f t="shared" si="295"/>
        <v>3.4640000000000004</v>
      </c>
      <c r="I627" s="398">
        <f t="shared" si="295"/>
        <v>3.7712000000000003</v>
      </c>
      <c r="J627" s="398">
        <f t="shared" si="295"/>
        <v>4.016960000000001</v>
      </c>
      <c r="K627" s="398">
        <f t="shared" si="295"/>
        <v>4.2135680000000004</v>
      </c>
      <c r="L627" s="398">
        <f t="shared" si="295"/>
        <v>4.3708544000000007</v>
      </c>
      <c r="M627" s="398">
        <f t="shared" si="295"/>
        <v>4.4966835200000013</v>
      </c>
      <c r="N627" s="398">
        <f t="shared" si="295"/>
        <v>4.5973468160000017</v>
      </c>
      <c r="O627" s="398">
        <f t="shared" si="295"/>
        <v>4.6778774528000016</v>
      </c>
      <c r="P627" s="398">
        <f t="shared" si="295"/>
        <v>4.7423019622400009</v>
      </c>
      <c r="Q627" s="398">
        <f t="shared" si="295"/>
        <v>4.7938415697920007</v>
      </c>
      <c r="R627" s="398">
        <f t="shared" si="295"/>
        <v>4.8350732558336009</v>
      </c>
      <c r="S627" s="398">
        <f t="shared" si="295"/>
        <v>4.8680586046668815</v>
      </c>
      <c r="T627" s="398">
        <f t="shared" si="295"/>
        <v>4.8944468837335053</v>
      </c>
      <c r="U627" s="398">
        <f t="shared" si="295"/>
        <v>4.9155575069868043</v>
      </c>
      <c r="V627" s="398">
        <f t="shared" si="295"/>
        <v>4.9324460055894441</v>
      </c>
      <c r="W627" s="398">
        <f t="shared" si="295"/>
        <v>4.9459568044715549</v>
      </c>
      <c r="X627" s="398">
        <f t="shared" si="295"/>
        <v>4.9567654435772441</v>
      </c>
      <c r="Y627" s="398">
        <f t="shared" si="295"/>
        <v>4.9654123548617957</v>
      </c>
      <c r="Z627" s="398">
        <f t="shared" si="295"/>
        <v>4.9723298838894365</v>
      </c>
      <c r="AA627" s="398">
        <f t="shared" si="295"/>
        <v>4.9778639071115496</v>
      </c>
      <c r="AB627" s="398">
        <f t="shared" si="295"/>
        <v>4.9822911256892404</v>
      </c>
      <c r="AC627" s="398">
        <f t="shared" si="295"/>
        <v>4.9858329005513919</v>
      </c>
      <c r="AD627" s="398">
        <f t="shared" si="295"/>
        <v>4.9886663204411139</v>
      </c>
      <c r="AE627" s="398">
        <f t="shared" si="295"/>
        <v>4.9909330563528913</v>
      </c>
      <c r="AF627" s="398">
        <f t="shared" si="295"/>
        <v>4.9927464450823127</v>
      </c>
      <c r="AG627" s="398">
        <f t="shared" si="295"/>
        <v>4.9941971560658498</v>
      </c>
      <c r="AH627" s="398">
        <f t="shared" si="295"/>
        <v>4.9953577248526795</v>
      </c>
      <c r="AI627" s="398">
        <f t="shared" si="295"/>
        <v>4.9962861798821443</v>
      </c>
      <c r="AJ627" s="398">
        <f t="shared" si="295"/>
        <v>4.9970289439057156</v>
      </c>
      <c r="AK627" s="398">
        <f t="shared" si="295"/>
        <v>4.9976231551245727</v>
      </c>
      <c r="AL627" s="398">
        <f t="shared" si="295"/>
        <v>4.9980985240996585</v>
      </c>
      <c r="AM627" s="398">
        <f t="shared" si="295"/>
        <v>4.9984788192797271</v>
      </c>
      <c r="AN627" s="398">
        <f t="shared" si="295"/>
        <v>4.9987830554237824</v>
      </c>
      <c r="AP627" s="21"/>
    </row>
    <row r="628" spans="2:42" x14ac:dyDescent="0.25">
      <c r="C628" s="21" t="s">
        <v>393</v>
      </c>
      <c r="D628" s="34" t="s">
        <v>162</v>
      </c>
      <c r="E628" s="398">
        <v>1</v>
      </c>
      <c r="F628" s="398">
        <f t="shared" ref="F628:AN628" si="296">E628*(1-F$601)+1</f>
        <v>1.8</v>
      </c>
      <c r="G628" s="398">
        <f t="shared" si="296"/>
        <v>2.4400000000000004</v>
      </c>
      <c r="H628" s="398">
        <f t="shared" si="296"/>
        <v>2.9520000000000004</v>
      </c>
      <c r="I628" s="398">
        <f t="shared" si="296"/>
        <v>3.3616000000000006</v>
      </c>
      <c r="J628" s="398">
        <f t="shared" si="296"/>
        <v>3.6892800000000006</v>
      </c>
      <c r="K628" s="398">
        <f t="shared" si="296"/>
        <v>3.9514240000000007</v>
      </c>
      <c r="L628" s="398">
        <f t="shared" si="296"/>
        <v>4.1611392000000009</v>
      </c>
      <c r="M628" s="398">
        <f t="shared" si="296"/>
        <v>4.3289113600000011</v>
      </c>
      <c r="N628" s="398">
        <f t="shared" si="296"/>
        <v>4.4631290880000005</v>
      </c>
      <c r="O628" s="398">
        <f t="shared" si="296"/>
        <v>4.5705032704000006</v>
      </c>
      <c r="P628" s="398">
        <f t="shared" si="296"/>
        <v>4.6564026163200012</v>
      </c>
      <c r="Q628" s="398">
        <f t="shared" si="296"/>
        <v>4.7251220930560009</v>
      </c>
      <c r="R628" s="398">
        <f t="shared" si="296"/>
        <v>4.7800976744448009</v>
      </c>
      <c r="S628" s="398">
        <f t="shared" si="296"/>
        <v>4.8240781395558407</v>
      </c>
      <c r="T628" s="398">
        <f t="shared" si="296"/>
        <v>4.8592625116446726</v>
      </c>
      <c r="U628" s="398">
        <f t="shared" si="296"/>
        <v>4.8874100093157384</v>
      </c>
      <c r="V628" s="398">
        <f t="shared" si="296"/>
        <v>4.9099280074525904</v>
      </c>
      <c r="W628" s="398">
        <f t="shared" si="296"/>
        <v>4.9279424059620727</v>
      </c>
      <c r="X628" s="398">
        <f t="shared" si="296"/>
        <v>4.9423539247696588</v>
      </c>
      <c r="Y628" s="398">
        <f t="shared" si="296"/>
        <v>4.9538831398157273</v>
      </c>
      <c r="Z628" s="398">
        <f t="shared" si="296"/>
        <v>4.9631065118525814</v>
      </c>
      <c r="AA628" s="398">
        <f t="shared" si="296"/>
        <v>4.9704852094820655</v>
      </c>
      <c r="AB628" s="398">
        <f t="shared" si="296"/>
        <v>4.9763881675856521</v>
      </c>
      <c r="AC628" s="398">
        <f t="shared" si="296"/>
        <v>4.981110534068522</v>
      </c>
      <c r="AD628" s="398">
        <f t="shared" si="296"/>
        <v>4.984888427254818</v>
      </c>
      <c r="AE628" s="398">
        <f t="shared" si="296"/>
        <v>4.9879107418038551</v>
      </c>
      <c r="AF628" s="398">
        <f t="shared" si="296"/>
        <v>4.9903285934430848</v>
      </c>
      <c r="AG628" s="398">
        <f t="shared" si="296"/>
        <v>4.9922628747544682</v>
      </c>
      <c r="AH628" s="398">
        <f t="shared" si="296"/>
        <v>4.9938102998035747</v>
      </c>
      <c r="AI628" s="398">
        <f t="shared" si="296"/>
        <v>4.9950482398428599</v>
      </c>
      <c r="AJ628" s="398">
        <f t="shared" si="296"/>
        <v>4.9960385918742887</v>
      </c>
      <c r="AK628" s="398">
        <f t="shared" si="296"/>
        <v>4.9968308734994311</v>
      </c>
      <c r="AL628" s="398">
        <f t="shared" si="296"/>
        <v>4.9974646987995452</v>
      </c>
      <c r="AM628" s="398">
        <f t="shared" si="296"/>
        <v>4.9979717590396362</v>
      </c>
      <c r="AN628" s="398">
        <f t="shared" si="296"/>
        <v>4.9983774072317093</v>
      </c>
      <c r="AP628" s="21"/>
    </row>
    <row r="629" spans="2:42" x14ac:dyDescent="0.25">
      <c r="C629" s="22" t="s">
        <v>456</v>
      </c>
      <c r="D629" s="34" t="s">
        <v>162</v>
      </c>
      <c r="E629" s="399">
        <v>0</v>
      </c>
      <c r="F629" s="399">
        <f t="shared" ref="F629:AN629" si="297">E629*(1-F$601)+1</f>
        <v>1</v>
      </c>
      <c r="G629" s="399">
        <f t="shared" si="297"/>
        <v>1.8</v>
      </c>
      <c r="H629" s="399">
        <f t="shared" si="297"/>
        <v>2.4400000000000004</v>
      </c>
      <c r="I629" s="399">
        <f t="shared" si="297"/>
        <v>2.9520000000000004</v>
      </c>
      <c r="J629" s="399">
        <f t="shared" si="297"/>
        <v>3.3616000000000006</v>
      </c>
      <c r="K629" s="399">
        <f t="shared" si="297"/>
        <v>3.6892800000000006</v>
      </c>
      <c r="L629" s="399">
        <f t="shared" si="297"/>
        <v>3.9514240000000007</v>
      </c>
      <c r="M629" s="399">
        <f t="shared" si="297"/>
        <v>4.1611392000000009</v>
      </c>
      <c r="N629" s="399">
        <f t="shared" si="297"/>
        <v>4.3289113600000011</v>
      </c>
      <c r="O629" s="399">
        <f t="shared" si="297"/>
        <v>4.4631290880000005</v>
      </c>
      <c r="P629" s="399">
        <f t="shared" si="297"/>
        <v>4.5705032704000006</v>
      </c>
      <c r="Q629" s="399">
        <f t="shared" si="297"/>
        <v>4.6564026163200012</v>
      </c>
      <c r="R629" s="399">
        <f t="shared" si="297"/>
        <v>4.7251220930560009</v>
      </c>
      <c r="S629" s="399">
        <f t="shared" si="297"/>
        <v>4.7800976744448009</v>
      </c>
      <c r="T629" s="399">
        <f t="shared" si="297"/>
        <v>4.8240781395558407</v>
      </c>
      <c r="U629" s="399">
        <f t="shared" si="297"/>
        <v>4.8592625116446726</v>
      </c>
      <c r="V629" s="399">
        <f t="shared" si="297"/>
        <v>4.8874100093157384</v>
      </c>
      <c r="W629" s="399">
        <f t="shared" si="297"/>
        <v>4.9099280074525904</v>
      </c>
      <c r="X629" s="399">
        <f t="shared" si="297"/>
        <v>4.9279424059620727</v>
      </c>
      <c r="Y629" s="399">
        <f t="shared" si="297"/>
        <v>4.9423539247696588</v>
      </c>
      <c r="Z629" s="399">
        <f t="shared" si="297"/>
        <v>4.9538831398157273</v>
      </c>
      <c r="AA629" s="399">
        <f t="shared" si="297"/>
        <v>4.9631065118525814</v>
      </c>
      <c r="AB629" s="399">
        <f t="shared" si="297"/>
        <v>4.9704852094820655</v>
      </c>
      <c r="AC629" s="399">
        <f t="shared" si="297"/>
        <v>4.9763881675856521</v>
      </c>
      <c r="AD629" s="399">
        <f t="shared" si="297"/>
        <v>4.981110534068522</v>
      </c>
      <c r="AE629" s="399">
        <f t="shared" si="297"/>
        <v>4.984888427254818</v>
      </c>
      <c r="AF629" s="399">
        <f t="shared" si="297"/>
        <v>4.9879107418038551</v>
      </c>
      <c r="AG629" s="399">
        <f t="shared" si="297"/>
        <v>4.9903285934430848</v>
      </c>
      <c r="AH629" s="399">
        <f t="shared" si="297"/>
        <v>4.9922628747544682</v>
      </c>
      <c r="AI629" s="399">
        <f t="shared" si="297"/>
        <v>4.9938102998035747</v>
      </c>
      <c r="AJ629" s="399">
        <f t="shared" si="297"/>
        <v>4.9950482398428599</v>
      </c>
      <c r="AK629" s="399">
        <f t="shared" si="297"/>
        <v>4.9960385918742887</v>
      </c>
      <c r="AL629" s="399">
        <f t="shared" si="297"/>
        <v>4.9968308734994311</v>
      </c>
      <c r="AM629" s="399">
        <f t="shared" si="297"/>
        <v>4.9974646987995452</v>
      </c>
      <c r="AN629" s="399">
        <f t="shared" si="297"/>
        <v>4.9979717590396362</v>
      </c>
      <c r="AP629" s="26"/>
    </row>
    <row r="630" spans="2:42" x14ac:dyDescent="0.25">
      <c r="B630" s="99" t="s">
        <v>9</v>
      </c>
      <c r="C630" s="312" t="str">
        <f>'4.2 Sector Mapping'!$B$15</f>
        <v>Entertainment and Recreation</v>
      </c>
      <c r="D630" s="317"/>
      <c r="E630" s="312"/>
      <c r="F630" s="312"/>
      <c r="G630" s="312"/>
      <c r="H630" s="312"/>
      <c r="I630" s="312"/>
      <c r="J630" s="312"/>
      <c r="K630" s="312"/>
      <c r="L630" s="312"/>
      <c r="M630" s="312"/>
      <c r="N630" s="312"/>
      <c r="O630" s="312"/>
      <c r="P630" s="312"/>
      <c r="Q630" s="312"/>
      <c r="R630" s="312"/>
      <c r="S630" s="312"/>
      <c r="T630" s="312"/>
      <c r="U630" s="312"/>
      <c r="V630" s="312"/>
      <c r="W630" s="312"/>
      <c r="X630" s="312"/>
      <c r="Y630" s="312"/>
      <c r="Z630" s="312"/>
      <c r="AA630" s="312"/>
      <c r="AB630" s="312"/>
      <c r="AC630" s="312"/>
      <c r="AD630" s="312"/>
      <c r="AE630" s="312"/>
      <c r="AF630" s="312"/>
      <c r="AG630" s="312"/>
      <c r="AH630" s="312"/>
      <c r="AI630" s="312"/>
      <c r="AJ630" s="312"/>
      <c r="AK630" s="312"/>
      <c r="AL630" s="312"/>
      <c r="AM630" s="312"/>
      <c r="AN630" s="312"/>
      <c r="AO630" s="74"/>
      <c r="AP630" s="312"/>
    </row>
    <row r="631" spans="2:42" s="86" customFormat="1" x14ac:dyDescent="0.25">
      <c r="B631" s="3"/>
      <c r="C631" s="243" t="s">
        <v>625</v>
      </c>
      <c r="D631" s="583" t="s">
        <v>162</v>
      </c>
      <c r="E631" s="309">
        <v>0</v>
      </c>
      <c r="F631" s="309">
        <v>0</v>
      </c>
      <c r="G631" s="309">
        <v>0</v>
      </c>
      <c r="H631" s="309">
        <v>0</v>
      </c>
      <c r="I631" s="309">
        <f>J631</f>
        <v>1</v>
      </c>
      <c r="J631" s="309">
        <f>K631</f>
        <v>1</v>
      </c>
      <c r="K631" s="309">
        <f>L631</f>
        <v>1</v>
      </c>
      <c r="L631" s="309">
        <f>ROUND(M631/2,0)</f>
        <v>1</v>
      </c>
      <c r="M631" s="309">
        <f>N631</f>
        <v>1</v>
      </c>
      <c r="N631" s="309">
        <f>P631</f>
        <v>1</v>
      </c>
      <c r="O631" s="309">
        <f>P631</f>
        <v>1</v>
      </c>
      <c r="P631" s="309">
        <f>'Back-end Overview of Use Cases'!C13</f>
        <v>1</v>
      </c>
      <c r="Q631" s="309">
        <f>ROUND(IF($AB631-$P631=1,$P631,$P631+($AB631-$P631)/3),0)</f>
        <v>2</v>
      </c>
      <c r="R631" s="309">
        <f>ROUND(IF($AB631-$P631=1,$P631,$P631+($AB631-$P631)/3),0)</f>
        <v>2</v>
      </c>
      <c r="S631" s="309">
        <f>ROUND(IF($AB631-$P631=1,$P631,$P631+($AB631-$P631)/3),0)</f>
        <v>2</v>
      </c>
      <c r="T631" s="309">
        <f>ROUND(IF($AB631-$P631=1,$P631,$P631+($AB631-$P631)/3),0)</f>
        <v>2</v>
      </c>
      <c r="U631" s="309">
        <f>ROUND(AVERAGE(T631,Y631),0)</f>
        <v>3</v>
      </c>
      <c r="V631" s="309">
        <f>U631</f>
        <v>3</v>
      </c>
      <c r="W631" s="309">
        <f>V631</f>
        <v>3</v>
      </c>
      <c r="X631" s="309">
        <f>W631</f>
        <v>3</v>
      </c>
      <c r="Y631" s="309">
        <f>Z631</f>
        <v>3</v>
      </c>
      <c r="Z631" s="309">
        <f>AA631</f>
        <v>3</v>
      </c>
      <c r="AA631" s="309">
        <f>AB631</f>
        <v>3</v>
      </c>
      <c r="AB631" s="309">
        <f>'Back-end Overview of Use Cases'!D13</f>
        <v>3</v>
      </c>
      <c r="AC631" s="309">
        <f>ROUND(IF($AN631-$AB631=1,$AB631,$AB631+($AN631-$AB631)/3),0)</f>
        <v>5</v>
      </c>
      <c r="AD631" s="309">
        <f>ROUND(IF($AN631-$AB631=1,$AB631,$AB631+($AN631-$AB631)/3),0)</f>
        <v>5</v>
      </c>
      <c r="AE631" s="309">
        <f>ROUND(IF($AN631-$AB631=1,$AB631,$AB631+($AN631-$AB631)/3),0)</f>
        <v>5</v>
      </c>
      <c r="AF631" s="309">
        <f>ROUND(IF($AN631-$AB631=1,$AB631,$AB631+($AN631-$AB631)/3),0)</f>
        <v>5</v>
      </c>
      <c r="AG631" s="309">
        <f>ROUND(AVERAGE(AF631,AK631),0)</f>
        <v>8</v>
      </c>
      <c r="AH631" s="309">
        <f>AG631</f>
        <v>8</v>
      </c>
      <c r="AI631" s="309">
        <f>AH631</f>
        <v>8</v>
      </c>
      <c r="AJ631" s="309">
        <f>AI631</f>
        <v>8</v>
      </c>
      <c r="AK631" s="309">
        <f>AN631</f>
        <v>10</v>
      </c>
      <c r="AL631" s="309">
        <f>AN631</f>
        <v>10</v>
      </c>
      <c r="AM631" s="309">
        <f>AN631</f>
        <v>10</v>
      </c>
      <c r="AN631" s="309">
        <f>'Back-end Overview of Use Cases'!E13</f>
        <v>10</v>
      </c>
      <c r="AP631" s="243"/>
    </row>
    <row r="632" spans="2:42" x14ac:dyDescent="0.25">
      <c r="C632" s="299" t="s">
        <v>691</v>
      </c>
      <c r="D632" s="330" t="s">
        <v>29</v>
      </c>
      <c r="E632" s="421">
        <v>0</v>
      </c>
      <c r="F632" s="421">
        <v>0.2</v>
      </c>
      <c r="G632" s="421">
        <v>0.2</v>
      </c>
      <c r="H632" s="421">
        <v>0.2</v>
      </c>
      <c r="I632" s="421">
        <v>0.2</v>
      </c>
      <c r="J632" s="421">
        <v>0.2</v>
      </c>
      <c r="K632" s="421">
        <v>0.2</v>
      </c>
      <c r="L632" s="421">
        <v>0.2</v>
      </c>
      <c r="M632" s="421">
        <v>0.2</v>
      </c>
      <c r="N632" s="421">
        <v>0.2</v>
      </c>
      <c r="O632" s="421">
        <v>0.2</v>
      </c>
      <c r="P632" s="421">
        <v>0.2</v>
      </c>
      <c r="Q632" s="421">
        <v>0.2</v>
      </c>
      <c r="R632" s="421">
        <v>0.2</v>
      </c>
      <c r="S632" s="421">
        <v>0.2</v>
      </c>
      <c r="T632" s="421">
        <v>0.2</v>
      </c>
      <c r="U632" s="421">
        <v>0.2</v>
      </c>
      <c r="V632" s="421">
        <v>0.2</v>
      </c>
      <c r="W632" s="421">
        <v>0.2</v>
      </c>
      <c r="X632" s="421">
        <v>0.2</v>
      </c>
      <c r="Y632" s="421">
        <v>0.2</v>
      </c>
      <c r="Z632" s="421">
        <v>0.2</v>
      </c>
      <c r="AA632" s="421">
        <v>0.2</v>
      </c>
      <c r="AB632" s="421">
        <v>0.2</v>
      </c>
      <c r="AC632" s="421">
        <v>0.2</v>
      </c>
      <c r="AD632" s="421">
        <v>0.2</v>
      </c>
      <c r="AE632" s="421">
        <v>0.2</v>
      </c>
      <c r="AF632" s="421">
        <v>0.2</v>
      </c>
      <c r="AG632" s="421">
        <v>0.2</v>
      </c>
      <c r="AH632" s="421">
        <v>0.2</v>
      </c>
      <c r="AI632" s="421">
        <v>0.2</v>
      </c>
      <c r="AJ632" s="421">
        <v>0.2</v>
      </c>
      <c r="AK632" s="421">
        <v>0.2</v>
      </c>
      <c r="AL632" s="421">
        <v>0.2</v>
      </c>
      <c r="AM632" s="421">
        <v>0.2</v>
      </c>
      <c r="AN632" s="421">
        <v>0.2</v>
      </c>
      <c r="AP632" s="299"/>
    </row>
    <row r="633" spans="2:42" x14ac:dyDescent="0.25">
      <c r="B633" s="99" t="s">
        <v>9</v>
      </c>
      <c r="C633" s="311" t="s">
        <v>626</v>
      </c>
      <c r="D633" s="318"/>
      <c r="E633" s="311"/>
      <c r="F633" s="311"/>
      <c r="G633" s="311"/>
      <c r="H633" s="311"/>
      <c r="I633" s="311"/>
      <c r="J633" s="311"/>
      <c r="K633" s="311"/>
      <c r="L633" s="311"/>
      <c r="M633" s="311"/>
      <c r="N633" s="311"/>
      <c r="O633" s="311"/>
      <c r="P633" s="311"/>
      <c r="Q633" s="311"/>
      <c r="R633" s="311"/>
      <c r="S633" s="311"/>
      <c r="T633" s="311"/>
      <c r="U633" s="311"/>
      <c r="V633" s="311"/>
      <c r="W633" s="311"/>
      <c r="X633" s="311"/>
      <c r="Y633" s="311"/>
      <c r="Z633" s="311"/>
      <c r="AA633" s="311"/>
      <c r="AB633" s="311"/>
      <c r="AC633" s="311"/>
      <c r="AD633" s="311"/>
      <c r="AE633" s="311"/>
      <c r="AF633" s="311"/>
      <c r="AG633" s="311"/>
      <c r="AH633" s="311"/>
      <c r="AI633" s="311"/>
      <c r="AJ633" s="311"/>
      <c r="AK633" s="311"/>
      <c r="AL633" s="311"/>
      <c r="AM633" s="311"/>
      <c r="AN633" s="311"/>
      <c r="AO633" s="74"/>
      <c r="AP633" s="311"/>
    </row>
    <row r="634" spans="2:42" x14ac:dyDescent="0.25">
      <c r="C634" s="20" t="s">
        <v>600</v>
      </c>
      <c r="D634" s="34" t="s">
        <v>162</v>
      </c>
      <c r="E634" s="397">
        <v>5</v>
      </c>
      <c r="F634" s="397">
        <f>E634*(1-F$632)+1</f>
        <v>5</v>
      </c>
      <c r="G634" s="397">
        <f t="shared" ref="G634:AN634" si="298">F634*(1-G$632)+1</f>
        <v>5</v>
      </c>
      <c r="H634" s="397">
        <f t="shared" si="298"/>
        <v>5</v>
      </c>
      <c r="I634" s="397">
        <f t="shared" si="298"/>
        <v>5</v>
      </c>
      <c r="J634" s="397">
        <f t="shared" si="298"/>
        <v>5</v>
      </c>
      <c r="K634" s="397">
        <f t="shared" si="298"/>
        <v>5</v>
      </c>
      <c r="L634" s="397">
        <f t="shared" si="298"/>
        <v>5</v>
      </c>
      <c r="M634" s="397">
        <f t="shared" si="298"/>
        <v>5</v>
      </c>
      <c r="N634" s="397">
        <f t="shared" si="298"/>
        <v>5</v>
      </c>
      <c r="O634" s="397">
        <f t="shared" si="298"/>
        <v>5</v>
      </c>
      <c r="P634" s="397">
        <f t="shared" si="298"/>
        <v>5</v>
      </c>
      <c r="Q634" s="397">
        <f t="shared" si="298"/>
        <v>5</v>
      </c>
      <c r="R634" s="397">
        <f t="shared" si="298"/>
        <v>5</v>
      </c>
      <c r="S634" s="397">
        <f t="shared" si="298"/>
        <v>5</v>
      </c>
      <c r="T634" s="397">
        <f t="shared" si="298"/>
        <v>5</v>
      </c>
      <c r="U634" s="397">
        <f t="shared" si="298"/>
        <v>5</v>
      </c>
      <c r="V634" s="397">
        <f t="shared" si="298"/>
        <v>5</v>
      </c>
      <c r="W634" s="397">
        <f t="shared" si="298"/>
        <v>5</v>
      </c>
      <c r="X634" s="397">
        <f t="shared" si="298"/>
        <v>5</v>
      </c>
      <c r="Y634" s="397">
        <f t="shared" si="298"/>
        <v>5</v>
      </c>
      <c r="Z634" s="397">
        <f t="shared" si="298"/>
        <v>5</v>
      </c>
      <c r="AA634" s="397">
        <f t="shared" si="298"/>
        <v>5</v>
      </c>
      <c r="AB634" s="397">
        <f t="shared" si="298"/>
        <v>5</v>
      </c>
      <c r="AC634" s="397">
        <f t="shared" si="298"/>
        <v>5</v>
      </c>
      <c r="AD634" s="397">
        <f t="shared" si="298"/>
        <v>5</v>
      </c>
      <c r="AE634" s="397">
        <f t="shared" si="298"/>
        <v>5</v>
      </c>
      <c r="AF634" s="397">
        <f t="shared" si="298"/>
        <v>5</v>
      </c>
      <c r="AG634" s="397">
        <f t="shared" si="298"/>
        <v>5</v>
      </c>
      <c r="AH634" s="397">
        <f t="shared" si="298"/>
        <v>5</v>
      </c>
      <c r="AI634" s="397">
        <f t="shared" si="298"/>
        <v>5</v>
      </c>
      <c r="AJ634" s="397">
        <f t="shared" si="298"/>
        <v>5</v>
      </c>
      <c r="AK634" s="397">
        <f t="shared" si="298"/>
        <v>5</v>
      </c>
      <c r="AL634" s="397">
        <f t="shared" si="298"/>
        <v>5</v>
      </c>
      <c r="AM634" s="397">
        <f t="shared" si="298"/>
        <v>5</v>
      </c>
      <c r="AN634" s="397">
        <f t="shared" si="298"/>
        <v>5</v>
      </c>
      <c r="AP634" s="20"/>
    </row>
    <row r="635" spans="2:42" x14ac:dyDescent="0.25">
      <c r="C635" s="20" t="s">
        <v>392</v>
      </c>
      <c r="D635" s="34" t="s">
        <v>162</v>
      </c>
      <c r="E635" s="398">
        <v>4</v>
      </c>
      <c r="F635" s="398">
        <f t="shared" ref="F635:AN635" si="299">E635*(1-F$632)+1</f>
        <v>4.2</v>
      </c>
      <c r="G635" s="398">
        <f t="shared" si="299"/>
        <v>4.3600000000000003</v>
      </c>
      <c r="H635" s="398">
        <f t="shared" si="299"/>
        <v>4.4880000000000004</v>
      </c>
      <c r="I635" s="398">
        <f t="shared" si="299"/>
        <v>4.5904000000000007</v>
      </c>
      <c r="J635" s="398">
        <f t="shared" si="299"/>
        <v>4.6723200000000009</v>
      </c>
      <c r="K635" s="398">
        <f t="shared" si="299"/>
        <v>4.7378560000000007</v>
      </c>
      <c r="L635" s="398">
        <f t="shared" si="299"/>
        <v>4.7902848000000002</v>
      </c>
      <c r="M635" s="398">
        <f t="shared" si="299"/>
        <v>4.8322278399999998</v>
      </c>
      <c r="N635" s="398">
        <f t="shared" si="299"/>
        <v>4.8657822720000006</v>
      </c>
      <c r="O635" s="398">
        <f t="shared" si="299"/>
        <v>4.8926258176000008</v>
      </c>
      <c r="P635" s="398">
        <f t="shared" si="299"/>
        <v>4.9141006540800003</v>
      </c>
      <c r="Q635" s="398">
        <f t="shared" si="299"/>
        <v>4.9312805232640002</v>
      </c>
      <c r="R635" s="398">
        <f t="shared" si="299"/>
        <v>4.9450244186112009</v>
      </c>
      <c r="S635" s="398">
        <f t="shared" si="299"/>
        <v>4.9560195348889611</v>
      </c>
      <c r="T635" s="398">
        <f t="shared" si="299"/>
        <v>4.964815627911169</v>
      </c>
      <c r="U635" s="398">
        <f t="shared" si="299"/>
        <v>4.9718525023289359</v>
      </c>
      <c r="V635" s="398">
        <f t="shared" si="299"/>
        <v>4.9774820018631489</v>
      </c>
      <c r="W635" s="398">
        <f t="shared" si="299"/>
        <v>4.9819856014905195</v>
      </c>
      <c r="X635" s="398">
        <f t="shared" si="299"/>
        <v>4.9855884811924156</v>
      </c>
      <c r="Y635" s="398">
        <f t="shared" si="299"/>
        <v>4.9884707849539325</v>
      </c>
      <c r="Z635" s="398">
        <f t="shared" si="299"/>
        <v>4.9907766279631467</v>
      </c>
      <c r="AA635" s="398">
        <f t="shared" si="299"/>
        <v>4.9926213023705177</v>
      </c>
      <c r="AB635" s="398">
        <f t="shared" si="299"/>
        <v>4.9940970418964143</v>
      </c>
      <c r="AC635" s="398">
        <f t="shared" si="299"/>
        <v>4.9952776335171318</v>
      </c>
      <c r="AD635" s="398">
        <f t="shared" si="299"/>
        <v>4.9962221068137058</v>
      </c>
      <c r="AE635" s="398">
        <f t="shared" si="299"/>
        <v>4.9969776854509647</v>
      </c>
      <c r="AF635" s="398">
        <f t="shared" si="299"/>
        <v>4.9975821483607721</v>
      </c>
      <c r="AG635" s="398">
        <f t="shared" si="299"/>
        <v>4.9980657186886184</v>
      </c>
      <c r="AH635" s="398">
        <f t="shared" si="299"/>
        <v>4.9984525749508943</v>
      </c>
      <c r="AI635" s="398">
        <f t="shared" si="299"/>
        <v>4.9987620599607157</v>
      </c>
      <c r="AJ635" s="398">
        <f t="shared" si="299"/>
        <v>4.9990096479685722</v>
      </c>
      <c r="AK635" s="398">
        <f t="shared" si="299"/>
        <v>4.9992077183748584</v>
      </c>
      <c r="AL635" s="398">
        <f t="shared" si="299"/>
        <v>4.9993661746998868</v>
      </c>
      <c r="AM635" s="398">
        <f t="shared" si="299"/>
        <v>4.999492939759909</v>
      </c>
      <c r="AN635" s="398">
        <f t="shared" si="299"/>
        <v>4.9995943518079269</v>
      </c>
      <c r="AP635" s="21"/>
    </row>
    <row r="636" spans="2:42" x14ac:dyDescent="0.25">
      <c r="C636" s="20" t="s">
        <v>454</v>
      </c>
      <c r="D636" s="34" t="s">
        <v>162</v>
      </c>
      <c r="E636" s="398">
        <v>3</v>
      </c>
      <c r="F636" s="398">
        <f t="shared" ref="F636:AN636" si="300">E636*(1-F$632)+1</f>
        <v>3.4000000000000004</v>
      </c>
      <c r="G636" s="398">
        <f t="shared" si="300"/>
        <v>3.7200000000000006</v>
      </c>
      <c r="H636" s="398">
        <f t="shared" si="300"/>
        <v>3.9760000000000009</v>
      </c>
      <c r="I636" s="398">
        <f t="shared" si="300"/>
        <v>4.1808000000000014</v>
      </c>
      <c r="J636" s="398">
        <f t="shared" si="300"/>
        <v>4.3446400000000018</v>
      </c>
      <c r="K636" s="398">
        <f t="shared" si="300"/>
        <v>4.4757120000000015</v>
      </c>
      <c r="L636" s="398">
        <f t="shared" si="300"/>
        <v>4.5805696000000014</v>
      </c>
      <c r="M636" s="398">
        <f t="shared" si="300"/>
        <v>4.6644556800000014</v>
      </c>
      <c r="N636" s="398">
        <f t="shared" si="300"/>
        <v>4.7315645440000011</v>
      </c>
      <c r="O636" s="398">
        <f t="shared" si="300"/>
        <v>4.7852516352000016</v>
      </c>
      <c r="P636" s="398">
        <f t="shared" si="300"/>
        <v>4.8282013081600015</v>
      </c>
      <c r="Q636" s="398">
        <f t="shared" si="300"/>
        <v>4.8625610465280014</v>
      </c>
      <c r="R636" s="398">
        <f t="shared" si="300"/>
        <v>4.8900488372224018</v>
      </c>
      <c r="S636" s="398">
        <f t="shared" si="300"/>
        <v>4.9120390697779222</v>
      </c>
      <c r="T636" s="398">
        <f t="shared" si="300"/>
        <v>4.9296312558223381</v>
      </c>
      <c r="U636" s="398">
        <f t="shared" si="300"/>
        <v>4.9437050046578701</v>
      </c>
      <c r="V636" s="398">
        <f t="shared" si="300"/>
        <v>4.9549640037262961</v>
      </c>
      <c r="W636" s="398">
        <f t="shared" si="300"/>
        <v>4.9639712029810372</v>
      </c>
      <c r="X636" s="398">
        <f t="shared" si="300"/>
        <v>4.9711769623848294</v>
      </c>
      <c r="Y636" s="398">
        <f t="shared" si="300"/>
        <v>4.9769415699078632</v>
      </c>
      <c r="Z636" s="398">
        <f t="shared" si="300"/>
        <v>4.9815532559262907</v>
      </c>
      <c r="AA636" s="398">
        <f t="shared" si="300"/>
        <v>4.9852426047410328</v>
      </c>
      <c r="AB636" s="398">
        <f t="shared" si="300"/>
        <v>4.9881940837928269</v>
      </c>
      <c r="AC636" s="398">
        <f t="shared" si="300"/>
        <v>4.9905552670342619</v>
      </c>
      <c r="AD636" s="398">
        <f t="shared" si="300"/>
        <v>4.9924442136274099</v>
      </c>
      <c r="AE636" s="398">
        <f t="shared" si="300"/>
        <v>4.9939553709019275</v>
      </c>
      <c r="AF636" s="398">
        <f t="shared" si="300"/>
        <v>4.9951642967215424</v>
      </c>
      <c r="AG636" s="398">
        <f t="shared" si="300"/>
        <v>4.9961314373772341</v>
      </c>
      <c r="AH636" s="398">
        <f t="shared" si="300"/>
        <v>4.9969051499017869</v>
      </c>
      <c r="AI636" s="398">
        <f t="shared" si="300"/>
        <v>4.9975241199214295</v>
      </c>
      <c r="AJ636" s="398">
        <f t="shared" si="300"/>
        <v>4.9980192959371443</v>
      </c>
      <c r="AK636" s="398">
        <f t="shared" si="300"/>
        <v>4.9984154367497151</v>
      </c>
      <c r="AL636" s="398">
        <f t="shared" si="300"/>
        <v>4.9987323493997717</v>
      </c>
      <c r="AM636" s="398">
        <f t="shared" si="300"/>
        <v>4.9989858795198181</v>
      </c>
      <c r="AN636" s="398">
        <f t="shared" si="300"/>
        <v>4.9991887036158547</v>
      </c>
      <c r="AP636" s="21"/>
    </row>
    <row r="637" spans="2:42" x14ac:dyDescent="0.25">
      <c r="C637" s="21" t="s">
        <v>455</v>
      </c>
      <c r="D637" s="34" t="s">
        <v>162</v>
      </c>
      <c r="E637" s="398">
        <v>2</v>
      </c>
      <c r="F637" s="398">
        <f t="shared" ref="F637:AN637" si="301">E637*(1-F$632)+1</f>
        <v>2.6</v>
      </c>
      <c r="G637" s="398">
        <f t="shared" si="301"/>
        <v>3.08</v>
      </c>
      <c r="H637" s="398">
        <f t="shared" si="301"/>
        <v>3.4640000000000004</v>
      </c>
      <c r="I637" s="398">
        <f t="shared" si="301"/>
        <v>3.7712000000000003</v>
      </c>
      <c r="J637" s="398">
        <f t="shared" si="301"/>
        <v>4.016960000000001</v>
      </c>
      <c r="K637" s="398">
        <f t="shared" si="301"/>
        <v>4.2135680000000004</v>
      </c>
      <c r="L637" s="398">
        <f t="shared" si="301"/>
        <v>4.3708544000000007</v>
      </c>
      <c r="M637" s="398">
        <f t="shared" si="301"/>
        <v>4.4966835200000013</v>
      </c>
      <c r="N637" s="398">
        <f t="shared" si="301"/>
        <v>4.5973468160000017</v>
      </c>
      <c r="O637" s="398">
        <f t="shared" si="301"/>
        <v>4.6778774528000016</v>
      </c>
      <c r="P637" s="398">
        <f t="shared" si="301"/>
        <v>4.7423019622400009</v>
      </c>
      <c r="Q637" s="398">
        <f t="shared" si="301"/>
        <v>4.7938415697920007</v>
      </c>
      <c r="R637" s="398">
        <f t="shared" si="301"/>
        <v>4.8350732558336009</v>
      </c>
      <c r="S637" s="398">
        <f t="shared" si="301"/>
        <v>4.8680586046668815</v>
      </c>
      <c r="T637" s="398">
        <f t="shared" si="301"/>
        <v>4.8944468837335053</v>
      </c>
      <c r="U637" s="398">
        <f t="shared" si="301"/>
        <v>4.9155575069868043</v>
      </c>
      <c r="V637" s="398">
        <f t="shared" si="301"/>
        <v>4.9324460055894441</v>
      </c>
      <c r="W637" s="398">
        <f t="shared" si="301"/>
        <v>4.9459568044715549</v>
      </c>
      <c r="X637" s="398">
        <f t="shared" si="301"/>
        <v>4.9567654435772441</v>
      </c>
      <c r="Y637" s="398">
        <f t="shared" si="301"/>
        <v>4.9654123548617957</v>
      </c>
      <c r="Z637" s="398">
        <f t="shared" si="301"/>
        <v>4.9723298838894365</v>
      </c>
      <c r="AA637" s="398">
        <f t="shared" si="301"/>
        <v>4.9778639071115496</v>
      </c>
      <c r="AB637" s="398">
        <f t="shared" si="301"/>
        <v>4.9822911256892404</v>
      </c>
      <c r="AC637" s="398">
        <f t="shared" si="301"/>
        <v>4.9858329005513919</v>
      </c>
      <c r="AD637" s="398">
        <f t="shared" si="301"/>
        <v>4.9886663204411139</v>
      </c>
      <c r="AE637" s="398">
        <f t="shared" si="301"/>
        <v>4.9909330563528913</v>
      </c>
      <c r="AF637" s="398">
        <f t="shared" si="301"/>
        <v>4.9927464450823127</v>
      </c>
      <c r="AG637" s="398">
        <f t="shared" si="301"/>
        <v>4.9941971560658498</v>
      </c>
      <c r="AH637" s="398">
        <f t="shared" si="301"/>
        <v>4.9953577248526795</v>
      </c>
      <c r="AI637" s="398">
        <f t="shared" si="301"/>
        <v>4.9962861798821443</v>
      </c>
      <c r="AJ637" s="398">
        <f t="shared" si="301"/>
        <v>4.9970289439057156</v>
      </c>
      <c r="AK637" s="398">
        <f t="shared" si="301"/>
        <v>4.9976231551245727</v>
      </c>
      <c r="AL637" s="398">
        <f t="shared" si="301"/>
        <v>4.9980985240996585</v>
      </c>
      <c r="AM637" s="398">
        <f t="shared" si="301"/>
        <v>4.9984788192797271</v>
      </c>
      <c r="AN637" s="398">
        <f t="shared" si="301"/>
        <v>4.9987830554237824</v>
      </c>
      <c r="AP637" s="21"/>
    </row>
    <row r="638" spans="2:42" x14ac:dyDescent="0.25">
      <c r="C638" s="21" t="s">
        <v>393</v>
      </c>
      <c r="D638" s="34" t="s">
        <v>162</v>
      </c>
      <c r="E638" s="398">
        <v>1</v>
      </c>
      <c r="F638" s="398">
        <f t="shared" ref="F638:AN638" si="302">E638*(1-F$632)+1</f>
        <v>1.8</v>
      </c>
      <c r="G638" s="398">
        <f t="shared" si="302"/>
        <v>2.4400000000000004</v>
      </c>
      <c r="H638" s="398">
        <f t="shared" si="302"/>
        <v>2.9520000000000004</v>
      </c>
      <c r="I638" s="398">
        <f t="shared" si="302"/>
        <v>3.3616000000000006</v>
      </c>
      <c r="J638" s="398">
        <f t="shared" si="302"/>
        <v>3.6892800000000006</v>
      </c>
      <c r="K638" s="398">
        <f t="shared" si="302"/>
        <v>3.9514240000000007</v>
      </c>
      <c r="L638" s="398">
        <f t="shared" si="302"/>
        <v>4.1611392000000009</v>
      </c>
      <c r="M638" s="398">
        <f t="shared" si="302"/>
        <v>4.3289113600000011</v>
      </c>
      <c r="N638" s="398">
        <f t="shared" si="302"/>
        <v>4.4631290880000005</v>
      </c>
      <c r="O638" s="398">
        <f t="shared" si="302"/>
        <v>4.5705032704000006</v>
      </c>
      <c r="P638" s="398">
        <f t="shared" si="302"/>
        <v>4.6564026163200012</v>
      </c>
      <c r="Q638" s="398">
        <f t="shared" si="302"/>
        <v>4.7251220930560009</v>
      </c>
      <c r="R638" s="398">
        <f t="shared" si="302"/>
        <v>4.7800976744448009</v>
      </c>
      <c r="S638" s="398">
        <f t="shared" si="302"/>
        <v>4.8240781395558407</v>
      </c>
      <c r="T638" s="398">
        <f t="shared" si="302"/>
        <v>4.8592625116446726</v>
      </c>
      <c r="U638" s="398">
        <f t="shared" si="302"/>
        <v>4.8874100093157384</v>
      </c>
      <c r="V638" s="398">
        <f t="shared" si="302"/>
        <v>4.9099280074525904</v>
      </c>
      <c r="W638" s="398">
        <f t="shared" si="302"/>
        <v>4.9279424059620727</v>
      </c>
      <c r="X638" s="398">
        <f t="shared" si="302"/>
        <v>4.9423539247696588</v>
      </c>
      <c r="Y638" s="398">
        <f t="shared" si="302"/>
        <v>4.9538831398157273</v>
      </c>
      <c r="Z638" s="398">
        <f t="shared" si="302"/>
        <v>4.9631065118525814</v>
      </c>
      <c r="AA638" s="398">
        <f t="shared" si="302"/>
        <v>4.9704852094820655</v>
      </c>
      <c r="AB638" s="398">
        <f t="shared" si="302"/>
        <v>4.9763881675856521</v>
      </c>
      <c r="AC638" s="398">
        <f t="shared" si="302"/>
        <v>4.981110534068522</v>
      </c>
      <c r="AD638" s="398">
        <f t="shared" si="302"/>
        <v>4.984888427254818</v>
      </c>
      <c r="AE638" s="398">
        <f t="shared" si="302"/>
        <v>4.9879107418038551</v>
      </c>
      <c r="AF638" s="398">
        <f t="shared" si="302"/>
        <v>4.9903285934430848</v>
      </c>
      <c r="AG638" s="398">
        <f t="shared" si="302"/>
        <v>4.9922628747544682</v>
      </c>
      <c r="AH638" s="398">
        <f t="shared" si="302"/>
        <v>4.9938102998035747</v>
      </c>
      <c r="AI638" s="398">
        <f t="shared" si="302"/>
        <v>4.9950482398428599</v>
      </c>
      <c r="AJ638" s="398">
        <f t="shared" si="302"/>
        <v>4.9960385918742887</v>
      </c>
      <c r="AK638" s="398">
        <f t="shared" si="302"/>
        <v>4.9968308734994311</v>
      </c>
      <c r="AL638" s="398">
        <f t="shared" si="302"/>
        <v>4.9974646987995452</v>
      </c>
      <c r="AM638" s="398">
        <f t="shared" si="302"/>
        <v>4.9979717590396362</v>
      </c>
      <c r="AN638" s="398">
        <f t="shared" si="302"/>
        <v>4.9983774072317093</v>
      </c>
      <c r="AP638" s="21"/>
    </row>
    <row r="639" spans="2:42" x14ac:dyDescent="0.25">
      <c r="C639" s="22" t="s">
        <v>456</v>
      </c>
      <c r="D639" s="34" t="s">
        <v>162</v>
      </c>
      <c r="E639" s="399">
        <v>0</v>
      </c>
      <c r="F639" s="399">
        <f t="shared" ref="F639:AN639" si="303">E639*(1-F$632)+1</f>
        <v>1</v>
      </c>
      <c r="G639" s="399">
        <f t="shared" si="303"/>
        <v>1.8</v>
      </c>
      <c r="H639" s="399">
        <f t="shared" si="303"/>
        <v>2.4400000000000004</v>
      </c>
      <c r="I639" s="399">
        <f t="shared" si="303"/>
        <v>2.9520000000000004</v>
      </c>
      <c r="J639" s="399">
        <f t="shared" si="303"/>
        <v>3.3616000000000006</v>
      </c>
      <c r="K639" s="399">
        <f t="shared" si="303"/>
        <v>3.6892800000000006</v>
      </c>
      <c r="L639" s="399">
        <f t="shared" si="303"/>
        <v>3.9514240000000007</v>
      </c>
      <c r="M639" s="399">
        <f t="shared" si="303"/>
        <v>4.1611392000000009</v>
      </c>
      <c r="N639" s="399">
        <f t="shared" si="303"/>
        <v>4.3289113600000011</v>
      </c>
      <c r="O639" s="399">
        <f t="shared" si="303"/>
        <v>4.4631290880000005</v>
      </c>
      <c r="P639" s="399">
        <f t="shared" si="303"/>
        <v>4.5705032704000006</v>
      </c>
      <c r="Q639" s="399">
        <f t="shared" si="303"/>
        <v>4.6564026163200012</v>
      </c>
      <c r="R639" s="399">
        <f t="shared" si="303"/>
        <v>4.7251220930560009</v>
      </c>
      <c r="S639" s="399">
        <f t="shared" si="303"/>
        <v>4.7800976744448009</v>
      </c>
      <c r="T639" s="399">
        <f t="shared" si="303"/>
        <v>4.8240781395558407</v>
      </c>
      <c r="U639" s="399">
        <f t="shared" si="303"/>
        <v>4.8592625116446726</v>
      </c>
      <c r="V639" s="399">
        <f t="shared" si="303"/>
        <v>4.8874100093157384</v>
      </c>
      <c r="W639" s="399">
        <f t="shared" si="303"/>
        <v>4.9099280074525904</v>
      </c>
      <c r="X639" s="399">
        <f t="shared" si="303"/>
        <v>4.9279424059620727</v>
      </c>
      <c r="Y639" s="399">
        <f t="shared" si="303"/>
        <v>4.9423539247696588</v>
      </c>
      <c r="Z639" s="399">
        <f t="shared" si="303"/>
        <v>4.9538831398157273</v>
      </c>
      <c r="AA639" s="399">
        <f t="shared" si="303"/>
        <v>4.9631065118525814</v>
      </c>
      <c r="AB639" s="399">
        <f t="shared" si="303"/>
        <v>4.9704852094820655</v>
      </c>
      <c r="AC639" s="399">
        <f t="shared" si="303"/>
        <v>4.9763881675856521</v>
      </c>
      <c r="AD639" s="399">
        <f t="shared" si="303"/>
        <v>4.981110534068522</v>
      </c>
      <c r="AE639" s="399">
        <f t="shared" si="303"/>
        <v>4.984888427254818</v>
      </c>
      <c r="AF639" s="399">
        <f t="shared" si="303"/>
        <v>4.9879107418038551</v>
      </c>
      <c r="AG639" s="399">
        <f t="shared" si="303"/>
        <v>4.9903285934430848</v>
      </c>
      <c r="AH639" s="399">
        <f t="shared" si="303"/>
        <v>4.9922628747544682</v>
      </c>
      <c r="AI639" s="399">
        <f t="shared" si="303"/>
        <v>4.9938102998035747</v>
      </c>
      <c r="AJ639" s="399">
        <f t="shared" si="303"/>
        <v>4.9950482398428599</v>
      </c>
      <c r="AK639" s="399">
        <f t="shared" si="303"/>
        <v>4.9960385918742887</v>
      </c>
      <c r="AL639" s="399">
        <f t="shared" si="303"/>
        <v>4.9968308734994311</v>
      </c>
      <c r="AM639" s="399">
        <f t="shared" si="303"/>
        <v>4.9974646987995452</v>
      </c>
      <c r="AN639" s="399">
        <f t="shared" si="303"/>
        <v>4.9979717590396362</v>
      </c>
      <c r="AP639" s="26"/>
    </row>
    <row r="640" spans="2:42" x14ac:dyDescent="0.25">
      <c r="B640" s="99" t="s">
        <v>9</v>
      </c>
      <c r="C640" s="311" t="s">
        <v>627</v>
      </c>
      <c r="D640" s="318"/>
      <c r="E640" s="402"/>
      <c r="F640" s="402"/>
      <c r="G640" s="402"/>
      <c r="H640" s="402"/>
      <c r="I640" s="402"/>
      <c r="J640" s="402"/>
      <c r="K640" s="402"/>
      <c r="L640" s="402"/>
      <c r="M640" s="402"/>
      <c r="N640" s="402"/>
      <c r="O640" s="402"/>
      <c r="P640" s="402"/>
      <c r="Q640" s="402"/>
      <c r="R640" s="402"/>
      <c r="S640" s="402"/>
      <c r="T640" s="402"/>
      <c r="U640" s="402"/>
      <c r="V640" s="402"/>
      <c r="W640" s="402"/>
      <c r="X640" s="402"/>
      <c r="Y640" s="402"/>
      <c r="Z640" s="402"/>
      <c r="AA640" s="402"/>
      <c r="AB640" s="402"/>
      <c r="AC640" s="402"/>
      <c r="AD640" s="402"/>
      <c r="AE640" s="402"/>
      <c r="AF640" s="402"/>
      <c r="AG640" s="402"/>
      <c r="AH640" s="402"/>
      <c r="AI640" s="402"/>
      <c r="AJ640" s="402"/>
      <c r="AK640" s="402"/>
      <c r="AL640" s="402"/>
      <c r="AM640" s="402"/>
      <c r="AN640" s="402"/>
      <c r="AO640" s="74"/>
      <c r="AP640" s="311"/>
    </row>
    <row r="641" spans="2:42" x14ac:dyDescent="0.25">
      <c r="C641" s="20" t="s">
        <v>600</v>
      </c>
      <c r="D641" s="34" t="s">
        <v>162</v>
      </c>
      <c r="E641" s="397">
        <v>5</v>
      </c>
      <c r="F641" s="397">
        <f>E641*(1-F$632)+1</f>
        <v>5</v>
      </c>
      <c r="G641" s="397">
        <f t="shared" ref="G641:AN641" si="304">F641*(1-G$632)+1</f>
        <v>5</v>
      </c>
      <c r="H641" s="397">
        <f t="shared" si="304"/>
        <v>5</v>
      </c>
      <c r="I641" s="397">
        <f t="shared" si="304"/>
        <v>5</v>
      </c>
      <c r="J641" s="397">
        <f t="shared" si="304"/>
        <v>5</v>
      </c>
      <c r="K641" s="397">
        <f t="shared" si="304"/>
        <v>5</v>
      </c>
      <c r="L641" s="397">
        <f t="shared" si="304"/>
        <v>5</v>
      </c>
      <c r="M641" s="397">
        <f t="shared" si="304"/>
        <v>5</v>
      </c>
      <c r="N641" s="397">
        <f t="shared" si="304"/>
        <v>5</v>
      </c>
      <c r="O641" s="397">
        <f t="shared" si="304"/>
        <v>5</v>
      </c>
      <c r="P641" s="397">
        <f t="shared" si="304"/>
        <v>5</v>
      </c>
      <c r="Q641" s="397">
        <f t="shared" si="304"/>
        <v>5</v>
      </c>
      <c r="R641" s="397">
        <f t="shared" si="304"/>
        <v>5</v>
      </c>
      <c r="S641" s="397">
        <f t="shared" si="304"/>
        <v>5</v>
      </c>
      <c r="T641" s="397">
        <f t="shared" si="304"/>
        <v>5</v>
      </c>
      <c r="U641" s="397">
        <f t="shared" si="304"/>
        <v>5</v>
      </c>
      <c r="V641" s="397">
        <f t="shared" si="304"/>
        <v>5</v>
      </c>
      <c r="W641" s="397">
        <f t="shared" si="304"/>
        <v>5</v>
      </c>
      <c r="X641" s="397">
        <f t="shared" si="304"/>
        <v>5</v>
      </c>
      <c r="Y641" s="397">
        <f t="shared" si="304"/>
        <v>5</v>
      </c>
      <c r="Z641" s="397">
        <f t="shared" si="304"/>
        <v>5</v>
      </c>
      <c r="AA641" s="397">
        <f t="shared" si="304"/>
        <v>5</v>
      </c>
      <c r="AB641" s="397">
        <f t="shared" si="304"/>
        <v>5</v>
      </c>
      <c r="AC641" s="397">
        <f t="shared" si="304"/>
        <v>5</v>
      </c>
      <c r="AD641" s="397">
        <f t="shared" si="304"/>
        <v>5</v>
      </c>
      <c r="AE641" s="397">
        <f t="shared" si="304"/>
        <v>5</v>
      </c>
      <c r="AF641" s="397">
        <f t="shared" si="304"/>
        <v>5</v>
      </c>
      <c r="AG641" s="397">
        <f t="shared" si="304"/>
        <v>5</v>
      </c>
      <c r="AH641" s="397">
        <f t="shared" si="304"/>
        <v>5</v>
      </c>
      <c r="AI641" s="397">
        <f t="shared" si="304"/>
        <v>5</v>
      </c>
      <c r="AJ641" s="397">
        <f t="shared" si="304"/>
        <v>5</v>
      </c>
      <c r="AK641" s="397">
        <f t="shared" si="304"/>
        <v>5</v>
      </c>
      <c r="AL641" s="397">
        <f t="shared" si="304"/>
        <v>5</v>
      </c>
      <c r="AM641" s="397">
        <f t="shared" si="304"/>
        <v>5</v>
      </c>
      <c r="AN641" s="397">
        <f t="shared" si="304"/>
        <v>5</v>
      </c>
      <c r="AP641" s="20"/>
    </row>
    <row r="642" spans="2:42" x14ac:dyDescent="0.25">
      <c r="C642" s="20" t="s">
        <v>392</v>
      </c>
      <c r="D642" s="34" t="s">
        <v>162</v>
      </c>
      <c r="E642" s="398">
        <v>4</v>
      </c>
      <c r="F642" s="398">
        <f t="shared" ref="F642:AN642" si="305">E642*(1-F$632)+1</f>
        <v>4.2</v>
      </c>
      <c r="G642" s="398">
        <f t="shared" si="305"/>
        <v>4.3600000000000003</v>
      </c>
      <c r="H642" s="398">
        <f t="shared" si="305"/>
        <v>4.4880000000000004</v>
      </c>
      <c r="I642" s="398">
        <f t="shared" si="305"/>
        <v>4.5904000000000007</v>
      </c>
      <c r="J642" s="398">
        <f t="shared" si="305"/>
        <v>4.6723200000000009</v>
      </c>
      <c r="K642" s="398">
        <f t="shared" si="305"/>
        <v>4.7378560000000007</v>
      </c>
      <c r="L642" s="398">
        <f t="shared" si="305"/>
        <v>4.7902848000000002</v>
      </c>
      <c r="M642" s="398">
        <f t="shared" si="305"/>
        <v>4.8322278399999998</v>
      </c>
      <c r="N642" s="398">
        <f t="shared" si="305"/>
        <v>4.8657822720000006</v>
      </c>
      <c r="O642" s="398">
        <f t="shared" si="305"/>
        <v>4.8926258176000008</v>
      </c>
      <c r="P642" s="398">
        <f t="shared" si="305"/>
        <v>4.9141006540800003</v>
      </c>
      <c r="Q642" s="398">
        <f t="shared" si="305"/>
        <v>4.9312805232640002</v>
      </c>
      <c r="R642" s="398">
        <f t="shared" si="305"/>
        <v>4.9450244186112009</v>
      </c>
      <c r="S642" s="398">
        <f t="shared" si="305"/>
        <v>4.9560195348889611</v>
      </c>
      <c r="T642" s="398">
        <f t="shared" si="305"/>
        <v>4.964815627911169</v>
      </c>
      <c r="U642" s="398">
        <f t="shared" si="305"/>
        <v>4.9718525023289359</v>
      </c>
      <c r="V642" s="398">
        <f t="shared" si="305"/>
        <v>4.9774820018631489</v>
      </c>
      <c r="W642" s="398">
        <f t="shared" si="305"/>
        <v>4.9819856014905195</v>
      </c>
      <c r="X642" s="398">
        <f t="shared" si="305"/>
        <v>4.9855884811924156</v>
      </c>
      <c r="Y642" s="398">
        <f t="shared" si="305"/>
        <v>4.9884707849539325</v>
      </c>
      <c r="Z642" s="398">
        <f t="shared" si="305"/>
        <v>4.9907766279631467</v>
      </c>
      <c r="AA642" s="398">
        <f t="shared" si="305"/>
        <v>4.9926213023705177</v>
      </c>
      <c r="AB642" s="398">
        <f t="shared" si="305"/>
        <v>4.9940970418964143</v>
      </c>
      <c r="AC642" s="398">
        <f t="shared" si="305"/>
        <v>4.9952776335171318</v>
      </c>
      <c r="AD642" s="398">
        <f t="shared" si="305"/>
        <v>4.9962221068137058</v>
      </c>
      <c r="AE642" s="398">
        <f t="shared" si="305"/>
        <v>4.9969776854509647</v>
      </c>
      <c r="AF642" s="398">
        <f t="shared" si="305"/>
        <v>4.9975821483607721</v>
      </c>
      <c r="AG642" s="398">
        <f t="shared" si="305"/>
        <v>4.9980657186886184</v>
      </c>
      <c r="AH642" s="398">
        <f t="shared" si="305"/>
        <v>4.9984525749508943</v>
      </c>
      <c r="AI642" s="398">
        <f t="shared" si="305"/>
        <v>4.9987620599607157</v>
      </c>
      <c r="AJ642" s="398">
        <f t="shared" si="305"/>
        <v>4.9990096479685722</v>
      </c>
      <c r="AK642" s="398">
        <f t="shared" si="305"/>
        <v>4.9992077183748584</v>
      </c>
      <c r="AL642" s="398">
        <f t="shared" si="305"/>
        <v>4.9993661746998868</v>
      </c>
      <c r="AM642" s="398">
        <f t="shared" si="305"/>
        <v>4.999492939759909</v>
      </c>
      <c r="AN642" s="398">
        <f t="shared" si="305"/>
        <v>4.9995943518079269</v>
      </c>
      <c r="AP642" s="21"/>
    </row>
    <row r="643" spans="2:42" x14ac:dyDescent="0.25">
      <c r="C643" s="20" t="s">
        <v>454</v>
      </c>
      <c r="D643" s="34" t="s">
        <v>162</v>
      </c>
      <c r="E643" s="398">
        <v>3</v>
      </c>
      <c r="F643" s="398">
        <f t="shared" ref="F643:AN643" si="306">E643*(1-F$632)+1</f>
        <v>3.4000000000000004</v>
      </c>
      <c r="G643" s="398">
        <f t="shared" si="306"/>
        <v>3.7200000000000006</v>
      </c>
      <c r="H643" s="398">
        <f t="shared" si="306"/>
        <v>3.9760000000000009</v>
      </c>
      <c r="I643" s="398">
        <f t="shared" si="306"/>
        <v>4.1808000000000014</v>
      </c>
      <c r="J643" s="398">
        <f t="shared" si="306"/>
        <v>4.3446400000000018</v>
      </c>
      <c r="K643" s="398">
        <f t="shared" si="306"/>
        <v>4.4757120000000015</v>
      </c>
      <c r="L643" s="398">
        <f t="shared" si="306"/>
        <v>4.5805696000000014</v>
      </c>
      <c r="M643" s="398">
        <f t="shared" si="306"/>
        <v>4.6644556800000014</v>
      </c>
      <c r="N643" s="398">
        <f t="shared" si="306"/>
        <v>4.7315645440000011</v>
      </c>
      <c r="O643" s="398">
        <f t="shared" si="306"/>
        <v>4.7852516352000016</v>
      </c>
      <c r="P643" s="398">
        <f t="shared" si="306"/>
        <v>4.8282013081600015</v>
      </c>
      <c r="Q643" s="398">
        <f t="shared" si="306"/>
        <v>4.8625610465280014</v>
      </c>
      <c r="R643" s="398">
        <f t="shared" si="306"/>
        <v>4.8900488372224018</v>
      </c>
      <c r="S643" s="398">
        <f t="shared" si="306"/>
        <v>4.9120390697779222</v>
      </c>
      <c r="T643" s="398">
        <f t="shared" si="306"/>
        <v>4.9296312558223381</v>
      </c>
      <c r="U643" s="398">
        <f t="shared" si="306"/>
        <v>4.9437050046578701</v>
      </c>
      <c r="V643" s="398">
        <f t="shared" si="306"/>
        <v>4.9549640037262961</v>
      </c>
      <c r="W643" s="398">
        <f t="shared" si="306"/>
        <v>4.9639712029810372</v>
      </c>
      <c r="X643" s="398">
        <f t="shared" si="306"/>
        <v>4.9711769623848294</v>
      </c>
      <c r="Y643" s="398">
        <f t="shared" si="306"/>
        <v>4.9769415699078632</v>
      </c>
      <c r="Z643" s="398">
        <f t="shared" si="306"/>
        <v>4.9815532559262907</v>
      </c>
      <c r="AA643" s="398">
        <f t="shared" si="306"/>
        <v>4.9852426047410328</v>
      </c>
      <c r="AB643" s="398">
        <f t="shared" si="306"/>
        <v>4.9881940837928269</v>
      </c>
      <c r="AC643" s="398">
        <f t="shared" si="306"/>
        <v>4.9905552670342619</v>
      </c>
      <c r="AD643" s="398">
        <f t="shared" si="306"/>
        <v>4.9924442136274099</v>
      </c>
      <c r="AE643" s="398">
        <f t="shared" si="306"/>
        <v>4.9939553709019275</v>
      </c>
      <c r="AF643" s="398">
        <f t="shared" si="306"/>
        <v>4.9951642967215424</v>
      </c>
      <c r="AG643" s="398">
        <f t="shared" si="306"/>
        <v>4.9961314373772341</v>
      </c>
      <c r="AH643" s="398">
        <f t="shared" si="306"/>
        <v>4.9969051499017869</v>
      </c>
      <c r="AI643" s="398">
        <f t="shared" si="306"/>
        <v>4.9975241199214295</v>
      </c>
      <c r="AJ643" s="398">
        <f t="shared" si="306"/>
        <v>4.9980192959371443</v>
      </c>
      <c r="AK643" s="398">
        <f t="shared" si="306"/>
        <v>4.9984154367497151</v>
      </c>
      <c r="AL643" s="398">
        <f t="shared" si="306"/>
        <v>4.9987323493997717</v>
      </c>
      <c r="AM643" s="398">
        <f t="shared" si="306"/>
        <v>4.9989858795198181</v>
      </c>
      <c r="AN643" s="398">
        <f t="shared" si="306"/>
        <v>4.9991887036158547</v>
      </c>
      <c r="AP643" s="21"/>
    </row>
    <row r="644" spans="2:42" x14ac:dyDescent="0.25">
      <c r="C644" s="21" t="s">
        <v>455</v>
      </c>
      <c r="D644" s="34" t="s">
        <v>162</v>
      </c>
      <c r="E644" s="398">
        <v>2</v>
      </c>
      <c r="F644" s="398">
        <f t="shared" ref="F644:AN644" si="307">E644*(1-F$632)+1</f>
        <v>2.6</v>
      </c>
      <c r="G644" s="398">
        <f t="shared" si="307"/>
        <v>3.08</v>
      </c>
      <c r="H644" s="398">
        <f t="shared" si="307"/>
        <v>3.4640000000000004</v>
      </c>
      <c r="I644" s="398">
        <f t="shared" si="307"/>
        <v>3.7712000000000003</v>
      </c>
      <c r="J644" s="398">
        <f t="shared" si="307"/>
        <v>4.016960000000001</v>
      </c>
      <c r="K644" s="398">
        <f t="shared" si="307"/>
        <v>4.2135680000000004</v>
      </c>
      <c r="L644" s="398">
        <f t="shared" si="307"/>
        <v>4.3708544000000007</v>
      </c>
      <c r="M644" s="398">
        <f t="shared" si="307"/>
        <v>4.4966835200000013</v>
      </c>
      <c r="N644" s="398">
        <f t="shared" si="307"/>
        <v>4.5973468160000017</v>
      </c>
      <c r="O644" s="398">
        <f t="shared" si="307"/>
        <v>4.6778774528000016</v>
      </c>
      <c r="P644" s="398">
        <f t="shared" si="307"/>
        <v>4.7423019622400009</v>
      </c>
      <c r="Q644" s="398">
        <f t="shared" si="307"/>
        <v>4.7938415697920007</v>
      </c>
      <c r="R644" s="398">
        <f t="shared" si="307"/>
        <v>4.8350732558336009</v>
      </c>
      <c r="S644" s="398">
        <f t="shared" si="307"/>
        <v>4.8680586046668815</v>
      </c>
      <c r="T644" s="398">
        <f t="shared" si="307"/>
        <v>4.8944468837335053</v>
      </c>
      <c r="U644" s="398">
        <f t="shared" si="307"/>
        <v>4.9155575069868043</v>
      </c>
      <c r="V644" s="398">
        <f t="shared" si="307"/>
        <v>4.9324460055894441</v>
      </c>
      <c r="W644" s="398">
        <f t="shared" si="307"/>
        <v>4.9459568044715549</v>
      </c>
      <c r="X644" s="398">
        <f t="shared" si="307"/>
        <v>4.9567654435772441</v>
      </c>
      <c r="Y644" s="398">
        <f t="shared" si="307"/>
        <v>4.9654123548617957</v>
      </c>
      <c r="Z644" s="398">
        <f t="shared" si="307"/>
        <v>4.9723298838894365</v>
      </c>
      <c r="AA644" s="398">
        <f t="shared" si="307"/>
        <v>4.9778639071115496</v>
      </c>
      <c r="AB644" s="398">
        <f t="shared" si="307"/>
        <v>4.9822911256892404</v>
      </c>
      <c r="AC644" s="398">
        <f t="shared" si="307"/>
        <v>4.9858329005513919</v>
      </c>
      <c r="AD644" s="398">
        <f t="shared" si="307"/>
        <v>4.9886663204411139</v>
      </c>
      <c r="AE644" s="398">
        <f t="shared" si="307"/>
        <v>4.9909330563528913</v>
      </c>
      <c r="AF644" s="398">
        <f t="shared" si="307"/>
        <v>4.9927464450823127</v>
      </c>
      <c r="AG644" s="398">
        <f t="shared" si="307"/>
        <v>4.9941971560658498</v>
      </c>
      <c r="AH644" s="398">
        <f t="shared" si="307"/>
        <v>4.9953577248526795</v>
      </c>
      <c r="AI644" s="398">
        <f t="shared" si="307"/>
        <v>4.9962861798821443</v>
      </c>
      <c r="AJ644" s="398">
        <f t="shared" si="307"/>
        <v>4.9970289439057156</v>
      </c>
      <c r="AK644" s="398">
        <f t="shared" si="307"/>
        <v>4.9976231551245727</v>
      </c>
      <c r="AL644" s="398">
        <f t="shared" si="307"/>
        <v>4.9980985240996585</v>
      </c>
      <c r="AM644" s="398">
        <f t="shared" si="307"/>
        <v>4.9984788192797271</v>
      </c>
      <c r="AN644" s="398">
        <f t="shared" si="307"/>
        <v>4.9987830554237824</v>
      </c>
      <c r="AP644" s="21"/>
    </row>
    <row r="645" spans="2:42" x14ac:dyDescent="0.25">
      <c r="C645" s="21" t="s">
        <v>393</v>
      </c>
      <c r="D645" s="34" t="s">
        <v>162</v>
      </c>
      <c r="E645" s="398">
        <v>1</v>
      </c>
      <c r="F645" s="398">
        <f t="shared" ref="F645:AN645" si="308">E645*(1-F$632)+1</f>
        <v>1.8</v>
      </c>
      <c r="G645" s="398">
        <f t="shared" si="308"/>
        <v>2.4400000000000004</v>
      </c>
      <c r="H645" s="398">
        <f t="shared" si="308"/>
        <v>2.9520000000000004</v>
      </c>
      <c r="I645" s="398">
        <f t="shared" si="308"/>
        <v>3.3616000000000006</v>
      </c>
      <c r="J645" s="398">
        <f t="shared" si="308"/>
        <v>3.6892800000000006</v>
      </c>
      <c r="K645" s="398">
        <f t="shared" si="308"/>
        <v>3.9514240000000007</v>
      </c>
      <c r="L645" s="398">
        <f t="shared" si="308"/>
        <v>4.1611392000000009</v>
      </c>
      <c r="M645" s="398">
        <f t="shared" si="308"/>
        <v>4.3289113600000011</v>
      </c>
      <c r="N645" s="398">
        <f t="shared" si="308"/>
        <v>4.4631290880000005</v>
      </c>
      <c r="O645" s="398">
        <f t="shared" si="308"/>
        <v>4.5705032704000006</v>
      </c>
      <c r="P645" s="398">
        <f t="shared" si="308"/>
        <v>4.6564026163200012</v>
      </c>
      <c r="Q645" s="398">
        <f t="shared" si="308"/>
        <v>4.7251220930560009</v>
      </c>
      <c r="R645" s="398">
        <f t="shared" si="308"/>
        <v>4.7800976744448009</v>
      </c>
      <c r="S645" s="398">
        <f t="shared" si="308"/>
        <v>4.8240781395558407</v>
      </c>
      <c r="T645" s="398">
        <f t="shared" si="308"/>
        <v>4.8592625116446726</v>
      </c>
      <c r="U645" s="398">
        <f t="shared" si="308"/>
        <v>4.8874100093157384</v>
      </c>
      <c r="V645" s="398">
        <f t="shared" si="308"/>
        <v>4.9099280074525904</v>
      </c>
      <c r="W645" s="398">
        <f t="shared" si="308"/>
        <v>4.9279424059620727</v>
      </c>
      <c r="X645" s="398">
        <f t="shared" si="308"/>
        <v>4.9423539247696588</v>
      </c>
      <c r="Y645" s="398">
        <f t="shared" si="308"/>
        <v>4.9538831398157273</v>
      </c>
      <c r="Z645" s="398">
        <f t="shared" si="308"/>
        <v>4.9631065118525814</v>
      </c>
      <c r="AA645" s="398">
        <f t="shared" si="308"/>
        <v>4.9704852094820655</v>
      </c>
      <c r="AB645" s="398">
        <f t="shared" si="308"/>
        <v>4.9763881675856521</v>
      </c>
      <c r="AC645" s="398">
        <f t="shared" si="308"/>
        <v>4.981110534068522</v>
      </c>
      <c r="AD645" s="398">
        <f t="shared" si="308"/>
        <v>4.984888427254818</v>
      </c>
      <c r="AE645" s="398">
        <f t="shared" si="308"/>
        <v>4.9879107418038551</v>
      </c>
      <c r="AF645" s="398">
        <f t="shared" si="308"/>
        <v>4.9903285934430848</v>
      </c>
      <c r="AG645" s="398">
        <f t="shared" si="308"/>
        <v>4.9922628747544682</v>
      </c>
      <c r="AH645" s="398">
        <f t="shared" si="308"/>
        <v>4.9938102998035747</v>
      </c>
      <c r="AI645" s="398">
        <f t="shared" si="308"/>
        <v>4.9950482398428599</v>
      </c>
      <c r="AJ645" s="398">
        <f t="shared" si="308"/>
        <v>4.9960385918742887</v>
      </c>
      <c r="AK645" s="398">
        <f t="shared" si="308"/>
        <v>4.9968308734994311</v>
      </c>
      <c r="AL645" s="398">
        <f t="shared" si="308"/>
        <v>4.9974646987995452</v>
      </c>
      <c r="AM645" s="398">
        <f t="shared" si="308"/>
        <v>4.9979717590396362</v>
      </c>
      <c r="AN645" s="398">
        <f t="shared" si="308"/>
        <v>4.9983774072317093</v>
      </c>
      <c r="AP645" s="21"/>
    </row>
    <row r="646" spans="2:42" x14ac:dyDescent="0.25">
      <c r="C646" s="22" t="s">
        <v>456</v>
      </c>
      <c r="D646" s="34" t="s">
        <v>162</v>
      </c>
      <c r="E646" s="399">
        <v>0</v>
      </c>
      <c r="F646" s="399">
        <f t="shared" ref="F646:AN646" si="309">E646*(1-F$632)+1</f>
        <v>1</v>
      </c>
      <c r="G646" s="399">
        <f t="shared" si="309"/>
        <v>1.8</v>
      </c>
      <c r="H646" s="399">
        <f t="shared" si="309"/>
        <v>2.4400000000000004</v>
      </c>
      <c r="I646" s="399">
        <f t="shared" si="309"/>
        <v>2.9520000000000004</v>
      </c>
      <c r="J646" s="399">
        <f t="shared" si="309"/>
        <v>3.3616000000000006</v>
      </c>
      <c r="K646" s="399">
        <f t="shared" si="309"/>
        <v>3.6892800000000006</v>
      </c>
      <c r="L646" s="399">
        <f t="shared" si="309"/>
        <v>3.9514240000000007</v>
      </c>
      <c r="M646" s="399">
        <f t="shared" si="309"/>
        <v>4.1611392000000009</v>
      </c>
      <c r="N646" s="399">
        <f t="shared" si="309"/>
        <v>4.3289113600000011</v>
      </c>
      <c r="O646" s="399">
        <f t="shared" si="309"/>
        <v>4.4631290880000005</v>
      </c>
      <c r="P646" s="399">
        <f t="shared" si="309"/>
        <v>4.5705032704000006</v>
      </c>
      <c r="Q646" s="399">
        <f t="shared" si="309"/>
        <v>4.6564026163200012</v>
      </c>
      <c r="R646" s="399">
        <f t="shared" si="309"/>
        <v>4.7251220930560009</v>
      </c>
      <c r="S646" s="399">
        <f t="shared" si="309"/>
        <v>4.7800976744448009</v>
      </c>
      <c r="T646" s="399">
        <f t="shared" si="309"/>
        <v>4.8240781395558407</v>
      </c>
      <c r="U646" s="399">
        <f t="shared" si="309"/>
        <v>4.8592625116446726</v>
      </c>
      <c r="V646" s="399">
        <f t="shared" si="309"/>
        <v>4.8874100093157384</v>
      </c>
      <c r="W646" s="399">
        <f t="shared" si="309"/>
        <v>4.9099280074525904</v>
      </c>
      <c r="X646" s="399">
        <f t="shared" si="309"/>
        <v>4.9279424059620727</v>
      </c>
      <c r="Y646" s="399">
        <f t="shared" si="309"/>
        <v>4.9423539247696588</v>
      </c>
      <c r="Z646" s="399">
        <f t="shared" si="309"/>
        <v>4.9538831398157273</v>
      </c>
      <c r="AA646" s="399">
        <f t="shared" si="309"/>
        <v>4.9631065118525814</v>
      </c>
      <c r="AB646" s="399">
        <f t="shared" si="309"/>
        <v>4.9704852094820655</v>
      </c>
      <c r="AC646" s="399">
        <f t="shared" si="309"/>
        <v>4.9763881675856521</v>
      </c>
      <c r="AD646" s="399">
        <f t="shared" si="309"/>
        <v>4.981110534068522</v>
      </c>
      <c r="AE646" s="399">
        <f t="shared" si="309"/>
        <v>4.984888427254818</v>
      </c>
      <c r="AF646" s="399">
        <f t="shared" si="309"/>
        <v>4.9879107418038551</v>
      </c>
      <c r="AG646" s="399">
        <f t="shared" si="309"/>
        <v>4.9903285934430848</v>
      </c>
      <c r="AH646" s="399">
        <f t="shared" si="309"/>
        <v>4.9922628747544682</v>
      </c>
      <c r="AI646" s="399">
        <f t="shared" si="309"/>
        <v>4.9938102998035747</v>
      </c>
      <c r="AJ646" s="399">
        <f t="shared" si="309"/>
        <v>4.9950482398428599</v>
      </c>
      <c r="AK646" s="399">
        <f t="shared" si="309"/>
        <v>4.9960385918742887</v>
      </c>
      <c r="AL646" s="399">
        <f t="shared" si="309"/>
        <v>4.9968308734994311</v>
      </c>
      <c r="AM646" s="399">
        <f t="shared" si="309"/>
        <v>4.9974646987995452</v>
      </c>
      <c r="AN646" s="399">
        <f t="shared" si="309"/>
        <v>4.9979717590396362</v>
      </c>
      <c r="AP646" s="26"/>
    </row>
    <row r="647" spans="2:42" x14ac:dyDescent="0.25">
      <c r="B647" s="99" t="s">
        <v>9</v>
      </c>
      <c r="C647" s="311" t="s">
        <v>628</v>
      </c>
      <c r="D647" s="318"/>
      <c r="E647" s="402"/>
      <c r="F647" s="402"/>
      <c r="G647" s="402"/>
      <c r="H647" s="402"/>
      <c r="I647" s="402"/>
      <c r="J647" s="402"/>
      <c r="K647" s="402"/>
      <c r="L647" s="402"/>
      <c r="M647" s="402"/>
      <c r="N647" s="402"/>
      <c r="O647" s="402"/>
      <c r="P647" s="402"/>
      <c r="Q647" s="402"/>
      <c r="R647" s="402"/>
      <c r="S647" s="402"/>
      <c r="T647" s="402"/>
      <c r="U647" s="402"/>
      <c r="V647" s="402"/>
      <c r="W647" s="402"/>
      <c r="X647" s="402"/>
      <c r="Y647" s="402"/>
      <c r="Z647" s="402"/>
      <c r="AA647" s="402"/>
      <c r="AB647" s="402"/>
      <c r="AC647" s="402"/>
      <c r="AD647" s="402"/>
      <c r="AE647" s="402"/>
      <c r="AF647" s="402"/>
      <c r="AG647" s="402"/>
      <c r="AH647" s="402"/>
      <c r="AI647" s="402"/>
      <c r="AJ647" s="402"/>
      <c r="AK647" s="402"/>
      <c r="AL647" s="402"/>
      <c r="AM647" s="402"/>
      <c r="AN647" s="402"/>
      <c r="AO647" s="74"/>
      <c r="AP647" s="311"/>
    </row>
    <row r="648" spans="2:42" x14ac:dyDescent="0.25">
      <c r="C648" s="20" t="s">
        <v>600</v>
      </c>
      <c r="D648" s="34" t="s">
        <v>162</v>
      </c>
      <c r="E648" s="397">
        <v>5</v>
      </c>
      <c r="F648" s="397">
        <f>E648*(1-F$632)+1</f>
        <v>5</v>
      </c>
      <c r="G648" s="397">
        <f t="shared" ref="G648:AN648" si="310">F648*(1-G$632)+1</f>
        <v>5</v>
      </c>
      <c r="H648" s="397">
        <f t="shared" si="310"/>
        <v>5</v>
      </c>
      <c r="I648" s="397">
        <f t="shared" si="310"/>
        <v>5</v>
      </c>
      <c r="J648" s="397">
        <f t="shared" si="310"/>
        <v>5</v>
      </c>
      <c r="K648" s="397">
        <f t="shared" si="310"/>
        <v>5</v>
      </c>
      <c r="L648" s="397">
        <f t="shared" si="310"/>
        <v>5</v>
      </c>
      <c r="M648" s="397">
        <f t="shared" si="310"/>
        <v>5</v>
      </c>
      <c r="N648" s="397">
        <f t="shared" si="310"/>
        <v>5</v>
      </c>
      <c r="O648" s="397">
        <f t="shared" si="310"/>
        <v>5</v>
      </c>
      <c r="P648" s="397">
        <f t="shared" si="310"/>
        <v>5</v>
      </c>
      <c r="Q648" s="397">
        <f t="shared" si="310"/>
        <v>5</v>
      </c>
      <c r="R648" s="397">
        <f t="shared" si="310"/>
        <v>5</v>
      </c>
      <c r="S648" s="397">
        <f t="shared" si="310"/>
        <v>5</v>
      </c>
      <c r="T648" s="397">
        <f t="shared" si="310"/>
        <v>5</v>
      </c>
      <c r="U648" s="397">
        <f t="shared" si="310"/>
        <v>5</v>
      </c>
      <c r="V648" s="397">
        <f t="shared" si="310"/>
        <v>5</v>
      </c>
      <c r="W648" s="397">
        <f t="shared" si="310"/>
        <v>5</v>
      </c>
      <c r="X648" s="397">
        <f t="shared" si="310"/>
        <v>5</v>
      </c>
      <c r="Y648" s="397">
        <f t="shared" si="310"/>
        <v>5</v>
      </c>
      <c r="Z648" s="397">
        <f t="shared" si="310"/>
        <v>5</v>
      </c>
      <c r="AA648" s="397">
        <f t="shared" si="310"/>
        <v>5</v>
      </c>
      <c r="AB648" s="397">
        <f t="shared" si="310"/>
        <v>5</v>
      </c>
      <c r="AC648" s="397">
        <f t="shared" si="310"/>
        <v>5</v>
      </c>
      <c r="AD648" s="397">
        <f t="shared" si="310"/>
        <v>5</v>
      </c>
      <c r="AE648" s="397">
        <f t="shared" si="310"/>
        <v>5</v>
      </c>
      <c r="AF648" s="397">
        <f t="shared" si="310"/>
        <v>5</v>
      </c>
      <c r="AG648" s="397">
        <f t="shared" si="310"/>
        <v>5</v>
      </c>
      <c r="AH648" s="397">
        <f t="shared" si="310"/>
        <v>5</v>
      </c>
      <c r="AI648" s="397">
        <f t="shared" si="310"/>
        <v>5</v>
      </c>
      <c r="AJ648" s="397">
        <f t="shared" si="310"/>
        <v>5</v>
      </c>
      <c r="AK648" s="397">
        <f t="shared" si="310"/>
        <v>5</v>
      </c>
      <c r="AL648" s="397">
        <f t="shared" si="310"/>
        <v>5</v>
      </c>
      <c r="AM648" s="397">
        <f t="shared" si="310"/>
        <v>5</v>
      </c>
      <c r="AN648" s="397">
        <f t="shared" si="310"/>
        <v>5</v>
      </c>
      <c r="AP648" s="20"/>
    </row>
    <row r="649" spans="2:42" x14ac:dyDescent="0.25">
      <c r="C649" s="20" t="s">
        <v>392</v>
      </c>
      <c r="D649" s="34" t="s">
        <v>162</v>
      </c>
      <c r="E649" s="398">
        <v>4</v>
      </c>
      <c r="F649" s="398">
        <f t="shared" ref="F649:AN649" si="311">E649*(1-F$632)+1</f>
        <v>4.2</v>
      </c>
      <c r="G649" s="398">
        <f t="shared" si="311"/>
        <v>4.3600000000000003</v>
      </c>
      <c r="H649" s="398">
        <f t="shared" si="311"/>
        <v>4.4880000000000004</v>
      </c>
      <c r="I649" s="398">
        <f t="shared" si="311"/>
        <v>4.5904000000000007</v>
      </c>
      <c r="J649" s="398">
        <f t="shared" si="311"/>
        <v>4.6723200000000009</v>
      </c>
      <c r="K649" s="398">
        <f t="shared" si="311"/>
        <v>4.7378560000000007</v>
      </c>
      <c r="L649" s="398">
        <f t="shared" si="311"/>
        <v>4.7902848000000002</v>
      </c>
      <c r="M649" s="398">
        <f t="shared" si="311"/>
        <v>4.8322278399999998</v>
      </c>
      <c r="N649" s="398">
        <f t="shared" si="311"/>
        <v>4.8657822720000006</v>
      </c>
      <c r="O649" s="398">
        <f t="shared" si="311"/>
        <v>4.8926258176000008</v>
      </c>
      <c r="P649" s="398">
        <f t="shared" si="311"/>
        <v>4.9141006540800003</v>
      </c>
      <c r="Q649" s="398">
        <f t="shared" si="311"/>
        <v>4.9312805232640002</v>
      </c>
      <c r="R649" s="398">
        <f t="shared" si="311"/>
        <v>4.9450244186112009</v>
      </c>
      <c r="S649" s="398">
        <f t="shared" si="311"/>
        <v>4.9560195348889611</v>
      </c>
      <c r="T649" s="398">
        <f t="shared" si="311"/>
        <v>4.964815627911169</v>
      </c>
      <c r="U649" s="398">
        <f t="shared" si="311"/>
        <v>4.9718525023289359</v>
      </c>
      <c r="V649" s="398">
        <f t="shared" si="311"/>
        <v>4.9774820018631489</v>
      </c>
      <c r="W649" s="398">
        <f t="shared" si="311"/>
        <v>4.9819856014905195</v>
      </c>
      <c r="X649" s="398">
        <f t="shared" si="311"/>
        <v>4.9855884811924156</v>
      </c>
      <c r="Y649" s="398">
        <f t="shared" si="311"/>
        <v>4.9884707849539325</v>
      </c>
      <c r="Z649" s="398">
        <f t="shared" si="311"/>
        <v>4.9907766279631467</v>
      </c>
      <c r="AA649" s="398">
        <f t="shared" si="311"/>
        <v>4.9926213023705177</v>
      </c>
      <c r="AB649" s="398">
        <f t="shared" si="311"/>
        <v>4.9940970418964143</v>
      </c>
      <c r="AC649" s="398">
        <f t="shared" si="311"/>
        <v>4.9952776335171318</v>
      </c>
      <c r="AD649" s="398">
        <f t="shared" si="311"/>
        <v>4.9962221068137058</v>
      </c>
      <c r="AE649" s="398">
        <f t="shared" si="311"/>
        <v>4.9969776854509647</v>
      </c>
      <c r="AF649" s="398">
        <f t="shared" si="311"/>
        <v>4.9975821483607721</v>
      </c>
      <c r="AG649" s="398">
        <f t="shared" si="311"/>
        <v>4.9980657186886184</v>
      </c>
      <c r="AH649" s="398">
        <f t="shared" si="311"/>
        <v>4.9984525749508943</v>
      </c>
      <c r="AI649" s="398">
        <f t="shared" si="311"/>
        <v>4.9987620599607157</v>
      </c>
      <c r="AJ649" s="398">
        <f t="shared" si="311"/>
        <v>4.9990096479685722</v>
      </c>
      <c r="AK649" s="398">
        <f t="shared" si="311"/>
        <v>4.9992077183748584</v>
      </c>
      <c r="AL649" s="398">
        <f t="shared" si="311"/>
        <v>4.9993661746998868</v>
      </c>
      <c r="AM649" s="398">
        <f t="shared" si="311"/>
        <v>4.999492939759909</v>
      </c>
      <c r="AN649" s="398">
        <f t="shared" si="311"/>
        <v>4.9995943518079269</v>
      </c>
      <c r="AP649" s="21"/>
    </row>
    <row r="650" spans="2:42" x14ac:dyDescent="0.25">
      <c r="C650" s="20" t="s">
        <v>454</v>
      </c>
      <c r="D650" s="34" t="s">
        <v>162</v>
      </c>
      <c r="E650" s="398">
        <v>3</v>
      </c>
      <c r="F650" s="398">
        <f t="shared" ref="F650:AN650" si="312">E650*(1-F$632)+1</f>
        <v>3.4000000000000004</v>
      </c>
      <c r="G650" s="398">
        <f t="shared" si="312"/>
        <v>3.7200000000000006</v>
      </c>
      <c r="H650" s="398">
        <f t="shared" si="312"/>
        <v>3.9760000000000009</v>
      </c>
      <c r="I650" s="398">
        <f t="shared" si="312"/>
        <v>4.1808000000000014</v>
      </c>
      <c r="J650" s="398">
        <f t="shared" si="312"/>
        <v>4.3446400000000018</v>
      </c>
      <c r="K650" s="398">
        <f t="shared" si="312"/>
        <v>4.4757120000000015</v>
      </c>
      <c r="L650" s="398">
        <f t="shared" si="312"/>
        <v>4.5805696000000014</v>
      </c>
      <c r="M650" s="398">
        <f t="shared" si="312"/>
        <v>4.6644556800000014</v>
      </c>
      <c r="N650" s="398">
        <f t="shared" si="312"/>
        <v>4.7315645440000011</v>
      </c>
      <c r="O650" s="398">
        <f t="shared" si="312"/>
        <v>4.7852516352000016</v>
      </c>
      <c r="P650" s="398">
        <f t="shared" si="312"/>
        <v>4.8282013081600015</v>
      </c>
      <c r="Q650" s="398">
        <f t="shared" si="312"/>
        <v>4.8625610465280014</v>
      </c>
      <c r="R650" s="398">
        <f t="shared" si="312"/>
        <v>4.8900488372224018</v>
      </c>
      <c r="S650" s="398">
        <f t="shared" si="312"/>
        <v>4.9120390697779222</v>
      </c>
      <c r="T650" s="398">
        <f t="shared" si="312"/>
        <v>4.9296312558223381</v>
      </c>
      <c r="U650" s="398">
        <f t="shared" si="312"/>
        <v>4.9437050046578701</v>
      </c>
      <c r="V650" s="398">
        <f t="shared" si="312"/>
        <v>4.9549640037262961</v>
      </c>
      <c r="W650" s="398">
        <f t="shared" si="312"/>
        <v>4.9639712029810372</v>
      </c>
      <c r="X650" s="398">
        <f t="shared" si="312"/>
        <v>4.9711769623848294</v>
      </c>
      <c r="Y650" s="398">
        <f t="shared" si="312"/>
        <v>4.9769415699078632</v>
      </c>
      <c r="Z650" s="398">
        <f t="shared" si="312"/>
        <v>4.9815532559262907</v>
      </c>
      <c r="AA650" s="398">
        <f t="shared" si="312"/>
        <v>4.9852426047410328</v>
      </c>
      <c r="AB650" s="398">
        <f t="shared" si="312"/>
        <v>4.9881940837928269</v>
      </c>
      <c r="AC650" s="398">
        <f t="shared" si="312"/>
        <v>4.9905552670342619</v>
      </c>
      <c r="AD650" s="398">
        <f t="shared" si="312"/>
        <v>4.9924442136274099</v>
      </c>
      <c r="AE650" s="398">
        <f t="shared" si="312"/>
        <v>4.9939553709019275</v>
      </c>
      <c r="AF650" s="398">
        <f t="shared" si="312"/>
        <v>4.9951642967215424</v>
      </c>
      <c r="AG650" s="398">
        <f t="shared" si="312"/>
        <v>4.9961314373772341</v>
      </c>
      <c r="AH650" s="398">
        <f t="shared" si="312"/>
        <v>4.9969051499017869</v>
      </c>
      <c r="AI650" s="398">
        <f t="shared" si="312"/>
        <v>4.9975241199214295</v>
      </c>
      <c r="AJ650" s="398">
        <f t="shared" si="312"/>
        <v>4.9980192959371443</v>
      </c>
      <c r="AK650" s="398">
        <f t="shared" si="312"/>
        <v>4.9984154367497151</v>
      </c>
      <c r="AL650" s="398">
        <f t="shared" si="312"/>
        <v>4.9987323493997717</v>
      </c>
      <c r="AM650" s="398">
        <f t="shared" si="312"/>
        <v>4.9989858795198181</v>
      </c>
      <c r="AN650" s="398">
        <f t="shared" si="312"/>
        <v>4.9991887036158547</v>
      </c>
      <c r="AP650" s="21"/>
    </row>
    <row r="651" spans="2:42" x14ac:dyDescent="0.25">
      <c r="C651" s="21" t="s">
        <v>455</v>
      </c>
      <c r="D651" s="34" t="s">
        <v>162</v>
      </c>
      <c r="E651" s="398">
        <v>2</v>
      </c>
      <c r="F651" s="398">
        <f t="shared" ref="F651:AN651" si="313">E651*(1-F$632)+1</f>
        <v>2.6</v>
      </c>
      <c r="G651" s="398">
        <f t="shared" si="313"/>
        <v>3.08</v>
      </c>
      <c r="H651" s="398">
        <f t="shared" si="313"/>
        <v>3.4640000000000004</v>
      </c>
      <c r="I651" s="398">
        <f t="shared" si="313"/>
        <v>3.7712000000000003</v>
      </c>
      <c r="J651" s="398">
        <f t="shared" si="313"/>
        <v>4.016960000000001</v>
      </c>
      <c r="K651" s="398">
        <f t="shared" si="313"/>
        <v>4.2135680000000004</v>
      </c>
      <c r="L651" s="398">
        <f t="shared" si="313"/>
        <v>4.3708544000000007</v>
      </c>
      <c r="M651" s="398">
        <f t="shared" si="313"/>
        <v>4.4966835200000013</v>
      </c>
      <c r="N651" s="398">
        <f t="shared" si="313"/>
        <v>4.5973468160000017</v>
      </c>
      <c r="O651" s="398">
        <f t="shared" si="313"/>
        <v>4.6778774528000016</v>
      </c>
      <c r="P651" s="398">
        <f t="shared" si="313"/>
        <v>4.7423019622400009</v>
      </c>
      <c r="Q651" s="398">
        <f t="shared" si="313"/>
        <v>4.7938415697920007</v>
      </c>
      <c r="R651" s="398">
        <f t="shared" si="313"/>
        <v>4.8350732558336009</v>
      </c>
      <c r="S651" s="398">
        <f t="shared" si="313"/>
        <v>4.8680586046668815</v>
      </c>
      <c r="T651" s="398">
        <f t="shared" si="313"/>
        <v>4.8944468837335053</v>
      </c>
      <c r="U651" s="398">
        <f t="shared" si="313"/>
        <v>4.9155575069868043</v>
      </c>
      <c r="V651" s="398">
        <f t="shared" si="313"/>
        <v>4.9324460055894441</v>
      </c>
      <c r="W651" s="398">
        <f t="shared" si="313"/>
        <v>4.9459568044715549</v>
      </c>
      <c r="X651" s="398">
        <f t="shared" si="313"/>
        <v>4.9567654435772441</v>
      </c>
      <c r="Y651" s="398">
        <f t="shared" si="313"/>
        <v>4.9654123548617957</v>
      </c>
      <c r="Z651" s="398">
        <f t="shared" si="313"/>
        <v>4.9723298838894365</v>
      </c>
      <c r="AA651" s="398">
        <f t="shared" si="313"/>
        <v>4.9778639071115496</v>
      </c>
      <c r="AB651" s="398">
        <f t="shared" si="313"/>
        <v>4.9822911256892404</v>
      </c>
      <c r="AC651" s="398">
        <f t="shared" si="313"/>
        <v>4.9858329005513919</v>
      </c>
      <c r="AD651" s="398">
        <f t="shared" si="313"/>
        <v>4.9886663204411139</v>
      </c>
      <c r="AE651" s="398">
        <f t="shared" si="313"/>
        <v>4.9909330563528913</v>
      </c>
      <c r="AF651" s="398">
        <f t="shared" si="313"/>
        <v>4.9927464450823127</v>
      </c>
      <c r="AG651" s="398">
        <f t="shared" si="313"/>
        <v>4.9941971560658498</v>
      </c>
      <c r="AH651" s="398">
        <f t="shared" si="313"/>
        <v>4.9953577248526795</v>
      </c>
      <c r="AI651" s="398">
        <f t="shared" si="313"/>
        <v>4.9962861798821443</v>
      </c>
      <c r="AJ651" s="398">
        <f t="shared" si="313"/>
        <v>4.9970289439057156</v>
      </c>
      <c r="AK651" s="398">
        <f t="shared" si="313"/>
        <v>4.9976231551245727</v>
      </c>
      <c r="AL651" s="398">
        <f t="shared" si="313"/>
        <v>4.9980985240996585</v>
      </c>
      <c r="AM651" s="398">
        <f t="shared" si="313"/>
        <v>4.9984788192797271</v>
      </c>
      <c r="AN651" s="398">
        <f t="shared" si="313"/>
        <v>4.9987830554237824</v>
      </c>
      <c r="AP651" s="21"/>
    </row>
    <row r="652" spans="2:42" x14ac:dyDescent="0.25">
      <c r="C652" s="21" t="s">
        <v>393</v>
      </c>
      <c r="D652" s="34" t="s">
        <v>162</v>
      </c>
      <c r="E652" s="398">
        <v>1</v>
      </c>
      <c r="F652" s="398">
        <f t="shared" ref="F652:AN652" si="314">E652*(1-F$632)+1</f>
        <v>1.8</v>
      </c>
      <c r="G652" s="398">
        <f t="shared" si="314"/>
        <v>2.4400000000000004</v>
      </c>
      <c r="H652" s="398">
        <f t="shared" si="314"/>
        <v>2.9520000000000004</v>
      </c>
      <c r="I652" s="398">
        <f t="shared" si="314"/>
        <v>3.3616000000000006</v>
      </c>
      <c r="J652" s="398">
        <f t="shared" si="314"/>
        <v>3.6892800000000006</v>
      </c>
      <c r="K652" s="398">
        <f t="shared" si="314"/>
        <v>3.9514240000000007</v>
      </c>
      <c r="L652" s="398">
        <f t="shared" si="314"/>
        <v>4.1611392000000009</v>
      </c>
      <c r="M652" s="398">
        <f t="shared" si="314"/>
        <v>4.3289113600000011</v>
      </c>
      <c r="N652" s="398">
        <f t="shared" si="314"/>
        <v>4.4631290880000005</v>
      </c>
      <c r="O652" s="398">
        <f t="shared" si="314"/>
        <v>4.5705032704000006</v>
      </c>
      <c r="P652" s="398">
        <f t="shared" si="314"/>
        <v>4.6564026163200012</v>
      </c>
      <c r="Q652" s="398">
        <f t="shared" si="314"/>
        <v>4.7251220930560009</v>
      </c>
      <c r="R652" s="398">
        <f t="shared" si="314"/>
        <v>4.7800976744448009</v>
      </c>
      <c r="S652" s="398">
        <f t="shared" si="314"/>
        <v>4.8240781395558407</v>
      </c>
      <c r="T652" s="398">
        <f t="shared" si="314"/>
        <v>4.8592625116446726</v>
      </c>
      <c r="U652" s="398">
        <f t="shared" si="314"/>
        <v>4.8874100093157384</v>
      </c>
      <c r="V652" s="398">
        <f t="shared" si="314"/>
        <v>4.9099280074525904</v>
      </c>
      <c r="W652" s="398">
        <f t="shared" si="314"/>
        <v>4.9279424059620727</v>
      </c>
      <c r="X652" s="398">
        <f t="shared" si="314"/>
        <v>4.9423539247696588</v>
      </c>
      <c r="Y652" s="398">
        <f t="shared" si="314"/>
        <v>4.9538831398157273</v>
      </c>
      <c r="Z652" s="398">
        <f t="shared" si="314"/>
        <v>4.9631065118525814</v>
      </c>
      <c r="AA652" s="398">
        <f t="shared" si="314"/>
        <v>4.9704852094820655</v>
      </c>
      <c r="AB652" s="398">
        <f t="shared" si="314"/>
        <v>4.9763881675856521</v>
      </c>
      <c r="AC652" s="398">
        <f t="shared" si="314"/>
        <v>4.981110534068522</v>
      </c>
      <c r="AD652" s="398">
        <f t="shared" si="314"/>
        <v>4.984888427254818</v>
      </c>
      <c r="AE652" s="398">
        <f t="shared" si="314"/>
        <v>4.9879107418038551</v>
      </c>
      <c r="AF652" s="398">
        <f t="shared" si="314"/>
        <v>4.9903285934430848</v>
      </c>
      <c r="AG652" s="398">
        <f t="shared" si="314"/>
        <v>4.9922628747544682</v>
      </c>
      <c r="AH652" s="398">
        <f t="shared" si="314"/>
        <v>4.9938102998035747</v>
      </c>
      <c r="AI652" s="398">
        <f t="shared" si="314"/>
        <v>4.9950482398428599</v>
      </c>
      <c r="AJ652" s="398">
        <f t="shared" si="314"/>
        <v>4.9960385918742887</v>
      </c>
      <c r="AK652" s="398">
        <f t="shared" si="314"/>
        <v>4.9968308734994311</v>
      </c>
      <c r="AL652" s="398">
        <f t="shared" si="314"/>
        <v>4.9974646987995452</v>
      </c>
      <c r="AM652" s="398">
        <f t="shared" si="314"/>
        <v>4.9979717590396362</v>
      </c>
      <c r="AN652" s="398">
        <f t="shared" si="314"/>
        <v>4.9983774072317093</v>
      </c>
      <c r="AP652" s="21"/>
    </row>
    <row r="653" spans="2:42" x14ac:dyDescent="0.25">
      <c r="C653" s="22" t="s">
        <v>456</v>
      </c>
      <c r="D653" s="34" t="s">
        <v>162</v>
      </c>
      <c r="E653" s="399">
        <v>0</v>
      </c>
      <c r="F653" s="399">
        <f t="shared" ref="F653:AN653" si="315">E653*(1-F$632)+1</f>
        <v>1</v>
      </c>
      <c r="G653" s="399">
        <f t="shared" si="315"/>
        <v>1.8</v>
      </c>
      <c r="H653" s="399">
        <f t="shared" si="315"/>
        <v>2.4400000000000004</v>
      </c>
      <c r="I653" s="399">
        <f t="shared" si="315"/>
        <v>2.9520000000000004</v>
      </c>
      <c r="J653" s="399">
        <f t="shared" si="315"/>
        <v>3.3616000000000006</v>
      </c>
      <c r="K653" s="399">
        <f t="shared" si="315"/>
        <v>3.6892800000000006</v>
      </c>
      <c r="L653" s="399">
        <f t="shared" si="315"/>
        <v>3.9514240000000007</v>
      </c>
      <c r="M653" s="399">
        <f t="shared" si="315"/>
        <v>4.1611392000000009</v>
      </c>
      <c r="N653" s="399">
        <f t="shared" si="315"/>
        <v>4.3289113600000011</v>
      </c>
      <c r="O653" s="399">
        <f t="shared" si="315"/>
        <v>4.4631290880000005</v>
      </c>
      <c r="P653" s="399">
        <f t="shared" si="315"/>
        <v>4.5705032704000006</v>
      </c>
      <c r="Q653" s="399">
        <f t="shared" si="315"/>
        <v>4.6564026163200012</v>
      </c>
      <c r="R653" s="399">
        <f t="shared" si="315"/>
        <v>4.7251220930560009</v>
      </c>
      <c r="S653" s="399">
        <f t="shared" si="315"/>
        <v>4.7800976744448009</v>
      </c>
      <c r="T653" s="399">
        <f t="shared" si="315"/>
        <v>4.8240781395558407</v>
      </c>
      <c r="U653" s="399">
        <f t="shared" si="315"/>
        <v>4.8592625116446726</v>
      </c>
      <c r="V653" s="399">
        <f t="shared" si="315"/>
        <v>4.8874100093157384</v>
      </c>
      <c r="W653" s="399">
        <f t="shared" si="315"/>
        <v>4.9099280074525904</v>
      </c>
      <c r="X653" s="399">
        <f t="shared" si="315"/>
        <v>4.9279424059620727</v>
      </c>
      <c r="Y653" s="399">
        <f t="shared" si="315"/>
        <v>4.9423539247696588</v>
      </c>
      <c r="Z653" s="399">
        <f t="shared" si="315"/>
        <v>4.9538831398157273</v>
      </c>
      <c r="AA653" s="399">
        <f t="shared" si="315"/>
        <v>4.9631065118525814</v>
      </c>
      <c r="AB653" s="399">
        <f t="shared" si="315"/>
        <v>4.9704852094820655</v>
      </c>
      <c r="AC653" s="399">
        <f t="shared" si="315"/>
        <v>4.9763881675856521</v>
      </c>
      <c r="AD653" s="399">
        <f t="shared" si="315"/>
        <v>4.981110534068522</v>
      </c>
      <c r="AE653" s="399">
        <f t="shared" si="315"/>
        <v>4.984888427254818</v>
      </c>
      <c r="AF653" s="399">
        <f t="shared" si="315"/>
        <v>4.9879107418038551</v>
      </c>
      <c r="AG653" s="399">
        <f t="shared" si="315"/>
        <v>4.9903285934430848</v>
      </c>
      <c r="AH653" s="399">
        <f t="shared" si="315"/>
        <v>4.9922628747544682</v>
      </c>
      <c r="AI653" s="399">
        <f t="shared" si="315"/>
        <v>4.9938102998035747</v>
      </c>
      <c r="AJ653" s="399">
        <f t="shared" si="315"/>
        <v>4.9950482398428599</v>
      </c>
      <c r="AK653" s="399">
        <f t="shared" si="315"/>
        <v>4.9960385918742887</v>
      </c>
      <c r="AL653" s="399">
        <f t="shared" si="315"/>
        <v>4.9968308734994311</v>
      </c>
      <c r="AM653" s="399">
        <f t="shared" si="315"/>
        <v>4.9974646987995452</v>
      </c>
      <c r="AN653" s="399">
        <f t="shared" si="315"/>
        <v>4.9979717590396362</v>
      </c>
      <c r="AP653" s="26"/>
    </row>
    <row r="654" spans="2:42" x14ac:dyDescent="0.25">
      <c r="B654" s="99" t="s">
        <v>9</v>
      </c>
      <c r="C654" s="311" t="s">
        <v>629</v>
      </c>
      <c r="D654" s="318"/>
      <c r="E654" s="402"/>
      <c r="F654" s="402"/>
      <c r="G654" s="402"/>
      <c r="H654" s="402"/>
      <c r="I654" s="402"/>
      <c r="J654" s="402"/>
      <c r="K654" s="402"/>
      <c r="L654" s="402"/>
      <c r="M654" s="402"/>
      <c r="N654" s="402"/>
      <c r="O654" s="402"/>
      <c r="P654" s="402"/>
      <c r="Q654" s="402"/>
      <c r="R654" s="402"/>
      <c r="S654" s="402"/>
      <c r="T654" s="402"/>
      <c r="U654" s="402"/>
      <c r="V654" s="402"/>
      <c r="W654" s="402"/>
      <c r="X654" s="402"/>
      <c r="Y654" s="402"/>
      <c r="Z654" s="402"/>
      <c r="AA654" s="402"/>
      <c r="AB654" s="402"/>
      <c r="AC654" s="402"/>
      <c r="AD654" s="402"/>
      <c r="AE654" s="402"/>
      <c r="AF654" s="402"/>
      <c r="AG654" s="402"/>
      <c r="AH654" s="402"/>
      <c r="AI654" s="402"/>
      <c r="AJ654" s="402"/>
      <c r="AK654" s="402"/>
      <c r="AL654" s="402"/>
      <c r="AM654" s="402"/>
      <c r="AN654" s="402"/>
      <c r="AO654" s="74"/>
      <c r="AP654" s="311"/>
    </row>
    <row r="655" spans="2:42" x14ac:dyDescent="0.25">
      <c r="C655" s="20" t="s">
        <v>600</v>
      </c>
      <c r="D655" s="34" t="s">
        <v>162</v>
      </c>
      <c r="E655" s="397">
        <v>5</v>
      </c>
      <c r="F655" s="397">
        <f>E655*(1-F$632)+1</f>
        <v>5</v>
      </c>
      <c r="G655" s="397">
        <f t="shared" ref="G655:AN655" si="316">F655*(1-G$632)+1</f>
        <v>5</v>
      </c>
      <c r="H655" s="397">
        <f t="shared" si="316"/>
        <v>5</v>
      </c>
      <c r="I655" s="397">
        <f t="shared" si="316"/>
        <v>5</v>
      </c>
      <c r="J655" s="397">
        <f t="shared" si="316"/>
        <v>5</v>
      </c>
      <c r="K655" s="397">
        <f t="shared" si="316"/>
        <v>5</v>
      </c>
      <c r="L655" s="397">
        <f t="shared" si="316"/>
        <v>5</v>
      </c>
      <c r="M655" s="397">
        <f t="shared" si="316"/>
        <v>5</v>
      </c>
      <c r="N655" s="397">
        <f t="shared" si="316"/>
        <v>5</v>
      </c>
      <c r="O655" s="397">
        <f t="shared" si="316"/>
        <v>5</v>
      </c>
      <c r="P655" s="397">
        <f t="shared" si="316"/>
        <v>5</v>
      </c>
      <c r="Q655" s="397">
        <f t="shared" si="316"/>
        <v>5</v>
      </c>
      <c r="R655" s="397">
        <f t="shared" si="316"/>
        <v>5</v>
      </c>
      <c r="S655" s="397">
        <f t="shared" si="316"/>
        <v>5</v>
      </c>
      <c r="T655" s="397">
        <f t="shared" si="316"/>
        <v>5</v>
      </c>
      <c r="U655" s="397">
        <f t="shared" si="316"/>
        <v>5</v>
      </c>
      <c r="V655" s="397">
        <f t="shared" si="316"/>
        <v>5</v>
      </c>
      <c r="W655" s="397">
        <f t="shared" si="316"/>
        <v>5</v>
      </c>
      <c r="X655" s="397">
        <f t="shared" si="316"/>
        <v>5</v>
      </c>
      <c r="Y655" s="397">
        <f t="shared" si="316"/>
        <v>5</v>
      </c>
      <c r="Z655" s="397">
        <f t="shared" si="316"/>
        <v>5</v>
      </c>
      <c r="AA655" s="397">
        <f t="shared" si="316"/>
        <v>5</v>
      </c>
      <c r="AB655" s="397">
        <f t="shared" si="316"/>
        <v>5</v>
      </c>
      <c r="AC655" s="397">
        <f t="shared" si="316"/>
        <v>5</v>
      </c>
      <c r="AD655" s="397">
        <f t="shared" si="316"/>
        <v>5</v>
      </c>
      <c r="AE655" s="397">
        <f t="shared" si="316"/>
        <v>5</v>
      </c>
      <c r="AF655" s="397">
        <f t="shared" si="316"/>
        <v>5</v>
      </c>
      <c r="AG655" s="397">
        <f t="shared" si="316"/>
        <v>5</v>
      </c>
      <c r="AH655" s="397">
        <f t="shared" si="316"/>
        <v>5</v>
      </c>
      <c r="AI655" s="397">
        <f t="shared" si="316"/>
        <v>5</v>
      </c>
      <c r="AJ655" s="397">
        <f t="shared" si="316"/>
        <v>5</v>
      </c>
      <c r="AK655" s="397">
        <f t="shared" si="316"/>
        <v>5</v>
      </c>
      <c r="AL655" s="397">
        <f t="shared" si="316"/>
        <v>5</v>
      </c>
      <c r="AM655" s="397">
        <f t="shared" si="316"/>
        <v>5</v>
      </c>
      <c r="AN655" s="397">
        <f t="shared" si="316"/>
        <v>5</v>
      </c>
      <c r="AP655" s="20"/>
    </row>
    <row r="656" spans="2:42" x14ac:dyDescent="0.25">
      <c r="C656" s="20" t="s">
        <v>392</v>
      </c>
      <c r="D656" s="34" t="s">
        <v>162</v>
      </c>
      <c r="E656" s="398">
        <v>4</v>
      </c>
      <c r="F656" s="398">
        <f t="shared" ref="F656:AN656" si="317">E656*(1-F$632)+1</f>
        <v>4.2</v>
      </c>
      <c r="G656" s="398">
        <f t="shared" si="317"/>
        <v>4.3600000000000003</v>
      </c>
      <c r="H656" s="398">
        <f t="shared" si="317"/>
        <v>4.4880000000000004</v>
      </c>
      <c r="I656" s="398">
        <f t="shared" si="317"/>
        <v>4.5904000000000007</v>
      </c>
      <c r="J656" s="398">
        <f t="shared" si="317"/>
        <v>4.6723200000000009</v>
      </c>
      <c r="K656" s="398">
        <f t="shared" si="317"/>
        <v>4.7378560000000007</v>
      </c>
      <c r="L656" s="398">
        <f t="shared" si="317"/>
        <v>4.7902848000000002</v>
      </c>
      <c r="M656" s="398">
        <f t="shared" si="317"/>
        <v>4.8322278399999998</v>
      </c>
      <c r="N656" s="398">
        <f t="shared" si="317"/>
        <v>4.8657822720000006</v>
      </c>
      <c r="O656" s="398">
        <f t="shared" si="317"/>
        <v>4.8926258176000008</v>
      </c>
      <c r="P656" s="398">
        <f t="shared" si="317"/>
        <v>4.9141006540800003</v>
      </c>
      <c r="Q656" s="398">
        <f t="shared" si="317"/>
        <v>4.9312805232640002</v>
      </c>
      <c r="R656" s="398">
        <f t="shared" si="317"/>
        <v>4.9450244186112009</v>
      </c>
      <c r="S656" s="398">
        <f t="shared" si="317"/>
        <v>4.9560195348889611</v>
      </c>
      <c r="T656" s="398">
        <f t="shared" si="317"/>
        <v>4.964815627911169</v>
      </c>
      <c r="U656" s="398">
        <f t="shared" si="317"/>
        <v>4.9718525023289359</v>
      </c>
      <c r="V656" s="398">
        <f t="shared" si="317"/>
        <v>4.9774820018631489</v>
      </c>
      <c r="W656" s="398">
        <f t="shared" si="317"/>
        <v>4.9819856014905195</v>
      </c>
      <c r="X656" s="398">
        <f t="shared" si="317"/>
        <v>4.9855884811924156</v>
      </c>
      <c r="Y656" s="398">
        <f t="shared" si="317"/>
        <v>4.9884707849539325</v>
      </c>
      <c r="Z656" s="398">
        <f t="shared" si="317"/>
        <v>4.9907766279631467</v>
      </c>
      <c r="AA656" s="398">
        <f t="shared" si="317"/>
        <v>4.9926213023705177</v>
      </c>
      <c r="AB656" s="398">
        <f t="shared" si="317"/>
        <v>4.9940970418964143</v>
      </c>
      <c r="AC656" s="398">
        <f t="shared" si="317"/>
        <v>4.9952776335171318</v>
      </c>
      <c r="AD656" s="398">
        <f t="shared" si="317"/>
        <v>4.9962221068137058</v>
      </c>
      <c r="AE656" s="398">
        <f t="shared" si="317"/>
        <v>4.9969776854509647</v>
      </c>
      <c r="AF656" s="398">
        <f t="shared" si="317"/>
        <v>4.9975821483607721</v>
      </c>
      <c r="AG656" s="398">
        <f t="shared" si="317"/>
        <v>4.9980657186886184</v>
      </c>
      <c r="AH656" s="398">
        <f t="shared" si="317"/>
        <v>4.9984525749508943</v>
      </c>
      <c r="AI656" s="398">
        <f t="shared" si="317"/>
        <v>4.9987620599607157</v>
      </c>
      <c r="AJ656" s="398">
        <f t="shared" si="317"/>
        <v>4.9990096479685722</v>
      </c>
      <c r="AK656" s="398">
        <f t="shared" si="317"/>
        <v>4.9992077183748584</v>
      </c>
      <c r="AL656" s="398">
        <f t="shared" si="317"/>
        <v>4.9993661746998868</v>
      </c>
      <c r="AM656" s="398">
        <f t="shared" si="317"/>
        <v>4.999492939759909</v>
      </c>
      <c r="AN656" s="398">
        <f t="shared" si="317"/>
        <v>4.9995943518079269</v>
      </c>
      <c r="AP656" s="21"/>
    </row>
    <row r="657" spans="2:42" x14ac:dyDescent="0.25">
      <c r="C657" s="20" t="s">
        <v>454</v>
      </c>
      <c r="D657" s="34" t="s">
        <v>162</v>
      </c>
      <c r="E657" s="398">
        <v>3</v>
      </c>
      <c r="F657" s="398">
        <f t="shared" ref="F657:AN657" si="318">E657*(1-F$632)+1</f>
        <v>3.4000000000000004</v>
      </c>
      <c r="G657" s="398">
        <f t="shared" si="318"/>
        <v>3.7200000000000006</v>
      </c>
      <c r="H657" s="398">
        <f t="shared" si="318"/>
        <v>3.9760000000000009</v>
      </c>
      <c r="I657" s="398">
        <f t="shared" si="318"/>
        <v>4.1808000000000014</v>
      </c>
      <c r="J657" s="398">
        <f t="shared" si="318"/>
        <v>4.3446400000000018</v>
      </c>
      <c r="K657" s="398">
        <f t="shared" si="318"/>
        <v>4.4757120000000015</v>
      </c>
      <c r="L657" s="398">
        <f t="shared" si="318"/>
        <v>4.5805696000000014</v>
      </c>
      <c r="M657" s="398">
        <f t="shared" si="318"/>
        <v>4.6644556800000014</v>
      </c>
      <c r="N657" s="398">
        <f t="shared" si="318"/>
        <v>4.7315645440000011</v>
      </c>
      <c r="O657" s="398">
        <f t="shared" si="318"/>
        <v>4.7852516352000016</v>
      </c>
      <c r="P657" s="398">
        <f t="shared" si="318"/>
        <v>4.8282013081600015</v>
      </c>
      <c r="Q657" s="398">
        <f t="shared" si="318"/>
        <v>4.8625610465280014</v>
      </c>
      <c r="R657" s="398">
        <f t="shared" si="318"/>
        <v>4.8900488372224018</v>
      </c>
      <c r="S657" s="398">
        <f t="shared" si="318"/>
        <v>4.9120390697779222</v>
      </c>
      <c r="T657" s="398">
        <f t="shared" si="318"/>
        <v>4.9296312558223381</v>
      </c>
      <c r="U657" s="398">
        <f t="shared" si="318"/>
        <v>4.9437050046578701</v>
      </c>
      <c r="V657" s="398">
        <f t="shared" si="318"/>
        <v>4.9549640037262961</v>
      </c>
      <c r="W657" s="398">
        <f t="shared" si="318"/>
        <v>4.9639712029810372</v>
      </c>
      <c r="X657" s="398">
        <f t="shared" si="318"/>
        <v>4.9711769623848294</v>
      </c>
      <c r="Y657" s="398">
        <f t="shared" si="318"/>
        <v>4.9769415699078632</v>
      </c>
      <c r="Z657" s="398">
        <f t="shared" si="318"/>
        <v>4.9815532559262907</v>
      </c>
      <c r="AA657" s="398">
        <f t="shared" si="318"/>
        <v>4.9852426047410328</v>
      </c>
      <c r="AB657" s="398">
        <f t="shared" si="318"/>
        <v>4.9881940837928269</v>
      </c>
      <c r="AC657" s="398">
        <f t="shared" si="318"/>
        <v>4.9905552670342619</v>
      </c>
      <c r="AD657" s="398">
        <f t="shared" si="318"/>
        <v>4.9924442136274099</v>
      </c>
      <c r="AE657" s="398">
        <f t="shared" si="318"/>
        <v>4.9939553709019275</v>
      </c>
      <c r="AF657" s="398">
        <f t="shared" si="318"/>
        <v>4.9951642967215424</v>
      </c>
      <c r="AG657" s="398">
        <f t="shared" si="318"/>
        <v>4.9961314373772341</v>
      </c>
      <c r="AH657" s="398">
        <f t="shared" si="318"/>
        <v>4.9969051499017869</v>
      </c>
      <c r="AI657" s="398">
        <f t="shared" si="318"/>
        <v>4.9975241199214295</v>
      </c>
      <c r="AJ657" s="398">
        <f t="shared" si="318"/>
        <v>4.9980192959371443</v>
      </c>
      <c r="AK657" s="398">
        <f t="shared" si="318"/>
        <v>4.9984154367497151</v>
      </c>
      <c r="AL657" s="398">
        <f t="shared" si="318"/>
        <v>4.9987323493997717</v>
      </c>
      <c r="AM657" s="398">
        <f t="shared" si="318"/>
        <v>4.9989858795198181</v>
      </c>
      <c r="AN657" s="398">
        <f t="shared" si="318"/>
        <v>4.9991887036158547</v>
      </c>
      <c r="AP657" s="21"/>
    </row>
    <row r="658" spans="2:42" x14ac:dyDescent="0.25">
      <c r="C658" s="21" t="s">
        <v>455</v>
      </c>
      <c r="D658" s="34" t="s">
        <v>162</v>
      </c>
      <c r="E658" s="398">
        <v>2</v>
      </c>
      <c r="F658" s="398">
        <f t="shared" ref="F658:AN658" si="319">E658*(1-F$632)+1</f>
        <v>2.6</v>
      </c>
      <c r="G658" s="398">
        <f t="shared" si="319"/>
        <v>3.08</v>
      </c>
      <c r="H658" s="398">
        <f t="shared" si="319"/>
        <v>3.4640000000000004</v>
      </c>
      <c r="I658" s="398">
        <f t="shared" si="319"/>
        <v>3.7712000000000003</v>
      </c>
      <c r="J658" s="398">
        <f t="shared" si="319"/>
        <v>4.016960000000001</v>
      </c>
      <c r="K658" s="398">
        <f t="shared" si="319"/>
        <v>4.2135680000000004</v>
      </c>
      <c r="L658" s="398">
        <f t="shared" si="319"/>
        <v>4.3708544000000007</v>
      </c>
      <c r="M658" s="398">
        <f t="shared" si="319"/>
        <v>4.4966835200000013</v>
      </c>
      <c r="N658" s="398">
        <f t="shared" si="319"/>
        <v>4.5973468160000017</v>
      </c>
      <c r="O658" s="398">
        <f t="shared" si="319"/>
        <v>4.6778774528000016</v>
      </c>
      <c r="P658" s="398">
        <f t="shared" si="319"/>
        <v>4.7423019622400009</v>
      </c>
      <c r="Q658" s="398">
        <f t="shared" si="319"/>
        <v>4.7938415697920007</v>
      </c>
      <c r="R658" s="398">
        <f t="shared" si="319"/>
        <v>4.8350732558336009</v>
      </c>
      <c r="S658" s="398">
        <f t="shared" si="319"/>
        <v>4.8680586046668815</v>
      </c>
      <c r="T658" s="398">
        <f t="shared" si="319"/>
        <v>4.8944468837335053</v>
      </c>
      <c r="U658" s="398">
        <f t="shared" si="319"/>
        <v>4.9155575069868043</v>
      </c>
      <c r="V658" s="398">
        <f t="shared" si="319"/>
        <v>4.9324460055894441</v>
      </c>
      <c r="W658" s="398">
        <f t="shared" si="319"/>
        <v>4.9459568044715549</v>
      </c>
      <c r="X658" s="398">
        <f t="shared" si="319"/>
        <v>4.9567654435772441</v>
      </c>
      <c r="Y658" s="398">
        <f t="shared" si="319"/>
        <v>4.9654123548617957</v>
      </c>
      <c r="Z658" s="398">
        <f t="shared" si="319"/>
        <v>4.9723298838894365</v>
      </c>
      <c r="AA658" s="398">
        <f t="shared" si="319"/>
        <v>4.9778639071115496</v>
      </c>
      <c r="AB658" s="398">
        <f t="shared" si="319"/>
        <v>4.9822911256892404</v>
      </c>
      <c r="AC658" s="398">
        <f t="shared" si="319"/>
        <v>4.9858329005513919</v>
      </c>
      <c r="AD658" s="398">
        <f t="shared" si="319"/>
        <v>4.9886663204411139</v>
      </c>
      <c r="AE658" s="398">
        <f t="shared" si="319"/>
        <v>4.9909330563528913</v>
      </c>
      <c r="AF658" s="398">
        <f t="shared" si="319"/>
        <v>4.9927464450823127</v>
      </c>
      <c r="AG658" s="398">
        <f t="shared" si="319"/>
        <v>4.9941971560658498</v>
      </c>
      <c r="AH658" s="398">
        <f t="shared" si="319"/>
        <v>4.9953577248526795</v>
      </c>
      <c r="AI658" s="398">
        <f t="shared" si="319"/>
        <v>4.9962861798821443</v>
      </c>
      <c r="AJ658" s="398">
        <f t="shared" si="319"/>
        <v>4.9970289439057156</v>
      </c>
      <c r="AK658" s="398">
        <f t="shared" si="319"/>
        <v>4.9976231551245727</v>
      </c>
      <c r="AL658" s="398">
        <f t="shared" si="319"/>
        <v>4.9980985240996585</v>
      </c>
      <c r="AM658" s="398">
        <f t="shared" si="319"/>
        <v>4.9984788192797271</v>
      </c>
      <c r="AN658" s="398">
        <f t="shared" si="319"/>
        <v>4.9987830554237824</v>
      </c>
      <c r="AP658" s="21"/>
    </row>
    <row r="659" spans="2:42" x14ac:dyDescent="0.25">
      <c r="C659" s="21" t="s">
        <v>393</v>
      </c>
      <c r="D659" s="34" t="s">
        <v>162</v>
      </c>
      <c r="E659" s="398">
        <v>1</v>
      </c>
      <c r="F659" s="398">
        <f t="shared" ref="F659:AN659" si="320">E659*(1-F$632)+1</f>
        <v>1.8</v>
      </c>
      <c r="G659" s="398">
        <f t="shared" si="320"/>
        <v>2.4400000000000004</v>
      </c>
      <c r="H659" s="398">
        <f t="shared" si="320"/>
        <v>2.9520000000000004</v>
      </c>
      <c r="I659" s="398">
        <f t="shared" si="320"/>
        <v>3.3616000000000006</v>
      </c>
      <c r="J659" s="398">
        <f t="shared" si="320"/>
        <v>3.6892800000000006</v>
      </c>
      <c r="K659" s="398">
        <f t="shared" si="320"/>
        <v>3.9514240000000007</v>
      </c>
      <c r="L659" s="398">
        <f t="shared" si="320"/>
        <v>4.1611392000000009</v>
      </c>
      <c r="M659" s="398">
        <f t="shared" si="320"/>
        <v>4.3289113600000011</v>
      </c>
      <c r="N659" s="398">
        <f t="shared" si="320"/>
        <v>4.4631290880000005</v>
      </c>
      <c r="O659" s="398">
        <f t="shared" si="320"/>
        <v>4.5705032704000006</v>
      </c>
      <c r="P659" s="398">
        <f t="shared" si="320"/>
        <v>4.6564026163200012</v>
      </c>
      <c r="Q659" s="398">
        <f t="shared" si="320"/>
        <v>4.7251220930560009</v>
      </c>
      <c r="R659" s="398">
        <f t="shared" si="320"/>
        <v>4.7800976744448009</v>
      </c>
      <c r="S659" s="398">
        <f t="shared" si="320"/>
        <v>4.8240781395558407</v>
      </c>
      <c r="T659" s="398">
        <f t="shared" si="320"/>
        <v>4.8592625116446726</v>
      </c>
      <c r="U659" s="398">
        <f t="shared" si="320"/>
        <v>4.8874100093157384</v>
      </c>
      <c r="V659" s="398">
        <f t="shared" si="320"/>
        <v>4.9099280074525904</v>
      </c>
      <c r="W659" s="398">
        <f t="shared" si="320"/>
        <v>4.9279424059620727</v>
      </c>
      <c r="X659" s="398">
        <f t="shared" si="320"/>
        <v>4.9423539247696588</v>
      </c>
      <c r="Y659" s="398">
        <f t="shared" si="320"/>
        <v>4.9538831398157273</v>
      </c>
      <c r="Z659" s="398">
        <f t="shared" si="320"/>
        <v>4.9631065118525814</v>
      </c>
      <c r="AA659" s="398">
        <f t="shared" si="320"/>
        <v>4.9704852094820655</v>
      </c>
      <c r="AB659" s="398">
        <f t="shared" si="320"/>
        <v>4.9763881675856521</v>
      </c>
      <c r="AC659" s="398">
        <f t="shared" si="320"/>
        <v>4.981110534068522</v>
      </c>
      <c r="AD659" s="398">
        <f t="shared" si="320"/>
        <v>4.984888427254818</v>
      </c>
      <c r="AE659" s="398">
        <f t="shared" si="320"/>
        <v>4.9879107418038551</v>
      </c>
      <c r="AF659" s="398">
        <f t="shared" si="320"/>
        <v>4.9903285934430848</v>
      </c>
      <c r="AG659" s="398">
        <f t="shared" si="320"/>
        <v>4.9922628747544682</v>
      </c>
      <c r="AH659" s="398">
        <f t="shared" si="320"/>
        <v>4.9938102998035747</v>
      </c>
      <c r="AI659" s="398">
        <f t="shared" si="320"/>
        <v>4.9950482398428599</v>
      </c>
      <c r="AJ659" s="398">
        <f t="shared" si="320"/>
        <v>4.9960385918742887</v>
      </c>
      <c r="AK659" s="398">
        <f t="shared" si="320"/>
        <v>4.9968308734994311</v>
      </c>
      <c r="AL659" s="398">
        <f t="shared" si="320"/>
        <v>4.9974646987995452</v>
      </c>
      <c r="AM659" s="398">
        <f t="shared" si="320"/>
        <v>4.9979717590396362</v>
      </c>
      <c r="AN659" s="398">
        <f t="shared" si="320"/>
        <v>4.9983774072317093</v>
      </c>
      <c r="AP659" s="21"/>
    </row>
    <row r="660" spans="2:42" x14ac:dyDescent="0.25">
      <c r="C660" s="22" t="s">
        <v>456</v>
      </c>
      <c r="D660" s="34" t="s">
        <v>162</v>
      </c>
      <c r="E660" s="399">
        <v>0</v>
      </c>
      <c r="F660" s="399">
        <f t="shared" ref="F660:AN660" si="321">E660*(1-F$632)+1</f>
        <v>1</v>
      </c>
      <c r="G660" s="399">
        <f t="shared" si="321"/>
        <v>1.8</v>
      </c>
      <c r="H660" s="399">
        <f t="shared" si="321"/>
        <v>2.4400000000000004</v>
      </c>
      <c r="I660" s="399">
        <f t="shared" si="321"/>
        <v>2.9520000000000004</v>
      </c>
      <c r="J660" s="399">
        <f t="shared" si="321"/>
        <v>3.3616000000000006</v>
      </c>
      <c r="K660" s="399">
        <f t="shared" si="321"/>
        <v>3.6892800000000006</v>
      </c>
      <c r="L660" s="399">
        <f t="shared" si="321"/>
        <v>3.9514240000000007</v>
      </c>
      <c r="M660" s="399">
        <f t="shared" si="321"/>
        <v>4.1611392000000009</v>
      </c>
      <c r="N660" s="399">
        <f t="shared" si="321"/>
        <v>4.3289113600000011</v>
      </c>
      <c r="O660" s="399">
        <f t="shared" si="321"/>
        <v>4.4631290880000005</v>
      </c>
      <c r="P660" s="399">
        <f t="shared" si="321"/>
        <v>4.5705032704000006</v>
      </c>
      <c r="Q660" s="399">
        <f t="shared" si="321"/>
        <v>4.6564026163200012</v>
      </c>
      <c r="R660" s="399">
        <f t="shared" si="321"/>
        <v>4.7251220930560009</v>
      </c>
      <c r="S660" s="399">
        <f t="shared" si="321"/>
        <v>4.7800976744448009</v>
      </c>
      <c r="T660" s="399">
        <f t="shared" si="321"/>
        <v>4.8240781395558407</v>
      </c>
      <c r="U660" s="399">
        <f t="shared" si="321"/>
        <v>4.8592625116446726</v>
      </c>
      <c r="V660" s="399">
        <f t="shared" si="321"/>
        <v>4.8874100093157384</v>
      </c>
      <c r="W660" s="399">
        <f t="shared" si="321"/>
        <v>4.9099280074525904</v>
      </c>
      <c r="X660" s="399">
        <f t="shared" si="321"/>
        <v>4.9279424059620727</v>
      </c>
      <c r="Y660" s="399">
        <f t="shared" si="321"/>
        <v>4.9423539247696588</v>
      </c>
      <c r="Z660" s="399">
        <f t="shared" si="321"/>
        <v>4.9538831398157273</v>
      </c>
      <c r="AA660" s="399">
        <f t="shared" si="321"/>
        <v>4.9631065118525814</v>
      </c>
      <c r="AB660" s="399">
        <f t="shared" si="321"/>
        <v>4.9704852094820655</v>
      </c>
      <c r="AC660" s="399">
        <f t="shared" si="321"/>
        <v>4.9763881675856521</v>
      </c>
      <c r="AD660" s="399">
        <f t="shared" si="321"/>
        <v>4.981110534068522</v>
      </c>
      <c r="AE660" s="399">
        <f t="shared" si="321"/>
        <v>4.984888427254818</v>
      </c>
      <c r="AF660" s="399">
        <f t="shared" si="321"/>
        <v>4.9879107418038551</v>
      </c>
      <c r="AG660" s="399">
        <f t="shared" si="321"/>
        <v>4.9903285934430848</v>
      </c>
      <c r="AH660" s="399">
        <f t="shared" si="321"/>
        <v>4.9922628747544682</v>
      </c>
      <c r="AI660" s="399">
        <f t="shared" si="321"/>
        <v>4.9938102998035747</v>
      </c>
      <c r="AJ660" s="399">
        <f t="shared" si="321"/>
        <v>4.9950482398428599</v>
      </c>
      <c r="AK660" s="399">
        <f t="shared" si="321"/>
        <v>4.9960385918742887</v>
      </c>
      <c r="AL660" s="399">
        <f t="shared" si="321"/>
        <v>4.9968308734994311</v>
      </c>
      <c r="AM660" s="399">
        <f t="shared" si="321"/>
        <v>4.9974646987995452</v>
      </c>
      <c r="AN660" s="399">
        <f t="shared" si="321"/>
        <v>4.9979717590396362</v>
      </c>
      <c r="AP660" s="26"/>
    </row>
    <row r="661" spans="2:42" x14ac:dyDescent="0.25">
      <c r="B661" s="99" t="s">
        <v>9</v>
      </c>
      <c r="C661" s="312" t="str">
        <f>'4.2 Sector Mapping'!$B$16</f>
        <v>Transportation and Services</v>
      </c>
      <c r="D661" s="317"/>
      <c r="E661" s="312"/>
      <c r="F661" s="312"/>
      <c r="G661" s="312"/>
      <c r="H661" s="312"/>
      <c r="I661" s="312"/>
      <c r="J661" s="312"/>
      <c r="K661" s="312"/>
      <c r="L661" s="312"/>
      <c r="M661" s="312"/>
      <c r="N661" s="312"/>
      <c r="O661" s="312"/>
      <c r="P661" s="312"/>
      <c r="Q661" s="312"/>
      <c r="R661" s="312"/>
      <c r="S661" s="312"/>
      <c r="T661" s="312"/>
      <c r="U661" s="312"/>
      <c r="V661" s="312"/>
      <c r="W661" s="312"/>
      <c r="X661" s="312"/>
      <c r="Y661" s="312"/>
      <c r="Z661" s="312"/>
      <c r="AA661" s="312"/>
      <c r="AB661" s="312"/>
      <c r="AC661" s="312"/>
      <c r="AD661" s="312"/>
      <c r="AE661" s="312"/>
      <c r="AF661" s="312"/>
      <c r="AG661" s="312"/>
      <c r="AH661" s="312"/>
      <c r="AI661" s="312"/>
      <c r="AJ661" s="312"/>
      <c r="AK661" s="312"/>
      <c r="AL661" s="312"/>
      <c r="AM661" s="312"/>
      <c r="AN661" s="312"/>
      <c r="AO661" s="74"/>
      <c r="AP661" s="312"/>
    </row>
    <row r="662" spans="2:42" s="86" customFormat="1" x14ac:dyDescent="0.25">
      <c r="B662" s="3"/>
      <c r="C662" s="243" t="s">
        <v>625</v>
      </c>
      <c r="D662" s="583" t="s">
        <v>162</v>
      </c>
      <c r="E662" s="309">
        <v>0</v>
      </c>
      <c r="F662" s="309">
        <v>0</v>
      </c>
      <c r="G662" s="309">
        <v>0</v>
      </c>
      <c r="H662" s="309">
        <v>0</v>
      </c>
      <c r="I662" s="309">
        <f>J662</f>
        <v>0</v>
      </c>
      <c r="J662" s="309">
        <f>K662</f>
        <v>0</v>
      </c>
      <c r="K662" s="309">
        <f>L662</f>
        <v>0</v>
      </c>
      <c r="L662" s="309">
        <f>ROUND(M662/2,0)</f>
        <v>0</v>
      </c>
      <c r="M662" s="309">
        <f>N662</f>
        <v>0</v>
      </c>
      <c r="N662" s="309">
        <f>P662</f>
        <v>0</v>
      </c>
      <c r="O662" s="309">
        <f>P662</f>
        <v>0</v>
      </c>
      <c r="P662" s="309">
        <f>'Back-end Overview of Use Cases'!C14</f>
        <v>0</v>
      </c>
      <c r="Q662" s="309">
        <f>ROUND(IF($AB662-$P662=1,$P662,$P662+($AB662-$P662)/3),0)</f>
        <v>1</v>
      </c>
      <c r="R662" s="309">
        <f>ROUND(IF($AB662-$P662=1,$P662,$P662+($AB662-$P662)/3),0)</f>
        <v>1</v>
      </c>
      <c r="S662" s="309">
        <f>ROUND(IF($AB662-$P662=1,$P662,$P662+($AB662-$P662)/3),0)</f>
        <v>1</v>
      </c>
      <c r="T662" s="309">
        <f>ROUND(IF($AB662-$P662=1,$P662,$P662+($AB662-$P662)/3),0)</f>
        <v>1</v>
      </c>
      <c r="U662" s="309">
        <f>ROUND(AVERAGE(T662,Y662),0)</f>
        <v>2</v>
      </c>
      <c r="V662" s="309">
        <f>U662</f>
        <v>2</v>
      </c>
      <c r="W662" s="309">
        <f>V662</f>
        <v>2</v>
      </c>
      <c r="X662" s="309">
        <f>W662</f>
        <v>2</v>
      </c>
      <c r="Y662" s="309">
        <f>Z662</f>
        <v>2</v>
      </c>
      <c r="Z662" s="309">
        <f>AA662</f>
        <v>2</v>
      </c>
      <c r="AA662" s="309">
        <f>AB662</f>
        <v>2</v>
      </c>
      <c r="AB662" s="309">
        <f>'Back-end Overview of Use Cases'!D14</f>
        <v>2</v>
      </c>
      <c r="AC662" s="309">
        <f>ROUND(IF($AN662-$AB662=1,$AB662,$AB662+($AN662-$AB662)/3),0)</f>
        <v>4</v>
      </c>
      <c r="AD662" s="309">
        <f>ROUND(IF($AN662-$AB662=1,$AB662,$AB662+($AN662-$AB662)/3),0)</f>
        <v>4</v>
      </c>
      <c r="AE662" s="309">
        <f>ROUND(IF($AN662-$AB662=1,$AB662,$AB662+($AN662-$AB662)/3),0)</f>
        <v>4</v>
      </c>
      <c r="AF662" s="309">
        <f>ROUND(IF($AN662-$AB662=1,$AB662,$AB662+($AN662-$AB662)/3),0)</f>
        <v>4</v>
      </c>
      <c r="AG662" s="309">
        <f>ROUND(AVERAGE(AF662,AK662),0)</f>
        <v>6</v>
      </c>
      <c r="AH662" s="309">
        <f>AG662</f>
        <v>6</v>
      </c>
      <c r="AI662" s="309">
        <f>AH662</f>
        <v>6</v>
      </c>
      <c r="AJ662" s="309">
        <f>AI662</f>
        <v>6</v>
      </c>
      <c r="AK662" s="309">
        <f>AN662</f>
        <v>7</v>
      </c>
      <c r="AL662" s="309">
        <f>AN662</f>
        <v>7</v>
      </c>
      <c r="AM662" s="309">
        <f>AN662</f>
        <v>7</v>
      </c>
      <c r="AN662" s="309">
        <f>'Back-end Overview of Use Cases'!E14</f>
        <v>7</v>
      </c>
      <c r="AP662" s="243"/>
    </row>
    <row r="663" spans="2:42" x14ac:dyDescent="0.25">
      <c r="C663" s="299" t="s">
        <v>691</v>
      </c>
      <c r="D663" s="330" t="s">
        <v>29</v>
      </c>
      <c r="E663" s="421">
        <v>0</v>
      </c>
      <c r="F663" s="421">
        <v>0.2</v>
      </c>
      <c r="G663" s="421">
        <v>0.2</v>
      </c>
      <c r="H663" s="421">
        <v>0.2</v>
      </c>
      <c r="I663" s="421">
        <v>0.2</v>
      </c>
      <c r="J663" s="421">
        <v>0.2</v>
      </c>
      <c r="K663" s="421">
        <v>0.2</v>
      </c>
      <c r="L663" s="421">
        <v>0.2</v>
      </c>
      <c r="M663" s="421">
        <v>0.2</v>
      </c>
      <c r="N663" s="421">
        <v>0.2</v>
      </c>
      <c r="O663" s="421">
        <v>0.2</v>
      </c>
      <c r="P663" s="421">
        <v>0.2</v>
      </c>
      <c r="Q663" s="421">
        <v>0.2</v>
      </c>
      <c r="R663" s="421">
        <v>0.2</v>
      </c>
      <c r="S663" s="421">
        <v>0.2</v>
      </c>
      <c r="T663" s="421">
        <v>0.2</v>
      </c>
      <c r="U663" s="421">
        <v>0.2</v>
      </c>
      <c r="V663" s="421">
        <v>0.2</v>
      </c>
      <c r="W663" s="421">
        <v>0.2</v>
      </c>
      <c r="X663" s="421">
        <v>0.2</v>
      </c>
      <c r="Y663" s="421">
        <v>0.2</v>
      </c>
      <c r="Z663" s="421">
        <v>0.2</v>
      </c>
      <c r="AA663" s="421">
        <v>0.2</v>
      </c>
      <c r="AB663" s="421">
        <v>0.2</v>
      </c>
      <c r="AC663" s="421">
        <v>0.2</v>
      </c>
      <c r="AD663" s="421">
        <v>0.2</v>
      </c>
      <c r="AE663" s="421">
        <v>0.2</v>
      </c>
      <c r="AF663" s="421">
        <v>0.2</v>
      </c>
      <c r="AG663" s="421">
        <v>0.2</v>
      </c>
      <c r="AH663" s="421">
        <v>0.2</v>
      </c>
      <c r="AI663" s="421">
        <v>0.2</v>
      </c>
      <c r="AJ663" s="421">
        <v>0.2</v>
      </c>
      <c r="AK663" s="421">
        <v>0.2</v>
      </c>
      <c r="AL663" s="421">
        <v>0.2</v>
      </c>
      <c r="AM663" s="421">
        <v>0.2</v>
      </c>
      <c r="AN663" s="421">
        <v>0.2</v>
      </c>
      <c r="AP663" s="299"/>
    </row>
    <row r="664" spans="2:42" x14ac:dyDescent="0.25">
      <c r="B664" s="99" t="s">
        <v>9</v>
      </c>
      <c r="C664" s="311" t="s">
        <v>626</v>
      </c>
      <c r="D664" s="318"/>
      <c r="E664" s="311"/>
      <c r="F664" s="311"/>
      <c r="G664" s="311"/>
      <c r="H664" s="311"/>
      <c r="I664" s="311"/>
      <c r="J664" s="311"/>
      <c r="K664" s="311"/>
      <c r="L664" s="311"/>
      <c r="M664" s="311"/>
      <c r="N664" s="311"/>
      <c r="O664" s="311"/>
      <c r="P664" s="311"/>
      <c r="Q664" s="311"/>
      <c r="R664" s="311"/>
      <c r="S664" s="311"/>
      <c r="T664" s="311"/>
      <c r="U664" s="311"/>
      <c r="V664" s="311"/>
      <c r="W664" s="311"/>
      <c r="X664" s="311"/>
      <c r="Y664" s="311"/>
      <c r="Z664" s="311"/>
      <c r="AA664" s="311"/>
      <c r="AB664" s="311"/>
      <c r="AC664" s="311"/>
      <c r="AD664" s="311"/>
      <c r="AE664" s="311"/>
      <c r="AF664" s="311"/>
      <c r="AG664" s="311"/>
      <c r="AH664" s="311"/>
      <c r="AI664" s="311"/>
      <c r="AJ664" s="311"/>
      <c r="AK664" s="311"/>
      <c r="AL664" s="311"/>
      <c r="AM664" s="311"/>
      <c r="AN664" s="311"/>
      <c r="AO664" s="74"/>
      <c r="AP664" s="311"/>
    </row>
    <row r="665" spans="2:42" x14ac:dyDescent="0.25">
      <c r="C665" s="20" t="s">
        <v>600</v>
      </c>
      <c r="D665" s="34" t="s">
        <v>162</v>
      </c>
      <c r="E665" s="397">
        <v>5</v>
      </c>
      <c r="F665" s="397">
        <f>E665*(1-F$663)+1</f>
        <v>5</v>
      </c>
      <c r="G665" s="397">
        <f t="shared" ref="G665:AN665" si="322">F665*(1-G$663)+1</f>
        <v>5</v>
      </c>
      <c r="H665" s="397">
        <f t="shared" si="322"/>
        <v>5</v>
      </c>
      <c r="I665" s="397">
        <f t="shared" si="322"/>
        <v>5</v>
      </c>
      <c r="J665" s="397">
        <f t="shared" si="322"/>
        <v>5</v>
      </c>
      <c r="K665" s="397">
        <f t="shared" si="322"/>
        <v>5</v>
      </c>
      <c r="L665" s="397">
        <f t="shared" si="322"/>
        <v>5</v>
      </c>
      <c r="M665" s="397">
        <f t="shared" si="322"/>
        <v>5</v>
      </c>
      <c r="N665" s="397">
        <f t="shared" si="322"/>
        <v>5</v>
      </c>
      <c r="O665" s="397">
        <f t="shared" si="322"/>
        <v>5</v>
      </c>
      <c r="P665" s="397">
        <f t="shared" si="322"/>
        <v>5</v>
      </c>
      <c r="Q665" s="397">
        <f t="shared" si="322"/>
        <v>5</v>
      </c>
      <c r="R665" s="397">
        <f t="shared" si="322"/>
        <v>5</v>
      </c>
      <c r="S665" s="397">
        <f t="shared" si="322"/>
        <v>5</v>
      </c>
      <c r="T665" s="397">
        <f t="shared" si="322"/>
        <v>5</v>
      </c>
      <c r="U665" s="397">
        <f t="shared" si="322"/>
        <v>5</v>
      </c>
      <c r="V665" s="397">
        <f t="shared" si="322"/>
        <v>5</v>
      </c>
      <c r="W665" s="397">
        <f t="shared" si="322"/>
        <v>5</v>
      </c>
      <c r="X665" s="397">
        <f t="shared" si="322"/>
        <v>5</v>
      </c>
      <c r="Y665" s="397">
        <f t="shared" si="322"/>
        <v>5</v>
      </c>
      <c r="Z665" s="397">
        <f t="shared" si="322"/>
        <v>5</v>
      </c>
      <c r="AA665" s="397">
        <f t="shared" si="322"/>
        <v>5</v>
      </c>
      <c r="AB665" s="397">
        <f t="shared" si="322"/>
        <v>5</v>
      </c>
      <c r="AC665" s="397">
        <f t="shared" si="322"/>
        <v>5</v>
      </c>
      <c r="AD665" s="397">
        <f t="shared" si="322"/>
        <v>5</v>
      </c>
      <c r="AE665" s="397">
        <f t="shared" si="322"/>
        <v>5</v>
      </c>
      <c r="AF665" s="397">
        <f t="shared" si="322"/>
        <v>5</v>
      </c>
      <c r="AG665" s="397">
        <f t="shared" si="322"/>
        <v>5</v>
      </c>
      <c r="AH665" s="397">
        <f t="shared" si="322"/>
        <v>5</v>
      </c>
      <c r="AI665" s="397">
        <f t="shared" si="322"/>
        <v>5</v>
      </c>
      <c r="AJ665" s="397">
        <f t="shared" si="322"/>
        <v>5</v>
      </c>
      <c r="AK665" s="397">
        <f t="shared" si="322"/>
        <v>5</v>
      </c>
      <c r="AL665" s="397">
        <f t="shared" si="322"/>
        <v>5</v>
      </c>
      <c r="AM665" s="397">
        <f t="shared" si="322"/>
        <v>5</v>
      </c>
      <c r="AN665" s="397">
        <f t="shared" si="322"/>
        <v>5</v>
      </c>
      <c r="AP665" s="20"/>
    </row>
    <row r="666" spans="2:42" x14ac:dyDescent="0.25">
      <c r="C666" s="20" t="s">
        <v>392</v>
      </c>
      <c r="D666" s="34" t="s">
        <v>162</v>
      </c>
      <c r="E666" s="398">
        <v>4</v>
      </c>
      <c r="F666" s="398">
        <f t="shared" ref="F666:AN666" si="323">E666*(1-F$663)+1</f>
        <v>4.2</v>
      </c>
      <c r="G666" s="398">
        <f t="shared" si="323"/>
        <v>4.3600000000000003</v>
      </c>
      <c r="H666" s="398">
        <f t="shared" si="323"/>
        <v>4.4880000000000004</v>
      </c>
      <c r="I666" s="398">
        <f t="shared" si="323"/>
        <v>4.5904000000000007</v>
      </c>
      <c r="J666" s="398">
        <f t="shared" si="323"/>
        <v>4.6723200000000009</v>
      </c>
      <c r="K666" s="398">
        <f t="shared" si="323"/>
        <v>4.7378560000000007</v>
      </c>
      <c r="L666" s="398">
        <f t="shared" si="323"/>
        <v>4.7902848000000002</v>
      </c>
      <c r="M666" s="398">
        <f t="shared" si="323"/>
        <v>4.8322278399999998</v>
      </c>
      <c r="N666" s="398">
        <f t="shared" si="323"/>
        <v>4.8657822720000006</v>
      </c>
      <c r="O666" s="398">
        <f t="shared" si="323"/>
        <v>4.8926258176000008</v>
      </c>
      <c r="P666" s="398">
        <f t="shared" si="323"/>
        <v>4.9141006540800003</v>
      </c>
      <c r="Q666" s="398">
        <f t="shared" si="323"/>
        <v>4.9312805232640002</v>
      </c>
      <c r="R666" s="398">
        <f t="shared" si="323"/>
        <v>4.9450244186112009</v>
      </c>
      <c r="S666" s="398">
        <f t="shared" si="323"/>
        <v>4.9560195348889611</v>
      </c>
      <c r="T666" s="398">
        <f t="shared" si="323"/>
        <v>4.964815627911169</v>
      </c>
      <c r="U666" s="398">
        <f t="shared" si="323"/>
        <v>4.9718525023289359</v>
      </c>
      <c r="V666" s="398">
        <f t="shared" si="323"/>
        <v>4.9774820018631489</v>
      </c>
      <c r="W666" s="398">
        <f t="shared" si="323"/>
        <v>4.9819856014905195</v>
      </c>
      <c r="X666" s="398">
        <f t="shared" si="323"/>
        <v>4.9855884811924156</v>
      </c>
      <c r="Y666" s="398">
        <f t="shared" si="323"/>
        <v>4.9884707849539325</v>
      </c>
      <c r="Z666" s="398">
        <f t="shared" si="323"/>
        <v>4.9907766279631467</v>
      </c>
      <c r="AA666" s="398">
        <f t="shared" si="323"/>
        <v>4.9926213023705177</v>
      </c>
      <c r="AB666" s="398">
        <f t="shared" si="323"/>
        <v>4.9940970418964143</v>
      </c>
      <c r="AC666" s="398">
        <f t="shared" si="323"/>
        <v>4.9952776335171318</v>
      </c>
      <c r="AD666" s="398">
        <f t="shared" si="323"/>
        <v>4.9962221068137058</v>
      </c>
      <c r="AE666" s="398">
        <f t="shared" si="323"/>
        <v>4.9969776854509647</v>
      </c>
      <c r="AF666" s="398">
        <f t="shared" si="323"/>
        <v>4.9975821483607721</v>
      </c>
      <c r="AG666" s="398">
        <f t="shared" si="323"/>
        <v>4.9980657186886184</v>
      </c>
      <c r="AH666" s="398">
        <f t="shared" si="323"/>
        <v>4.9984525749508943</v>
      </c>
      <c r="AI666" s="398">
        <f t="shared" si="323"/>
        <v>4.9987620599607157</v>
      </c>
      <c r="AJ666" s="398">
        <f t="shared" si="323"/>
        <v>4.9990096479685722</v>
      </c>
      <c r="AK666" s="398">
        <f t="shared" si="323"/>
        <v>4.9992077183748584</v>
      </c>
      <c r="AL666" s="398">
        <f t="shared" si="323"/>
        <v>4.9993661746998868</v>
      </c>
      <c r="AM666" s="398">
        <f t="shared" si="323"/>
        <v>4.999492939759909</v>
      </c>
      <c r="AN666" s="398">
        <f t="shared" si="323"/>
        <v>4.9995943518079269</v>
      </c>
      <c r="AP666" s="21"/>
    </row>
    <row r="667" spans="2:42" x14ac:dyDescent="0.25">
      <c r="C667" s="20" t="s">
        <v>454</v>
      </c>
      <c r="D667" s="34" t="s">
        <v>162</v>
      </c>
      <c r="E667" s="398">
        <v>3</v>
      </c>
      <c r="F667" s="398">
        <f t="shared" ref="F667:AN667" si="324">E667*(1-F$663)+1</f>
        <v>3.4000000000000004</v>
      </c>
      <c r="G667" s="398">
        <f t="shared" si="324"/>
        <v>3.7200000000000006</v>
      </c>
      <c r="H667" s="398">
        <f t="shared" si="324"/>
        <v>3.9760000000000009</v>
      </c>
      <c r="I667" s="398">
        <f t="shared" si="324"/>
        <v>4.1808000000000014</v>
      </c>
      <c r="J667" s="398">
        <f t="shared" si="324"/>
        <v>4.3446400000000018</v>
      </c>
      <c r="K667" s="398">
        <f t="shared" si="324"/>
        <v>4.4757120000000015</v>
      </c>
      <c r="L667" s="398">
        <f t="shared" si="324"/>
        <v>4.5805696000000014</v>
      </c>
      <c r="M667" s="398">
        <f t="shared" si="324"/>
        <v>4.6644556800000014</v>
      </c>
      <c r="N667" s="398">
        <f t="shared" si="324"/>
        <v>4.7315645440000011</v>
      </c>
      <c r="O667" s="398">
        <f t="shared" si="324"/>
        <v>4.7852516352000016</v>
      </c>
      <c r="P667" s="398">
        <f t="shared" si="324"/>
        <v>4.8282013081600015</v>
      </c>
      <c r="Q667" s="398">
        <f t="shared" si="324"/>
        <v>4.8625610465280014</v>
      </c>
      <c r="R667" s="398">
        <f t="shared" si="324"/>
        <v>4.8900488372224018</v>
      </c>
      <c r="S667" s="398">
        <f t="shared" si="324"/>
        <v>4.9120390697779222</v>
      </c>
      <c r="T667" s="398">
        <f t="shared" si="324"/>
        <v>4.9296312558223381</v>
      </c>
      <c r="U667" s="398">
        <f t="shared" si="324"/>
        <v>4.9437050046578701</v>
      </c>
      <c r="V667" s="398">
        <f t="shared" si="324"/>
        <v>4.9549640037262961</v>
      </c>
      <c r="W667" s="398">
        <f t="shared" si="324"/>
        <v>4.9639712029810372</v>
      </c>
      <c r="X667" s="398">
        <f t="shared" si="324"/>
        <v>4.9711769623848294</v>
      </c>
      <c r="Y667" s="398">
        <f t="shared" si="324"/>
        <v>4.9769415699078632</v>
      </c>
      <c r="Z667" s="398">
        <f t="shared" si="324"/>
        <v>4.9815532559262907</v>
      </c>
      <c r="AA667" s="398">
        <f t="shared" si="324"/>
        <v>4.9852426047410328</v>
      </c>
      <c r="AB667" s="398">
        <f t="shared" si="324"/>
        <v>4.9881940837928269</v>
      </c>
      <c r="AC667" s="398">
        <f t="shared" si="324"/>
        <v>4.9905552670342619</v>
      </c>
      <c r="AD667" s="398">
        <f t="shared" si="324"/>
        <v>4.9924442136274099</v>
      </c>
      <c r="AE667" s="398">
        <f t="shared" si="324"/>
        <v>4.9939553709019275</v>
      </c>
      <c r="AF667" s="398">
        <f t="shared" si="324"/>
        <v>4.9951642967215424</v>
      </c>
      <c r="AG667" s="398">
        <f t="shared" si="324"/>
        <v>4.9961314373772341</v>
      </c>
      <c r="AH667" s="398">
        <f t="shared" si="324"/>
        <v>4.9969051499017869</v>
      </c>
      <c r="AI667" s="398">
        <f t="shared" si="324"/>
        <v>4.9975241199214295</v>
      </c>
      <c r="AJ667" s="398">
        <f t="shared" si="324"/>
        <v>4.9980192959371443</v>
      </c>
      <c r="AK667" s="398">
        <f t="shared" si="324"/>
        <v>4.9984154367497151</v>
      </c>
      <c r="AL667" s="398">
        <f t="shared" si="324"/>
        <v>4.9987323493997717</v>
      </c>
      <c r="AM667" s="398">
        <f t="shared" si="324"/>
        <v>4.9989858795198181</v>
      </c>
      <c r="AN667" s="398">
        <f t="shared" si="324"/>
        <v>4.9991887036158547</v>
      </c>
      <c r="AP667" s="21"/>
    </row>
    <row r="668" spans="2:42" x14ac:dyDescent="0.25">
      <c r="C668" s="21" t="s">
        <v>455</v>
      </c>
      <c r="D668" s="34" t="s">
        <v>162</v>
      </c>
      <c r="E668" s="398">
        <v>2</v>
      </c>
      <c r="F668" s="398">
        <f t="shared" ref="F668:AN668" si="325">E668*(1-F$663)+1</f>
        <v>2.6</v>
      </c>
      <c r="G668" s="398">
        <f t="shared" si="325"/>
        <v>3.08</v>
      </c>
      <c r="H668" s="398">
        <f t="shared" si="325"/>
        <v>3.4640000000000004</v>
      </c>
      <c r="I668" s="398">
        <f t="shared" si="325"/>
        <v>3.7712000000000003</v>
      </c>
      <c r="J668" s="398">
        <f t="shared" si="325"/>
        <v>4.016960000000001</v>
      </c>
      <c r="K668" s="398">
        <f t="shared" si="325"/>
        <v>4.2135680000000004</v>
      </c>
      <c r="L668" s="398">
        <f t="shared" si="325"/>
        <v>4.3708544000000007</v>
      </c>
      <c r="M668" s="398">
        <f t="shared" si="325"/>
        <v>4.4966835200000013</v>
      </c>
      <c r="N668" s="398">
        <f t="shared" si="325"/>
        <v>4.5973468160000017</v>
      </c>
      <c r="O668" s="398">
        <f t="shared" si="325"/>
        <v>4.6778774528000016</v>
      </c>
      <c r="P668" s="398">
        <f t="shared" si="325"/>
        <v>4.7423019622400009</v>
      </c>
      <c r="Q668" s="398">
        <f t="shared" si="325"/>
        <v>4.7938415697920007</v>
      </c>
      <c r="R668" s="398">
        <f t="shared" si="325"/>
        <v>4.8350732558336009</v>
      </c>
      <c r="S668" s="398">
        <f t="shared" si="325"/>
        <v>4.8680586046668815</v>
      </c>
      <c r="T668" s="398">
        <f t="shared" si="325"/>
        <v>4.8944468837335053</v>
      </c>
      <c r="U668" s="398">
        <f t="shared" si="325"/>
        <v>4.9155575069868043</v>
      </c>
      <c r="V668" s="398">
        <f t="shared" si="325"/>
        <v>4.9324460055894441</v>
      </c>
      <c r="W668" s="398">
        <f t="shared" si="325"/>
        <v>4.9459568044715549</v>
      </c>
      <c r="X668" s="398">
        <f t="shared" si="325"/>
        <v>4.9567654435772441</v>
      </c>
      <c r="Y668" s="398">
        <f t="shared" si="325"/>
        <v>4.9654123548617957</v>
      </c>
      <c r="Z668" s="398">
        <f t="shared" si="325"/>
        <v>4.9723298838894365</v>
      </c>
      <c r="AA668" s="398">
        <f t="shared" si="325"/>
        <v>4.9778639071115496</v>
      </c>
      <c r="AB668" s="398">
        <f t="shared" si="325"/>
        <v>4.9822911256892404</v>
      </c>
      <c r="AC668" s="398">
        <f t="shared" si="325"/>
        <v>4.9858329005513919</v>
      </c>
      <c r="AD668" s="398">
        <f t="shared" si="325"/>
        <v>4.9886663204411139</v>
      </c>
      <c r="AE668" s="398">
        <f t="shared" si="325"/>
        <v>4.9909330563528913</v>
      </c>
      <c r="AF668" s="398">
        <f t="shared" si="325"/>
        <v>4.9927464450823127</v>
      </c>
      <c r="AG668" s="398">
        <f t="shared" si="325"/>
        <v>4.9941971560658498</v>
      </c>
      <c r="AH668" s="398">
        <f t="shared" si="325"/>
        <v>4.9953577248526795</v>
      </c>
      <c r="AI668" s="398">
        <f t="shared" si="325"/>
        <v>4.9962861798821443</v>
      </c>
      <c r="AJ668" s="398">
        <f t="shared" si="325"/>
        <v>4.9970289439057156</v>
      </c>
      <c r="AK668" s="398">
        <f t="shared" si="325"/>
        <v>4.9976231551245727</v>
      </c>
      <c r="AL668" s="398">
        <f t="shared" si="325"/>
        <v>4.9980985240996585</v>
      </c>
      <c r="AM668" s="398">
        <f t="shared" si="325"/>
        <v>4.9984788192797271</v>
      </c>
      <c r="AN668" s="398">
        <f t="shared" si="325"/>
        <v>4.9987830554237824</v>
      </c>
      <c r="AP668" s="21"/>
    </row>
    <row r="669" spans="2:42" x14ac:dyDescent="0.25">
      <c r="C669" s="21" t="s">
        <v>393</v>
      </c>
      <c r="D669" s="34" t="s">
        <v>162</v>
      </c>
      <c r="E669" s="398">
        <v>1</v>
      </c>
      <c r="F669" s="398">
        <f t="shared" ref="F669:AN669" si="326">E669*(1-F$663)+1</f>
        <v>1.8</v>
      </c>
      <c r="G669" s="398">
        <f t="shared" si="326"/>
        <v>2.4400000000000004</v>
      </c>
      <c r="H669" s="398">
        <f t="shared" si="326"/>
        <v>2.9520000000000004</v>
      </c>
      <c r="I669" s="398">
        <f t="shared" si="326"/>
        <v>3.3616000000000006</v>
      </c>
      <c r="J669" s="398">
        <f t="shared" si="326"/>
        <v>3.6892800000000006</v>
      </c>
      <c r="K669" s="398">
        <f t="shared" si="326"/>
        <v>3.9514240000000007</v>
      </c>
      <c r="L669" s="398">
        <f t="shared" si="326"/>
        <v>4.1611392000000009</v>
      </c>
      <c r="M669" s="398">
        <f t="shared" si="326"/>
        <v>4.3289113600000011</v>
      </c>
      <c r="N669" s="398">
        <f t="shared" si="326"/>
        <v>4.4631290880000005</v>
      </c>
      <c r="O669" s="398">
        <f t="shared" si="326"/>
        <v>4.5705032704000006</v>
      </c>
      <c r="P669" s="398">
        <f t="shared" si="326"/>
        <v>4.6564026163200012</v>
      </c>
      <c r="Q669" s="398">
        <f t="shared" si="326"/>
        <v>4.7251220930560009</v>
      </c>
      <c r="R669" s="398">
        <f t="shared" si="326"/>
        <v>4.7800976744448009</v>
      </c>
      <c r="S669" s="398">
        <f t="shared" si="326"/>
        <v>4.8240781395558407</v>
      </c>
      <c r="T669" s="398">
        <f t="shared" si="326"/>
        <v>4.8592625116446726</v>
      </c>
      <c r="U669" s="398">
        <f t="shared" si="326"/>
        <v>4.8874100093157384</v>
      </c>
      <c r="V669" s="398">
        <f t="shared" si="326"/>
        <v>4.9099280074525904</v>
      </c>
      <c r="W669" s="398">
        <f t="shared" si="326"/>
        <v>4.9279424059620727</v>
      </c>
      <c r="X669" s="398">
        <f t="shared" si="326"/>
        <v>4.9423539247696588</v>
      </c>
      <c r="Y669" s="398">
        <f t="shared" si="326"/>
        <v>4.9538831398157273</v>
      </c>
      <c r="Z669" s="398">
        <f t="shared" si="326"/>
        <v>4.9631065118525814</v>
      </c>
      <c r="AA669" s="398">
        <f t="shared" si="326"/>
        <v>4.9704852094820655</v>
      </c>
      <c r="AB669" s="398">
        <f t="shared" si="326"/>
        <v>4.9763881675856521</v>
      </c>
      <c r="AC669" s="398">
        <f t="shared" si="326"/>
        <v>4.981110534068522</v>
      </c>
      <c r="AD669" s="398">
        <f t="shared" si="326"/>
        <v>4.984888427254818</v>
      </c>
      <c r="AE669" s="398">
        <f t="shared" si="326"/>
        <v>4.9879107418038551</v>
      </c>
      <c r="AF669" s="398">
        <f t="shared" si="326"/>
        <v>4.9903285934430848</v>
      </c>
      <c r="AG669" s="398">
        <f t="shared" si="326"/>
        <v>4.9922628747544682</v>
      </c>
      <c r="AH669" s="398">
        <f t="shared" si="326"/>
        <v>4.9938102998035747</v>
      </c>
      <c r="AI669" s="398">
        <f t="shared" si="326"/>
        <v>4.9950482398428599</v>
      </c>
      <c r="AJ669" s="398">
        <f t="shared" si="326"/>
        <v>4.9960385918742887</v>
      </c>
      <c r="AK669" s="398">
        <f t="shared" si="326"/>
        <v>4.9968308734994311</v>
      </c>
      <c r="AL669" s="398">
        <f t="shared" si="326"/>
        <v>4.9974646987995452</v>
      </c>
      <c r="AM669" s="398">
        <f t="shared" si="326"/>
        <v>4.9979717590396362</v>
      </c>
      <c r="AN669" s="398">
        <f t="shared" si="326"/>
        <v>4.9983774072317093</v>
      </c>
      <c r="AP669" s="21"/>
    </row>
    <row r="670" spans="2:42" x14ac:dyDescent="0.25">
      <c r="C670" s="22" t="s">
        <v>456</v>
      </c>
      <c r="D670" s="34" t="s">
        <v>162</v>
      </c>
      <c r="E670" s="399">
        <v>0</v>
      </c>
      <c r="F670" s="399">
        <f t="shared" ref="F670:AN670" si="327">E670*(1-F$663)+1</f>
        <v>1</v>
      </c>
      <c r="G670" s="399">
        <f t="shared" si="327"/>
        <v>1.8</v>
      </c>
      <c r="H670" s="399">
        <f t="shared" si="327"/>
        <v>2.4400000000000004</v>
      </c>
      <c r="I670" s="399">
        <f t="shared" si="327"/>
        <v>2.9520000000000004</v>
      </c>
      <c r="J670" s="399">
        <f t="shared" si="327"/>
        <v>3.3616000000000006</v>
      </c>
      <c r="K670" s="399">
        <f t="shared" si="327"/>
        <v>3.6892800000000006</v>
      </c>
      <c r="L670" s="399">
        <f t="shared" si="327"/>
        <v>3.9514240000000007</v>
      </c>
      <c r="M670" s="399">
        <f t="shared" si="327"/>
        <v>4.1611392000000009</v>
      </c>
      <c r="N670" s="399">
        <f t="shared" si="327"/>
        <v>4.3289113600000011</v>
      </c>
      <c r="O670" s="399">
        <f t="shared" si="327"/>
        <v>4.4631290880000005</v>
      </c>
      <c r="P670" s="399">
        <f t="shared" si="327"/>
        <v>4.5705032704000006</v>
      </c>
      <c r="Q670" s="399">
        <f t="shared" si="327"/>
        <v>4.6564026163200012</v>
      </c>
      <c r="R670" s="399">
        <f t="shared" si="327"/>
        <v>4.7251220930560009</v>
      </c>
      <c r="S670" s="399">
        <f t="shared" si="327"/>
        <v>4.7800976744448009</v>
      </c>
      <c r="T670" s="399">
        <f t="shared" si="327"/>
        <v>4.8240781395558407</v>
      </c>
      <c r="U670" s="399">
        <f t="shared" si="327"/>
        <v>4.8592625116446726</v>
      </c>
      <c r="V670" s="399">
        <f t="shared" si="327"/>
        <v>4.8874100093157384</v>
      </c>
      <c r="W670" s="399">
        <f t="shared" si="327"/>
        <v>4.9099280074525904</v>
      </c>
      <c r="X670" s="399">
        <f t="shared" si="327"/>
        <v>4.9279424059620727</v>
      </c>
      <c r="Y670" s="399">
        <f t="shared" si="327"/>
        <v>4.9423539247696588</v>
      </c>
      <c r="Z670" s="399">
        <f t="shared" si="327"/>
        <v>4.9538831398157273</v>
      </c>
      <c r="AA670" s="399">
        <f t="shared" si="327"/>
        <v>4.9631065118525814</v>
      </c>
      <c r="AB670" s="399">
        <f t="shared" si="327"/>
        <v>4.9704852094820655</v>
      </c>
      <c r="AC670" s="399">
        <f t="shared" si="327"/>
        <v>4.9763881675856521</v>
      </c>
      <c r="AD670" s="399">
        <f t="shared" si="327"/>
        <v>4.981110534068522</v>
      </c>
      <c r="AE670" s="399">
        <f t="shared" si="327"/>
        <v>4.984888427254818</v>
      </c>
      <c r="AF670" s="399">
        <f t="shared" si="327"/>
        <v>4.9879107418038551</v>
      </c>
      <c r="AG670" s="399">
        <f t="shared" si="327"/>
        <v>4.9903285934430848</v>
      </c>
      <c r="AH670" s="399">
        <f t="shared" si="327"/>
        <v>4.9922628747544682</v>
      </c>
      <c r="AI670" s="399">
        <f t="shared" si="327"/>
        <v>4.9938102998035747</v>
      </c>
      <c r="AJ670" s="399">
        <f t="shared" si="327"/>
        <v>4.9950482398428599</v>
      </c>
      <c r="AK670" s="399">
        <f t="shared" si="327"/>
        <v>4.9960385918742887</v>
      </c>
      <c r="AL670" s="399">
        <f t="shared" si="327"/>
        <v>4.9968308734994311</v>
      </c>
      <c r="AM670" s="399">
        <f t="shared" si="327"/>
        <v>4.9974646987995452</v>
      </c>
      <c r="AN670" s="399">
        <f t="shared" si="327"/>
        <v>4.9979717590396362</v>
      </c>
      <c r="AP670" s="26"/>
    </row>
    <row r="671" spans="2:42" x14ac:dyDescent="0.25">
      <c r="B671" s="99" t="s">
        <v>9</v>
      </c>
      <c r="C671" s="311" t="s">
        <v>627</v>
      </c>
      <c r="D671" s="318"/>
      <c r="E671" s="402"/>
      <c r="F671" s="402"/>
      <c r="G671" s="402"/>
      <c r="H671" s="402"/>
      <c r="I671" s="402"/>
      <c r="J671" s="402"/>
      <c r="K671" s="402"/>
      <c r="L671" s="402"/>
      <c r="M671" s="402"/>
      <c r="N671" s="402"/>
      <c r="O671" s="402"/>
      <c r="P671" s="402"/>
      <c r="Q671" s="402"/>
      <c r="R671" s="402"/>
      <c r="S671" s="402"/>
      <c r="T671" s="402"/>
      <c r="U671" s="402"/>
      <c r="V671" s="402"/>
      <c r="W671" s="402"/>
      <c r="X671" s="402"/>
      <c r="Y671" s="402"/>
      <c r="Z671" s="402"/>
      <c r="AA671" s="402"/>
      <c r="AB671" s="402"/>
      <c r="AC671" s="402"/>
      <c r="AD671" s="402"/>
      <c r="AE671" s="402"/>
      <c r="AF671" s="402"/>
      <c r="AG671" s="402"/>
      <c r="AH671" s="402"/>
      <c r="AI671" s="402"/>
      <c r="AJ671" s="402"/>
      <c r="AK671" s="402"/>
      <c r="AL671" s="402"/>
      <c r="AM671" s="402"/>
      <c r="AN671" s="402"/>
      <c r="AO671" s="74"/>
      <c r="AP671" s="311"/>
    </row>
    <row r="672" spans="2:42" x14ac:dyDescent="0.25">
      <c r="C672" s="20" t="s">
        <v>600</v>
      </c>
      <c r="D672" s="34" t="s">
        <v>162</v>
      </c>
      <c r="E672" s="397">
        <v>5</v>
      </c>
      <c r="F672" s="397">
        <f>E672*(1-F$663)+1</f>
        <v>5</v>
      </c>
      <c r="G672" s="397">
        <f t="shared" ref="G672:AN672" si="328">F672*(1-G$663)+1</f>
        <v>5</v>
      </c>
      <c r="H672" s="397">
        <f t="shared" si="328"/>
        <v>5</v>
      </c>
      <c r="I672" s="397">
        <f t="shared" si="328"/>
        <v>5</v>
      </c>
      <c r="J672" s="397">
        <f t="shared" si="328"/>
        <v>5</v>
      </c>
      <c r="K672" s="397">
        <f t="shared" si="328"/>
        <v>5</v>
      </c>
      <c r="L672" s="397">
        <f t="shared" si="328"/>
        <v>5</v>
      </c>
      <c r="M672" s="397">
        <f t="shared" si="328"/>
        <v>5</v>
      </c>
      <c r="N672" s="397">
        <f t="shared" si="328"/>
        <v>5</v>
      </c>
      <c r="O672" s="397">
        <f t="shared" si="328"/>
        <v>5</v>
      </c>
      <c r="P672" s="397">
        <f t="shared" si="328"/>
        <v>5</v>
      </c>
      <c r="Q672" s="397">
        <f t="shared" si="328"/>
        <v>5</v>
      </c>
      <c r="R672" s="397">
        <f t="shared" si="328"/>
        <v>5</v>
      </c>
      <c r="S672" s="397">
        <f t="shared" si="328"/>
        <v>5</v>
      </c>
      <c r="T672" s="397">
        <f t="shared" si="328"/>
        <v>5</v>
      </c>
      <c r="U672" s="397">
        <f t="shared" si="328"/>
        <v>5</v>
      </c>
      <c r="V672" s="397">
        <f t="shared" si="328"/>
        <v>5</v>
      </c>
      <c r="W672" s="397">
        <f t="shared" si="328"/>
        <v>5</v>
      </c>
      <c r="X672" s="397">
        <f t="shared" si="328"/>
        <v>5</v>
      </c>
      <c r="Y672" s="397">
        <f t="shared" si="328"/>
        <v>5</v>
      </c>
      <c r="Z672" s="397">
        <f t="shared" si="328"/>
        <v>5</v>
      </c>
      <c r="AA672" s="397">
        <f t="shared" si="328"/>
        <v>5</v>
      </c>
      <c r="AB672" s="397">
        <f t="shared" si="328"/>
        <v>5</v>
      </c>
      <c r="AC672" s="397">
        <f t="shared" si="328"/>
        <v>5</v>
      </c>
      <c r="AD672" s="397">
        <f t="shared" si="328"/>
        <v>5</v>
      </c>
      <c r="AE672" s="397">
        <f t="shared" si="328"/>
        <v>5</v>
      </c>
      <c r="AF672" s="397">
        <f t="shared" si="328"/>
        <v>5</v>
      </c>
      <c r="AG672" s="397">
        <f t="shared" si="328"/>
        <v>5</v>
      </c>
      <c r="AH672" s="397">
        <f t="shared" si="328"/>
        <v>5</v>
      </c>
      <c r="AI672" s="397">
        <f t="shared" si="328"/>
        <v>5</v>
      </c>
      <c r="AJ672" s="397">
        <f t="shared" si="328"/>
        <v>5</v>
      </c>
      <c r="AK672" s="397">
        <f t="shared" si="328"/>
        <v>5</v>
      </c>
      <c r="AL672" s="397">
        <f t="shared" si="328"/>
        <v>5</v>
      </c>
      <c r="AM672" s="397">
        <f t="shared" si="328"/>
        <v>5</v>
      </c>
      <c r="AN672" s="397">
        <f t="shared" si="328"/>
        <v>5</v>
      </c>
      <c r="AP672" s="20"/>
    </row>
    <row r="673" spans="2:42" x14ac:dyDescent="0.25">
      <c r="C673" s="20" t="s">
        <v>392</v>
      </c>
      <c r="D673" s="34" t="s">
        <v>162</v>
      </c>
      <c r="E673" s="398">
        <v>4</v>
      </c>
      <c r="F673" s="398">
        <f t="shared" ref="F673:AN673" si="329">E673*(1-F$663)+1</f>
        <v>4.2</v>
      </c>
      <c r="G673" s="398">
        <f t="shared" si="329"/>
        <v>4.3600000000000003</v>
      </c>
      <c r="H673" s="398">
        <f t="shared" si="329"/>
        <v>4.4880000000000004</v>
      </c>
      <c r="I673" s="398">
        <f t="shared" si="329"/>
        <v>4.5904000000000007</v>
      </c>
      <c r="J673" s="398">
        <f t="shared" si="329"/>
        <v>4.6723200000000009</v>
      </c>
      <c r="K673" s="398">
        <f t="shared" si="329"/>
        <v>4.7378560000000007</v>
      </c>
      <c r="L673" s="398">
        <f t="shared" si="329"/>
        <v>4.7902848000000002</v>
      </c>
      <c r="M673" s="398">
        <f t="shared" si="329"/>
        <v>4.8322278399999998</v>
      </c>
      <c r="N673" s="398">
        <f t="shared" si="329"/>
        <v>4.8657822720000006</v>
      </c>
      <c r="O673" s="398">
        <f t="shared" si="329"/>
        <v>4.8926258176000008</v>
      </c>
      <c r="P673" s="398">
        <f t="shared" si="329"/>
        <v>4.9141006540800003</v>
      </c>
      <c r="Q673" s="398">
        <f t="shared" si="329"/>
        <v>4.9312805232640002</v>
      </c>
      <c r="R673" s="398">
        <f t="shared" si="329"/>
        <v>4.9450244186112009</v>
      </c>
      <c r="S673" s="398">
        <f t="shared" si="329"/>
        <v>4.9560195348889611</v>
      </c>
      <c r="T673" s="398">
        <f t="shared" si="329"/>
        <v>4.964815627911169</v>
      </c>
      <c r="U673" s="398">
        <f t="shared" si="329"/>
        <v>4.9718525023289359</v>
      </c>
      <c r="V673" s="398">
        <f t="shared" si="329"/>
        <v>4.9774820018631489</v>
      </c>
      <c r="W673" s="398">
        <f t="shared" si="329"/>
        <v>4.9819856014905195</v>
      </c>
      <c r="X673" s="398">
        <f t="shared" si="329"/>
        <v>4.9855884811924156</v>
      </c>
      <c r="Y673" s="398">
        <f t="shared" si="329"/>
        <v>4.9884707849539325</v>
      </c>
      <c r="Z673" s="398">
        <f t="shared" si="329"/>
        <v>4.9907766279631467</v>
      </c>
      <c r="AA673" s="398">
        <f t="shared" si="329"/>
        <v>4.9926213023705177</v>
      </c>
      <c r="AB673" s="398">
        <f t="shared" si="329"/>
        <v>4.9940970418964143</v>
      </c>
      <c r="AC673" s="398">
        <f t="shared" si="329"/>
        <v>4.9952776335171318</v>
      </c>
      <c r="AD673" s="398">
        <f t="shared" si="329"/>
        <v>4.9962221068137058</v>
      </c>
      <c r="AE673" s="398">
        <f t="shared" si="329"/>
        <v>4.9969776854509647</v>
      </c>
      <c r="AF673" s="398">
        <f t="shared" si="329"/>
        <v>4.9975821483607721</v>
      </c>
      <c r="AG673" s="398">
        <f t="shared" si="329"/>
        <v>4.9980657186886184</v>
      </c>
      <c r="AH673" s="398">
        <f t="shared" si="329"/>
        <v>4.9984525749508943</v>
      </c>
      <c r="AI673" s="398">
        <f t="shared" si="329"/>
        <v>4.9987620599607157</v>
      </c>
      <c r="AJ673" s="398">
        <f t="shared" si="329"/>
        <v>4.9990096479685722</v>
      </c>
      <c r="AK673" s="398">
        <f t="shared" si="329"/>
        <v>4.9992077183748584</v>
      </c>
      <c r="AL673" s="398">
        <f t="shared" si="329"/>
        <v>4.9993661746998868</v>
      </c>
      <c r="AM673" s="398">
        <f t="shared" si="329"/>
        <v>4.999492939759909</v>
      </c>
      <c r="AN673" s="398">
        <f t="shared" si="329"/>
        <v>4.9995943518079269</v>
      </c>
      <c r="AP673" s="21"/>
    </row>
    <row r="674" spans="2:42" x14ac:dyDescent="0.25">
      <c r="C674" s="20" t="s">
        <v>454</v>
      </c>
      <c r="D674" s="34" t="s">
        <v>162</v>
      </c>
      <c r="E674" s="398">
        <v>3</v>
      </c>
      <c r="F674" s="398">
        <f t="shared" ref="F674:AN674" si="330">E674*(1-F$663)+1</f>
        <v>3.4000000000000004</v>
      </c>
      <c r="G674" s="398">
        <f t="shared" si="330"/>
        <v>3.7200000000000006</v>
      </c>
      <c r="H674" s="398">
        <f t="shared" si="330"/>
        <v>3.9760000000000009</v>
      </c>
      <c r="I674" s="398">
        <f t="shared" si="330"/>
        <v>4.1808000000000014</v>
      </c>
      <c r="J674" s="398">
        <f t="shared" si="330"/>
        <v>4.3446400000000018</v>
      </c>
      <c r="K674" s="398">
        <f t="shared" si="330"/>
        <v>4.4757120000000015</v>
      </c>
      <c r="L674" s="398">
        <f t="shared" si="330"/>
        <v>4.5805696000000014</v>
      </c>
      <c r="M674" s="398">
        <f t="shared" si="330"/>
        <v>4.6644556800000014</v>
      </c>
      <c r="N674" s="398">
        <f t="shared" si="330"/>
        <v>4.7315645440000011</v>
      </c>
      <c r="O674" s="398">
        <f t="shared" si="330"/>
        <v>4.7852516352000016</v>
      </c>
      <c r="P674" s="398">
        <f t="shared" si="330"/>
        <v>4.8282013081600015</v>
      </c>
      <c r="Q674" s="398">
        <f t="shared" si="330"/>
        <v>4.8625610465280014</v>
      </c>
      <c r="R674" s="398">
        <f t="shared" si="330"/>
        <v>4.8900488372224018</v>
      </c>
      <c r="S674" s="398">
        <f t="shared" si="330"/>
        <v>4.9120390697779222</v>
      </c>
      <c r="T674" s="398">
        <f t="shared" si="330"/>
        <v>4.9296312558223381</v>
      </c>
      <c r="U674" s="398">
        <f t="shared" si="330"/>
        <v>4.9437050046578701</v>
      </c>
      <c r="V674" s="398">
        <f t="shared" si="330"/>
        <v>4.9549640037262961</v>
      </c>
      <c r="W674" s="398">
        <f t="shared" si="330"/>
        <v>4.9639712029810372</v>
      </c>
      <c r="X674" s="398">
        <f t="shared" si="330"/>
        <v>4.9711769623848294</v>
      </c>
      <c r="Y674" s="398">
        <f t="shared" si="330"/>
        <v>4.9769415699078632</v>
      </c>
      <c r="Z674" s="398">
        <f t="shared" si="330"/>
        <v>4.9815532559262907</v>
      </c>
      <c r="AA674" s="398">
        <f t="shared" si="330"/>
        <v>4.9852426047410328</v>
      </c>
      <c r="AB674" s="398">
        <f t="shared" si="330"/>
        <v>4.9881940837928269</v>
      </c>
      <c r="AC674" s="398">
        <f t="shared" si="330"/>
        <v>4.9905552670342619</v>
      </c>
      <c r="AD674" s="398">
        <f t="shared" si="330"/>
        <v>4.9924442136274099</v>
      </c>
      <c r="AE674" s="398">
        <f t="shared" si="330"/>
        <v>4.9939553709019275</v>
      </c>
      <c r="AF674" s="398">
        <f t="shared" si="330"/>
        <v>4.9951642967215424</v>
      </c>
      <c r="AG674" s="398">
        <f t="shared" si="330"/>
        <v>4.9961314373772341</v>
      </c>
      <c r="AH674" s="398">
        <f t="shared" si="330"/>
        <v>4.9969051499017869</v>
      </c>
      <c r="AI674" s="398">
        <f t="shared" si="330"/>
        <v>4.9975241199214295</v>
      </c>
      <c r="AJ674" s="398">
        <f t="shared" si="330"/>
        <v>4.9980192959371443</v>
      </c>
      <c r="AK674" s="398">
        <f t="shared" si="330"/>
        <v>4.9984154367497151</v>
      </c>
      <c r="AL674" s="398">
        <f t="shared" si="330"/>
        <v>4.9987323493997717</v>
      </c>
      <c r="AM674" s="398">
        <f t="shared" si="330"/>
        <v>4.9989858795198181</v>
      </c>
      <c r="AN674" s="398">
        <f t="shared" si="330"/>
        <v>4.9991887036158547</v>
      </c>
      <c r="AP674" s="21"/>
    </row>
    <row r="675" spans="2:42" x14ac:dyDescent="0.25">
      <c r="C675" s="21" t="s">
        <v>455</v>
      </c>
      <c r="D675" s="34" t="s">
        <v>162</v>
      </c>
      <c r="E675" s="398">
        <v>2</v>
      </c>
      <c r="F675" s="398">
        <f t="shared" ref="F675:AN675" si="331">E675*(1-F$663)+1</f>
        <v>2.6</v>
      </c>
      <c r="G675" s="398">
        <f t="shared" si="331"/>
        <v>3.08</v>
      </c>
      <c r="H675" s="398">
        <f t="shared" si="331"/>
        <v>3.4640000000000004</v>
      </c>
      <c r="I675" s="398">
        <f t="shared" si="331"/>
        <v>3.7712000000000003</v>
      </c>
      <c r="J675" s="398">
        <f t="shared" si="331"/>
        <v>4.016960000000001</v>
      </c>
      <c r="K675" s="398">
        <f t="shared" si="331"/>
        <v>4.2135680000000004</v>
      </c>
      <c r="L675" s="398">
        <f t="shared" si="331"/>
        <v>4.3708544000000007</v>
      </c>
      <c r="M675" s="398">
        <f t="shared" si="331"/>
        <v>4.4966835200000013</v>
      </c>
      <c r="N675" s="398">
        <f t="shared" si="331"/>
        <v>4.5973468160000017</v>
      </c>
      <c r="O675" s="398">
        <f t="shared" si="331"/>
        <v>4.6778774528000016</v>
      </c>
      <c r="P675" s="398">
        <f t="shared" si="331"/>
        <v>4.7423019622400009</v>
      </c>
      <c r="Q675" s="398">
        <f t="shared" si="331"/>
        <v>4.7938415697920007</v>
      </c>
      <c r="R675" s="398">
        <f t="shared" si="331"/>
        <v>4.8350732558336009</v>
      </c>
      <c r="S675" s="398">
        <f t="shared" si="331"/>
        <v>4.8680586046668815</v>
      </c>
      <c r="T675" s="398">
        <f t="shared" si="331"/>
        <v>4.8944468837335053</v>
      </c>
      <c r="U675" s="398">
        <f t="shared" si="331"/>
        <v>4.9155575069868043</v>
      </c>
      <c r="V675" s="398">
        <f t="shared" si="331"/>
        <v>4.9324460055894441</v>
      </c>
      <c r="W675" s="398">
        <f t="shared" si="331"/>
        <v>4.9459568044715549</v>
      </c>
      <c r="X675" s="398">
        <f t="shared" si="331"/>
        <v>4.9567654435772441</v>
      </c>
      <c r="Y675" s="398">
        <f t="shared" si="331"/>
        <v>4.9654123548617957</v>
      </c>
      <c r="Z675" s="398">
        <f t="shared" si="331"/>
        <v>4.9723298838894365</v>
      </c>
      <c r="AA675" s="398">
        <f t="shared" si="331"/>
        <v>4.9778639071115496</v>
      </c>
      <c r="AB675" s="398">
        <f t="shared" si="331"/>
        <v>4.9822911256892404</v>
      </c>
      <c r="AC675" s="398">
        <f t="shared" si="331"/>
        <v>4.9858329005513919</v>
      </c>
      <c r="AD675" s="398">
        <f t="shared" si="331"/>
        <v>4.9886663204411139</v>
      </c>
      <c r="AE675" s="398">
        <f t="shared" si="331"/>
        <v>4.9909330563528913</v>
      </c>
      <c r="AF675" s="398">
        <f t="shared" si="331"/>
        <v>4.9927464450823127</v>
      </c>
      <c r="AG675" s="398">
        <f t="shared" si="331"/>
        <v>4.9941971560658498</v>
      </c>
      <c r="AH675" s="398">
        <f t="shared" si="331"/>
        <v>4.9953577248526795</v>
      </c>
      <c r="AI675" s="398">
        <f t="shared" si="331"/>
        <v>4.9962861798821443</v>
      </c>
      <c r="AJ675" s="398">
        <f t="shared" si="331"/>
        <v>4.9970289439057156</v>
      </c>
      <c r="AK675" s="398">
        <f t="shared" si="331"/>
        <v>4.9976231551245727</v>
      </c>
      <c r="AL675" s="398">
        <f t="shared" si="331"/>
        <v>4.9980985240996585</v>
      </c>
      <c r="AM675" s="398">
        <f t="shared" si="331"/>
        <v>4.9984788192797271</v>
      </c>
      <c r="AN675" s="398">
        <f t="shared" si="331"/>
        <v>4.9987830554237824</v>
      </c>
      <c r="AP675" s="21"/>
    </row>
    <row r="676" spans="2:42" x14ac:dyDescent="0.25">
      <c r="C676" s="21" t="s">
        <v>393</v>
      </c>
      <c r="D676" s="34" t="s">
        <v>162</v>
      </c>
      <c r="E676" s="398">
        <v>1</v>
      </c>
      <c r="F676" s="398">
        <f t="shared" ref="F676:AN676" si="332">E676*(1-F$663)+1</f>
        <v>1.8</v>
      </c>
      <c r="G676" s="398">
        <f t="shared" si="332"/>
        <v>2.4400000000000004</v>
      </c>
      <c r="H676" s="398">
        <f t="shared" si="332"/>
        <v>2.9520000000000004</v>
      </c>
      <c r="I676" s="398">
        <f t="shared" si="332"/>
        <v>3.3616000000000006</v>
      </c>
      <c r="J676" s="398">
        <f t="shared" si="332"/>
        <v>3.6892800000000006</v>
      </c>
      <c r="K676" s="398">
        <f t="shared" si="332"/>
        <v>3.9514240000000007</v>
      </c>
      <c r="L676" s="398">
        <f t="shared" si="332"/>
        <v>4.1611392000000009</v>
      </c>
      <c r="M676" s="398">
        <f t="shared" si="332"/>
        <v>4.3289113600000011</v>
      </c>
      <c r="N676" s="398">
        <f t="shared" si="332"/>
        <v>4.4631290880000005</v>
      </c>
      <c r="O676" s="398">
        <f t="shared" si="332"/>
        <v>4.5705032704000006</v>
      </c>
      <c r="P676" s="398">
        <f t="shared" si="332"/>
        <v>4.6564026163200012</v>
      </c>
      <c r="Q676" s="398">
        <f t="shared" si="332"/>
        <v>4.7251220930560009</v>
      </c>
      <c r="R676" s="398">
        <f t="shared" si="332"/>
        <v>4.7800976744448009</v>
      </c>
      <c r="S676" s="398">
        <f t="shared" si="332"/>
        <v>4.8240781395558407</v>
      </c>
      <c r="T676" s="398">
        <f t="shared" si="332"/>
        <v>4.8592625116446726</v>
      </c>
      <c r="U676" s="398">
        <f t="shared" si="332"/>
        <v>4.8874100093157384</v>
      </c>
      <c r="V676" s="398">
        <f t="shared" si="332"/>
        <v>4.9099280074525904</v>
      </c>
      <c r="W676" s="398">
        <f t="shared" si="332"/>
        <v>4.9279424059620727</v>
      </c>
      <c r="X676" s="398">
        <f t="shared" si="332"/>
        <v>4.9423539247696588</v>
      </c>
      <c r="Y676" s="398">
        <f t="shared" si="332"/>
        <v>4.9538831398157273</v>
      </c>
      <c r="Z676" s="398">
        <f t="shared" si="332"/>
        <v>4.9631065118525814</v>
      </c>
      <c r="AA676" s="398">
        <f t="shared" si="332"/>
        <v>4.9704852094820655</v>
      </c>
      <c r="AB676" s="398">
        <f t="shared" si="332"/>
        <v>4.9763881675856521</v>
      </c>
      <c r="AC676" s="398">
        <f t="shared" si="332"/>
        <v>4.981110534068522</v>
      </c>
      <c r="AD676" s="398">
        <f t="shared" si="332"/>
        <v>4.984888427254818</v>
      </c>
      <c r="AE676" s="398">
        <f t="shared" si="332"/>
        <v>4.9879107418038551</v>
      </c>
      <c r="AF676" s="398">
        <f t="shared" si="332"/>
        <v>4.9903285934430848</v>
      </c>
      <c r="AG676" s="398">
        <f t="shared" si="332"/>
        <v>4.9922628747544682</v>
      </c>
      <c r="AH676" s="398">
        <f t="shared" si="332"/>
        <v>4.9938102998035747</v>
      </c>
      <c r="AI676" s="398">
        <f t="shared" si="332"/>
        <v>4.9950482398428599</v>
      </c>
      <c r="AJ676" s="398">
        <f t="shared" si="332"/>
        <v>4.9960385918742887</v>
      </c>
      <c r="AK676" s="398">
        <f t="shared" si="332"/>
        <v>4.9968308734994311</v>
      </c>
      <c r="AL676" s="398">
        <f t="shared" si="332"/>
        <v>4.9974646987995452</v>
      </c>
      <c r="AM676" s="398">
        <f t="shared" si="332"/>
        <v>4.9979717590396362</v>
      </c>
      <c r="AN676" s="398">
        <f t="shared" si="332"/>
        <v>4.9983774072317093</v>
      </c>
      <c r="AP676" s="21"/>
    </row>
    <row r="677" spans="2:42" x14ac:dyDescent="0.25">
      <c r="C677" s="22" t="s">
        <v>456</v>
      </c>
      <c r="D677" s="34" t="s">
        <v>162</v>
      </c>
      <c r="E677" s="399">
        <v>0</v>
      </c>
      <c r="F677" s="399">
        <f t="shared" ref="F677:AN677" si="333">E677*(1-F$663)+1</f>
        <v>1</v>
      </c>
      <c r="G677" s="399">
        <f t="shared" si="333"/>
        <v>1.8</v>
      </c>
      <c r="H677" s="399">
        <f t="shared" si="333"/>
        <v>2.4400000000000004</v>
      </c>
      <c r="I677" s="399">
        <f t="shared" si="333"/>
        <v>2.9520000000000004</v>
      </c>
      <c r="J677" s="399">
        <f t="shared" si="333"/>
        <v>3.3616000000000006</v>
      </c>
      <c r="K677" s="399">
        <f t="shared" si="333"/>
        <v>3.6892800000000006</v>
      </c>
      <c r="L677" s="399">
        <f t="shared" si="333"/>
        <v>3.9514240000000007</v>
      </c>
      <c r="M677" s="399">
        <f t="shared" si="333"/>
        <v>4.1611392000000009</v>
      </c>
      <c r="N677" s="399">
        <f t="shared" si="333"/>
        <v>4.3289113600000011</v>
      </c>
      <c r="O677" s="399">
        <f t="shared" si="333"/>
        <v>4.4631290880000005</v>
      </c>
      <c r="P677" s="399">
        <f t="shared" si="333"/>
        <v>4.5705032704000006</v>
      </c>
      <c r="Q677" s="399">
        <f t="shared" si="333"/>
        <v>4.6564026163200012</v>
      </c>
      <c r="R677" s="399">
        <f t="shared" si="333"/>
        <v>4.7251220930560009</v>
      </c>
      <c r="S677" s="399">
        <f t="shared" si="333"/>
        <v>4.7800976744448009</v>
      </c>
      <c r="T677" s="399">
        <f t="shared" si="333"/>
        <v>4.8240781395558407</v>
      </c>
      <c r="U677" s="399">
        <f t="shared" si="333"/>
        <v>4.8592625116446726</v>
      </c>
      <c r="V677" s="399">
        <f t="shared" si="333"/>
        <v>4.8874100093157384</v>
      </c>
      <c r="W677" s="399">
        <f t="shared" si="333"/>
        <v>4.9099280074525904</v>
      </c>
      <c r="X677" s="399">
        <f t="shared" si="333"/>
        <v>4.9279424059620727</v>
      </c>
      <c r="Y677" s="399">
        <f t="shared" si="333"/>
        <v>4.9423539247696588</v>
      </c>
      <c r="Z677" s="399">
        <f t="shared" si="333"/>
        <v>4.9538831398157273</v>
      </c>
      <c r="AA677" s="399">
        <f t="shared" si="333"/>
        <v>4.9631065118525814</v>
      </c>
      <c r="AB677" s="399">
        <f t="shared" si="333"/>
        <v>4.9704852094820655</v>
      </c>
      <c r="AC677" s="399">
        <f t="shared" si="333"/>
        <v>4.9763881675856521</v>
      </c>
      <c r="AD677" s="399">
        <f t="shared" si="333"/>
        <v>4.981110534068522</v>
      </c>
      <c r="AE677" s="399">
        <f t="shared" si="333"/>
        <v>4.984888427254818</v>
      </c>
      <c r="AF677" s="399">
        <f t="shared" si="333"/>
        <v>4.9879107418038551</v>
      </c>
      <c r="AG677" s="399">
        <f t="shared" si="333"/>
        <v>4.9903285934430848</v>
      </c>
      <c r="AH677" s="399">
        <f t="shared" si="333"/>
        <v>4.9922628747544682</v>
      </c>
      <c r="AI677" s="399">
        <f t="shared" si="333"/>
        <v>4.9938102998035747</v>
      </c>
      <c r="AJ677" s="399">
        <f t="shared" si="333"/>
        <v>4.9950482398428599</v>
      </c>
      <c r="AK677" s="399">
        <f t="shared" si="333"/>
        <v>4.9960385918742887</v>
      </c>
      <c r="AL677" s="399">
        <f t="shared" si="333"/>
        <v>4.9968308734994311</v>
      </c>
      <c r="AM677" s="399">
        <f t="shared" si="333"/>
        <v>4.9974646987995452</v>
      </c>
      <c r="AN677" s="399">
        <f t="shared" si="333"/>
        <v>4.9979717590396362</v>
      </c>
      <c r="AP677" s="26"/>
    </row>
    <row r="678" spans="2:42" x14ac:dyDescent="0.25">
      <c r="B678" s="99" t="s">
        <v>9</v>
      </c>
      <c r="C678" s="311" t="s">
        <v>628</v>
      </c>
      <c r="D678" s="318"/>
      <c r="E678" s="402"/>
      <c r="F678" s="402"/>
      <c r="G678" s="402"/>
      <c r="H678" s="402"/>
      <c r="I678" s="402"/>
      <c r="J678" s="402"/>
      <c r="K678" s="402"/>
      <c r="L678" s="402"/>
      <c r="M678" s="402"/>
      <c r="N678" s="402"/>
      <c r="O678" s="402"/>
      <c r="P678" s="402"/>
      <c r="Q678" s="402"/>
      <c r="R678" s="402"/>
      <c r="S678" s="402"/>
      <c r="T678" s="402"/>
      <c r="U678" s="402"/>
      <c r="V678" s="402"/>
      <c r="W678" s="402"/>
      <c r="X678" s="402"/>
      <c r="Y678" s="402"/>
      <c r="Z678" s="402"/>
      <c r="AA678" s="402"/>
      <c r="AB678" s="402"/>
      <c r="AC678" s="402"/>
      <c r="AD678" s="402"/>
      <c r="AE678" s="402"/>
      <c r="AF678" s="402"/>
      <c r="AG678" s="402"/>
      <c r="AH678" s="402"/>
      <c r="AI678" s="402"/>
      <c r="AJ678" s="402"/>
      <c r="AK678" s="402"/>
      <c r="AL678" s="402"/>
      <c r="AM678" s="402"/>
      <c r="AN678" s="402"/>
      <c r="AO678" s="74"/>
      <c r="AP678" s="311"/>
    </row>
    <row r="679" spans="2:42" x14ac:dyDescent="0.25">
      <c r="C679" s="20" t="s">
        <v>600</v>
      </c>
      <c r="D679" s="34" t="s">
        <v>162</v>
      </c>
      <c r="E679" s="397">
        <v>5</v>
      </c>
      <c r="F679" s="397">
        <f>E679*(1-F$663)+1</f>
        <v>5</v>
      </c>
      <c r="G679" s="397">
        <f t="shared" ref="G679:AN679" si="334">F679*(1-G$663)+1</f>
        <v>5</v>
      </c>
      <c r="H679" s="397">
        <f t="shared" si="334"/>
        <v>5</v>
      </c>
      <c r="I679" s="397">
        <f t="shared" si="334"/>
        <v>5</v>
      </c>
      <c r="J679" s="397">
        <f t="shared" si="334"/>
        <v>5</v>
      </c>
      <c r="K679" s="397">
        <f t="shared" si="334"/>
        <v>5</v>
      </c>
      <c r="L679" s="397">
        <f t="shared" si="334"/>
        <v>5</v>
      </c>
      <c r="M679" s="397">
        <f t="shared" si="334"/>
        <v>5</v>
      </c>
      <c r="N679" s="397">
        <f t="shared" si="334"/>
        <v>5</v>
      </c>
      <c r="O679" s="397">
        <f t="shared" si="334"/>
        <v>5</v>
      </c>
      <c r="P679" s="397">
        <f t="shared" si="334"/>
        <v>5</v>
      </c>
      <c r="Q679" s="397">
        <f t="shared" si="334"/>
        <v>5</v>
      </c>
      <c r="R679" s="397">
        <f t="shared" si="334"/>
        <v>5</v>
      </c>
      <c r="S679" s="397">
        <f t="shared" si="334"/>
        <v>5</v>
      </c>
      <c r="T679" s="397">
        <f t="shared" si="334"/>
        <v>5</v>
      </c>
      <c r="U679" s="397">
        <f t="shared" si="334"/>
        <v>5</v>
      </c>
      <c r="V679" s="397">
        <f t="shared" si="334"/>
        <v>5</v>
      </c>
      <c r="W679" s="397">
        <f t="shared" si="334"/>
        <v>5</v>
      </c>
      <c r="X679" s="397">
        <f t="shared" si="334"/>
        <v>5</v>
      </c>
      <c r="Y679" s="397">
        <f t="shared" si="334"/>
        <v>5</v>
      </c>
      <c r="Z679" s="397">
        <f t="shared" si="334"/>
        <v>5</v>
      </c>
      <c r="AA679" s="397">
        <f t="shared" si="334"/>
        <v>5</v>
      </c>
      <c r="AB679" s="397">
        <f t="shared" si="334"/>
        <v>5</v>
      </c>
      <c r="AC679" s="397">
        <f t="shared" si="334"/>
        <v>5</v>
      </c>
      <c r="AD679" s="397">
        <f t="shared" si="334"/>
        <v>5</v>
      </c>
      <c r="AE679" s="397">
        <f t="shared" si="334"/>
        <v>5</v>
      </c>
      <c r="AF679" s="397">
        <f t="shared" si="334"/>
        <v>5</v>
      </c>
      <c r="AG679" s="397">
        <f t="shared" si="334"/>
        <v>5</v>
      </c>
      <c r="AH679" s="397">
        <f t="shared" si="334"/>
        <v>5</v>
      </c>
      <c r="AI679" s="397">
        <f t="shared" si="334"/>
        <v>5</v>
      </c>
      <c r="AJ679" s="397">
        <f t="shared" si="334"/>
        <v>5</v>
      </c>
      <c r="AK679" s="397">
        <f t="shared" si="334"/>
        <v>5</v>
      </c>
      <c r="AL679" s="397">
        <f t="shared" si="334"/>
        <v>5</v>
      </c>
      <c r="AM679" s="397">
        <f t="shared" si="334"/>
        <v>5</v>
      </c>
      <c r="AN679" s="397">
        <f t="shared" si="334"/>
        <v>5</v>
      </c>
      <c r="AP679" s="20"/>
    </row>
    <row r="680" spans="2:42" x14ac:dyDescent="0.25">
      <c r="C680" s="20" t="s">
        <v>392</v>
      </c>
      <c r="D680" s="34" t="s">
        <v>162</v>
      </c>
      <c r="E680" s="398">
        <v>4</v>
      </c>
      <c r="F680" s="398">
        <f t="shared" ref="F680:AN680" si="335">E680*(1-F$663)+1</f>
        <v>4.2</v>
      </c>
      <c r="G680" s="398">
        <f t="shared" si="335"/>
        <v>4.3600000000000003</v>
      </c>
      <c r="H680" s="398">
        <f t="shared" si="335"/>
        <v>4.4880000000000004</v>
      </c>
      <c r="I680" s="398">
        <f t="shared" si="335"/>
        <v>4.5904000000000007</v>
      </c>
      <c r="J680" s="398">
        <f t="shared" si="335"/>
        <v>4.6723200000000009</v>
      </c>
      <c r="K680" s="398">
        <f t="shared" si="335"/>
        <v>4.7378560000000007</v>
      </c>
      <c r="L680" s="398">
        <f t="shared" si="335"/>
        <v>4.7902848000000002</v>
      </c>
      <c r="M680" s="398">
        <f t="shared" si="335"/>
        <v>4.8322278399999998</v>
      </c>
      <c r="N680" s="398">
        <f t="shared" si="335"/>
        <v>4.8657822720000006</v>
      </c>
      <c r="O680" s="398">
        <f t="shared" si="335"/>
        <v>4.8926258176000008</v>
      </c>
      <c r="P680" s="398">
        <f t="shared" si="335"/>
        <v>4.9141006540800003</v>
      </c>
      <c r="Q680" s="398">
        <f t="shared" si="335"/>
        <v>4.9312805232640002</v>
      </c>
      <c r="R680" s="398">
        <f t="shared" si="335"/>
        <v>4.9450244186112009</v>
      </c>
      <c r="S680" s="398">
        <f t="shared" si="335"/>
        <v>4.9560195348889611</v>
      </c>
      <c r="T680" s="398">
        <f t="shared" si="335"/>
        <v>4.964815627911169</v>
      </c>
      <c r="U680" s="398">
        <f t="shared" si="335"/>
        <v>4.9718525023289359</v>
      </c>
      <c r="V680" s="398">
        <f t="shared" si="335"/>
        <v>4.9774820018631489</v>
      </c>
      <c r="W680" s="398">
        <f t="shared" si="335"/>
        <v>4.9819856014905195</v>
      </c>
      <c r="X680" s="398">
        <f t="shared" si="335"/>
        <v>4.9855884811924156</v>
      </c>
      <c r="Y680" s="398">
        <f t="shared" si="335"/>
        <v>4.9884707849539325</v>
      </c>
      <c r="Z680" s="398">
        <f t="shared" si="335"/>
        <v>4.9907766279631467</v>
      </c>
      <c r="AA680" s="398">
        <f t="shared" si="335"/>
        <v>4.9926213023705177</v>
      </c>
      <c r="AB680" s="398">
        <f t="shared" si="335"/>
        <v>4.9940970418964143</v>
      </c>
      <c r="AC680" s="398">
        <f t="shared" si="335"/>
        <v>4.9952776335171318</v>
      </c>
      <c r="AD680" s="398">
        <f t="shared" si="335"/>
        <v>4.9962221068137058</v>
      </c>
      <c r="AE680" s="398">
        <f t="shared" si="335"/>
        <v>4.9969776854509647</v>
      </c>
      <c r="AF680" s="398">
        <f t="shared" si="335"/>
        <v>4.9975821483607721</v>
      </c>
      <c r="AG680" s="398">
        <f t="shared" si="335"/>
        <v>4.9980657186886184</v>
      </c>
      <c r="AH680" s="398">
        <f t="shared" si="335"/>
        <v>4.9984525749508943</v>
      </c>
      <c r="AI680" s="398">
        <f t="shared" si="335"/>
        <v>4.9987620599607157</v>
      </c>
      <c r="AJ680" s="398">
        <f t="shared" si="335"/>
        <v>4.9990096479685722</v>
      </c>
      <c r="AK680" s="398">
        <f t="shared" si="335"/>
        <v>4.9992077183748584</v>
      </c>
      <c r="AL680" s="398">
        <f t="shared" si="335"/>
        <v>4.9993661746998868</v>
      </c>
      <c r="AM680" s="398">
        <f t="shared" si="335"/>
        <v>4.999492939759909</v>
      </c>
      <c r="AN680" s="398">
        <f t="shared" si="335"/>
        <v>4.9995943518079269</v>
      </c>
      <c r="AP680" s="21"/>
    </row>
    <row r="681" spans="2:42" x14ac:dyDescent="0.25">
      <c r="C681" s="20" t="s">
        <v>454</v>
      </c>
      <c r="D681" s="34" t="s">
        <v>162</v>
      </c>
      <c r="E681" s="398">
        <v>3</v>
      </c>
      <c r="F681" s="398">
        <f t="shared" ref="F681:AN681" si="336">E681*(1-F$663)+1</f>
        <v>3.4000000000000004</v>
      </c>
      <c r="G681" s="398">
        <f t="shared" si="336"/>
        <v>3.7200000000000006</v>
      </c>
      <c r="H681" s="398">
        <f t="shared" si="336"/>
        <v>3.9760000000000009</v>
      </c>
      <c r="I681" s="398">
        <f t="shared" si="336"/>
        <v>4.1808000000000014</v>
      </c>
      <c r="J681" s="398">
        <f t="shared" si="336"/>
        <v>4.3446400000000018</v>
      </c>
      <c r="K681" s="398">
        <f t="shared" si="336"/>
        <v>4.4757120000000015</v>
      </c>
      <c r="L681" s="398">
        <f t="shared" si="336"/>
        <v>4.5805696000000014</v>
      </c>
      <c r="M681" s="398">
        <f t="shared" si="336"/>
        <v>4.6644556800000014</v>
      </c>
      <c r="N681" s="398">
        <f t="shared" si="336"/>
        <v>4.7315645440000011</v>
      </c>
      <c r="O681" s="398">
        <f t="shared" si="336"/>
        <v>4.7852516352000016</v>
      </c>
      <c r="P681" s="398">
        <f t="shared" si="336"/>
        <v>4.8282013081600015</v>
      </c>
      <c r="Q681" s="398">
        <f t="shared" si="336"/>
        <v>4.8625610465280014</v>
      </c>
      <c r="R681" s="398">
        <f t="shared" si="336"/>
        <v>4.8900488372224018</v>
      </c>
      <c r="S681" s="398">
        <f t="shared" si="336"/>
        <v>4.9120390697779222</v>
      </c>
      <c r="T681" s="398">
        <f t="shared" si="336"/>
        <v>4.9296312558223381</v>
      </c>
      <c r="U681" s="398">
        <f t="shared" si="336"/>
        <v>4.9437050046578701</v>
      </c>
      <c r="V681" s="398">
        <f t="shared" si="336"/>
        <v>4.9549640037262961</v>
      </c>
      <c r="W681" s="398">
        <f t="shared" si="336"/>
        <v>4.9639712029810372</v>
      </c>
      <c r="X681" s="398">
        <f t="shared" si="336"/>
        <v>4.9711769623848294</v>
      </c>
      <c r="Y681" s="398">
        <f t="shared" si="336"/>
        <v>4.9769415699078632</v>
      </c>
      <c r="Z681" s="398">
        <f t="shared" si="336"/>
        <v>4.9815532559262907</v>
      </c>
      <c r="AA681" s="398">
        <f t="shared" si="336"/>
        <v>4.9852426047410328</v>
      </c>
      <c r="AB681" s="398">
        <f t="shared" si="336"/>
        <v>4.9881940837928269</v>
      </c>
      <c r="AC681" s="398">
        <f t="shared" si="336"/>
        <v>4.9905552670342619</v>
      </c>
      <c r="AD681" s="398">
        <f t="shared" si="336"/>
        <v>4.9924442136274099</v>
      </c>
      <c r="AE681" s="398">
        <f t="shared" si="336"/>
        <v>4.9939553709019275</v>
      </c>
      <c r="AF681" s="398">
        <f t="shared" si="336"/>
        <v>4.9951642967215424</v>
      </c>
      <c r="AG681" s="398">
        <f t="shared" si="336"/>
        <v>4.9961314373772341</v>
      </c>
      <c r="AH681" s="398">
        <f t="shared" si="336"/>
        <v>4.9969051499017869</v>
      </c>
      <c r="AI681" s="398">
        <f t="shared" si="336"/>
        <v>4.9975241199214295</v>
      </c>
      <c r="AJ681" s="398">
        <f t="shared" si="336"/>
        <v>4.9980192959371443</v>
      </c>
      <c r="AK681" s="398">
        <f t="shared" si="336"/>
        <v>4.9984154367497151</v>
      </c>
      <c r="AL681" s="398">
        <f t="shared" si="336"/>
        <v>4.9987323493997717</v>
      </c>
      <c r="AM681" s="398">
        <f t="shared" si="336"/>
        <v>4.9989858795198181</v>
      </c>
      <c r="AN681" s="398">
        <f t="shared" si="336"/>
        <v>4.9991887036158547</v>
      </c>
      <c r="AP681" s="21"/>
    </row>
    <row r="682" spans="2:42" x14ac:dyDescent="0.25">
      <c r="C682" s="21" t="s">
        <v>455</v>
      </c>
      <c r="D682" s="34" t="s">
        <v>162</v>
      </c>
      <c r="E682" s="398">
        <v>2</v>
      </c>
      <c r="F682" s="398">
        <f t="shared" ref="F682:AN682" si="337">E682*(1-F$663)+1</f>
        <v>2.6</v>
      </c>
      <c r="G682" s="398">
        <f t="shared" si="337"/>
        <v>3.08</v>
      </c>
      <c r="H682" s="398">
        <f t="shared" si="337"/>
        <v>3.4640000000000004</v>
      </c>
      <c r="I682" s="398">
        <f t="shared" si="337"/>
        <v>3.7712000000000003</v>
      </c>
      <c r="J682" s="398">
        <f t="shared" si="337"/>
        <v>4.016960000000001</v>
      </c>
      <c r="K682" s="398">
        <f t="shared" si="337"/>
        <v>4.2135680000000004</v>
      </c>
      <c r="L682" s="398">
        <f t="shared" si="337"/>
        <v>4.3708544000000007</v>
      </c>
      <c r="M682" s="398">
        <f t="shared" si="337"/>
        <v>4.4966835200000013</v>
      </c>
      <c r="N682" s="398">
        <f t="shared" si="337"/>
        <v>4.5973468160000017</v>
      </c>
      <c r="O682" s="398">
        <f t="shared" si="337"/>
        <v>4.6778774528000016</v>
      </c>
      <c r="P682" s="398">
        <f t="shared" si="337"/>
        <v>4.7423019622400009</v>
      </c>
      <c r="Q682" s="398">
        <f t="shared" si="337"/>
        <v>4.7938415697920007</v>
      </c>
      <c r="R682" s="398">
        <f t="shared" si="337"/>
        <v>4.8350732558336009</v>
      </c>
      <c r="S682" s="398">
        <f t="shared" si="337"/>
        <v>4.8680586046668815</v>
      </c>
      <c r="T682" s="398">
        <f t="shared" si="337"/>
        <v>4.8944468837335053</v>
      </c>
      <c r="U682" s="398">
        <f t="shared" si="337"/>
        <v>4.9155575069868043</v>
      </c>
      <c r="V682" s="398">
        <f t="shared" si="337"/>
        <v>4.9324460055894441</v>
      </c>
      <c r="W682" s="398">
        <f t="shared" si="337"/>
        <v>4.9459568044715549</v>
      </c>
      <c r="X682" s="398">
        <f t="shared" si="337"/>
        <v>4.9567654435772441</v>
      </c>
      <c r="Y682" s="398">
        <f t="shared" si="337"/>
        <v>4.9654123548617957</v>
      </c>
      <c r="Z682" s="398">
        <f t="shared" si="337"/>
        <v>4.9723298838894365</v>
      </c>
      <c r="AA682" s="398">
        <f t="shared" si="337"/>
        <v>4.9778639071115496</v>
      </c>
      <c r="AB682" s="398">
        <f t="shared" si="337"/>
        <v>4.9822911256892404</v>
      </c>
      <c r="AC682" s="398">
        <f t="shared" si="337"/>
        <v>4.9858329005513919</v>
      </c>
      <c r="AD682" s="398">
        <f t="shared" si="337"/>
        <v>4.9886663204411139</v>
      </c>
      <c r="AE682" s="398">
        <f t="shared" si="337"/>
        <v>4.9909330563528913</v>
      </c>
      <c r="AF682" s="398">
        <f t="shared" si="337"/>
        <v>4.9927464450823127</v>
      </c>
      <c r="AG682" s="398">
        <f t="shared" si="337"/>
        <v>4.9941971560658498</v>
      </c>
      <c r="AH682" s="398">
        <f t="shared" si="337"/>
        <v>4.9953577248526795</v>
      </c>
      <c r="AI682" s="398">
        <f t="shared" si="337"/>
        <v>4.9962861798821443</v>
      </c>
      <c r="AJ682" s="398">
        <f t="shared" si="337"/>
        <v>4.9970289439057156</v>
      </c>
      <c r="AK682" s="398">
        <f t="shared" si="337"/>
        <v>4.9976231551245727</v>
      </c>
      <c r="AL682" s="398">
        <f t="shared" si="337"/>
        <v>4.9980985240996585</v>
      </c>
      <c r="AM682" s="398">
        <f t="shared" si="337"/>
        <v>4.9984788192797271</v>
      </c>
      <c r="AN682" s="398">
        <f t="shared" si="337"/>
        <v>4.9987830554237824</v>
      </c>
      <c r="AP682" s="21"/>
    </row>
    <row r="683" spans="2:42" x14ac:dyDescent="0.25">
      <c r="C683" s="21" t="s">
        <v>393</v>
      </c>
      <c r="D683" s="34" t="s">
        <v>162</v>
      </c>
      <c r="E683" s="398">
        <v>1</v>
      </c>
      <c r="F683" s="398">
        <f t="shared" ref="F683:AN683" si="338">E683*(1-F$663)+1</f>
        <v>1.8</v>
      </c>
      <c r="G683" s="398">
        <f t="shared" si="338"/>
        <v>2.4400000000000004</v>
      </c>
      <c r="H683" s="398">
        <f t="shared" si="338"/>
        <v>2.9520000000000004</v>
      </c>
      <c r="I683" s="398">
        <f t="shared" si="338"/>
        <v>3.3616000000000006</v>
      </c>
      <c r="J683" s="398">
        <f t="shared" si="338"/>
        <v>3.6892800000000006</v>
      </c>
      <c r="K683" s="398">
        <f t="shared" si="338"/>
        <v>3.9514240000000007</v>
      </c>
      <c r="L683" s="398">
        <f t="shared" si="338"/>
        <v>4.1611392000000009</v>
      </c>
      <c r="M683" s="398">
        <f t="shared" si="338"/>
        <v>4.3289113600000011</v>
      </c>
      <c r="N683" s="398">
        <f t="shared" si="338"/>
        <v>4.4631290880000005</v>
      </c>
      <c r="O683" s="398">
        <f t="shared" si="338"/>
        <v>4.5705032704000006</v>
      </c>
      <c r="P683" s="398">
        <f t="shared" si="338"/>
        <v>4.6564026163200012</v>
      </c>
      <c r="Q683" s="398">
        <f t="shared" si="338"/>
        <v>4.7251220930560009</v>
      </c>
      <c r="R683" s="398">
        <f t="shared" si="338"/>
        <v>4.7800976744448009</v>
      </c>
      <c r="S683" s="398">
        <f t="shared" si="338"/>
        <v>4.8240781395558407</v>
      </c>
      <c r="T683" s="398">
        <f t="shared" si="338"/>
        <v>4.8592625116446726</v>
      </c>
      <c r="U683" s="398">
        <f t="shared" si="338"/>
        <v>4.8874100093157384</v>
      </c>
      <c r="V683" s="398">
        <f t="shared" si="338"/>
        <v>4.9099280074525904</v>
      </c>
      <c r="W683" s="398">
        <f t="shared" si="338"/>
        <v>4.9279424059620727</v>
      </c>
      <c r="X683" s="398">
        <f t="shared" si="338"/>
        <v>4.9423539247696588</v>
      </c>
      <c r="Y683" s="398">
        <f t="shared" si="338"/>
        <v>4.9538831398157273</v>
      </c>
      <c r="Z683" s="398">
        <f t="shared" si="338"/>
        <v>4.9631065118525814</v>
      </c>
      <c r="AA683" s="398">
        <f t="shared" si="338"/>
        <v>4.9704852094820655</v>
      </c>
      <c r="AB683" s="398">
        <f t="shared" si="338"/>
        <v>4.9763881675856521</v>
      </c>
      <c r="AC683" s="398">
        <f t="shared" si="338"/>
        <v>4.981110534068522</v>
      </c>
      <c r="AD683" s="398">
        <f t="shared" si="338"/>
        <v>4.984888427254818</v>
      </c>
      <c r="AE683" s="398">
        <f t="shared" si="338"/>
        <v>4.9879107418038551</v>
      </c>
      <c r="AF683" s="398">
        <f t="shared" si="338"/>
        <v>4.9903285934430848</v>
      </c>
      <c r="AG683" s="398">
        <f t="shared" si="338"/>
        <v>4.9922628747544682</v>
      </c>
      <c r="AH683" s="398">
        <f t="shared" si="338"/>
        <v>4.9938102998035747</v>
      </c>
      <c r="AI683" s="398">
        <f t="shared" si="338"/>
        <v>4.9950482398428599</v>
      </c>
      <c r="AJ683" s="398">
        <f t="shared" si="338"/>
        <v>4.9960385918742887</v>
      </c>
      <c r="AK683" s="398">
        <f t="shared" si="338"/>
        <v>4.9968308734994311</v>
      </c>
      <c r="AL683" s="398">
        <f t="shared" si="338"/>
        <v>4.9974646987995452</v>
      </c>
      <c r="AM683" s="398">
        <f t="shared" si="338"/>
        <v>4.9979717590396362</v>
      </c>
      <c r="AN683" s="398">
        <f t="shared" si="338"/>
        <v>4.9983774072317093</v>
      </c>
      <c r="AP683" s="21"/>
    </row>
    <row r="684" spans="2:42" x14ac:dyDescent="0.25">
      <c r="C684" s="22" t="s">
        <v>456</v>
      </c>
      <c r="D684" s="34" t="s">
        <v>162</v>
      </c>
      <c r="E684" s="399">
        <v>0</v>
      </c>
      <c r="F684" s="399">
        <f t="shared" ref="F684:AN684" si="339">E684*(1-F$663)+1</f>
        <v>1</v>
      </c>
      <c r="G684" s="399">
        <f t="shared" si="339"/>
        <v>1.8</v>
      </c>
      <c r="H684" s="399">
        <f t="shared" si="339"/>
        <v>2.4400000000000004</v>
      </c>
      <c r="I684" s="399">
        <f t="shared" si="339"/>
        <v>2.9520000000000004</v>
      </c>
      <c r="J684" s="399">
        <f t="shared" si="339"/>
        <v>3.3616000000000006</v>
      </c>
      <c r="K684" s="399">
        <f t="shared" si="339"/>
        <v>3.6892800000000006</v>
      </c>
      <c r="L684" s="399">
        <f t="shared" si="339"/>
        <v>3.9514240000000007</v>
      </c>
      <c r="M684" s="399">
        <f t="shared" si="339"/>
        <v>4.1611392000000009</v>
      </c>
      <c r="N684" s="399">
        <f t="shared" si="339"/>
        <v>4.3289113600000011</v>
      </c>
      <c r="O684" s="399">
        <f t="shared" si="339"/>
        <v>4.4631290880000005</v>
      </c>
      <c r="P684" s="399">
        <f t="shared" si="339"/>
        <v>4.5705032704000006</v>
      </c>
      <c r="Q684" s="399">
        <f t="shared" si="339"/>
        <v>4.6564026163200012</v>
      </c>
      <c r="R684" s="399">
        <f t="shared" si="339"/>
        <v>4.7251220930560009</v>
      </c>
      <c r="S684" s="399">
        <f t="shared" si="339"/>
        <v>4.7800976744448009</v>
      </c>
      <c r="T684" s="399">
        <f t="shared" si="339"/>
        <v>4.8240781395558407</v>
      </c>
      <c r="U684" s="399">
        <f t="shared" si="339"/>
        <v>4.8592625116446726</v>
      </c>
      <c r="V684" s="399">
        <f t="shared" si="339"/>
        <v>4.8874100093157384</v>
      </c>
      <c r="W684" s="399">
        <f t="shared" si="339"/>
        <v>4.9099280074525904</v>
      </c>
      <c r="X684" s="399">
        <f t="shared" si="339"/>
        <v>4.9279424059620727</v>
      </c>
      <c r="Y684" s="399">
        <f t="shared" si="339"/>
        <v>4.9423539247696588</v>
      </c>
      <c r="Z684" s="399">
        <f t="shared" si="339"/>
        <v>4.9538831398157273</v>
      </c>
      <c r="AA684" s="399">
        <f t="shared" si="339"/>
        <v>4.9631065118525814</v>
      </c>
      <c r="AB684" s="399">
        <f t="shared" si="339"/>
        <v>4.9704852094820655</v>
      </c>
      <c r="AC684" s="399">
        <f t="shared" si="339"/>
        <v>4.9763881675856521</v>
      </c>
      <c r="AD684" s="399">
        <f t="shared" si="339"/>
        <v>4.981110534068522</v>
      </c>
      <c r="AE684" s="399">
        <f t="shared" si="339"/>
        <v>4.984888427254818</v>
      </c>
      <c r="AF684" s="399">
        <f t="shared" si="339"/>
        <v>4.9879107418038551</v>
      </c>
      <c r="AG684" s="399">
        <f t="shared" si="339"/>
        <v>4.9903285934430848</v>
      </c>
      <c r="AH684" s="399">
        <f t="shared" si="339"/>
        <v>4.9922628747544682</v>
      </c>
      <c r="AI684" s="399">
        <f t="shared" si="339"/>
        <v>4.9938102998035747</v>
      </c>
      <c r="AJ684" s="399">
        <f t="shared" si="339"/>
        <v>4.9950482398428599</v>
      </c>
      <c r="AK684" s="399">
        <f t="shared" si="339"/>
        <v>4.9960385918742887</v>
      </c>
      <c r="AL684" s="399">
        <f t="shared" si="339"/>
        <v>4.9968308734994311</v>
      </c>
      <c r="AM684" s="399">
        <f t="shared" si="339"/>
        <v>4.9974646987995452</v>
      </c>
      <c r="AN684" s="399">
        <f t="shared" si="339"/>
        <v>4.9979717590396362</v>
      </c>
      <c r="AP684" s="26"/>
    </row>
    <row r="685" spans="2:42" x14ac:dyDescent="0.25">
      <c r="B685" s="99" t="s">
        <v>9</v>
      </c>
      <c r="C685" s="311" t="s">
        <v>629</v>
      </c>
      <c r="D685" s="318"/>
      <c r="E685" s="402"/>
      <c r="F685" s="402"/>
      <c r="G685" s="402"/>
      <c r="H685" s="402"/>
      <c r="I685" s="402"/>
      <c r="J685" s="402"/>
      <c r="K685" s="402"/>
      <c r="L685" s="402"/>
      <c r="M685" s="402"/>
      <c r="N685" s="402"/>
      <c r="O685" s="402"/>
      <c r="P685" s="402"/>
      <c r="Q685" s="402"/>
      <c r="R685" s="402"/>
      <c r="S685" s="402"/>
      <c r="T685" s="402"/>
      <c r="U685" s="402"/>
      <c r="V685" s="402"/>
      <c r="W685" s="402"/>
      <c r="X685" s="402"/>
      <c r="Y685" s="402"/>
      <c r="Z685" s="402"/>
      <c r="AA685" s="402"/>
      <c r="AB685" s="402"/>
      <c r="AC685" s="402"/>
      <c r="AD685" s="402"/>
      <c r="AE685" s="402"/>
      <c r="AF685" s="402"/>
      <c r="AG685" s="402"/>
      <c r="AH685" s="402"/>
      <c r="AI685" s="402"/>
      <c r="AJ685" s="402"/>
      <c r="AK685" s="402"/>
      <c r="AL685" s="402"/>
      <c r="AM685" s="402"/>
      <c r="AN685" s="402"/>
      <c r="AO685" s="74"/>
      <c r="AP685" s="311"/>
    </row>
    <row r="686" spans="2:42" x14ac:dyDescent="0.25">
      <c r="C686" s="20" t="s">
        <v>600</v>
      </c>
      <c r="D686" s="34" t="s">
        <v>162</v>
      </c>
      <c r="E686" s="397">
        <v>5</v>
      </c>
      <c r="F686" s="397">
        <f>E686*(1-F$663)+1</f>
        <v>5</v>
      </c>
      <c r="G686" s="397">
        <f t="shared" ref="G686:AN686" si="340">F686*(1-G$663)+1</f>
        <v>5</v>
      </c>
      <c r="H686" s="397">
        <f t="shared" si="340"/>
        <v>5</v>
      </c>
      <c r="I686" s="397">
        <f t="shared" si="340"/>
        <v>5</v>
      </c>
      <c r="J686" s="397">
        <f t="shared" si="340"/>
        <v>5</v>
      </c>
      <c r="K686" s="397">
        <f t="shared" si="340"/>
        <v>5</v>
      </c>
      <c r="L686" s="397">
        <f t="shared" si="340"/>
        <v>5</v>
      </c>
      <c r="M686" s="397">
        <f t="shared" si="340"/>
        <v>5</v>
      </c>
      <c r="N686" s="397">
        <f t="shared" si="340"/>
        <v>5</v>
      </c>
      <c r="O686" s="397">
        <f t="shared" si="340"/>
        <v>5</v>
      </c>
      <c r="P686" s="397">
        <f t="shared" si="340"/>
        <v>5</v>
      </c>
      <c r="Q686" s="397">
        <f t="shared" si="340"/>
        <v>5</v>
      </c>
      <c r="R686" s="397">
        <f t="shared" si="340"/>
        <v>5</v>
      </c>
      <c r="S686" s="397">
        <f t="shared" si="340"/>
        <v>5</v>
      </c>
      <c r="T686" s="397">
        <f t="shared" si="340"/>
        <v>5</v>
      </c>
      <c r="U686" s="397">
        <f t="shared" si="340"/>
        <v>5</v>
      </c>
      <c r="V686" s="397">
        <f t="shared" si="340"/>
        <v>5</v>
      </c>
      <c r="W686" s="397">
        <f t="shared" si="340"/>
        <v>5</v>
      </c>
      <c r="X686" s="397">
        <f t="shared" si="340"/>
        <v>5</v>
      </c>
      <c r="Y686" s="397">
        <f t="shared" si="340"/>
        <v>5</v>
      </c>
      <c r="Z686" s="397">
        <f t="shared" si="340"/>
        <v>5</v>
      </c>
      <c r="AA686" s="397">
        <f t="shared" si="340"/>
        <v>5</v>
      </c>
      <c r="AB686" s="397">
        <f t="shared" si="340"/>
        <v>5</v>
      </c>
      <c r="AC686" s="397">
        <f t="shared" si="340"/>
        <v>5</v>
      </c>
      <c r="AD686" s="397">
        <f t="shared" si="340"/>
        <v>5</v>
      </c>
      <c r="AE686" s="397">
        <f t="shared" si="340"/>
        <v>5</v>
      </c>
      <c r="AF686" s="397">
        <f t="shared" si="340"/>
        <v>5</v>
      </c>
      <c r="AG686" s="397">
        <f t="shared" si="340"/>
        <v>5</v>
      </c>
      <c r="AH686" s="397">
        <f t="shared" si="340"/>
        <v>5</v>
      </c>
      <c r="AI686" s="397">
        <f t="shared" si="340"/>
        <v>5</v>
      </c>
      <c r="AJ686" s="397">
        <f t="shared" si="340"/>
        <v>5</v>
      </c>
      <c r="AK686" s="397">
        <f t="shared" si="340"/>
        <v>5</v>
      </c>
      <c r="AL686" s="397">
        <f t="shared" si="340"/>
        <v>5</v>
      </c>
      <c r="AM686" s="397">
        <f t="shared" si="340"/>
        <v>5</v>
      </c>
      <c r="AN686" s="397">
        <f t="shared" si="340"/>
        <v>5</v>
      </c>
      <c r="AP686" s="20"/>
    </row>
    <row r="687" spans="2:42" x14ac:dyDescent="0.25">
      <c r="C687" s="20" t="s">
        <v>392</v>
      </c>
      <c r="D687" s="34" t="s">
        <v>162</v>
      </c>
      <c r="E687" s="398">
        <v>4</v>
      </c>
      <c r="F687" s="398">
        <f t="shared" ref="F687:AN687" si="341">E687*(1-F$663)+1</f>
        <v>4.2</v>
      </c>
      <c r="G687" s="398">
        <f t="shared" si="341"/>
        <v>4.3600000000000003</v>
      </c>
      <c r="H687" s="398">
        <f t="shared" si="341"/>
        <v>4.4880000000000004</v>
      </c>
      <c r="I687" s="398">
        <f t="shared" si="341"/>
        <v>4.5904000000000007</v>
      </c>
      <c r="J687" s="398">
        <f t="shared" si="341"/>
        <v>4.6723200000000009</v>
      </c>
      <c r="K687" s="398">
        <f t="shared" si="341"/>
        <v>4.7378560000000007</v>
      </c>
      <c r="L687" s="398">
        <f t="shared" si="341"/>
        <v>4.7902848000000002</v>
      </c>
      <c r="M687" s="398">
        <f t="shared" si="341"/>
        <v>4.8322278399999998</v>
      </c>
      <c r="N687" s="398">
        <f t="shared" si="341"/>
        <v>4.8657822720000006</v>
      </c>
      <c r="O687" s="398">
        <f t="shared" si="341"/>
        <v>4.8926258176000008</v>
      </c>
      <c r="P687" s="398">
        <f t="shared" si="341"/>
        <v>4.9141006540800003</v>
      </c>
      <c r="Q687" s="398">
        <f t="shared" si="341"/>
        <v>4.9312805232640002</v>
      </c>
      <c r="R687" s="398">
        <f t="shared" si="341"/>
        <v>4.9450244186112009</v>
      </c>
      <c r="S687" s="398">
        <f t="shared" si="341"/>
        <v>4.9560195348889611</v>
      </c>
      <c r="T687" s="398">
        <f t="shared" si="341"/>
        <v>4.964815627911169</v>
      </c>
      <c r="U687" s="398">
        <f t="shared" si="341"/>
        <v>4.9718525023289359</v>
      </c>
      <c r="V687" s="398">
        <f t="shared" si="341"/>
        <v>4.9774820018631489</v>
      </c>
      <c r="W687" s="398">
        <f t="shared" si="341"/>
        <v>4.9819856014905195</v>
      </c>
      <c r="X687" s="398">
        <f t="shared" si="341"/>
        <v>4.9855884811924156</v>
      </c>
      <c r="Y687" s="398">
        <f t="shared" si="341"/>
        <v>4.9884707849539325</v>
      </c>
      <c r="Z687" s="398">
        <f t="shared" si="341"/>
        <v>4.9907766279631467</v>
      </c>
      <c r="AA687" s="398">
        <f t="shared" si="341"/>
        <v>4.9926213023705177</v>
      </c>
      <c r="AB687" s="398">
        <f t="shared" si="341"/>
        <v>4.9940970418964143</v>
      </c>
      <c r="AC687" s="398">
        <f t="shared" si="341"/>
        <v>4.9952776335171318</v>
      </c>
      <c r="AD687" s="398">
        <f t="shared" si="341"/>
        <v>4.9962221068137058</v>
      </c>
      <c r="AE687" s="398">
        <f t="shared" si="341"/>
        <v>4.9969776854509647</v>
      </c>
      <c r="AF687" s="398">
        <f t="shared" si="341"/>
        <v>4.9975821483607721</v>
      </c>
      <c r="AG687" s="398">
        <f t="shared" si="341"/>
        <v>4.9980657186886184</v>
      </c>
      <c r="AH687" s="398">
        <f t="shared" si="341"/>
        <v>4.9984525749508943</v>
      </c>
      <c r="AI687" s="398">
        <f t="shared" si="341"/>
        <v>4.9987620599607157</v>
      </c>
      <c r="AJ687" s="398">
        <f t="shared" si="341"/>
        <v>4.9990096479685722</v>
      </c>
      <c r="AK687" s="398">
        <f t="shared" si="341"/>
        <v>4.9992077183748584</v>
      </c>
      <c r="AL687" s="398">
        <f t="shared" si="341"/>
        <v>4.9993661746998868</v>
      </c>
      <c r="AM687" s="398">
        <f t="shared" si="341"/>
        <v>4.999492939759909</v>
      </c>
      <c r="AN687" s="398">
        <f t="shared" si="341"/>
        <v>4.9995943518079269</v>
      </c>
      <c r="AP687" s="21"/>
    </row>
    <row r="688" spans="2:42" x14ac:dyDescent="0.25">
      <c r="C688" s="20" t="s">
        <v>454</v>
      </c>
      <c r="D688" s="34" t="s">
        <v>162</v>
      </c>
      <c r="E688" s="398">
        <v>3</v>
      </c>
      <c r="F688" s="398">
        <f t="shared" ref="F688:AN688" si="342">E688*(1-F$663)+1</f>
        <v>3.4000000000000004</v>
      </c>
      <c r="G688" s="398">
        <f t="shared" si="342"/>
        <v>3.7200000000000006</v>
      </c>
      <c r="H688" s="398">
        <f t="shared" si="342"/>
        <v>3.9760000000000009</v>
      </c>
      <c r="I688" s="398">
        <f t="shared" si="342"/>
        <v>4.1808000000000014</v>
      </c>
      <c r="J688" s="398">
        <f t="shared" si="342"/>
        <v>4.3446400000000018</v>
      </c>
      <c r="K688" s="398">
        <f t="shared" si="342"/>
        <v>4.4757120000000015</v>
      </c>
      <c r="L688" s="398">
        <f t="shared" si="342"/>
        <v>4.5805696000000014</v>
      </c>
      <c r="M688" s="398">
        <f t="shared" si="342"/>
        <v>4.6644556800000014</v>
      </c>
      <c r="N688" s="398">
        <f t="shared" si="342"/>
        <v>4.7315645440000011</v>
      </c>
      <c r="O688" s="398">
        <f t="shared" si="342"/>
        <v>4.7852516352000016</v>
      </c>
      <c r="P688" s="398">
        <f t="shared" si="342"/>
        <v>4.8282013081600015</v>
      </c>
      <c r="Q688" s="398">
        <f t="shared" si="342"/>
        <v>4.8625610465280014</v>
      </c>
      <c r="R688" s="398">
        <f t="shared" si="342"/>
        <v>4.8900488372224018</v>
      </c>
      <c r="S688" s="398">
        <f t="shared" si="342"/>
        <v>4.9120390697779222</v>
      </c>
      <c r="T688" s="398">
        <f t="shared" si="342"/>
        <v>4.9296312558223381</v>
      </c>
      <c r="U688" s="398">
        <f t="shared" si="342"/>
        <v>4.9437050046578701</v>
      </c>
      <c r="V688" s="398">
        <f t="shared" si="342"/>
        <v>4.9549640037262961</v>
      </c>
      <c r="W688" s="398">
        <f t="shared" si="342"/>
        <v>4.9639712029810372</v>
      </c>
      <c r="X688" s="398">
        <f t="shared" si="342"/>
        <v>4.9711769623848294</v>
      </c>
      <c r="Y688" s="398">
        <f t="shared" si="342"/>
        <v>4.9769415699078632</v>
      </c>
      <c r="Z688" s="398">
        <f t="shared" si="342"/>
        <v>4.9815532559262907</v>
      </c>
      <c r="AA688" s="398">
        <f t="shared" si="342"/>
        <v>4.9852426047410328</v>
      </c>
      <c r="AB688" s="398">
        <f t="shared" si="342"/>
        <v>4.9881940837928269</v>
      </c>
      <c r="AC688" s="398">
        <f t="shared" si="342"/>
        <v>4.9905552670342619</v>
      </c>
      <c r="AD688" s="398">
        <f t="shared" si="342"/>
        <v>4.9924442136274099</v>
      </c>
      <c r="AE688" s="398">
        <f t="shared" si="342"/>
        <v>4.9939553709019275</v>
      </c>
      <c r="AF688" s="398">
        <f t="shared" si="342"/>
        <v>4.9951642967215424</v>
      </c>
      <c r="AG688" s="398">
        <f t="shared" si="342"/>
        <v>4.9961314373772341</v>
      </c>
      <c r="AH688" s="398">
        <f t="shared" si="342"/>
        <v>4.9969051499017869</v>
      </c>
      <c r="AI688" s="398">
        <f t="shared" si="342"/>
        <v>4.9975241199214295</v>
      </c>
      <c r="AJ688" s="398">
        <f t="shared" si="342"/>
        <v>4.9980192959371443</v>
      </c>
      <c r="AK688" s="398">
        <f t="shared" si="342"/>
        <v>4.9984154367497151</v>
      </c>
      <c r="AL688" s="398">
        <f t="shared" si="342"/>
        <v>4.9987323493997717</v>
      </c>
      <c r="AM688" s="398">
        <f t="shared" si="342"/>
        <v>4.9989858795198181</v>
      </c>
      <c r="AN688" s="398">
        <f t="shared" si="342"/>
        <v>4.9991887036158547</v>
      </c>
      <c r="AP688" s="21"/>
    </row>
    <row r="689" spans="2:42" x14ac:dyDescent="0.25">
      <c r="C689" s="21" t="s">
        <v>455</v>
      </c>
      <c r="D689" s="34" t="s">
        <v>162</v>
      </c>
      <c r="E689" s="398">
        <v>2</v>
      </c>
      <c r="F689" s="398">
        <f t="shared" ref="F689:AN689" si="343">E689*(1-F$663)+1</f>
        <v>2.6</v>
      </c>
      <c r="G689" s="398">
        <f t="shared" si="343"/>
        <v>3.08</v>
      </c>
      <c r="H689" s="398">
        <f t="shared" si="343"/>
        <v>3.4640000000000004</v>
      </c>
      <c r="I689" s="398">
        <f t="shared" si="343"/>
        <v>3.7712000000000003</v>
      </c>
      <c r="J689" s="398">
        <f t="shared" si="343"/>
        <v>4.016960000000001</v>
      </c>
      <c r="K689" s="398">
        <f t="shared" si="343"/>
        <v>4.2135680000000004</v>
      </c>
      <c r="L689" s="398">
        <f t="shared" si="343"/>
        <v>4.3708544000000007</v>
      </c>
      <c r="M689" s="398">
        <f t="shared" si="343"/>
        <v>4.4966835200000013</v>
      </c>
      <c r="N689" s="398">
        <f t="shared" si="343"/>
        <v>4.5973468160000017</v>
      </c>
      <c r="O689" s="398">
        <f t="shared" si="343"/>
        <v>4.6778774528000016</v>
      </c>
      <c r="P689" s="398">
        <f t="shared" si="343"/>
        <v>4.7423019622400009</v>
      </c>
      <c r="Q689" s="398">
        <f t="shared" si="343"/>
        <v>4.7938415697920007</v>
      </c>
      <c r="R689" s="398">
        <f t="shared" si="343"/>
        <v>4.8350732558336009</v>
      </c>
      <c r="S689" s="398">
        <f t="shared" si="343"/>
        <v>4.8680586046668815</v>
      </c>
      <c r="T689" s="398">
        <f t="shared" si="343"/>
        <v>4.8944468837335053</v>
      </c>
      <c r="U689" s="398">
        <f t="shared" si="343"/>
        <v>4.9155575069868043</v>
      </c>
      <c r="V689" s="398">
        <f t="shared" si="343"/>
        <v>4.9324460055894441</v>
      </c>
      <c r="W689" s="398">
        <f t="shared" si="343"/>
        <v>4.9459568044715549</v>
      </c>
      <c r="X689" s="398">
        <f t="shared" si="343"/>
        <v>4.9567654435772441</v>
      </c>
      <c r="Y689" s="398">
        <f t="shared" si="343"/>
        <v>4.9654123548617957</v>
      </c>
      <c r="Z689" s="398">
        <f t="shared" si="343"/>
        <v>4.9723298838894365</v>
      </c>
      <c r="AA689" s="398">
        <f t="shared" si="343"/>
        <v>4.9778639071115496</v>
      </c>
      <c r="AB689" s="398">
        <f t="shared" si="343"/>
        <v>4.9822911256892404</v>
      </c>
      <c r="AC689" s="398">
        <f t="shared" si="343"/>
        <v>4.9858329005513919</v>
      </c>
      <c r="AD689" s="398">
        <f t="shared" si="343"/>
        <v>4.9886663204411139</v>
      </c>
      <c r="AE689" s="398">
        <f t="shared" si="343"/>
        <v>4.9909330563528913</v>
      </c>
      <c r="AF689" s="398">
        <f t="shared" si="343"/>
        <v>4.9927464450823127</v>
      </c>
      <c r="AG689" s="398">
        <f t="shared" si="343"/>
        <v>4.9941971560658498</v>
      </c>
      <c r="AH689" s="398">
        <f t="shared" si="343"/>
        <v>4.9953577248526795</v>
      </c>
      <c r="AI689" s="398">
        <f t="shared" si="343"/>
        <v>4.9962861798821443</v>
      </c>
      <c r="AJ689" s="398">
        <f t="shared" si="343"/>
        <v>4.9970289439057156</v>
      </c>
      <c r="AK689" s="398">
        <f t="shared" si="343"/>
        <v>4.9976231551245727</v>
      </c>
      <c r="AL689" s="398">
        <f t="shared" si="343"/>
        <v>4.9980985240996585</v>
      </c>
      <c r="AM689" s="398">
        <f t="shared" si="343"/>
        <v>4.9984788192797271</v>
      </c>
      <c r="AN689" s="398">
        <f t="shared" si="343"/>
        <v>4.9987830554237824</v>
      </c>
      <c r="AP689" s="21"/>
    </row>
    <row r="690" spans="2:42" x14ac:dyDescent="0.25">
      <c r="C690" s="21" t="s">
        <v>393</v>
      </c>
      <c r="D690" s="34" t="s">
        <v>162</v>
      </c>
      <c r="E690" s="398">
        <v>1</v>
      </c>
      <c r="F690" s="398">
        <f t="shared" ref="F690:AN690" si="344">E690*(1-F$663)+1</f>
        <v>1.8</v>
      </c>
      <c r="G690" s="398">
        <f t="shared" si="344"/>
        <v>2.4400000000000004</v>
      </c>
      <c r="H690" s="398">
        <f t="shared" si="344"/>
        <v>2.9520000000000004</v>
      </c>
      <c r="I690" s="398">
        <f t="shared" si="344"/>
        <v>3.3616000000000006</v>
      </c>
      <c r="J690" s="398">
        <f t="shared" si="344"/>
        <v>3.6892800000000006</v>
      </c>
      <c r="K690" s="398">
        <f t="shared" si="344"/>
        <v>3.9514240000000007</v>
      </c>
      <c r="L690" s="398">
        <f t="shared" si="344"/>
        <v>4.1611392000000009</v>
      </c>
      <c r="M690" s="398">
        <f t="shared" si="344"/>
        <v>4.3289113600000011</v>
      </c>
      <c r="N690" s="398">
        <f t="shared" si="344"/>
        <v>4.4631290880000005</v>
      </c>
      <c r="O690" s="398">
        <f t="shared" si="344"/>
        <v>4.5705032704000006</v>
      </c>
      <c r="P690" s="398">
        <f t="shared" si="344"/>
        <v>4.6564026163200012</v>
      </c>
      <c r="Q690" s="398">
        <f t="shared" si="344"/>
        <v>4.7251220930560009</v>
      </c>
      <c r="R690" s="398">
        <f t="shared" si="344"/>
        <v>4.7800976744448009</v>
      </c>
      <c r="S690" s="398">
        <f t="shared" si="344"/>
        <v>4.8240781395558407</v>
      </c>
      <c r="T690" s="398">
        <f t="shared" si="344"/>
        <v>4.8592625116446726</v>
      </c>
      <c r="U690" s="398">
        <f t="shared" si="344"/>
        <v>4.8874100093157384</v>
      </c>
      <c r="V690" s="398">
        <f t="shared" si="344"/>
        <v>4.9099280074525904</v>
      </c>
      <c r="W690" s="398">
        <f t="shared" si="344"/>
        <v>4.9279424059620727</v>
      </c>
      <c r="X690" s="398">
        <f t="shared" si="344"/>
        <v>4.9423539247696588</v>
      </c>
      <c r="Y690" s="398">
        <f t="shared" si="344"/>
        <v>4.9538831398157273</v>
      </c>
      <c r="Z690" s="398">
        <f t="shared" si="344"/>
        <v>4.9631065118525814</v>
      </c>
      <c r="AA690" s="398">
        <f t="shared" si="344"/>
        <v>4.9704852094820655</v>
      </c>
      <c r="AB690" s="398">
        <f t="shared" si="344"/>
        <v>4.9763881675856521</v>
      </c>
      <c r="AC690" s="398">
        <f t="shared" si="344"/>
        <v>4.981110534068522</v>
      </c>
      <c r="AD690" s="398">
        <f t="shared" si="344"/>
        <v>4.984888427254818</v>
      </c>
      <c r="AE690" s="398">
        <f t="shared" si="344"/>
        <v>4.9879107418038551</v>
      </c>
      <c r="AF690" s="398">
        <f t="shared" si="344"/>
        <v>4.9903285934430848</v>
      </c>
      <c r="AG690" s="398">
        <f t="shared" si="344"/>
        <v>4.9922628747544682</v>
      </c>
      <c r="AH690" s="398">
        <f t="shared" si="344"/>
        <v>4.9938102998035747</v>
      </c>
      <c r="AI690" s="398">
        <f t="shared" si="344"/>
        <v>4.9950482398428599</v>
      </c>
      <c r="AJ690" s="398">
        <f t="shared" si="344"/>
        <v>4.9960385918742887</v>
      </c>
      <c r="AK690" s="398">
        <f t="shared" si="344"/>
        <v>4.9968308734994311</v>
      </c>
      <c r="AL690" s="398">
        <f t="shared" si="344"/>
        <v>4.9974646987995452</v>
      </c>
      <c r="AM690" s="398">
        <f t="shared" si="344"/>
        <v>4.9979717590396362</v>
      </c>
      <c r="AN690" s="398">
        <f t="shared" si="344"/>
        <v>4.9983774072317093</v>
      </c>
      <c r="AP690" s="21"/>
    </row>
    <row r="691" spans="2:42" x14ac:dyDescent="0.25">
      <c r="C691" s="22" t="s">
        <v>456</v>
      </c>
      <c r="D691" s="34" t="s">
        <v>162</v>
      </c>
      <c r="E691" s="399">
        <v>0</v>
      </c>
      <c r="F691" s="399">
        <f t="shared" ref="F691:AN691" si="345">E691*(1-F$663)+1</f>
        <v>1</v>
      </c>
      <c r="G691" s="399">
        <f t="shared" si="345"/>
        <v>1.8</v>
      </c>
      <c r="H691" s="399">
        <f t="shared" si="345"/>
        <v>2.4400000000000004</v>
      </c>
      <c r="I691" s="399">
        <f t="shared" si="345"/>
        <v>2.9520000000000004</v>
      </c>
      <c r="J691" s="399">
        <f t="shared" si="345"/>
        <v>3.3616000000000006</v>
      </c>
      <c r="K691" s="399">
        <f t="shared" si="345"/>
        <v>3.6892800000000006</v>
      </c>
      <c r="L691" s="399">
        <f t="shared" si="345"/>
        <v>3.9514240000000007</v>
      </c>
      <c r="M691" s="399">
        <f t="shared" si="345"/>
        <v>4.1611392000000009</v>
      </c>
      <c r="N691" s="399">
        <f t="shared" si="345"/>
        <v>4.3289113600000011</v>
      </c>
      <c r="O691" s="399">
        <f t="shared" si="345"/>
        <v>4.4631290880000005</v>
      </c>
      <c r="P691" s="399">
        <f t="shared" si="345"/>
        <v>4.5705032704000006</v>
      </c>
      <c r="Q691" s="399">
        <f t="shared" si="345"/>
        <v>4.6564026163200012</v>
      </c>
      <c r="R691" s="399">
        <f t="shared" si="345"/>
        <v>4.7251220930560009</v>
      </c>
      <c r="S691" s="399">
        <f t="shared" si="345"/>
        <v>4.7800976744448009</v>
      </c>
      <c r="T691" s="399">
        <f t="shared" si="345"/>
        <v>4.8240781395558407</v>
      </c>
      <c r="U691" s="399">
        <f t="shared" si="345"/>
        <v>4.8592625116446726</v>
      </c>
      <c r="V691" s="399">
        <f t="shared" si="345"/>
        <v>4.8874100093157384</v>
      </c>
      <c r="W691" s="399">
        <f t="shared" si="345"/>
        <v>4.9099280074525904</v>
      </c>
      <c r="X691" s="399">
        <f t="shared" si="345"/>
        <v>4.9279424059620727</v>
      </c>
      <c r="Y691" s="399">
        <f t="shared" si="345"/>
        <v>4.9423539247696588</v>
      </c>
      <c r="Z691" s="399">
        <f t="shared" si="345"/>
        <v>4.9538831398157273</v>
      </c>
      <c r="AA691" s="399">
        <f t="shared" si="345"/>
        <v>4.9631065118525814</v>
      </c>
      <c r="AB691" s="399">
        <f t="shared" si="345"/>
        <v>4.9704852094820655</v>
      </c>
      <c r="AC691" s="399">
        <f t="shared" si="345"/>
        <v>4.9763881675856521</v>
      </c>
      <c r="AD691" s="399">
        <f t="shared" si="345"/>
        <v>4.981110534068522</v>
      </c>
      <c r="AE691" s="399">
        <f t="shared" si="345"/>
        <v>4.984888427254818</v>
      </c>
      <c r="AF691" s="399">
        <f t="shared" si="345"/>
        <v>4.9879107418038551</v>
      </c>
      <c r="AG691" s="399">
        <f t="shared" si="345"/>
        <v>4.9903285934430848</v>
      </c>
      <c r="AH691" s="399">
        <f t="shared" si="345"/>
        <v>4.9922628747544682</v>
      </c>
      <c r="AI691" s="399">
        <f t="shared" si="345"/>
        <v>4.9938102998035747</v>
      </c>
      <c r="AJ691" s="399">
        <f t="shared" si="345"/>
        <v>4.9950482398428599</v>
      </c>
      <c r="AK691" s="399">
        <f t="shared" si="345"/>
        <v>4.9960385918742887</v>
      </c>
      <c r="AL691" s="399">
        <f t="shared" si="345"/>
        <v>4.9968308734994311</v>
      </c>
      <c r="AM691" s="399">
        <f t="shared" si="345"/>
        <v>4.9974646987995452</v>
      </c>
      <c r="AN691" s="399">
        <f t="shared" si="345"/>
        <v>4.9979717590396362</v>
      </c>
      <c r="AP691" s="26"/>
    </row>
    <row r="692" spans="2:42" x14ac:dyDescent="0.25">
      <c r="B692" s="99" t="s">
        <v>9</v>
      </c>
      <c r="C692" s="312" t="s">
        <v>639</v>
      </c>
      <c r="D692" s="317"/>
      <c r="E692" s="312"/>
      <c r="F692" s="312"/>
      <c r="G692" s="312"/>
      <c r="H692" s="312"/>
      <c r="I692" s="312"/>
      <c r="J692" s="312"/>
      <c r="K692" s="312"/>
      <c r="L692" s="312"/>
      <c r="M692" s="312"/>
      <c r="N692" s="312"/>
      <c r="O692" s="312"/>
      <c r="P692" s="312"/>
      <c r="Q692" s="312"/>
      <c r="R692" s="312"/>
      <c r="S692" s="312"/>
      <c r="T692" s="312"/>
      <c r="U692" s="312"/>
      <c r="V692" s="312"/>
      <c r="W692" s="312"/>
      <c r="X692" s="312"/>
      <c r="Y692" s="312"/>
      <c r="Z692" s="312"/>
      <c r="AA692" s="312"/>
      <c r="AB692" s="312"/>
      <c r="AC692" s="312"/>
      <c r="AD692" s="312"/>
      <c r="AE692" s="312"/>
      <c r="AF692" s="312"/>
      <c r="AG692" s="312"/>
      <c r="AH692" s="312"/>
      <c r="AI692" s="312"/>
      <c r="AJ692" s="312"/>
      <c r="AK692" s="312"/>
      <c r="AL692" s="312"/>
      <c r="AM692" s="312"/>
      <c r="AN692" s="312"/>
      <c r="AO692" s="74"/>
      <c r="AP692" s="312"/>
    </row>
    <row r="693" spans="2:42" x14ac:dyDescent="0.25">
      <c r="C693" s="20" t="s">
        <v>640</v>
      </c>
      <c r="D693" s="34" t="s">
        <v>162</v>
      </c>
      <c r="E693" s="23">
        <v>4</v>
      </c>
      <c r="F693" s="234"/>
      <c r="G693" s="234"/>
      <c r="H693" s="234"/>
      <c r="I693" s="234"/>
      <c r="J693" s="234"/>
      <c r="K693" s="234"/>
      <c r="L693" s="234"/>
      <c r="M693" s="234"/>
      <c r="N693" s="234"/>
      <c r="O693" s="234"/>
      <c r="P693" s="234"/>
      <c r="Q693" s="234"/>
      <c r="R693" s="234"/>
      <c r="S693" s="234"/>
      <c r="T693" s="234"/>
      <c r="U693" s="234"/>
      <c r="V693" s="234"/>
      <c r="W693" s="234"/>
      <c r="X693" s="234"/>
      <c r="Y693" s="234"/>
      <c r="Z693" s="234"/>
      <c r="AA693" s="234"/>
      <c r="AB693" s="234"/>
      <c r="AC693" s="234"/>
      <c r="AD693" s="234"/>
      <c r="AE693" s="234"/>
      <c r="AF693" s="234"/>
      <c r="AG693" s="234"/>
      <c r="AH693" s="234"/>
      <c r="AI693" s="234"/>
      <c r="AJ693" s="234"/>
      <c r="AK693" s="234"/>
      <c r="AL693" s="234"/>
      <c r="AM693" s="234"/>
      <c r="AN693" s="234"/>
      <c r="AO693" s="44"/>
      <c r="AP693" s="234"/>
    </row>
    <row r="694" spans="2:42" x14ac:dyDescent="0.25">
      <c r="C694" s="20" t="s">
        <v>643</v>
      </c>
      <c r="D694" s="34" t="s">
        <v>29</v>
      </c>
      <c r="E694" s="336">
        <f>1/$E$693</f>
        <v>0.25</v>
      </c>
      <c r="F694" s="336">
        <f t="shared" ref="F694:AN694" si="346">1/$E$693</f>
        <v>0.25</v>
      </c>
      <c r="G694" s="336">
        <f t="shared" si="346"/>
        <v>0.25</v>
      </c>
      <c r="H694" s="336">
        <f t="shared" si="346"/>
        <v>0.25</v>
      </c>
      <c r="I694" s="336">
        <f t="shared" si="346"/>
        <v>0.25</v>
      </c>
      <c r="J694" s="336">
        <f t="shared" si="346"/>
        <v>0.25</v>
      </c>
      <c r="K694" s="336">
        <f t="shared" si="346"/>
        <v>0.25</v>
      </c>
      <c r="L694" s="336">
        <f t="shared" si="346"/>
        <v>0.25</v>
      </c>
      <c r="M694" s="336">
        <f t="shared" si="346"/>
        <v>0.25</v>
      </c>
      <c r="N694" s="336">
        <f t="shared" si="346"/>
        <v>0.25</v>
      </c>
      <c r="O694" s="336">
        <f t="shared" si="346"/>
        <v>0.25</v>
      </c>
      <c r="P694" s="336">
        <f t="shared" si="346"/>
        <v>0.25</v>
      </c>
      <c r="Q694" s="336">
        <f t="shared" si="346"/>
        <v>0.25</v>
      </c>
      <c r="R694" s="336">
        <f t="shared" si="346"/>
        <v>0.25</v>
      </c>
      <c r="S694" s="336">
        <f t="shared" si="346"/>
        <v>0.25</v>
      </c>
      <c r="T694" s="336">
        <f t="shared" si="346"/>
        <v>0.25</v>
      </c>
      <c r="U694" s="336">
        <f t="shared" si="346"/>
        <v>0.25</v>
      </c>
      <c r="V694" s="336">
        <f t="shared" si="346"/>
        <v>0.25</v>
      </c>
      <c r="W694" s="336">
        <f t="shared" si="346"/>
        <v>0.25</v>
      </c>
      <c r="X694" s="336">
        <f t="shared" si="346"/>
        <v>0.25</v>
      </c>
      <c r="Y694" s="336">
        <f t="shared" si="346"/>
        <v>0.25</v>
      </c>
      <c r="Z694" s="336">
        <f t="shared" si="346"/>
        <v>0.25</v>
      </c>
      <c r="AA694" s="336">
        <f t="shared" si="346"/>
        <v>0.25</v>
      </c>
      <c r="AB694" s="336">
        <f t="shared" si="346"/>
        <v>0.25</v>
      </c>
      <c r="AC694" s="336">
        <f t="shared" si="346"/>
        <v>0.25</v>
      </c>
      <c r="AD694" s="336">
        <f t="shared" si="346"/>
        <v>0.25</v>
      </c>
      <c r="AE694" s="336">
        <f t="shared" si="346"/>
        <v>0.25</v>
      </c>
      <c r="AF694" s="336">
        <f t="shared" si="346"/>
        <v>0.25</v>
      </c>
      <c r="AG694" s="336">
        <f t="shared" si="346"/>
        <v>0.25</v>
      </c>
      <c r="AH694" s="336">
        <f t="shared" si="346"/>
        <v>0.25</v>
      </c>
      <c r="AI694" s="336">
        <f t="shared" si="346"/>
        <v>0.25</v>
      </c>
      <c r="AJ694" s="336">
        <f t="shared" si="346"/>
        <v>0.25</v>
      </c>
      <c r="AK694" s="336">
        <f t="shared" si="346"/>
        <v>0.25</v>
      </c>
      <c r="AL694" s="336">
        <f t="shared" si="346"/>
        <v>0.25</v>
      </c>
      <c r="AM694" s="336">
        <f t="shared" si="346"/>
        <v>0.25</v>
      </c>
      <c r="AN694" s="336">
        <f t="shared" si="346"/>
        <v>0.25</v>
      </c>
      <c r="AP694" s="20"/>
    </row>
    <row r="695" spans="2:42" x14ac:dyDescent="0.25">
      <c r="C695" s="20" t="s">
        <v>641</v>
      </c>
      <c r="D695" s="34" t="s">
        <v>162</v>
      </c>
      <c r="E695" s="24">
        <v>25</v>
      </c>
      <c r="F695" s="235"/>
      <c r="G695" s="235"/>
      <c r="H695" s="235"/>
      <c r="I695" s="235"/>
      <c r="J695" s="235"/>
      <c r="K695" s="235"/>
      <c r="L695" s="235"/>
      <c r="M695" s="235"/>
      <c r="N695" s="235"/>
      <c r="O695" s="235"/>
      <c r="P695" s="235"/>
      <c r="Q695" s="235"/>
      <c r="R695" s="235"/>
      <c r="S695" s="235"/>
      <c r="T695" s="235"/>
      <c r="U695" s="235"/>
      <c r="V695" s="235"/>
      <c r="W695" s="235"/>
      <c r="X695" s="235"/>
      <c r="Y695" s="235"/>
      <c r="Z695" s="235"/>
      <c r="AA695" s="235"/>
      <c r="AB695" s="235"/>
      <c r="AC695" s="235"/>
      <c r="AD695" s="235"/>
      <c r="AE695" s="235"/>
      <c r="AF695" s="235"/>
      <c r="AG695" s="235"/>
      <c r="AH695" s="235"/>
      <c r="AI695" s="235"/>
      <c r="AJ695" s="235"/>
      <c r="AK695" s="235"/>
      <c r="AL695" s="235"/>
      <c r="AM695" s="235"/>
      <c r="AN695" s="235"/>
      <c r="AO695" s="44"/>
      <c r="AP695" s="235"/>
    </row>
    <row r="696" spans="2:42" x14ac:dyDescent="0.25">
      <c r="C696" s="20" t="s">
        <v>642</v>
      </c>
      <c r="D696" s="34" t="s">
        <v>29</v>
      </c>
      <c r="E696" s="338">
        <f>3/$E$695</f>
        <v>0.12</v>
      </c>
      <c r="F696" s="338">
        <f t="shared" ref="F696:AN696" si="347">3/$E$695</f>
        <v>0.12</v>
      </c>
      <c r="G696" s="338">
        <f t="shared" si="347"/>
        <v>0.12</v>
      </c>
      <c r="H696" s="338">
        <f t="shared" si="347"/>
        <v>0.12</v>
      </c>
      <c r="I696" s="338">
        <f t="shared" si="347"/>
        <v>0.12</v>
      </c>
      <c r="J696" s="338">
        <f t="shared" si="347"/>
        <v>0.12</v>
      </c>
      <c r="K696" s="338">
        <f t="shared" si="347"/>
        <v>0.12</v>
      </c>
      <c r="L696" s="338">
        <f t="shared" si="347"/>
        <v>0.12</v>
      </c>
      <c r="M696" s="338">
        <f t="shared" si="347"/>
        <v>0.12</v>
      </c>
      <c r="N696" s="338">
        <f t="shared" si="347"/>
        <v>0.12</v>
      </c>
      <c r="O696" s="338">
        <f t="shared" si="347"/>
        <v>0.12</v>
      </c>
      <c r="P696" s="338">
        <f t="shared" si="347"/>
        <v>0.12</v>
      </c>
      <c r="Q696" s="338">
        <f t="shared" si="347"/>
        <v>0.12</v>
      </c>
      <c r="R696" s="338">
        <f t="shared" si="347"/>
        <v>0.12</v>
      </c>
      <c r="S696" s="338">
        <f t="shared" si="347"/>
        <v>0.12</v>
      </c>
      <c r="T696" s="338">
        <f t="shared" si="347"/>
        <v>0.12</v>
      </c>
      <c r="U696" s="338">
        <f t="shared" si="347"/>
        <v>0.12</v>
      </c>
      <c r="V696" s="338">
        <f t="shared" si="347"/>
        <v>0.12</v>
      </c>
      <c r="W696" s="338">
        <f t="shared" si="347"/>
        <v>0.12</v>
      </c>
      <c r="X696" s="338">
        <f t="shared" si="347"/>
        <v>0.12</v>
      </c>
      <c r="Y696" s="338">
        <f t="shared" si="347"/>
        <v>0.12</v>
      </c>
      <c r="Z696" s="338">
        <f t="shared" si="347"/>
        <v>0.12</v>
      </c>
      <c r="AA696" s="338">
        <f t="shared" si="347"/>
        <v>0.12</v>
      </c>
      <c r="AB696" s="338">
        <f t="shared" si="347"/>
        <v>0.12</v>
      </c>
      <c r="AC696" s="338">
        <f t="shared" si="347"/>
        <v>0.12</v>
      </c>
      <c r="AD696" s="338">
        <f t="shared" si="347"/>
        <v>0.12</v>
      </c>
      <c r="AE696" s="338">
        <f t="shared" si="347"/>
        <v>0.12</v>
      </c>
      <c r="AF696" s="338">
        <f t="shared" si="347"/>
        <v>0.12</v>
      </c>
      <c r="AG696" s="338">
        <f t="shared" si="347"/>
        <v>0.12</v>
      </c>
      <c r="AH696" s="338">
        <f t="shared" si="347"/>
        <v>0.12</v>
      </c>
      <c r="AI696" s="338">
        <f t="shared" si="347"/>
        <v>0.12</v>
      </c>
      <c r="AJ696" s="338">
        <f t="shared" si="347"/>
        <v>0.12</v>
      </c>
      <c r="AK696" s="338">
        <f t="shared" si="347"/>
        <v>0.12</v>
      </c>
      <c r="AL696" s="338">
        <f t="shared" si="347"/>
        <v>0.12</v>
      </c>
      <c r="AM696" s="338">
        <f t="shared" si="347"/>
        <v>0.12</v>
      </c>
      <c r="AN696" s="338">
        <f t="shared" si="347"/>
        <v>0.12</v>
      </c>
      <c r="AP696" s="21"/>
    </row>
    <row r="697" spans="2:42" x14ac:dyDescent="0.25">
      <c r="C697" s="20" t="s">
        <v>644</v>
      </c>
      <c r="D697" s="34" t="s">
        <v>162</v>
      </c>
      <c r="E697" s="24">
        <v>120</v>
      </c>
      <c r="F697" s="235"/>
      <c r="G697" s="235"/>
      <c r="H697" s="235"/>
      <c r="I697" s="235"/>
      <c r="J697" s="235"/>
      <c r="K697" s="235"/>
      <c r="L697" s="235"/>
      <c r="M697" s="235"/>
      <c r="N697" s="235"/>
      <c r="O697" s="235"/>
      <c r="P697" s="235"/>
      <c r="Q697" s="235"/>
      <c r="R697" s="235"/>
      <c r="S697" s="235"/>
      <c r="T697" s="235"/>
      <c r="U697" s="235"/>
      <c r="V697" s="235"/>
      <c r="W697" s="235"/>
      <c r="X697" s="235"/>
      <c r="Y697" s="235"/>
      <c r="Z697" s="235"/>
      <c r="AA697" s="235"/>
      <c r="AB697" s="235"/>
      <c r="AC697" s="235"/>
      <c r="AD697" s="235"/>
      <c r="AE697" s="235"/>
      <c r="AF697" s="235"/>
      <c r="AG697" s="235"/>
      <c r="AH697" s="235"/>
      <c r="AI697" s="235"/>
      <c r="AJ697" s="235"/>
      <c r="AK697" s="235"/>
      <c r="AL697" s="235"/>
      <c r="AM697" s="235"/>
      <c r="AN697" s="235"/>
      <c r="AO697" s="44"/>
      <c r="AP697" s="235"/>
    </row>
    <row r="698" spans="2:42" x14ac:dyDescent="0.25">
      <c r="C698" s="20" t="s">
        <v>645</v>
      </c>
      <c r="D698" s="34" t="s">
        <v>29</v>
      </c>
      <c r="E698" s="338">
        <f>5/$E$697</f>
        <v>4.1666666666666664E-2</v>
      </c>
      <c r="F698" s="338">
        <f t="shared" ref="F698:AN698" si="348">5/$E$697</f>
        <v>4.1666666666666664E-2</v>
      </c>
      <c r="G698" s="338">
        <f t="shared" si="348"/>
        <v>4.1666666666666664E-2</v>
      </c>
      <c r="H698" s="338">
        <f t="shared" si="348"/>
        <v>4.1666666666666664E-2</v>
      </c>
      <c r="I698" s="338">
        <f t="shared" si="348"/>
        <v>4.1666666666666664E-2</v>
      </c>
      <c r="J698" s="338">
        <f t="shared" si="348"/>
        <v>4.1666666666666664E-2</v>
      </c>
      <c r="K698" s="338">
        <f t="shared" si="348"/>
        <v>4.1666666666666664E-2</v>
      </c>
      <c r="L698" s="338">
        <f t="shared" si="348"/>
        <v>4.1666666666666664E-2</v>
      </c>
      <c r="M698" s="338">
        <f t="shared" si="348"/>
        <v>4.1666666666666664E-2</v>
      </c>
      <c r="N698" s="338">
        <f t="shared" si="348"/>
        <v>4.1666666666666664E-2</v>
      </c>
      <c r="O698" s="338">
        <f t="shared" si="348"/>
        <v>4.1666666666666664E-2</v>
      </c>
      <c r="P698" s="338">
        <f t="shared" si="348"/>
        <v>4.1666666666666664E-2</v>
      </c>
      <c r="Q698" s="338">
        <f t="shared" si="348"/>
        <v>4.1666666666666664E-2</v>
      </c>
      <c r="R698" s="338">
        <f t="shared" si="348"/>
        <v>4.1666666666666664E-2</v>
      </c>
      <c r="S698" s="338">
        <f t="shared" si="348"/>
        <v>4.1666666666666664E-2</v>
      </c>
      <c r="T698" s="338">
        <f t="shared" si="348"/>
        <v>4.1666666666666664E-2</v>
      </c>
      <c r="U698" s="338">
        <f t="shared" si="348"/>
        <v>4.1666666666666664E-2</v>
      </c>
      <c r="V698" s="338">
        <f t="shared" si="348"/>
        <v>4.1666666666666664E-2</v>
      </c>
      <c r="W698" s="338">
        <f t="shared" si="348"/>
        <v>4.1666666666666664E-2</v>
      </c>
      <c r="X698" s="338">
        <f t="shared" si="348"/>
        <v>4.1666666666666664E-2</v>
      </c>
      <c r="Y698" s="338">
        <f t="shared" si="348"/>
        <v>4.1666666666666664E-2</v>
      </c>
      <c r="Z698" s="338">
        <f t="shared" si="348"/>
        <v>4.1666666666666664E-2</v>
      </c>
      <c r="AA698" s="338">
        <f t="shared" si="348"/>
        <v>4.1666666666666664E-2</v>
      </c>
      <c r="AB698" s="338">
        <f t="shared" si="348"/>
        <v>4.1666666666666664E-2</v>
      </c>
      <c r="AC698" s="338">
        <f t="shared" si="348"/>
        <v>4.1666666666666664E-2</v>
      </c>
      <c r="AD698" s="338">
        <f t="shared" si="348"/>
        <v>4.1666666666666664E-2</v>
      </c>
      <c r="AE698" s="338">
        <f t="shared" si="348"/>
        <v>4.1666666666666664E-2</v>
      </c>
      <c r="AF698" s="338">
        <f t="shared" si="348"/>
        <v>4.1666666666666664E-2</v>
      </c>
      <c r="AG698" s="338">
        <f t="shared" si="348"/>
        <v>4.1666666666666664E-2</v>
      </c>
      <c r="AH698" s="338">
        <f t="shared" si="348"/>
        <v>4.1666666666666664E-2</v>
      </c>
      <c r="AI698" s="338">
        <f t="shared" si="348"/>
        <v>4.1666666666666664E-2</v>
      </c>
      <c r="AJ698" s="338">
        <f t="shared" si="348"/>
        <v>4.1666666666666664E-2</v>
      </c>
      <c r="AK698" s="338">
        <f t="shared" si="348"/>
        <v>4.1666666666666664E-2</v>
      </c>
      <c r="AL698" s="338">
        <f t="shared" si="348"/>
        <v>4.1666666666666664E-2</v>
      </c>
      <c r="AM698" s="338">
        <f t="shared" si="348"/>
        <v>4.1666666666666664E-2</v>
      </c>
      <c r="AN698" s="338">
        <f t="shared" si="348"/>
        <v>4.1666666666666664E-2</v>
      </c>
      <c r="AP698" s="21"/>
    </row>
    <row r="699" spans="2:42" x14ac:dyDescent="0.25">
      <c r="C699" s="20" t="s">
        <v>646</v>
      </c>
      <c r="D699" s="38" t="s">
        <v>162</v>
      </c>
      <c r="E699" s="24">
        <v>250</v>
      </c>
      <c r="F699" s="235"/>
      <c r="G699" s="235"/>
      <c r="H699" s="235"/>
      <c r="I699" s="235"/>
      <c r="J699" s="235"/>
      <c r="K699" s="235"/>
      <c r="L699" s="235"/>
      <c r="M699" s="235"/>
      <c r="N699" s="235"/>
      <c r="O699" s="235"/>
      <c r="P699" s="235"/>
      <c r="Q699" s="235"/>
      <c r="R699" s="235"/>
      <c r="S699" s="235"/>
      <c r="T699" s="235"/>
      <c r="U699" s="235"/>
      <c r="V699" s="235"/>
      <c r="W699" s="235"/>
      <c r="X699" s="235"/>
      <c r="Y699" s="235"/>
      <c r="Z699" s="235"/>
      <c r="AA699" s="235"/>
      <c r="AB699" s="235"/>
      <c r="AC699" s="235"/>
      <c r="AD699" s="235"/>
      <c r="AE699" s="235"/>
      <c r="AF699" s="235"/>
      <c r="AG699" s="235"/>
      <c r="AH699" s="235"/>
      <c r="AI699" s="235"/>
      <c r="AJ699" s="235"/>
      <c r="AK699" s="235"/>
      <c r="AL699" s="235"/>
      <c r="AM699" s="235"/>
      <c r="AN699" s="235"/>
      <c r="AO699" s="44"/>
      <c r="AP699" s="235"/>
    </row>
    <row r="700" spans="2:42" x14ac:dyDescent="0.25">
      <c r="C700" s="20" t="s">
        <v>647</v>
      </c>
      <c r="D700" s="98" t="s">
        <v>29</v>
      </c>
      <c r="E700" s="338">
        <f>10/$E$699</f>
        <v>0.04</v>
      </c>
      <c r="F700" s="338">
        <f t="shared" ref="F700:AN700" si="349">10/$E$699</f>
        <v>0.04</v>
      </c>
      <c r="G700" s="338">
        <f t="shared" si="349"/>
        <v>0.04</v>
      </c>
      <c r="H700" s="338">
        <f t="shared" si="349"/>
        <v>0.04</v>
      </c>
      <c r="I700" s="338">
        <f t="shared" si="349"/>
        <v>0.04</v>
      </c>
      <c r="J700" s="338">
        <f t="shared" si="349"/>
        <v>0.04</v>
      </c>
      <c r="K700" s="338">
        <f t="shared" si="349"/>
        <v>0.04</v>
      </c>
      <c r="L700" s="338">
        <f t="shared" si="349"/>
        <v>0.04</v>
      </c>
      <c r="M700" s="338">
        <f t="shared" si="349"/>
        <v>0.04</v>
      </c>
      <c r="N700" s="338">
        <f t="shared" si="349"/>
        <v>0.04</v>
      </c>
      <c r="O700" s="338">
        <f t="shared" si="349"/>
        <v>0.04</v>
      </c>
      <c r="P700" s="338">
        <f t="shared" si="349"/>
        <v>0.04</v>
      </c>
      <c r="Q700" s="338">
        <f t="shared" si="349"/>
        <v>0.04</v>
      </c>
      <c r="R700" s="338">
        <f t="shared" si="349"/>
        <v>0.04</v>
      </c>
      <c r="S700" s="338">
        <f t="shared" si="349"/>
        <v>0.04</v>
      </c>
      <c r="T700" s="338">
        <f t="shared" si="349"/>
        <v>0.04</v>
      </c>
      <c r="U700" s="338">
        <f t="shared" si="349"/>
        <v>0.04</v>
      </c>
      <c r="V700" s="338">
        <f t="shared" si="349"/>
        <v>0.04</v>
      </c>
      <c r="W700" s="338">
        <f t="shared" si="349"/>
        <v>0.04</v>
      </c>
      <c r="X700" s="338">
        <f t="shared" si="349"/>
        <v>0.04</v>
      </c>
      <c r="Y700" s="338">
        <f t="shared" si="349"/>
        <v>0.04</v>
      </c>
      <c r="Z700" s="338">
        <f t="shared" si="349"/>
        <v>0.04</v>
      </c>
      <c r="AA700" s="338">
        <f t="shared" si="349"/>
        <v>0.04</v>
      </c>
      <c r="AB700" s="338">
        <f t="shared" si="349"/>
        <v>0.04</v>
      </c>
      <c r="AC700" s="338">
        <f t="shared" si="349"/>
        <v>0.04</v>
      </c>
      <c r="AD700" s="338">
        <f t="shared" si="349"/>
        <v>0.04</v>
      </c>
      <c r="AE700" s="338">
        <f t="shared" si="349"/>
        <v>0.04</v>
      </c>
      <c r="AF700" s="338">
        <f t="shared" si="349"/>
        <v>0.04</v>
      </c>
      <c r="AG700" s="338">
        <f t="shared" si="349"/>
        <v>0.04</v>
      </c>
      <c r="AH700" s="338">
        <f t="shared" si="349"/>
        <v>0.04</v>
      </c>
      <c r="AI700" s="338">
        <f t="shared" si="349"/>
        <v>0.04</v>
      </c>
      <c r="AJ700" s="338">
        <f t="shared" si="349"/>
        <v>0.04</v>
      </c>
      <c r="AK700" s="338">
        <f t="shared" si="349"/>
        <v>0.04</v>
      </c>
      <c r="AL700" s="338">
        <f t="shared" si="349"/>
        <v>0.04</v>
      </c>
      <c r="AM700" s="338">
        <f t="shared" si="349"/>
        <v>0.04</v>
      </c>
      <c r="AN700" s="338">
        <f t="shared" si="349"/>
        <v>0.04</v>
      </c>
      <c r="AP700" s="35"/>
    </row>
    <row r="701" spans="2:42" x14ac:dyDescent="0.25">
      <c r="C701" s="324" t="s">
        <v>631</v>
      </c>
      <c r="D701" s="325" t="s">
        <v>29</v>
      </c>
      <c r="E701" s="339">
        <f>5%</f>
        <v>0.05</v>
      </c>
      <c r="F701" s="339">
        <f>5%</f>
        <v>0.05</v>
      </c>
      <c r="G701" s="339">
        <f>5%</f>
        <v>0.05</v>
      </c>
      <c r="H701" s="339">
        <f>5%</f>
        <v>0.05</v>
      </c>
      <c r="I701" s="339">
        <f>5%</f>
        <v>0.05</v>
      </c>
      <c r="J701" s="339">
        <f>5%</f>
        <v>0.05</v>
      </c>
      <c r="K701" s="339">
        <f>5%</f>
        <v>0.05</v>
      </c>
      <c r="L701" s="339">
        <f>5%</f>
        <v>0.05</v>
      </c>
      <c r="M701" s="339">
        <f>5%</f>
        <v>0.05</v>
      </c>
      <c r="N701" s="339">
        <f>5%</f>
        <v>0.05</v>
      </c>
      <c r="O701" s="339">
        <f>5%</f>
        <v>0.05</v>
      </c>
      <c r="P701" s="339">
        <f>5%</f>
        <v>0.05</v>
      </c>
      <c r="Q701" s="339">
        <f>5%</f>
        <v>0.05</v>
      </c>
      <c r="R701" s="339">
        <f>5%</f>
        <v>0.05</v>
      </c>
      <c r="S701" s="339">
        <f>5%</f>
        <v>0.05</v>
      </c>
      <c r="T701" s="339">
        <f>5%</f>
        <v>0.05</v>
      </c>
      <c r="U701" s="339">
        <f>5%</f>
        <v>0.05</v>
      </c>
      <c r="V701" s="339">
        <f>5%</f>
        <v>0.05</v>
      </c>
      <c r="W701" s="339">
        <f>5%</f>
        <v>0.05</v>
      </c>
      <c r="X701" s="339">
        <f>5%</f>
        <v>0.05</v>
      </c>
      <c r="Y701" s="339">
        <f>5%</f>
        <v>0.05</v>
      </c>
      <c r="Z701" s="339">
        <f>5%</f>
        <v>0.05</v>
      </c>
      <c r="AA701" s="339">
        <f>5%</f>
        <v>0.05</v>
      </c>
      <c r="AB701" s="339">
        <f>5%</f>
        <v>0.05</v>
      </c>
      <c r="AC701" s="339">
        <f>5%</f>
        <v>0.05</v>
      </c>
      <c r="AD701" s="339">
        <f>5%</f>
        <v>0.05</v>
      </c>
      <c r="AE701" s="339">
        <f>5%</f>
        <v>0.05</v>
      </c>
      <c r="AF701" s="339">
        <f>5%</f>
        <v>0.05</v>
      </c>
      <c r="AG701" s="339">
        <f>5%</f>
        <v>0.05</v>
      </c>
      <c r="AH701" s="339">
        <f>5%</f>
        <v>0.05</v>
      </c>
      <c r="AI701" s="339">
        <f>5%</f>
        <v>0.05</v>
      </c>
      <c r="AJ701" s="339">
        <f>5%</f>
        <v>0.05</v>
      </c>
      <c r="AK701" s="339">
        <f>5%</f>
        <v>0.05</v>
      </c>
      <c r="AL701" s="339">
        <f>5%</f>
        <v>0.05</v>
      </c>
      <c r="AM701" s="339">
        <f>5%</f>
        <v>0.05</v>
      </c>
      <c r="AN701" s="339">
        <f>5%</f>
        <v>0.05</v>
      </c>
      <c r="AP701" s="324"/>
    </row>
    <row r="702" spans="2:42" s="74" customFormat="1" x14ac:dyDescent="0.25">
      <c r="B702" s="225">
        <v>3.3</v>
      </c>
      <c r="C702" s="176" t="s">
        <v>4</v>
      </c>
      <c r="D702" s="314"/>
      <c r="E702" s="486">
        <v>45688</v>
      </c>
      <c r="F702" s="486">
        <v>45716</v>
      </c>
      <c r="G702" s="486">
        <v>45747</v>
      </c>
      <c r="H702" s="486">
        <v>45777</v>
      </c>
      <c r="I702" s="486">
        <v>45808</v>
      </c>
      <c r="J702" s="486">
        <v>45838</v>
      </c>
      <c r="K702" s="486">
        <v>45869</v>
      </c>
      <c r="L702" s="486">
        <v>45900</v>
      </c>
      <c r="M702" s="486">
        <v>45930</v>
      </c>
      <c r="N702" s="486">
        <v>45961</v>
      </c>
      <c r="O702" s="486">
        <v>45991</v>
      </c>
      <c r="P702" s="486">
        <v>46022</v>
      </c>
      <c r="Q702" s="486">
        <v>46053.25</v>
      </c>
      <c r="R702" s="486">
        <v>46081.25</v>
      </c>
      <c r="S702" s="486">
        <v>46112.25</v>
      </c>
      <c r="T702" s="486">
        <v>46142.25</v>
      </c>
      <c r="U702" s="486">
        <v>46173.25</v>
      </c>
      <c r="V702" s="486">
        <v>46203.25</v>
      </c>
      <c r="W702" s="486">
        <v>46234.25</v>
      </c>
      <c r="X702" s="486">
        <v>46265.25</v>
      </c>
      <c r="Y702" s="486">
        <v>46295.25</v>
      </c>
      <c r="Z702" s="486">
        <v>46326.25</v>
      </c>
      <c r="AA702" s="486">
        <v>46356.25</v>
      </c>
      <c r="AB702" s="486">
        <v>46387.25</v>
      </c>
      <c r="AC702" s="486">
        <v>46418.5</v>
      </c>
      <c r="AD702" s="486">
        <v>46446.5</v>
      </c>
      <c r="AE702" s="486">
        <v>46477.5</v>
      </c>
      <c r="AF702" s="486">
        <v>46507.5</v>
      </c>
      <c r="AG702" s="486">
        <v>46538.5</v>
      </c>
      <c r="AH702" s="486">
        <v>46568.5</v>
      </c>
      <c r="AI702" s="486">
        <v>46599.5</v>
      </c>
      <c r="AJ702" s="486">
        <v>46630.5</v>
      </c>
      <c r="AK702" s="486">
        <v>46660.5</v>
      </c>
      <c r="AL702" s="486">
        <v>46691.5</v>
      </c>
      <c r="AM702" s="486">
        <v>46721.5</v>
      </c>
      <c r="AN702" s="486">
        <v>46752.5</v>
      </c>
      <c r="AP702" s="177"/>
    </row>
    <row r="703" spans="2:42" s="321" customFormat="1" x14ac:dyDescent="0.25">
      <c r="B703" s="417"/>
      <c r="C703" s="322" t="s">
        <v>692</v>
      </c>
      <c r="D703" s="419" t="s">
        <v>29</v>
      </c>
      <c r="E703" s="422">
        <v>0.8</v>
      </c>
      <c r="F703" s="422">
        <v>0.8</v>
      </c>
      <c r="G703" s="422">
        <v>0.8</v>
      </c>
      <c r="H703" s="422">
        <v>0.8</v>
      </c>
      <c r="I703" s="422">
        <v>0.8</v>
      </c>
      <c r="J703" s="422">
        <v>0.8</v>
      </c>
      <c r="K703" s="422">
        <v>0.8</v>
      </c>
      <c r="L703" s="422">
        <v>0.8</v>
      </c>
      <c r="M703" s="422">
        <v>0.8</v>
      </c>
      <c r="N703" s="422">
        <v>0.8</v>
      </c>
      <c r="O703" s="422">
        <v>0.8</v>
      </c>
      <c r="P703" s="422">
        <v>0.8</v>
      </c>
      <c r="Q703" s="422">
        <v>0.8</v>
      </c>
      <c r="R703" s="422">
        <v>0.8</v>
      </c>
      <c r="S703" s="422">
        <v>0.8</v>
      </c>
      <c r="T703" s="422">
        <v>0.8</v>
      </c>
      <c r="U703" s="422">
        <v>0.8</v>
      </c>
      <c r="V703" s="422">
        <v>0.8</v>
      </c>
      <c r="W703" s="422">
        <v>0.8</v>
      </c>
      <c r="X703" s="422">
        <v>0.8</v>
      </c>
      <c r="Y703" s="422">
        <v>0.8</v>
      </c>
      <c r="Z703" s="422">
        <v>0.8</v>
      </c>
      <c r="AA703" s="422">
        <v>0.8</v>
      </c>
      <c r="AB703" s="422">
        <v>0.8</v>
      </c>
      <c r="AC703" s="422">
        <v>0.8</v>
      </c>
      <c r="AD703" s="422">
        <v>0.8</v>
      </c>
      <c r="AE703" s="422">
        <v>0.8</v>
      </c>
      <c r="AF703" s="422">
        <v>0.8</v>
      </c>
      <c r="AG703" s="422">
        <v>0.8</v>
      </c>
      <c r="AH703" s="422">
        <v>0.8</v>
      </c>
      <c r="AI703" s="422">
        <v>0.8</v>
      </c>
      <c r="AJ703" s="422">
        <v>0.8</v>
      </c>
      <c r="AK703" s="422">
        <v>0.8</v>
      </c>
      <c r="AL703" s="422">
        <v>0.8</v>
      </c>
      <c r="AM703" s="422">
        <v>0.8</v>
      </c>
      <c r="AN703" s="422">
        <v>0.8</v>
      </c>
      <c r="AP703" s="418"/>
    </row>
    <row r="704" spans="2:42" s="74" customFormat="1" x14ac:dyDescent="0.25">
      <c r="B704" s="99" t="s">
        <v>9</v>
      </c>
      <c r="C704" s="333" t="s">
        <v>658</v>
      </c>
      <c r="D704" s="334"/>
      <c r="E704" s="312"/>
      <c r="F704" s="312"/>
      <c r="G704" s="312"/>
      <c r="H704" s="312"/>
      <c r="I704" s="312"/>
      <c r="J704" s="312"/>
      <c r="K704" s="312"/>
      <c r="L704" s="312"/>
      <c r="M704" s="312"/>
      <c r="N704" s="312"/>
      <c r="O704" s="312"/>
      <c r="P704" s="312"/>
      <c r="Q704" s="312"/>
      <c r="R704" s="312"/>
      <c r="S704" s="312"/>
      <c r="T704" s="312"/>
      <c r="U704" s="312"/>
      <c r="V704" s="312"/>
      <c r="W704" s="312"/>
      <c r="X704" s="312"/>
      <c r="Y704" s="312"/>
      <c r="Z704" s="312"/>
      <c r="AA704" s="312"/>
      <c r="AB704" s="312"/>
      <c r="AC704" s="312"/>
      <c r="AD704" s="312"/>
      <c r="AE704" s="312"/>
      <c r="AF704" s="312"/>
      <c r="AG704" s="312"/>
      <c r="AH704" s="312"/>
      <c r="AI704" s="312"/>
      <c r="AJ704" s="312"/>
      <c r="AK704" s="312"/>
      <c r="AL704" s="312"/>
      <c r="AM704" s="312"/>
      <c r="AN704" s="312"/>
      <c r="AP704" s="312"/>
    </row>
    <row r="705" spans="2:42" x14ac:dyDescent="0.25">
      <c r="C705" s="20" t="s">
        <v>685</v>
      </c>
      <c r="D705" s="34" t="s">
        <v>29</v>
      </c>
      <c r="E705" s="336">
        <v>0.6</v>
      </c>
      <c r="F705" s="336">
        <v>0.6</v>
      </c>
      <c r="G705" s="336">
        <v>0.6</v>
      </c>
      <c r="H705" s="336">
        <v>0.6</v>
      </c>
      <c r="I705" s="336">
        <v>0.6</v>
      </c>
      <c r="J705" s="336">
        <v>0.6</v>
      </c>
      <c r="K705" s="336">
        <v>0.6</v>
      </c>
      <c r="L705" s="336">
        <v>0.6</v>
      </c>
      <c r="M705" s="336">
        <v>0.6</v>
      </c>
      <c r="N705" s="336">
        <v>0.6</v>
      </c>
      <c r="O705" s="336">
        <v>0.6</v>
      </c>
      <c r="P705" s="336">
        <v>0.6</v>
      </c>
      <c r="Q705" s="336">
        <v>0.6</v>
      </c>
      <c r="R705" s="336">
        <v>0.6</v>
      </c>
      <c r="S705" s="336">
        <v>0.6</v>
      </c>
      <c r="T705" s="336">
        <v>0.6</v>
      </c>
      <c r="U705" s="336">
        <v>0.6</v>
      </c>
      <c r="V705" s="336">
        <v>0.6</v>
      </c>
      <c r="W705" s="336">
        <v>0.6</v>
      </c>
      <c r="X705" s="336">
        <v>0.6</v>
      </c>
      <c r="Y705" s="336">
        <v>0.6</v>
      </c>
      <c r="Z705" s="336">
        <v>0.6</v>
      </c>
      <c r="AA705" s="336">
        <v>0.6</v>
      </c>
      <c r="AB705" s="336">
        <v>0.6</v>
      </c>
      <c r="AC705" s="336">
        <v>0.6</v>
      </c>
      <c r="AD705" s="336">
        <v>0.6</v>
      </c>
      <c r="AE705" s="336">
        <v>0.6</v>
      </c>
      <c r="AF705" s="336">
        <v>0.6</v>
      </c>
      <c r="AG705" s="336">
        <v>0.6</v>
      </c>
      <c r="AH705" s="336">
        <v>0.6</v>
      </c>
      <c r="AI705" s="336">
        <v>0.6</v>
      </c>
      <c r="AJ705" s="336">
        <v>0.6</v>
      </c>
      <c r="AK705" s="336">
        <v>0.6</v>
      </c>
      <c r="AL705" s="336">
        <v>0.6</v>
      </c>
      <c r="AM705" s="336">
        <v>0.6</v>
      </c>
      <c r="AN705" s="336">
        <v>0.6</v>
      </c>
      <c r="AP705" s="20"/>
    </row>
    <row r="706" spans="2:42" x14ac:dyDescent="0.25">
      <c r="C706" s="324" t="s">
        <v>703</v>
      </c>
      <c r="D706" s="325" t="s">
        <v>46</v>
      </c>
      <c r="E706" s="326">
        <v>0</v>
      </c>
      <c r="F706" s="326">
        <v>0</v>
      </c>
      <c r="G706" s="326">
        <v>0</v>
      </c>
      <c r="H706" s="326">
        <v>0</v>
      </c>
      <c r="I706" s="326">
        <v>0</v>
      </c>
      <c r="J706" s="326">
        <v>0</v>
      </c>
      <c r="K706" s="326">
        <v>0</v>
      </c>
      <c r="L706" s="326">
        <v>0</v>
      </c>
      <c r="M706" s="326">
        <v>0</v>
      </c>
      <c r="N706" s="326">
        <v>0</v>
      </c>
      <c r="O706" s="326">
        <v>0</v>
      </c>
      <c r="P706" s="326">
        <v>0</v>
      </c>
      <c r="Q706" s="326">
        <v>0</v>
      </c>
      <c r="R706" s="326">
        <v>0</v>
      </c>
      <c r="S706" s="326">
        <v>0</v>
      </c>
      <c r="T706" s="326">
        <v>0</v>
      </c>
      <c r="U706" s="326">
        <v>0</v>
      </c>
      <c r="V706" s="326">
        <v>0</v>
      </c>
      <c r="W706" s="326">
        <v>0</v>
      </c>
      <c r="X706" s="326">
        <v>0</v>
      </c>
      <c r="Y706" s="326">
        <v>0</v>
      </c>
      <c r="Z706" s="326">
        <v>0</v>
      </c>
      <c r="AA706" s="326">
        <v>0</v>
      </c>
      <c r="AB706" s="326">
        <v>0</v>
      </c>
      <c r="AC706" s="326">
        <v>0</v>
      </c>
      <c r="AD706" s="326">
        <v>0</v>
      </c>
      <c r="AE706" s="326">
        <v>0</v>
      </c>
      <c r="AF706" s="326">
        <v>0</v>
      </c>
      <c r="AG706" s="326">
        <v>0</v>
      </c>
      <c r="AH706" s="326">
        <v>0</v>
      </c>
      <c r="AI706" s="326">
        <v>0</v>
      </c>
      <c r="AJ706" s="326">
        <v>0</v>
      </c>
      <c r="AK706" s="326">
        <v>0</v>
      </c>
      <c r="AL706" s="326">
        <v>0</v>
      </c>
      <c r="AM706" s="326">
        <v>0</v>
      </c>
      <c r="AN706" s="326">
        <v>0</v>
      </c>
      <c r="AP706" s="324"/>
    </row>
    <row r="707" spans="2:42" s="74" customFormat="1" x14ac:dyDescent="0.25">
      <c r="B707" s="99" t="s">
        <v>9</v>
      </c>
      <c r="C707" s="333" t="s">
        <v>660</v>
      </c>
      <c r="D707" s="334"/>
      <c r="E707" s="312"/>
      <c r="F707" s="312"/>
      <c r="G707" s="312"/>
      <c r="H707" s="312"/>
      <c r="I707" s="312"/>
      <c r="J707" s="312"/>
      <c r="K707" s="312"/>
      <c r="L707" s="312"/>
      <c r="M707" s="312"/>
      <c r="N707" s="312"/>
      <c r="O707" s="312"/>
      <c r="P707" s="312"/>
      <c r="Q707" s="312"/>
      <c r="R707" s="312"/>
      <c r="S707" s="312"/>
      <c r="T707" s="312"/>
      <c r="U707" s="312"/>
      <c r="V707" s="312"/>
      <c r="W707" s="312"/>
      <c r="X707" s="312"/>
      <c r="Y707" s="312"/>
      <c r="Z707" s="312"/>
      <c r="AA707" s="312"/>
      <c r="AB707" s="312"/>
      <c r="AC707" s="312"/>
      <c r="AD707" s="312"/>
      <c r="AE707" s="312"/>
      <c r="AF707" s="312"/>
      <c r="AG707" s="312"/>
      <c r="AH707" s="312"/>
      <c r="AI707" s="312"/>
      <c r="AJ707" s="312"/>
      <c r="AK707" s="312"/>
      <c r="AL707" s="312"/>
      <c r="AM707" s="312"/>
      <c r="AN707" s="312"/>
      <c r="AP707" s="312"/>
    </row>
    <row r="708" spans="2:42" x14ac:dyDescent="0.25">
      <c r="C708" s="20" t="s">
        <v>700</v>
      </c>
      <c r="D708" s="34" t="s">
        <v>29</v>
      </c>
      <c r="E708" s="336">
        <v>0.2</v>
      </c>
      <c r="F708" s="336">
        <v>0.2</v>
      </c>
      <c r="G708" s="336">
        <v>0.2</v>
      </c>
      <c r="H708" s="336">
        <v>0.2</v>
      </c>
      <c r="I708" s="336">
        <v>0.2</v>
      </c>
      <c r="J708" s="336">
        <v>0.2</v>
      </c>
      <c r="K708" s="336">
        <v>0.2</v>
      </c>
      <c r="L708" s="336">
        <v>0.2</v>
      </c>
      <c r="M708" s="336">
        <v>0.2</v>
      </c>
      <c r="N708" s="336">
        <v>0.2</v>
      </c>
      <c r="O708" s="336">
        <v>0.2</v>
      </c>
      <c r="P708" s="336">
        <v>0.2</v>
      </c>
      <c r="Q708" s="336">
        <v>0.2</v>
      </c>
      <c r="R708" s="336">
        <v>0.2</v>
      </c>
      <c r="S708" s="336">
        <v>0.2</v>
      </c>
      <c r="T708" s="336">
        <v>0.2</v>
      </c>
      <c r="U708" s="336">
        <v>0.2</v>
      </c>
      <c r="V708" s="336">
        <v>0.2</v>
      </c>
      <c r="W708" s="336">
        <v>0.2</v>
      </c>
      <c r="X708" s="336">
        <v>0.2</v>
      </c>
      <c r="Y708" s="336">
        <v>0.2</v>
      </c>
      <c r="Z708" s="336">
        <v>0.2</v>
      </c>
      <c r="AA708" s="336">
        <v>0.2</v>
      </c>
      <c r="AB708" s="336">
        <v>0.2</v>
      </c>
      <c r="AC708" s="336">
        <v>0.2</v>
      </c>
      <c r="AD708" s="336">
        <v>0.2</v>
      </c>
      <c r="AE708" s="336">
        <v>0.2</v>
      </c>
      <c r="AF708" s="336">
        <v>0.2</v>
      </c>
      <c r="AG708" s="336">
        <v>0.2</v>
      </c>
      <c r="AH708" s="336">
        <v>0.2</v>
      </c>
      <c r="AI708" s="336">
        <v>0.2</v>
      </c>
      <c r="AJ708" s="336">
        <v>0.2</v>
      </c>
      <c r="AK708" s="336">
        <v>0.2</v>
      </c>
      <c r="AL708" s="336">
        <v>0.2</v>
      </c>
      <c r="AM708" s="336">
        <v>0.2</v>
      </c>
      <c r="AN708" s="336">
        <v>0.2</v>
      </c>
      <c r="AP708" s="20"/>
    </row>
    <row r="709" spans="2:42" x14ac:dyDescent="0.25">
      <c r="C709" s="20" t="s">
        <v>662</v>
      </c>
      <c r="D709" s="34" t="s">
        <v>29</v>
      </c>
      <c r="E709" s="420">
        <v>0.2</v>
      </c>
      <c r="F709" s="420">
        <v>0.2</v>
      </c>
      <c r="G709" s="420">
        <v>0.2</v>
      </c>
      <c r="H709" s="420">
        <v>0.2</v>
      </c>
      <c r="I709" s="420">
        <v>0.2</v>
      </c>
      <c r="J709" s="420">
        <v>0.2</v>
      </c>
      <c r="K709" s="420">
        <v>0.2</v>
      </c>
      <c r="L709" s="420">
        <v>0.2</v>
      </c>
      <c r="M709" s="420">
        <v>0.2</v>
      </c>
      <c r="N709" s="420">
        <v>0.2</v>
      </c>
      <c r="O709" s="420">
        <v>0.2</v>
      </c>
      <c r="P709" s="420">
        <v>0.2</v>
      </c>
      <c r="Q709" s="420">
        <v>0.2</v>
      </c>
      <c r="R709" s="420">
        <v>0.2</v>
      </c>
      <c r="S709" s="420">
        <v>0.2</v>
      </c>
      <c r="T709" s="420">
        <v>0.2</v>
      </c>
      <c r="U709" s="420">
        <v>0.2</v>
      </c>
      <c r="V709" s="420">
        <v>0.2</v>
      </c>
      <c r="W709" s="420">
        <v>0.2</v>
      </c>
      <c r="X709" s="420">
        <v>0.2</v>
      </c>
      <c r="Y709" s="420">
        <v>0.2</v>
      </c>
      <c r="Z709" s="420">
        <v>0.2</v>
      </c>
      <c r="AA709" s="420">
        <v>0.2</v>
      </c>
      <c r="AB709" s="420">
        <v>0.2</v>
      </c>
      <c r="AC709" s="420">
        <v>0.2</v>
      </c>
      <c r="AD709" s="420">
        <v>0.2</v>
      </c>
      <c r="AE709" s="420">
        <v>0.2</v>
      </c>
      <c r="AF709" s="420">
        <v>0.2</v>
      </c>
      <c r="AG709" s="420">
        <v>0.2</v>
      </c>
      <c r="AH709" s="420">
        <v>0.2</v>
      </c>
      <c r="AI709" s="420">
        <v>0.2</v>
      </c>
      <c r="AJ709" s="420">
        <v>0.2</v>
      </c>
      <c r="AK709" s="420">
        <v>0.2</v>
      </c>
      <c r="AL709" s="420">
        <v>0.2</v>
      </c>
      <c r="AM709" s="420">
        <v>0.2</v>
      </c>
      <c r="AN709" s="420">
        <v>0.2</v>
      </c>
      <c r="AP709" s="20"/>
    </row>
    <row r="710" spans="2:42" x14ac:dyDescent="0.25">
      <c r="C710" s="26" t="s">
        <v>705</v>
      </c>
      <c r="D710" s="319" t="s">
        <v>29</v>
      </c>
      <c r="E710" s="337">
        <v>0.8</v>
      </c>
      <c r="F710" s="337">
        <v>0.8</v>
      </c>
      <c r="G710" s="337">
        <v>0.8</v>
      </c>
      <c r="H710" s="337">
        <v>0.8</v>
      </c>
      <c r="I710" s="337">
        <v>0.8</v>
      </c>
      <c r="J710" s="337">
        <v>0.8</v>
      </c>
      <c r="K710" s="337">
        <v>0.8</v>
      </c>
      <c r="L710" s="337">
        <v>0.8</v>
      </c>
      <c r="M710" s="337">
        <v>0.8</v>
      </c>
      <c r="N710" s="337">
        <v>0.8</v>
      </c>
      <c r="O710" s="337">
        <v>0.8</v>
      </c>
      <c r="P710" s="337">
        <v>0.8</v>
      </c>
      <c r="Q710" s="337">
        <v>0.8</v>
      </c>
      <c r="R710" s="337">
        <v>0.8</v>
      </c>
      <c r="S710" s="337">
        <v>0.8</v>
      </c>
      <c r="T710" s="337">
        <v>0.8</v>
      </c>
      <c r="U710" s="337">
        <v>0.8</v>
      </c>
      <c r="V710" s="337">
        <v>0.8</v>
      </c>
      <c r="W710" s="337">
        <v>0.8</v>
      </c>
      <c r="X710" s="337">
        <v>0.8</v>
      </c>
      <c r="Y710" s="337">
        <v>0.8</v>
      </c>
      <c r="Z710" s="337">
        <v>0.8</v>
      </c>
      <c r="AA710" s="337">
        <v>0.8</v>
      </c>
      <c r="AB710" s="337">
        <v>0.8</v>
      </c>
      <c r="AC710" s="337">
        <v>0.8</v>
      </c>
      <c r="AD710" s="337">
        <v>0.8</v>
      </c>
      <c r="AE710" s="337">
        <v>0.8</v>
      </c>
      <c r="AF710" s="337">
        <v>0.8</v>
      </c>
      <c r="AG710" s="337">
        <v>0.8</v>
      </c>
      <c r="AH710" s="337">
        <v>0.8</v>
      </c>
      <c r="AI710" s="337">
        <v>0.8</v>
      </c>
      <c r="AJ710" s="337">
        <v>0.8</v>
      </c>
      <c r="AK710" s="337">
        <v>0.8</v>
      </c>
      <c r="AL710" s="337">
        <v>0.8</v>
      </c>
      <c r="AM710" s="337">
        <v>0.8</v>
      </c>
      <c r="AN710" s="337">
        <v>0.8</v>
      </c>
      <c r="AP710" s="20"/>
    </row>
    <row r="711" spans="2:42" s="74" customFormat="1" x14ac:dyDescent="0.25">
      <c r="B711" s="99" t="s">
        <v>10</v>
      </c>
      <c r="C711" s="311" t="s">
        <v>683</v>
      </c>
      <c r="D711" s="318"/>
      <c r="E711" s="311"/>
      <c r="F711" s="311"/>
      <c r="G711" s="311"/>
      <c r="H711" s="311"/>
      <c r="I711" s="311"/>
      <c r="J711" s="311"/>
      <c r="K711" s="311"/>
      <c r="L711" s="311"/>
      <c r="M711" s="311"/>
      <c r="N711" s="311"/>
      <c r="O711" s="311"/>
      <c r="P711" s="311"/>
      <c r="Q711" s="311"/>
      <c r="R711" s="311"/>
      <c r="S711" s="311"/>
      <c r="T711" s="311"/>
      <c r="U711" s="311"/>
      <c r="V711" s="311"/>
      <c r="W711" s="311"/>
      <c r="X711" s="311"/>
      <c r="Y711" s="311"/>
      <c r="Z711" s="311"/>
      <c r="AA711" s="311"/>
      <c r="AB711" s="311"/>
      <c r="AC711" s="311"/>
      <c r="AD711" s="311"/>
      <c r="AE711" s="311"/>
      <c r="AF711" s="311"/>
      <c r="AG711" s="311"/>
      <c r="AH711" s="311"/>
      <c r="AI711" s="311"/>
      <c r="AJ711" s="311"/>
      <c r="AK711" s="311"/>
      <c r="AL711" s="311"/>
      <c r="AM711" s="311"/>
      <c r="AN711" s="311"/>
      <c r="AP711" s="311"/>
    </row>
    <row r="712" spans="2:42" x14ac:dyDescent="0.25">
      <c r="C712" s="94" t="s">
        <v>693</v>
      </c>
      <c r="D712" s="95" t="s">
        <v>46</v>
      </c>
      <c r="E712" s="492">
        <v>99</v>
      </c>
      <c r="F712" s="492">
        <v>99</v>
      </c>
      <c r="G712" s="492">
        <v>99</v>
      </c>
      <c r="H712" s="492">
        <v>99</v>
      </c>
      <c r="I712" s="492">
        <v>99</v>
      </c>
      <c r="J712" s="492">
        <v>99</v>
      </c>
      <c r="K712" s="492">
        <v>99</v>
      </c>
      <c r="L712" s="492">
        <v>99</v>
      </c>
      <c r="M712" s="492">
        <v>99</v>
      </c>
      <c r="N712" s="492">
        <v>99</v>
      </c>
      <c r="O712" s="492">
        <v>99</v>
      </c>
      <c r="P712" s="492">
        <v>99</v>
      </c>
      <c r="Q712" s="492">
        <v>99</v>
      </c>
      <c r="R712" s="492">
        <v>99</v>
      </c>
      <c r="S712" s="492">
        <v>99</v>
      </c>
      <c r="T712" s="492">
        <v>99</v>
      </c>
      <c r="U712" s="492">
        <v>99</v>
      </c>
      <c r="V712" s="492">
        <v>99</v>
      </c>
      <c r="W712" s="492">
        <v>99</v>
      </c>
      <c r="X712" s="492">
        <v>99</v>
      </c>
      <c r="Y712" s="492">
        <v>99</v>
      </c>
      <c r="Z712" s="492">
        <v>99</v>
      </c>
      <c r="AA712" s="492">
        <v>99</v>
      </c>
      <c r="AB712" s="492">
        <v>99</v>
      </c>
      <c r="AC712" s="492">
        <v>99</v>
      </c>
      <c r="AD712" s="492">
        <v>99</v>
      </c>
      <c r="AE712" s="492">
        <v>99</v>
      </c>
      <c r="AF712" s="492">
        <v>99</v>
      </c>
      <c r="AG712" s="492">
        <v>99</v>
      </c>
      <c r="AH712" s="492">
        <v>99</v>
      </c>
      <c r="AI712" s="492">
        <v>99</v>
      </c>
      <c r="AJ712" s="492">
        <v>99</v>
      </c>
      <c r="AK712" s="492">
        <v>99</v>
      </c>
      <c r="AL712" s="492">
        <v>99</v>
      </c>
      <c r="AM712" s="492">
        <v>99</v>
      </c>
      <c r="AN712" s="492">
        <v>99</v>
      </c>
      <c r="AP712" s="20"/>
    </row>
    <row r="713" spans="2:42" s="74" customFormat="1" x14ac:dyDescent="0.25">
      <c r="B713" s="99" t="s">
        <v>10</v>
      </c>
      <c r="C713" s="311" t="s">
        <v>684</v>
      </c>
      <c r="D713" s="318"/>
      <c r="E713" s="493"/>
      <c r="F713" s="493"/>
      <c r="G713" s="493"/>
      <c r="H713" s="493"/>
      <c r="I713" s="493"/>
      <c r="J713" s="493"/>
      <c r="K713" s="493"/>
      <c r="L713" s="493"/>
      <c r="M713" s="493"/>
      <c r="N713" s="493"/>
      <c r="O713" s="493"/>
      <c r="P713" s="493"/>
      <c r="Q713" s="493"/>
      <c r="R713" s="493"/>
      <c r="S713" s="493"/>
      <c r="T713" s="493"/>
      <c r="U713" s="493"/>
      <c r="V713" s="493"/>
      <c r="W713" s="493"/>
      <c r="X713" s="493"/>
      <c r="Y713" s="493"/>
      <c r="Z713" s="493"/>
      <c r="AA713" s="493"/>
      <c r="AB713" s="493"/>
      <c r="AC713" s="493"/>
      <c r="AD713" s="493"/>
      <c r="AE713" s="493"/>
      <c r="AF713" s="493"/>
      <c r="AG713" s="493"/>
      <c r="AH713" s="493"/>
      <c r="AI713" s="493"/>
      <c r="AJ713" s="493"/>
      <c r="AK713" s="493"/>
      <c r="AL713" s="493"/>
      <c r="AM713" s="493"/>
      <c r="AN713" s="493"/>
      <c r="AP713" s="311"/>
    </row>
    <row r="714" spans="2:42" x14ac:dyDescent="0.25">
      <c r="C714" s="94" t="s">
        <v>694</v>
      </c>
      <c r="D714" s="95" t="s">
        <v>46</v>
      </c>
      <c r="E714" s="492">
        <v>799</v>
      </c>
      <c r="F714" s="492">
        <v>799</v>
      </c>
      <c r="G714" s="492">
        <v>799</v>
      </c>
      <c r="H714" s="492">
        <v>799</v>
      </c>
      <c r="I714" s="492">
        <v>799</v>
      </c>
      <c r="J714" s="492">
        <v>799</v>
      </c>
      <c r="K714" s="492">
        <v>799</v>
      </c>
      <c r="L714" s="492">
        <v>799</v>
      </c>
      <c r="M714" s="492">
        <v>799</v>
      </c>
      <c r="N714" s="492">
        <v>799</v>
      </c>
      <c r="O714" s="492">
        <v>799</v>
      </c>
      <c r="P714" s="492">
        <v>799</v>
      </c>
      <c r="Q714" s="492">
        <v>799</v>
      </c>
      <c r="R714" s="492">
        <v>799</v>
      </c>
      <c r="S714" s="492">
        <v>799</v>
      </c>
      <c r="T714" s="492">
        <v>799</v>
      </c>
      <c r="U714" s="492">
        <v>799</v>
      </c>
      <c r="V714" s="492">
        <v>799</v>
      </c>
      <c r="W714" s="492">
        <v>799</v>
      </c>
      <c r="X714" s="492">
        <v>799</v>
      </c>
      <c r="Y714" s="492">
        <v>799</v>
      </c>
      <c r="Z714" s="492">
        <v>799</v>
      </c>
      <c r="AA714" s="492">
        <v>799</v>
      </c>
      <c r="AB714" s="492">
        <v>799</v>
      </c>
      <c r="AC714" s="492">
        <v>799</v>
      </c>
      <c r="AD714" s="492">
        <v>799</v>
      </c>
      <c r="AE714" s="492">
        <v>799</v>
      </c>
      <c r="AF714" s="492">
        <v>799</v>
      </c>
      <c r="AG714" s="492">
        <v>799</v>
      </c>
      <c r="AH714" s="492">
        <v>799</v>
      </c>
      <c r="AI714" s="492">
        <v>799</v>
      </c>
      <c r="AJ714" s="492">
        <v>799</v>
      </c>
      <c r="AK714" s="492">
        <v>799</v>
      </c>
      <c r="AL714" s="492">
        <v>799</v>
      </c>
      <c r="AM714" s="492">
        <v>799</v>
      </c>
      <c r="AN714" s="492">
        <v>799</v>
      </c>
      <c r="AP714" s="20"/>
    </row>
    <row r="715" spans="2:42" s="74" customFormat="1" x14ac:dyDescent="0.25">
      <c r="B715" s="99" t="s">
        <v>9</v>
      </c>
      <c r="C715" s="333" t="s">
        <v>661</v>
      </c>
      <c r="D715" s="334"/>
      <c r="E715" s="312"/>
      <c r="F715" s="312"/>
      <c r="G715" s="312"/>
      <c r="H715" s="312"/>
      <c r="I715" s="312"/>
      <c r="J715" s="312"/>
      <c r="K715" s="312"/>
      <c r="L715" s="312"/>
      <c r="M715" s="312"/>
      <c r="N715" s="312"/>
      <c r="O715" s="312"/>
      <c r="P715" s="312"/>
      <c r="Q715" s="312"/>
      <c r="R715" s="312"/>
      <c r="S715" s="312"/>
      <c r="T715" s="312"/>
      <c r="U715" s="312"/>
      <c r="V715" s="312"/>
      <c r="W715" s="312"/>
      <c r="X715" s="312"/>
      <c r="Y715" s="312"/>
      <c r="Z715" s="312"/>
      <c r="AA715" s="312"/>
      <c r="AB715" s="312"/>
      <c r="AC715" s="312"/>
      <c r="AD715" s="312"/>
      <c r="AE715" s="312"/>
      <c r="AF715" s="312"/>
      <c r="AG715" s="312"/>
      <c r="AH715" s="312"/>
      <c r="AI715" s="312"/>
      <c r="AJ715" s="312"/>
      <c r="AK715" s="312"/>
      <c r="AL715" s="312"/>
      <c r="AM715" s="312"/>
      <c r="AN715" s="312"/>
      <c r="AP715" s="312"/>
    </row>
    <row r="716" spans="2:42" x14ac:dyDescent="0.25">
      <c r="C716" s="20" t="s">
        <v>700</v>
      </c>
      <c r="D716" s="34" t="s">
        <v>29</v>
      </c>
      <c r="E716" s="336">
        <v>0.15</v>
      </c>
      <c r="F716" s="336">
        <v>0.15</v>
      </c>
      <c r="G716" s="336">
        <v>0.15</v>
      </c>
      <c r="H716" s="336">
        <v>0.15</v>
      </c>
      <c r="I716" s="336">
        <v>0.15</v>
      </c>
      <c r="J716" s="336">
        <v>0.15</v>
      </c>
      <c r="K716" s="336">
        <v>0.15</v>
      </c>
      <c r="L716" s="336">
        <v>0.15</v>
      </c>
      <c r="M716" s="336">
        <v>0.15</v>
      </c>
      <c r="N716" s="336">
        <v>0.15</v>
      </c>
      <c r="O716" s="336">
        <v>0.15</v>
      </c>
      <c r="P716" s="336">
        <v>0.15</v>
      </c>
      <c r="Q716" s="336">
        <v>0.15</v>
      </c>
      <c r="R716" s="336">
        <v>0.15</v>
      </c>
      <c r="S716" s="336">
        <v>0.15</v>
      </c>
      <c r="T716" s="336">
        <v>0.15</v>
      </c>
      <c r="U716" s="336">
        <v>0.15</v>
      </c>
      <c r="V716" s="336">
        <v>0.15</v>
      </c>
      <c r="W716" s="336">
        <v>0.15</v>
      </c>
      <c r="X716" s="336">
        <v>0.15</v>
      </c>
      <c r="Y716" s="336">
        <v>0.15</v>
      </c>
      <c r="Z716" s="336">
        <v>0.15</v>
      </c>
      <c r="AA716" s="336">
        <v>0.15</v>
      </c>
      <c r="AB716" s="336">
        <v>0.15</v>
      </c>
      <c r="AC716" s="336">
        <v>0.15</v>
      </c>
      <c r="AD716" s="336">
        <v>0.15</v>
      </c>
      <c r="AE716" s="336">
        <v>0.15</v>
      </c>
      <c r="AF716" s="336">
        <v>0.15</v>
      </c>
      <c r="AG716" s="336">
        <v>0.15</v>
      </c>
      <c r="AH716" s="336">
        <v>0.15</v>
      </c>
      <c r="AI716" s="336">
        <v>0.15</v>
      </c>
      <c r="AJ716" s="336">
        <v>0.15</v>
      </c>
      <c r="AK716" s="336">
        <v>0.15</v>
      </c>
      <c r="AL716" s="336">
        <v>0.15</v>
      </c>
      <c r="AM716" s="336">
        <v>0.15</v>
      </c>
      <c r="AN716" s="336">
        <v>0.15</v>
      </c>
      <c r="AP716" s="20"/>
    </row>
    <row r="717" spans="2:42" x14ac:dyDescent="0.25">
      <c r="C717" s="20" t="s">
        <v>663</v>
      </c>
      <c r="D717" s="98" t="s">
        <v>29</v>
      </c>
      <c r="E717" s="421">
        <v>0.1</v>
      </c>
      <c r="F717" s="421">
        <v>0.1</v>
      </c>
      <c r="G717" s="421">
        <v>0.1</v>
      </c>
      <c r="H717" s="421">
        <v>0.1</v>
      </c>
      <c r="I717" s="421">
        <v>0.1</v>
      </c>
      <c r="J717" s="421">
        <v>0.1</v>
      </c>
      <c r="K717" s="421">
        <v>0.1</v>
      </c>
      <c r="L717" s="421">
        <v>0.1</v>
      </c>
      <c r="M717" s="421">
        <v>0.1</v>
      </c>
      <c r="N717" s="421">
        <v>0.1</v>
      </c>
      <c r="O717" s="421">
        <v>0.1</v>
      </c>
      <c r="P717" s="421">
        <v>0.1</v>
      </c>
      <c r="Q717" s="421">
        <v>0.1</v>
      </c>
      <c r="R717" s="421">
        <v>0.1</v>
      </c>
      <c r="S717" s="421">
        <v>0.1</v>
      </c>
      <c r="T717" s="421">
        <v>0.1</v>
      </c>
      <c r="U717" s="421">
        <v>0.1</v>
      </c>
      <c r="V717" s="421">
        <v>0.1</v>
      </c>
      <c r="W717" s="421">
        <v>0.1</v>
      </c>
      <c r="X717" s="421">
        <v>0.1</v>
      </c>
      <c r="Y717" s="421">
        <v>0.1</v>
      </c>
      <c r="Z717" s="421">
        <v>0.1</v>
      </c>
      <c r="AA717" s="421">
        <v>0.1</v>
      </c>
      <c r="AB717" s="421">
        <v>0.1</v>
      </c>
      <c r="AC717" s="421">
        <v>0.1</v>
      </c>
      <c r="AD717" s="421">
        <v>0.1</v>
      </c>
      <c r="AE717" s="421">
        <v>0.1</v>
      </c>
      <c r="AF717" s="421">
        <v>0.1</v>
      </c>
      <c r="AG717" s="421">
        <v>0.1</v>
      </c>
      <c r="AH717" s="421">
        <v>0.1</v>
      </c>
      <c r="AI717" s="421">
        <v>0.1</v>
      </c>
      <c r="AJ717" s="421">
        <v>0.1</v>
      </c>
      <c r="AK717" s="421">
        <v>0.1</v>
      </c>
      <c r="AL717" s="421">
        <v>0.1</v>
      </c>
      <c r="AM717" s="421">
        <v>0.1</v>
      </c>
      <c r="AN717" s="421">
        <v>0.1</v>
      </c>
      <c r="AP717" s="20"/>
    </row>
    <row r="718" spans="2:42" x14ac:dyDescent="0.25">
      <c r="C718" s="26" t="s">
        <v>705</v>
      </c>
      <c r="D718" s="319" t="s">
        <v>29</v>
      </c>
      <c r="E718" s="337">
        <v>0.8</v>
      </c>
      <c r="F718" s="337">
        <v>0.8</v>
      </c>
      <c r="G718" s="337">
        <v>0.8</v>
      </c>
      <c r="H718" s="337">
        <v>0.8</v>
      </c>
      <c r="I718" s="337">
        <v>0.8</v>
      </c>
      <c r="J718" s="337">
        <v>0.8</v>
      </c>
      <c r="K718" s="337">
        <v>0.8</v>
      </c>
      <c r="L718" s="337">
        <v>0.8</v>
      </c>
      <c r="M718" s="337">
        <v>0.8</v>
      </c>
      <c r="N718" s="337">
        <v>0.8</v>
      </c>
      <c r="O718" s="337">
        <v>0.8</v>
      </c>
      <c r="P718" s="337">
        <v>0.8</v>
      </c>
      <c r="Q718" s="337">
        <v>0.8</v>
      </c>
      <c r="R718" s="337">
        <v>0.8</v>
      </c>
      <c r="S718" s="337">
        <v>0.8</v>
      </c>
      <c r="T718" s="337">
        <v>0.8</v>
      </c>
      <c r="U718" s="337">
        <v>0.8</v>
      </c>
      <c r="V718" s="337">
        <v>0.8</v>
      </c>
      <c r="W718" s="337">
        <v>0.8</v>
      </c>
      <c r="X718" s="337">
        <v>0.8</v>
      </c>
      <c r="Y718" s="337">
        <v>0.8</v>
      </c>
      <c r="Z718" s="337">
        <v>0.8</v>
      </c>
      <c r="AA718" s="337">
        <v>0.8</v>
      </c>
      <c r="AB718" s="337">
        <v>0.8</v>
      </c>
      <c r="AC718" s="337">
        <v>0.8</v>
      </c>
      <c r="AD718" s="337">
        <v>0.8</v>
      </c>
      <c r="AE718" s="337">
        <v>0.8</v>
      </c>
      <c r="AF718" s="337">
        <v>0.8</v>
      </c>
      <c r="AG718" s="337">
        <v>0.8</v>
      </c>
      <c r="AH718" s="337">
        <v>0.8</v>
      </c>
      <c r="AI718" s="337">
        <v>0.8</v>
      </c>
      <c r="AJ718" s="337">
        <v>0.8</v>
      </c>
      <c r="AK718" s="337">
        <v>0.8</v>
      </c>
      <c r="AL718" s="337">
        <v>0.8</v>
      </c>
      <c r="AM718" s="337">
        <v>0.8</v>
      </c>
      <c r="AN718" s="337">
        <v>0.8</v>
      </c>
      <c r="AP718" s="20"/>
    </row>
    <row r="719" spans="2:42" s="74" customFormat="1" x14ac:dyDescent="0.25">
      <c r="B719" s="99" t="s">
        <v>10</v>
      </c>
      <c r="C719" s="311" t="s">
        <v>683</v>
      </c>
      <c r="D719" s="318"/>
      <c r="E719" s="311"/>
      <c r="F719" s="311"/>
      <c r="G719" s="311"/>
      <c r="H719" s="311"/>
      <c r="I719" s="311"/>
      <c r="J719" s="311"/>
      <c r="K719" s="311"/>
      <c r="L719" s="311"/>
      <c r="M719" s="311"/>
      <c r="N719" s="311"/>
      <c r="O719" s="311"/>
      <c r="P719" s="311"/>
      <c r="Q719" s="311"/>
      <c r="R719" s="311"/>
      <c r="S719" s="311"/>
      <c r="T719" s="311"/>
      <c r="U719" s="311"/>
      <c r="V719" s="311"/>
      <c r="W719" s="311"/>
      <c r="X719" s="311"/>
      <c r="Y719" s="311"/>
      <c r="Z719" s="311"/>
      <c r="AA719" s="311"/>
      <c r="AB719" s="311"/>
      <c r="AC719" s="311"/>
      <c r="AD719" s="311"/>
      <c r="AE719" s="311"/>
      <c r="AF719" s="311"/>
      <c r="AG719" s="311"/>
      <c r="AH719" s="311"/>
      <c r="AI719" s="311"/>
      <c r="AJ719" s="311"/>
      <c r="AK719" s="311"/>
      <c r="AL719" s="311"/>
      <c r="AM719" s="311"/>
      <c r="AN719" s="311"/>
      <c r="AP719" s="311"/>
    </row>
    <row r="720" spans="2:42" x14ac:dyDescent="0.25">
      <c r="C720" s="94" t="s">
        <v>693</v>
      </c>
      <c r="D720" s="95" t="s">
        <v>46</v>
      </c>
      <c r="E720" s="494">
        <v>169</v>
      </c>
      <c r="F720" s="494">
        <v>169</v>
      </c>
      <c r="G720" s="494">
        <v>169</v>
      </c>
      <c r="H720" s="494">
        <v>169</v>
      </c>
      <c r="I720" s="494">
        <v>169</v>
      </c>
      <c r="J720" s="494">
        <v>169</v>
      </c>
      <c r="K720" s="494">
        <v>169</v>
      </c>
      <c r="L720" s="494">
        <v>169</v>
      </c>
      <c r="M720" s="494">
        <v>169</v>
      </c>
      <c r="N720" s="494">
        <v>169</v>
      </c>
      <c r="O720" s="494">
        <v>169</v>
      </c>
      <c r="P720" s="494">
        <v>169</v>
      </c>
      <c r="Q720" s="494">
        <v>169</v>
      </c>
      <c r="R720" s="494">
        <v>169</v>
      </c>
      <c r="S720" s="494">
        <v>169</v>
      </c>
      <c r="T720" s="494">
        <v>169</v>
      </c>
      <c r="U720" s="494">
        <v>169</v>
      </c>
      <c r="V720" s="494">
        <v>169</v>
      </c>
      <c r="W720" s="494">
        <v>169</v>
      </c>
      <c r="X720" s="494">
        <v>169</v>
      </c>
      <c r="Y720" s="494">
        <v>169</v>
      </c>
      <c r="Z720" s="494">
        <v>169</v>
      </c>
      <c r="AA720" s="494">
        <v>169</v>
      </c>
      <c r="AB720" s="494">
        <v>169</v>
      </c>
      <c r="AC720" s="494">
        <v>169</v>
      </c>
      <c r="AD720" s="494">
        <v>169</v>
      </c>
      <c r="AE720" s="494">
        <v>169</v>
      </c>
      <c r="AF720" s="494">
        <v>169</v>
      </c>
      <c r="AG720" s="494">
        <v>169</v>
      </c>
      <c r="AH720" s="494">
        <v>169</v>
      </c>
      <c r="AI720" s="494">
        <v>169</v>
      </c>
      <c r="AJ720" s="494">
        <v>169</v>
      </c>
      <c r="AK720" s="494">
        <v>169</v>
      </c>
      <c r="AL720" s="494">
        <v>169</v>
      </c>
      <c r="AM720" s="494">
        <v>169</v>
      </c>
      <c r="AN720" s="494">
        <v>169</v>
      </c>
    </row>
    <row r="721" spans="2:42" s="74" customFormat="1" x14ac:dyDescent="0.25">
      <c r="B721" s="99" t="s">
        <v>10</v>
      </c>
      <c r="C721" s="311" t="s">
        <v>684</v>
      </c>
      <c r="D721" s="318"/>
      <c r="E721" s="311"/>
      <c r="F721" s="311"/>
      <c r="G721" s="311"/>
      <c r="H721" s="311"/>
      <c r="I721" s="311"/>
      <c r="J721" s="311"/>
      <c r="K721" s="311"/>
      <c r="L721" s="311"/>
      <c r="M721" s="311"/>
      <c r="N721" s="311"/>
      <c r="O721" s="311"/>
      <c r="P721" s="311"/>
      <c r="Q721" s="311"/>
      <c r="R721" s="311"/>
      <c r="S721" s="311"/>
      <c r="T721" s="311"/>
      <c r="U721" s="311"/>
      <c r="V721" s="311"/>
      <c r="W721" s="311"/>
      <c r="X721" s="311"/>
      <c r="Y721" s="311"/>
      <c r="Z721" s="311"/>
      <c r="AA721" s="311"/>
      <c r="AB721" s="311"/>
      <c r="AC721" s="311"/>
      <c r="AD721" s="311"/>
      <c r="AE721" s="311"/>
      <c r="AF721" s="311"/>
      <c r="AG721" s="311"/>
      <c r="AH721" s="311"/>
      <c r="AI721" s="311"/>
      <c r="AJ721" s="311"/>
      <c r="AK721" s="311"/>
      <c r="AL721" s="311"/>
      <c r="AM721" s="311"/>
      <c r="AN721" s="311"/>
      <c r="AP721" s="311"/>
    </row>
    <row r="722" spans="2:42" x14ac:dyDescent="0.25">
      <c r="C722" s="94" t="s">
        <v>694</v>
      </c>
      <c r="D722" s="95" t="s">
        <v>46</v>
      </c>
      <c r="E722" s="492">
        <v>1550</v>
      </c>
      <c r="F722" s="492">
        <v>1550</v>
      </c>
      <c r="G722" s="492">
        <v>1550</v>
      </c>
      <c r="H722" s="492">
        <v>1550</v>
      </c>
      <c r="I722" s="492">
        <v>1550</v>
      </c>
      <c r="J722" s="492">
        <v>1550</v>
      </c>
      <c r="K722" s="492">
        <v>1550</v>
      </c>
      <c r="L722" s="492">
        <v>1550</v>
      </c>
      <c r="M722" s="492">
        <v>1550</v>
      </c>
      <c r="N722" s="492">
        <v>1550</v>
      </c>
      <c r="O722" s="492">
        <v>1550</v>
      </c>
      <c r="P722" s="492">
        <v>1550</v>
      </c>
      <c r="Q722" s="492">
        <v>1550</v>
      </c>
      <c r="R722" s="492">
        <v>1550</v>
      </c>
      <c r="S722" s="492">
        <v>1550</v>
      </c>
      <c r="T722" s="492">
        <v>1550</v>
      </c>
      <c r="U722" s="492">
        <v>1550</v>
      </c>
      <c r="V722" s="492">
        <v>1550</v>
      </c>
      <c r="W722" s="492">
        <v>1550</v>
      </c>
      <c r="X722" s="492">
        <v>1550</v>
      </c>
      <c r="Y722" s="492">
        <v>1550</v>
      </c>
      <c r="Z722" s="492">
        <v>1550</v>
      </c>
      <c r="AA722" s="492">
        <v>1550</v>
      </c>
      <c r="AB722" s="492">
        <v>1550</v>
      </c>
      <c r="AC722" s="492">
        <v>1550</v>
      </c>
      <c r="AD722" s="492">
        <v>1550</v>
      </c>
      <c r="AE722" s="492">
        <v>1550</v>
      </c>
      <c r="AF722" s="492">
        <v>1550</v>
      </c>
      <c r="AG722" s="492">
        <v>1550</v>
      </c>
      <c r="AH722" s="492">
        <v>1550</v>
      </c>
      <c r="AI722" s="492">
        <v>1550</v>
      </c>
      <c r="AJ722" s="492">
        <v>1550</v>
      </c>
      <c r="AK722" s="492">
        <v>1550</v>
      </c>
      <c r="AL722" s="492">
        <v>1550</v>
      </c>
      <c r="AM722" s="492">
        <v>1550</v>
      </c>
      <c r="AN722" s="492">
        <v>1550</v>
      </c>
      <c r="AP722" s="20"/>
    </row>
    <row r="723" spans="2:42" s="74" customFormat="1" x14ac:dyDescent="0.25">
      <c r="B723" s="99" t="s">
        <v>9</v>
      </c>
      <c r="C723" s="333" t="s">
        <v>722</v>
      </c>
      <c r="D723" s="334"/>
      <c r="E723" s="312"/>
      <c r="F723" s="312"/>
      <c r="G723" s="312"/>
      <c r="H723" s="312"/>
      <c r="I723" s="312"/>
      <c r="J723" s="312"/>
      <c r="K723" s="312"/>
      <c r="L723" s="312"/>
      <c r="M723" s="312"/>
      <c r="N723" s="312"/>
      <c r="O723" s="312"/>
      <c r="P723" s="312"/>
      <c r="Q723" s="312"/>
      <c r="R723" s="312"/>
      <c r="S723" s="312"/>
      <c r="T723" s="312"/>
      <c r="U723" s="312"/>
      <c r="V723" s="312"/>
      <c r="W723" s="312"/>
      <c r="X723" s="312"/>
      <c r="Y723" s="312"/>
      <c r="Z723" s="312"/>
      <c r="AA723" s="312"/>
      <c r="AB723" s="312"/>
      <c r="AC723" s="312"/>
      <c r="AD723" s="312"/>
      <c r="AE723" s="312"/>
      <c r="AF723" s="312"/>
      <c r="AG723" s="312"/>
      <c r="AH723" s="312"/>
      <c r="AI723" s="312"/>
      <c r="AJ723" s="312"/>
      <c r="AK723" s="312"/>
      <c r="AL723" s="312"/>
      <c r="AM723" s="312"/>
      <c r="AN723" s="312"/>
      <c r="AP723" s="312"/>
    </row>
    <row r="724" spans="2:42" x14ac:dyDescent="0.25">
      <c r="C724" s="20" t="s">
        <v>700</v>
      </c>
      <c r="D724" s="34" t="s">
        <v>29</v>
      </c>
      <c r="E724" s="336">
        <f t="shared" ref="E724:AN724" si="350">1-SUM(E705,E708,E716)</f>
        <v>4.9999999999999933E-2</v>
      </c>
      <c r="F724" s="336">
        <f t="shared" si="350"/>
        <v>4.9999999999999933E-2</v>
      </c>
      <c r="G724" s="336">
        <f t="shared" si="350"/>
        <v>4.9999999999999933E-2</v>
      </c>
      <c r="H724" s="336">
        <f t="shared" si="350"/>
        <v>4.9999999999999933E-2</v>
      </c>
      <c r="I724" s="336">
        <f t="shared" si="350"/>
        <v>4.9999999999999933E-2</v>
      </c>
      <c r="J724" s="336">
        <f t="shared" si="350"/>
        <v>4.9999999999999933E-2</v>
      </c>
      <c r="K724" s="336">
        <f t="shared" si="350"/>
        <v>4.9999999999999933E-2</v>
      </c>
      <c r="L724" s="336">
        <f t="shared" si="350"/>
        <v>4.9999999999999933E-2</v>
      </c>
      <c r="M724" s="336">
        <f t="shared" si="350"/>
        <v>4.9999999999999933E-2</v>
      </c>
      <c r="N724" s="336">
        <f t="shared" si="350"/>
        <v>4.9999999999999933E-2</v>
      </c>
      <c r="O724" s="336">
        <f t="shared" si="350"/>
        <v>4.9999999999999933E-2</v>
      </c>
      <c r="P724" s="336">
        <f t="shared" si="350"/>
        <v>4.9999999999999933E-2</v>
      </c>
      <c r="Q724" s="336">
        <f t="shared" si="350"/>
        <v>4.9999999999999933E-2</v>
      </c>
      <c r="R724" s="336">
        <f t="shared" si="350"/>
        <v>4.9999999999999933E-2</v>
      </c>
      <c r="S724" s="336">
        <f t="shared" si="350"/>
        <v>4.9999999999999933E-2</v>
      </c>
      <c r="T724" s="336">
        <f t="shared" si="350"/>
        <v>4.9999999999999933E-2</v>
      </c>
      <c r="U724" s="336">
        <f t="shared" si="350"/>
        <v>4.9999999999999933E-2</v>
      </c>
      <c r="V724" s="336">
        <f t="shared" si="350"/>
        <v>4.9999999999999933E-2</v>
      </c>
      <c r="W724" s="336">
        <f t="shared" si="350"/>
        <v>4.9999999999999933E-2</v>
      </c>
      <c r="X724" s="336">
        <f t="shared" si="350"/>
        <v>4.9999999999999933E-2</v>
      </c>
      <c r="Y724" s="336">
        <f t="shared" si="350"/>
        <v>4.9999999999999933E-2</v>
      </c>
      <c r="Z724" s="336">
        <f t="shared" si="350"/>
        <v>4.9999999999999933E-2</v>
      </c>
      <c r="AA724" s="336">
        <f t="shared" si="350"/>
        <v>4.9999999999999933E-2</v>
      </c>
      <c r="AB724" s="336">
        <f t="shared" si="350"/>
        <v>4.9999999999999933E-2</v>
      </c>
      <c r="AC724" s="336">
        <f t="shared" si="350"/>
        <v>4.9999999999999933E-2</v>
      </c>
      <c r="AD724" s="336">
        <f t="shared" si="350"/>
        <v>4.9999999999999933E-2</v>
      </c>
      <c r="AE724" s="336">
        <f t="shared" si="350"/>
        <v>4.9999999999999933E-2</v>
      </c>
      <c r="AF724" s="336">
        <f t="shared" si="350"/>
        <v>4.9999999999999933E-2</v>
      </c>
      <c r="AG724" s="336">
        <f t="shared" si="350"/>
        <v>4.9999999999999933E-2</v>
      </c>
      <c r="AH724" s="336">
        <f t="shared" si="350"/>
        <v>4.9999999999999933E-2</v>
      </c>
      <c r="AI724" s="336">
        <f t="shared" si="350"/>
        <v>4.9999999999999933E-2</v>
      </c>
      <c r="AJ724" s="336">
        <f t="shared" si="350"/>
        <v>4.9999999999999933E-2</v>
      </c>
      <c r="AK724" s="336">
        <f t="shared" si="350"/>
        <v>4.9999999999999933E-2</v>
      </c>
      <c r="AL724" s="336">
        <f t="shared" si="350"/>
        <v>4.9999999999999933E-2</v>
      </c>
      <c r="AM724" s="336">
        <f t="shared" si="350"/>
        <v>4.9999999999999933E-2</v>
      </c>
      <c r="AN724" s="336">
        <f t="shared" si="350"/>
        <v>4.9999999999999933E-2</v>
      </c>
      <c r="AP724" s="20"/>
    </row>
    <row r="725" spans="2:42" x14ac:dyDescent="0.25">
      <c r="C725" s="20" t="s">
        <v>686</v>
      </c>
      <c r="D725" s="330" t="s">
        <v>29</v>
      </c>
      <c r="E725" s="421">
        <v>0.05</v>
      </c>
      <c r="F725" s="421">
        <v>0.05</v>
      </c>
      <c r="G725" s="421">
        <v>0.05</v>
      </c>
      <c r="H725" s="421">
        <v>0.05</v>
      </c>
      <c r="I725" s="421">
        <v>0.05</v>
      </c>
      <c r="J725" s="421">
        <v>0.05</v>
      </c>
      <c r="K725" s="421">
        <v>0.05</v>
      </c>
      <c r="L725" s="421">
        <v>0.05</v>
      </c>
      <c r="M725" s="421">
        <v>0.05</v>
      </c>
      <c r="N725" s="421">
        <v>0.05</v>
      </c>
      <c r="O725" s="421">
        <v>0.05</v>
      </c>
      <c r="P725" s="421">
        <v>0.05</v>
      </c>
      <c r="Q725" s="421">
        <v>0.05</v>
      </c>
      <c r="R725" s="421">
        <v>0.05</v>
      </c>
      <c r="S725" s="421">
        <v>0.05</v>
      </c>
      <c r="T725" s="421">
        <v>0.05</v>
      </c>
      <c r="U725" s="421">
        <v>0.05</v>
      </c>
      <c r="V725" s="421">
        <v>0.05</v>
      </c>
      <c r="W725" s="421">
        <v>0.05</v>
      </c>
      <c r="X725" s="421">
        <v>0.05</v>
      </c>
      <c r="Y725" s="421">
        <v>0.05</v>
      </c>
      <c r="Z725" s="421">
        <v>0.05</v>
      </c>
      <c r="AA725" s="421">
        <v>0.05</v>
      </c>
      <c r="AB725" s="421">
        <v>0.05</v>
      </c>
      <c r="AC725" s="421">
        <v>0.05</v>
      </c>
      <c r="AD725" s="421">
        <v>0.05</v>
      </c>
      <c r="AE725" s="421">
        <v>0.05</v>
      </c>
      <c r="AF725" s="421">
        <v>0.05</v>
      </c>
      <c r="AG725" s="421">
        <v>0.05</v>
      </c>
      <c r="AH725" s="421">
        <v>0.05</v>
      </c>
      <c r="AI725" s="421">
        <v>0.05</v>
      </c>
      <c r="AJ725" s="421">
        <v>0.05</v>
      </c>
      <c r="AK725" s="421">
        <v>0.05</v>
      </c>
      <c r="AL725" s="421">
        <v>0.05</v>
      </c>
      <c r="AM725" s="421">
        <v>0.05</v>
      </c>
      <c r="AN725" s="421">
        <v>0.05</v>
      </c>
      <c r="AP725" s="21"/>
    </row>
    <row r="726" spans="2:42" x14ac:dyDescent="0.25">
      <c r="C726" s="22" t="s">
        <v>706</v>
      </c>
      <c r="D726" s="96" t="s">
        <v>29</v>
      </c>
      <c r="E726" s="425">
        <v>0.25</v>
      </c>
      <c r="F726" s="425">
        <v>0.25</v>
      </c>
      <c r="G726" s="425">
        <v>0.25</v>
      </c>
      <c r="H726" s="425">
        <v>0.25</v>
      </c>
      <c r="I726" s="425">
        <v>0.25</v>
      </c>
      <c r="J726" s="425">
        <v>0.25</v>
      </c>
      <c r="K726" s="425">
        <v>0.25</v>
      </c>
      <c r="L726" s="425">
        <v>0.25</v>
      </c>
      <c r="M726" s="425">
        <v>0.25</v>
      </c>
      <c r="N726" s="425">
        <v>0.25</v>
      </c>
      <c r="O726" s="425">
        <v>0.25</v>
      </c>
      <c r="P726" s="425">
        <v>0.25</v>
      </c>
      <c r="Q726" s="425">
        <v>0.25</v>
      </c>
      <c r="R726" s="425">
        <v>0.25</v>
      </c>
      <c r="S726" s="425">
        <v>0.25</v>
      </c>
      <c r="T726" s="425">
        <v>0.25</v>
      </c>
      <c r="U726" s="425">
        <v>0.25</v>
      </c>
      <c r="V726" s="425">
        <v>0.25</v>
      </c>
      <c r="W726" s="425">
        <v>0.25</v>
      </c>
      <c r="X726" s="425">
        <v>0.25</v>
      </c>
      <c r="Y726" s="425">
        <v>0.25</v>
      </c>
      <c r="Z726" s="425">
        <v>0.25</v>
      </c>
      <c r="AA726" s="425">
        <v>0.25</v>
      </c>
      <c r="AB726" s="425">
        <v>0.25</v>
      </c>
      <c r="AC726" s="425">
        <v>0.25</v>
      </c>
      <c r="AD726" s="425">
        <v>0.25</v>
      </c>
      <c r="AE726" s="425">
        <v>0.25</v>
      </c>
      <c r="AF726" s="425">
        <v>0.25</v>
      </c>
      <c r="AG726" s="425">
        <v>0.25</v>
      </c>
      <c r="AH726" s="425">
        <v>0.25</v>
      </c>
      <c r="AI726" s="425">
        <v>0.25</v>
      </c>
      <c r="AJ726" s="425">
        <v>0.25</v>
      </c>
      <c r="AK726" s="425">
        <v>0.25</v>
      </c>
      <c r="AL726" s="425">
        <v>0.25</v>
      </c>
      <c r="AM726" s="425">
        <v>0.25</v>
      </c>
      <c r="AN726" s="425">
        <v>0.25</v>
      </c>
      <c r="AP726" s="22"/>
    </row>
    <row r="727" spans="2:42" x14ac:dyDescent="0.25">
      <c r="C727" s="22" t="s">
        <v>743</v>
      </c>
      <c r="D727" s="96" t="s">
        <v>162</v>
      </c>
      <c r="E727" s="25">
        <v>6</v>
      </c>
      <c r="F727" s="244"/>
      <c r="G727" s="244"/>
      <c r="H727" s="244"/>
      <c r="I727" s="244"/>
      <c r="J727" s="244"/>
      <c r="K727" s="244"/>
      <c r="L727" s="244"/>
      <c r="M727" s="244"/>
      <c r="N727" s="244"/>
      <c r="O727" s="244"/>
      <c r="P727" s="244"/>
      <c r="Q727" s="244"/>
      <c r="R727" s="244"/>
      <c r="S727" s="244"/>
      <c r="T727" s="244"/>
      <c r="U727" s="244"/>
      <c r="V727" s="244"/>
      <c r="W727" s="244"/>
      <c r="X727" s="244"/>
      <c r="Y727" s="244"/>
      <c r="Z727" s="244"/>
      <c r="AA727" s="244"/>
      <c r="AB727" s="244"/>
      <c r="AC727" s="244"/>
      <c r="AD727" s="244"/>
      <c r="AE727" s="244"/>
      <c r="AF727" s="244"/>
      <c r="AG727" s="244"/>
      <c r="AH727" s="244"/>
      <c r="AI727" s="244"/>
      <c r="AJ727" s="244"/>
      <c r="AK727" s="244"/>
      <c r="AL727" s="244"/>
      <c r="AM727" s="244"/>
      <c r="AN727" s="244"/>
      <c r="AP727" s="22"/>
    </row>
    <row r="728" spans="2:42" x14ac:dyDescent="0.25">
      <c r="C728" s="26" t="s">
        <v>699</v>
      </c>
      <c r="D728" s="319" t="s">
        <v>46</v>
      </c>
      <c r="E728" s="401">
        <v>25000</v>
      </c>
      <c r="F728" s="401">
        <f>E728</f>
        <v>25000</v>
      </c>
      <c r="G728" s="401">
        <f t="shared" ref="G728:P728" si="351">F728</f>
        <v>25000</v>
      </c>
      <c r="H728" s="401">
        <f t="shared" si="351"/>
        <v>25000</v>
      </c>
      <c r="I728" s="401">
        <f t="shared" si="351"/>
        <v>25000</v>
      </c>
      <c r="J728" s="401">
        <f t="shared" si="351"/>
        <v>25000</v>
      </c>
      <c r="K728" s="401">
        <f t="shared" si="351"/>
        <v>25000</v>
      </c>
      <c r="L728" s="401">
        <f t="shared" si="351"/>
        <v>25000</v>
      </c>
      <c r="M728" s="401">
        <f t="shared" si="351"/>
        <v>25000</v>
      </c>
      <c r="N728" s="401">
        <f t="shared" si="351"/>
        <v>25000</v>
      </c>
      <c r="O728" s="401">
        <f t="shared" si="351"/>
        <v>25000</v>
      </c>
      <c r="P728" s="401">
        <f t="shared" si="351"/>
        <v>25000</v>
      </c>
      <c r="Q728" s="401">
        <f>P728*(1+P11)</f>
        <v>26250</v>
      </c>
      <c r="R728" s="401">
        <f>Q728</f>
        <v>26250</v>
      </c>
      <c r="S728" s="401">
        <f t="shared" ref="S728:AB728" si="352">R728</f>
        <v>26250</v>
      </c>
      <c r="T728" s="401">
        <f t="shared" si="352"/>
        <v>26250</v>
      </c>
      <c r="U728" s="401">
        <f t="shared" si="352"/>
        <v>26250</v>
      </c>
      <c r="V728" s="401">
        <f t="shared" si="352"/>
        <v>26250</v>
      </c>
      <c r="W728" s="401">
        <f t="shared" si="352"/>
        <v>26250</v>
      </c>
      <c r="X728" s="401">
        <f t="shared" si="352"/>
        <v>26250</v>
      </c>
      <c r="Y728" s="401">
        <f t="shared" si="352"/>
        <v>26250</v>
      </c>
      <c r="Z728" s="401">
        <f t="shared" si="352"/>
        <v>26250</v>
      </c>
      <c r="AA728" s="401">
        <f t="shared" si="352"/>
        <v>26250</v>
      </c>
      <c r="AB728" s="401">
        <f t="shared" si="352"/>
        <v>26250</v>
      </c>
      <c r="AC728" s="401">
        <f>AB728*(1+AC11)</f>
        <v>27562.5</v>
      </c>
      <c r="AD728" s="401">
        <f>AC728</f>
        <v>27562.5</v>
      </c>
      <c r="AE728" s="401">
        <f t="shared" ref="AE728:AN728" si="353">AD728</f>
        <v>27562.5</v>
      </c>
      <c r="AF728" s="401">
        <f t="shared" si="353"/>
        <v>27562.5</v>
      </c>
      <c r="AG728" s="401">
        <f t="shared" si="353"/>
        <v>27562.5</v>
      </c>
      <c r="AH728" s="401">
        <f t="shared" si="353"/>
        <v>27562.5</v>
      </c>
      <c r="AI728" s="401">
        <f t="shared" si="353"/>
        <v>27562.5</v>
      </c>
      <c r="AJ728" s="401">
        <f t="shared" si="353"/>
        <v>27562.5</v>
      </c>
      <c r="AK728" s="401">
        <f t="shared" si="353"/>
        <v>27562.5</v>
      </c>
      <c r="AL728" s="401">
        <f t="shared" si="353"/>
        <v>27562.5</v>
      </c>
      <c r="AM728" s="401">
        <f t="shared" si="353"/>
        <v>27562.5</v>
      </c>
      <c r="AN728" s="401">
        <f t="shared" si="353"/>
        <v>27562.5</v>
      </c>
      <c r="AP728" s="26"/>
    </row>
    <row r="729" spans="2:42" x14ac:dyDescent="0.25">
      <c r="B729" s="99" t="s">
        <v>9</v>
      </c>
      <c r="C729" s="333" t="s">
        <v>624</v>
      </c>
      <c r="D729" s="334"/>
      <c r="E729" s="312"/>
      <c r="F729" s="312"/>
      <c r="G729" s="312"/>
      <c r="H729" s="312"/>
      <c r="I729" s="312"/>
      <c r="J729" s="312"/>
      <c r="K729" s="312"/>
      <c r="L729" s="312"/>
      <c r="M729" s="312"/>
      <c r="N729" s="312"/>
      <c r="O729" s="312"/>
      <c r="P729" s="312"/>
      <c r="Q729" s="312"/>
      <c r="R729" s="312"/>
      <c r="S729" s="312"/>
      <c r="T729" s="312"/>
      <c r="U729" s="312"/>
      <c r="V729" s="312"/>
      <c r="W729" s="312"/>
      <c r="X729" s="312"/>
      <c r="Y729" s="312"/>
      <c r="Z729" s="312"/>
      <c r="AA729" s="312"/>
      <c r="AB729" s="312"/>
      <c r="AC729" s="312"/>
      <c r="AD729" s="312"/>
      <c r="AE729" s="312"/>
      <c r="AF729" s="312"/>
      <c r="AG729" s="312"/>
      <c r="AH729" s="312"/>
      <c r="AI729" s="312"/>
      <c r="AJ729" s="312"/>
      <c r="AK729" s="312"/>
      <c r="AL729" s="312"/>
      <c r="AM729" s="312"/>
      <c r="AN729" s="312"/>
      <c r="AO729" s="74"/>
      <c r="AP729" s="312"/>
    </row>
    <row r="730" spans="2:42" x14ac:dyDescent="0.25">
      <c r="B730" s="99" t="s">
        <v>9</v>
      </c>
      <c r="C730" s="105" t="s">
        <v>624</v>
      </c>
      <c r="D730" s="42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  <c r="AC730" s="105"/>
      <c r="AD730" s="105"/>
      <c r="AE730" s="105"/>
      <c r="AF730" s="105"/>
      <c r="AG730" s="105"/>
      <c r="AH730" s="105"/>
      <c r="AI730" s="105"/>
      <c r="AJ730" s="105"/>
      <c r="AK730" s="105"/>
      <c r="AL730" s="105"/>
      <c r="AM730" s="105"/>
      <c r="AN730" s="105"/>
      <c r="AP730" s="105"/>
    </row>
    <row r="731" spans="2:42" x14ac:dyDescent="0.25">
      <c r="C731" s="20" t="s">
        <v>725</v>
      </c>
      <c r="D731" s="34" t="s">
        <v>29</v>
      </c>
      <c r="E731" s="336">
        <v>0.6</v>
      </c>
      <c r="F731" s="336">
        <v>0.6</v>
      </c>
      <c r="G731" s="336">
        <v>0.6</v>
      </c>
      <c r="H731" s="336">
        <v>0.6</v>
      </c>
      <c r="I731" s="336">
        <v>0.6</v>
      </c>
      <c r="J731" s="336">
        <v>0.6</v>
      </c>
      <c r="K731" s="336">
        <v>0.6</v>
      </c>
      <c r="L731" s="336">
        <v>0.6</v>
      </c>
      <c r="M731" s="336">
        <v>0.6</v>
      </c>
      <c r="N731" s="336">
        <v>0.6</v>
      </c>
      <c r="O731" s="336">
        <v>0.6</v>
      </c>
      <c r="P731" s="336">
        <v>0.6</v>
      </c>
      <c r="Q731" s="336">
        <v>0.6</v>
      </c>
      <c r="R731" s="336">
        <v>0.6</v>
      </c>
      <c r="S731" s="336">
        <v>0.6</v>
      </c>
      <c r="T731" s="336">
        <v>0.6</v>
      </c>
      <c r="U731" s="336">
        <v>0.6</v>
      </c>
      <c r="V731" s="336">
        <v>0.6</v>
      </c>
      <c r="W731" s="336">
        <v>0.6</v>
      </c>
      <c r="X731" s="336">
        <v>0.6</v>
      </c>
      <c r="Y731" s="336">
        <v>0.6</v>
      </c>
      <c r="Z731" s="336">
        <v>0.6</v>
      </c>
      <c r="AA731" s="336">
        <v>0.6</v>
      </c>
      <c r="AB731" s="336">
        <v>0.6</v>
      </c>
      <c r="AC731" s="336">
        <v>0.6</v>
      </c>
      <c r="AD731" s="336">
        <v>0.6</v>
      </c>
      <c r="AE731" s="336">
        <v>0.6</v>
      </c>
      <c r="AF731" s="336">
        <v>0.6</v>
      </c>
      <c r="AG731" s="336">
        <v>0.6</v>
      </c>
      <c r="AH731" s="336">
        <v>0.6</v>
      </c>
      <c r="AI731" s="336">
        <v>0.6</v>
      </c>
      <c r="AJ731" s="336">
        <v>0.6</v>
      </c>
      <c r="AK731" s="336">
        <v>0.6</v>
      </c>
      <c r="AL731" s="336">
        <v>0.6</v>
      </c>
      <c r="AM731" s="336">
        <v>0.6</v>
      </c>
      <c r="AN731" s="336">
        <v>0.6</v>
      </c>
      <c r="AP731" s="20"/>
    </row>
    <row r="732" spans="2:42" x14ac:dyDescent="0.25">
      <c r="C732" s="20" t="s">
        <v>723</v>
      </c>
      <c r="D732" s="330" t="s">
        <v>29</v>
      </c>
      <c r="E732" s="336">
        <v>0.2</v>
      </c>
      <c r="F732" s="336">
        <v>0.2</v>
      </c>
      <c r="G732" s="336">
        <v>0.2</v>
      </c>
      <c r="H732" s="336">
        <v>0.2</v>
      </c>
      <c r="I732" s="336">
        <v>0.2</v>
      </c>
      <c r="J732" s="336">
        <v>0.2</v>
      </c>
      <c r="K732" s="336">
        <v>0.2</v>
      </c>
      <c r="L732" s="336">
        <v>0.2</v>
      </c>
      <c r="M732" s="336">
        <v>0.2</v>
      </c>
      <c r="N732" s="336">
        <v>0.2</v>
      </c>
      <c r="O732" s="336">
        <v>0.2</v>
      </c>
      <c r="P732" s="336">
        <v>0.2</v>
      </c>
      <c r="Q732" s="336">
        <v>0.2</v>
      </c>
      <c r="R732" s="336">
        <v>0.2</v>
      </c>
      <c r="S732" s="336">
        <v>0.2</v>
      </c>
      <c r="T732" s="336">
        <v>0.2</v>
      </c>
      <c r="U732" s="336">
        <v>0.2</v>
      </c>
      <c r="V732" s="336">
        <v>0.2</v>
      </c>
      <c r="W732" s="336">
        <v>0.2</v>
      </c>
      <c r="X732" s="336">
        <v>0.2</v>
      </c>
      <c r="Y732" s="336">
        <v>0.2</v>
      </c>
      <c r="Z732" s="336">
        <v>0.2</v>
      </c>
      <c r="AA732" s="336">
        <v>0.2</v>
      </c>
      <c r="AB732" s="336">
        <v>0.2</v>
      </c>
      <c r="AC732" s="336">
        <v>0.2</v>
      </c>
      <c r="AD732" s="336">
        <v>0.2</v>
      </c>
      <c r="AE732" s="336">
        <v>0.2</v>
      </c>
      <c r="AF732" s="336">
        <v>0.2</v>
      </c>
      <c r="AG732" s="336">
        <v>0.2</v>
      </c>
      <c r="AH732" s="336">
        <v>0.2</v>
      </c>
      <c r="AI732" s="336">
        <v>0.2</v>
      </c>
      <c r="AJ732" s="336">
        <v>0.2</v>
      </c>
      <c r="AK732" s="336">
        <v>0.2</v>
      </c>
      <c r="AL732" s="336">
        <v>0.2</v>
      </c>
      <c r="AM732" s="336">
        <v>0.2</v>
      </c>
      <c r="AN732" s="336">
        <v>0.2</v>
      </c>
      <c r="AP732" s="21"/>
    </row>
    <row r="733" spans="2:42" x14ac:dyDescent="0.25">
      <c r="C733" s="21" t="s">
        <v>724</v>
      </c>
      <c r="D733" s="38" t="s">
        <v>29</v>
      </c>
      <c r="E733" s="425">
        <f>1-SUM(E731,E732)</f>
        <v>0.19999999999999996</v>
      </c>
      <c r="F733" s="425">
        <f t="shared" ref="F733:AN733" si="354">1-SUM(F731:F732)</f>
        <v>0.19999999999999996</v>
      </c>
      <c r="G733" s="425">
        <f t="shared" si="354"/>
        <v>0.19999999999999996</v>
      </c>
      <c r="H733" s="425">
        <f t="shared" si="354"/>
        <v>0.19999999999999996</v>
      </c>
      <c r="I733" s="425">
        <f t="shared" si="354"/>
        <v>0.19999999999999996</v>
      </c>
      <c r="J733" s="425">
        <f t="shared" si="354"/>
        <v>0.19999999999999996</v>
      </c>
      <c r="K733" s="425">
        <f t="shared" si="354"/>
        <v>0.19999999999999996</v>
      </c>
      <c r="L733" s="425">
        <f t="shared" si="354"/>
        <v>0.19999999999999996</v>
      </c>
      <c r="M733" s="425">
        <f t="shared" si="354"/>
        <v>0.19999999999999996</v>
      </c>
      <c r="N733" s="425">
        <f t="shared" si="354"/>
        <v>0.19999999999999996</v>
      </c>
      <c r="O733" s="425">
        <f t="shared" si="354"/>
        <v>0.19999999999999996</v>
      </c>
      <c r="P733" s="425">
        <f t="shared" si="354"/>
        <v>0.19999999999999996</v>
      </c>
      <c r="Q733" s="425">
        <f t="shared" si="354"/>
        <v>0.19999999999999996</v>
      </c>
      <c r="R733" s="425">
        <f t="shared" si="354"/>
        <v>0.19999999999999996</v>
      </c>
      <c r="S733" s="425">
        <f t="shared" si="354"/>
        <v>0.19999999999999996</v>
      </c>
      <c r="T733" s="425">
        <f t="shared" si="354"/>
        <v>0.19999999999999996</v>
      </c>
      <c r="U733" s="425">
        <f t="shared" si="354"/>
        <v>0.19999999999999996</v>
      </c>
      <c r="V733" s="425">
        <f t="shared" si="354"/>
        <v>0.19999999999999996</v>
      </c>
      <c r="W733" s="425">
        <f t="shared" si="354"/>
        <v>0.19999999999999996</v>
      </c>
      <c r="X733" s="425">
        <f t="shared" si="354"/>
        <v>0.19999999999999996</v>
      </c>
      <c r="Y733" s="425">
        <f t="shared" si="354"/>
        <v>0.19999999999999996</v>
      </c>
      <c r="Z733" s="425">
        <f t="shared" si="354"/>
        <v>0.19999999999999996</v>
      </c>
      <c r="AA733" s="425">
        <f t="shared" si="354"/>
        <v>0.19999999999999996</v>
      </c>
      <c r="AB733" s="425">
        <f t="shared" si="354"/>
        <v>0.19999999999999996</v>
      </c>
      <c r="AC733" s="425">
        <f t="shared" si="354"/>
        <v>0.19999999999999996</v>
      </c>
      <c r="AD733" s="425">
        <f t="shared" si="354"/>
        <v>0.19999999999999996</v>
      </c>
      <c r="AE733" s="425">
        <f t="shared" si="354"/>
        <v>0.19999999999999996</v>
      </c>
      <c r="AF733" s="425">
        <f t="shared" si="354"/>
        <v>0.19999999999999996</v>
      </c>
      <c r="AG733" s="425">
        <f t="shared" si="354"/>
        <v>0.19999999999999996</v>
      </c>
      <c r="AH733" s="425">
        <f t="shared" si="354"/>
        <v>0.19999999999999996</v>
      </c>
      <c r="AI733" s="425">
        <f t="shared" si="354"/>
        <v>0.19999999999999996</v>
      </c>
      <c r="AJ733" s="425">
        <f t="shared" si="354"/>
        <v>0.19999999999999996</v>
      </c>
      <c r="AK733" s="425">
        <f t="shared" si="354"/>
        <v>0.19999999999999996</v>
      </c>
      <c r="AL733" s="425">
        <f t="shared" si="354"/>
        <v>0.19999999999999996</v>
      </c>
      <c r="AM733" s="425">
        <f t="shared" si="354"/>
        <v>0.19999999999999996</v>
      </c>
      <c r="AN733" s="425">
        <f t="shared" si="354"/>
        <v>0.19999999999999996</v>
      </c>
      <c r="AP733" s="21"/>
    </row>
    <row r="734" spans="2:42" x14ac:dyDescent="0.25">
      <c r="B734" s="99" t="s">
        <v>9</v>
      </c>
      <c r="C734" s="105" t="s">
        <v>429</v>
      </c>
      <c r="D734" s="42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  <c r="AE734" s="105"/>
      <c r="AF734" s="105"/>
      <c r="AG734" s="105"/>
      <c r="AH734" s="105"/>
      <c r="AI734" s="105"/>
      <c r="AJ734" s="105"/>
      <c r="AK734" s="105"/>
      <c r="AL734" s="105"/>
      <c r="AM734" s="105"/>
      <c r="AN734" s="105"/>
      <c r="AP734" s="105"/>
    </row>
    <row r="735" spans="2:42" s="321" customFormat="1" x14ac:dyDescent="0.25">
      <c r="B735" s="417"/>
      <c r="C735" s="365" t="s">
        <v>718</v>
      </c>
      <c r="D735" s="366" t="s">
        <v>29</v>
      </c>
      <c r="E735" s="367">
        <v>0.1</v>
      </c>
      <c r="F735" s="367">
        <v>0.1</v>
      </c>
      <c r="G735" s="367">
        <v>0.1</v>
      </c>
      <c r="H735" s="367">
        <v>0.1</v>
      </c>
      <c r="I735" s="367">
        <v>0.1</v>
      </c>
      <c r="J735" s="367">
        <v>0.1</v>
      </c>
      <c r="K735" s="367">
        <v>0.1</v>
      </c>
      <c r="L735" s="367">
        <v>0.1</v>
      </c>
      <c r="M735" s="367">
        <v>0.1</v>
      </c>
      <c r="N735" s="367">
        <v>0.1</v>
      </c>
      <c r="O735" s="367">
        <v>0.1</v>
      </c>
      <c r="P735" s="367">
        <v>0.1</v>
      </c>
      <c r="Q735" s="367">
        <v>0.1</v>
      </c>
      <c r="R735" s="367">
        <v>0.1</v>
      </c>
      <c r="S735" s="367">
        <v>0.1</v>
      </c>
      <c r="T735" s="367">
        <v>0.1</v>
      </c>
      <c r="U735" s="367">
        <v>0.1</v>
      </c>
      <c r="V735" s="367">
        <v>0.1</v>
      </c>
      <c r="W735" s="367">
        <v>0.1</v>
      </c>
      <c r="X735" s="367">
        <v>0.1</v>
      </c>
      <c r="Y735" s="367">
        <v>0.1</v>
      </c>
      <c r="Z735" s="367">
        <v>0.1</v>
      </c>
      <c r="AA735" s="367">
        <v>0.1</v>
      </c>
      <c r="AB735" s="367">
        <v>0.1</v>
      </c>
      <c r="AC735" s="367">
        <v>0.1</v>
      </c>
      <c r="AD735" s="367">
        <v>0.1</v>
      </c>
      <c r="AE735" s="367">
        <v>0.1</v>
      </c>
      <c r="AF735" s="367">
        <v>0.1</v>
      </c>
      <c r="AG735" s="367">
        <v>0.1</v>
      </c>
      <c r="AH735" s="367">
        <v>0.1</v>
      </c>
      <c r="AI735" s="367">
        <v>0.1</v>
      </c>
      <c r="AJ735" s="367">
        <v>0.1</v>
      </c>
      <c r="AK735" s="367">
        <v>0.1</v>
      </c>
      <c r="AL735" s="367">
        <v>0.1</v>
      </c>
      <c r="AM735" s="367">
        <v>0.1</v>
      </c>
      <c r="AN735" s="367">
        <v>0.1</v>
      </c>
      <c r="AP735" s="368"/>
    </row>
    <row r="736" spans="2:42" x14ac:dyDescent="0.25">
      <c r="C736" s="20" t="s">
        <v>725</v>
      </c>
      <c r="D736" s="34" t="s">
        <v>29</v>
      </c>
      <c r="E736" s="336">
        <v>0.6</v>
      </c>
      <c r="F736" s="336">
        <v>0.6</v>
      </c>
      <c r="G736" s="336">
        <v>0.6</v>
      </c>
      <c r="H736" s="336">
        <v>0.6</v>
      </c>
      <c r="I736" s="336">
        <v>0.6</v>
      </c>
      <c r="J736" s="336">
        <v>0.6</v>
      </c>
      <c r="K736" s="336">
        <v>0.6</v>
      </c>
      <c r="L736" s="336">
        <v>0.6</v>
      </c>
      <c r="M736" s="336">
        <v>0.6</v>
      </c>
      <c r="N736" s="336">
        <v>0.6</v>
      </c>
      <c r="O736" s="336">
        <v>0.6</v>
      </c>
      <c r="P736" s="336">
        <v>0.6</v>
      </c>
      <c r="Q736" s="336">
        <v>0.6</v>
      </c>
      <c r="R736" s="336">
        <v>0.6</v>
      </c>
      <c r="S736" s="336">
        <v>0.6</v>
      </c>
      <c r="T736" s="336">
        <v>0.6</v>
      </c>
      <c r="U736" s="336">
        <v>0.6</v>
      </c>
      <c r="V736" s="336">
        <v>0.6</v>
      </c>
      <c r="W736" s="336">
        <v>0.6</v>
      </c>
      <c r="X736" s="336">
        <v>0.6</v>
      </c>
      <c r="Y736" s="336">
        <v>0.6</v>
      </c>
      <c r="Z736" s="336">
        <v>0.6</v>
      </c>
      <c r="AA736" s="336">
        <v>0.6</v>
      </c>
      <c r="AB736" s="336">
        <v>0.6</v>
      </c>
      <c r="AC736" s="336">
        <v>0.6</v>
      </c>
      <c r="AD736" s="336">
        <v>0.6</v>
      </c>
      <c r="AE736" s="336">
        <v>0.6</v>
      </c>
      <c r="AF736" s="336">
        <v>0.6</v>
      </c>
      <c r="AG736" s="336">
        <v>0.6</v>
      </c>
      <c r="AH736" s="336">
        <v>0.6</v>
      </c>
      <c r="AI736" s="336">
        <v>0.6</v>
      </c>
      <c r="AJ736" s="336">
        <v>0.6</v>
      </c>
      <c r="AK736" s="336">
        <v>0.6</v>
      </c>
      <c r="AL736" s="336">
        <v>0.6</v>
      </c>
      <c r="AM736" s="336">
        <v>0.6</v>
      </c>
      <c r="AN736" s="336">
        <v>0.6</v>
      </c>
      <c r="AP736" s="20"/>
    </row>
    <row r="737" spans="2:42" x14ac:dyDescent="0.25">
      <c r="C737" s="20" t="s">
        <v>723</v>
      </c>
      <c r="D737" s="330" t="s">
        <v>29</v>
      </c>
      <c r="E737" s="336">
        <v>0.2</v>
      </c>
      <c r="F737" s="336">
        <v>0.2</v>
      </c>
      <c r="G737" s="336">
        <v>0.2</v>
      </c>
      <c r="H737" s="336">
        <v>0.2</v>
      </c>
      <c r="I737" s="336">
        <v>0.2</v>
      </c>
      <c r="J737" s="336">
        <v>0.2</v>
      </c>
      <c r="K737" s="336">
        <v>0.2</v>
      </c>
      <c r="L737" s="336">
        <v>0.2</v>
      </c>
      <c r="M737" s="336">
        <v>0.2</v>
      </c>
      <c r="N737" s="336">
        <v>0.2</v>
      </c>
      <c r="O737" s="336">
        <v>0.2</v>
      </c>
      <c r="P737" s="336">
        <v>0.2</v>
      </c>
      <c r="Q737" s="336">
        <v>0.2</v>
      </c>
      <c r="R737" s="336">
        <v>0.2</v>
      </c>
      <c r="S737" s="336">
        <v>0.2</v>
      </c>
      <c r="T737" s="336">
        <v>0.2</v>
      </c>
      <c r="U737" s="336">
        <v>0.2</v>
      </c>
      <c r="V737" s="336">
        <v>0.2</v>
      </c>
      <c r="W737" s="336">
        <v>0.2</v>
      </c>
      <c r="X737" s="336">
        <v>0.2</v>
      </c>
      <c r="Y737" s="336">
        <v>0.2</v>
      </c>
      <c r="Z737" s="336">
        <v>0.2</v>
      </c>
      <c r="AA737" s="336">
        <v>0.2</v>
      </c>
      <c r="AB737" s="336">
        <v>0.2</v>
      </c>
      <c r="AC737" s="336">
        <v>0.2</v>
      </c>
      <c r="AD737" s="336">
        <v>0.2</v>
      </c>
      <c r="AE737" s="336">
        <v>0.2</v>
      </c>
      <c r="AF737" s="336">
        <v>0.2</v>
      </c>
      <c r="AG737" s="336">
        <v>0.2</v>
      </c>
      <c r="AH737" s="336">
        <v>0.2</v>
      </c>
      <c r="AI737" s="336">
        <v>0.2</v>
      </c>
      <c r="AJ737" s="336">
        <v>0.2</v>
      </c>
      <c r="AK737" s="336">
        <v>0.2</v>
      </c>
      <c r="AL737" s="336">
        <v>0.2</v>
      </c>
      <c r="AM737" s="336">
        <v>0.2</v>
      </c>
      <c r="AN737" s="336">
        <v>0.2</v>
      </c>
      <c r="AP737" s="21"/>
    </row>
    <row r="738" spans="2:42" x14ac:dyDescent="0.25">
      <c r="C738" s="21" t="s">
        <v>724</v>
      </c>
      <c r="D738" s="38" t="s">
        <v>29</v>
      </c>
      <c r="E738" s="425">
        <f>1-SUM(E736:E737)</f>
        <v>0.19999999999999996</v>
      </c>
      <c r="F738" s="425">
        <f t="shared" ref="F738" si="355">1-SUM(F736:F737)</f>
        <v>0.19999999999999996</v>
      </c>
      <c r="G738" s="425">
        <f t="shared" ref="G738" si="356">1-SUM(G736:G737)</f>
        <v>0.19999999999999996</v>
      </c>
      <c r="H738" s="425">
        <f t="shared" ref="H738" si="357">1-SUM(H736:H737)</f>
        <v>0.19999999999999996</v>
      </c>
      <c r="I738" s="425">
        <f t="shared" ref="I738" si="358">1-SUM(I736:I737)</f>
        <v>0.19999999999999996</v>
      </c>
      <c r="J738" s="425">
        <f t="shared" ref="J738" si="359">1-SUM(J736:J737)</f>
        <v>0.19999999999999996</v>
      </c>
      <c r="K738" s="425">
        <f t="shared" ref="K738" si="360">1-SUM(K736:K737)</f>
        <v>0.19999999999999996</v>
      </c>
      <c r="L738" s="425">
        <f t="shared" ref="L738" si="361">1-SUM(L736:L737)</f>
        <v>0.19999999999999996</v>
      </c>
      <c r="M738" s="425">
        <f t="shared" ref="M738" si="362">1-SUM(M736:M737)</f>
        <v>0.19999999999999996</v>
      </c>
      <c r="N738" s="425">
        <f t="shared" ref="N738" si="363">1-SUM(N736:N737)</f>
        <v>0.19999999999999996</v>
      </c>
      <c r="O738" s="425">
        <f t="shared" ref="O738" si="364">1-SUM(O736:O737)</f>
        <v>0.19999999999999996</v>
      </c>
      <c r="P738" s="425">
        <f t="shared" ref="P738" si="365">1-SUM(P736:P737)</f>
        <v>0.19999999999999996</v>
      </c>
      <c r="Q738" s="425">
        <f t="shared" ref="Q738" si="366">1-SUM(Q736:Q737)</f>
        <v>0.19999999999999996</v>
      </c>
      <c r="R738" s="425">
        <f t="shared" ref="R738" si="367">1-SUM(R736:R737)</f>
        <v>0.19999999999999996</v>
      </c>
      <c r="S738" s="425">
        <f t="shared" ref="S738" si="368">1-SUM(S736:S737)</f>
        <v>0.19999999999999996</v>
      </c>
      <c r="T738" s="425">
        <f t="shared" ref="T738" si="369">1-SUM(T736:T737)</f>
        <v>0.19999999999999996</v>
      </c>
      <c r="U738" s="425">
        <f t="shared" ref="U738" si="370">1-SUM(U736:U737)</f>
        <v>0.19999999999999996</v>
      </c>
      <c r="V738" s="425">
        <f t="shared" ref="V738" si="371">1-SUM(V736:V737)</f>
        <v>0.19999999999999996</v>
      </c>
      <c r="W738" s="425">
        <f t="shared" ref="W738" si="372">1-SUM(W736:W737)</f>
        <v>0.19999999999999996</v>
      </c>
      <c r="X738" s="425">
        <f t="shared" ref="X738" si="373">1-SUM(X736:X737)</f>
        <v>0.19999999999999996</v>
      </c>
      <c r="Y738" s="425">
        <f t="shared" ref="Y738" si="374">1-SUM(Y736:Y737)</f>
        <v>0.19999999999999996</v>
      </c>
      <c r="Z738" s="425">
        <f t="shared" ref="Z738" si="375">1-SUM(Z736:Z737)</f>
        <v>0.19999999999999996</v>
      </c>
      <c r="AA738" s="425">
        <f t="shared" ref="AA738" si="376">1-SUM(AA736:AA737)</f>
        <v>0.19999999999999996</v>
      </c>
      <c r="AB738" s="425">
        <f t="shared" ref="AB738" si="377">1-SUM(AB736:AB737)</f>
        <v>0.19999999999999996</v>
      </c>
      <c r="AC738" s="425">
        <f t="shared" ref="AC738" si="378">1-SUM(AC736:AC737)</f>
        <v>0.19999999999999996</v>
      </c>
      <c r="AD738" s="425">
        <f t="shared" ref="AD738" si="379">1-SUM(AD736:AD737)</f>
        <v>0.19999999999999996</v>
      </c>
      <c r="AE738" s="425">
        <f t="shared" ref="AE738" si="380">1-SUM(AE736:AE737)</f>
        <v>0.19999999999999996</v>
      </c>
      <c r="AF738" s="425">
        <f t="shared" ref="AF738" si="381">1-SUM(AF736:AF737)</f>
        <v>0.19999999999999996</v>
      </c>
      <c r="AG738" s="425">
        <f t="shared" ref="AG738" si="382">1-SUM(AG736:AG737)</f>
        <v>0.19999999999999996</v>
      </c>
      <c r="AH738" s="425">
        <f t="shared" ref="AH738" si="383">1-SUM(AH736:AH737)</f>
        <v>0.19999999999999996</v>
      </c>
      <c r="AI738" s="425">
        <f t="shared" ref="AI738" si="384">1-SUM(AI736:AI737)</f>
        <v>0.19999999999999996</v>
      </c>
      <c r="AJ738" s="425">
        <f t="shared" ref="AJ738" si="385">1-SUM(AJ736:AJ737)</f>
        <v>0.19999999999999996</v>
      </c>
      <c r="AK738" s="425">
        <f t="shared" ref="AK738" si="386">1-SUM(AK736:AK737)</f>
        <v>0.19999999999999996</v>
      </c>
      <c r="AL738" s="425">
        <f t="shared" ref="AL738" si="387">1-SUM(AL736:AL737)</f>
        <v>0.19999999999999996</v>
      </c>
      <c r="AM738" s="425">
        <f t="shared" ref="AM738" si="388">1-SUM(AM736:AM737)</f>
        <v>0.19999999999999996</v>
      </c>
      <c r="AN738" s="425">
        <f t="shared" ref="AN738" si="389">1-SUM(AN736:AN737)</f>
        <v>0.19999999999999996</v>
      </c>
      <c r="AP738" s="21"/>
    </row>
    <row r="739" spans="2:42" x14ac:dyDescent="0.25">
      <c r="B739" s="99" t="s">
        <v>9</v>
      </c>
      <c r="C739" s="105" t="s">
        <v>430</v>
      </c>
      <c r="D739" s="42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  <c r="AE739" s="105"/>
      <c r="AF739" s="105"/>
      <c r="AG739" s="105"/>
      <c r="AH739" s="105"/>
      <c r="AI739" s="105"/>
      <c r="AJ739" s="105"/>
      <c r="AK739" s="105"/>
      <c r="AL739" s="105"/>
      <c r="AM739" s="105"/>
      <c r="AN739" s="105"/>
      <c r="AP739" s="105"/>
    </row>
    <row r="740" spans="2:42" s="321" customFormat="1" x14ac:dyDescent="0.25">
      <c r="B740" s="417"/>
      <c r="C740" s="369" t="s">
        <v>719</v>
      </c>
      <c r="D740" s="370" t="s">
        <v>29</v>
      </c>
      <c r="E740" s="371">
        <v>0.1</v>
      </c>
      <c r="F740" s="371">
        <v>0.1</v>
      </c>
      <c r="G740" s="371">
        <v>0.1</v>
      </c>
      <c r="H740" s="371">
        <v>0.1</v>
      </c>
      <c r="I740" s="371">
        <v>0.1</v>
      </c>
      <c r="J740" s="371">
        <v>0.1</v>
      </c>
      <c r="K740" s="371">
        <v>0.1</v>
      </c>
      <c r="L740" s="371">
        <v>0.1</v>
      </c>
      <c r="M740" s="371">
        <v>0.1</v>
      </c>
      <c r="N740" s="371">
        <v>0.1</v>
      </c>
      <c r="O740" s="371">
        <v>0.1</v>
      </c>
      <c r="P740" s="371">
        <v>0.1</v>
      </c>
      <c r="Q740" s="371">
        <v>0.1</v>
      </c>
      <c r="R740" s="371">
        <v>0.1</v>
      </c>
      <c r="S740" s="371">
        <v>0.1</v>
      </c>
      <c r="T740" s="371">
        <v>0.1</v>
      </c>
      <c r="U740" s="371">
        <v>0.1</v>
      </c>
      <c r="V740" s="371">
        <v>0.1</v>
      </c>
      <c r="W740" s="371">
        <v>0.1</v>
      </c>
      <c r="X740" s="371">
        <v>0.1</v>
      </c>
      <c r="Y740" s="371">
        <v>0.1</v>
      </c>
      <c r="Z740" s="371">
        <v>0.1</v>
      </c>
      <c r="AA740" s="371">
        <v>0.1</v>
      </c>
      <c r="AB740" s="371">
        <v>0.1</v>
      </c>
      <c r="AC740" s="371">
        <v>0.1</v>
      </c>
      <c r="AD740" s="371">
        <v>0.1</v>
      </c>
      <c r="AE740" s="371">
        <v>0.1</v>
      </c>
      <c r="AF740" s="371">
        <v>0.1</v>
      </c>
      <c r="AG740" s="371">
        <v>0.1</v>
      </c>
      <c r="AH740" s="371">
        <v>0.1</v>
      </c>
      <c r="AI740" s="371">
        <v>0.1</v>
      </c>
      <c r="AJ740" s="371">
        <v>0.1</v>
      </c>
      <c r="AK740" s="371">
        <v>0.1</v>
      </c>
      <c r="AL740" s="371">
        <v>0.1</v>
      </c>
      <c r="AM740" s="371">
        <v>0.1</v>
      </c>
      <c r="AN740" s="371">
        <v>0.1</v>
      </c>
      <c r="AP740" s="372"/>
    </row>
    <row r="741" spans="2:42" x14ac:dyDescent="0.25">
      <c r="C741" s="20" t="s">
        <v>725</v>
      </c>
      <c r="D741" s="34" t="s">
        <v>29</v>
      </c>
      <c r="E741" s="336">
        <v>0.6</v>
      </c>
      <c r="F741" s="336">
        <v>0.6</v>
      </c>
      <c r="G741" s="336">
        <v>0.6</v>
      </c>
      <c r="H741" s="336">
        <v>0.6</v>
      </c>
      <c r="I741" s="336">
        <v>0.6</v>
      </c>
      <c r="J741" s="336">
        <v>0.6</v>
      </c>
      <c r="K741" s="336">
        <v>0.6</v>
      </c>
      <c r="L741" s="336">
        <v>0.6</v>
      </c>
      <c r="M741" s="336">
        <v>0.6</v>
      </c>
      <c r="N741" s="336">
        <v>0.6</v>
      </c>
      <c r="O741" s="336">
        <v>0.6</v>
      </c>
      <c r="P741" s="336">
        <v>0.6</v>
      </c>
      <c r="Q741" s="336">
        <v>0.6</v>
      </c>
      <c r="R741" s="336">
        <v>0.6</v>
      </c>
      <c r="S741" s="336">
        <v>0.6</v>
      </c>
      <c r="T741" s="336">
        <v>0.6</v>
      </c>
      <c r="U741" s="336">
        <v>0.6</v>
      </c>
      <c r="V741" s="336">
        <v>0.6</v>
      </c>
      <c r="W741" s="336">
        <v>0.6</v>
      </c>
      <c r="X741" s="336">
        <v>0.6</v>
      </c>
      <c r="Y741" s="336">
        <v>0.6</v>
      </c>
      <c r="Z741" s="336">
        <v>0.6</v>
      </c>
      <c r="AA741" s="336">
        <v>0.6</v>
      </c>
      <c r="AB741" s="336">
        <v>0.6</v>
      </c>
      <c r="AC741" s="336">
        <v>0.6</v>
      </c>
      <c r="AD741" s="336">
        <v>0.6</v>
      </c>
      <c r="AE741" s="336">
        <v>0.6</v>
      </c>
      <c r="AF741" s="336">
        <v>0.6</v>
      </c>
      <c r="AG741" s="336">
        <v>0.6</v>
      </c>
      <c r="AH741" s="336">
        <v>0.6</v>
      </c>
      <c r="AI741" s="336">
        <v>0.6</v>
      </c>
      <c r="AJ741" s="336">
        <v>0.6</v>
      </c>
      <c r="AK741" s="336">
        <v>0.6</v>
      </c>
      <c r="AL741" s="336">
        <v>0.6</v>
      </c>
      <c r="AM741" s="336">
        <v>0.6</v>
      </c>
      <c r="AN741" s="336">
        <v>0.6</v>
      </c>
      <c r="AP741" s="20"/>
    </row>
    <row r="742" spans="2:42" x14ac:dyDescent="0.25">
      <c r="C742" s="20" t="s">
        <v>723</v>
      </c>
      <c r="D742" s="330" t="s">
        <v>29</v>
      </c>
      <c r="E742" s="336">
        <v>0.2</v>
      </c>
      <c r="F742" s="336">
        <v>0.2</v>
      </c>
      <c r="G742" s="336">
        <v>0.2</v>
      </c>
      <c r="H742" s="336">
        <v>0.2</v>
      </c>
      <c r="I742" s="336">
        <v>0.2</v>
      </c>
      <c r="J742" s="336">
        <v>0.2</v>
      </c>
      <c r="K742" s="336">
        <v>0.2</v>
      </c>
      <c r="L742" s="336">
        <v>0.2</v>
      </c>
      <c r="M742" s="336">
        <v>0.2</v>
      </c>
      <c r="N742" s="336">
        <v>0.2</v>
      </c>
      <c r="O742" s="336">
        <v>0.2</v>
      </c>
      <c r="P742" s="336">
        <v>0.2</v>
      </c>
      <c r="Q742" s="336">
        <v>0.2</v>
      </c>
      <c r="R742" s="336">
        <v>0.2</v>
      </c>
      <c r="S742" s="336">
        <v>0.2</v>
      </c>
      <c r="T742" s="336">
        <v>0.2</v>
      </c>
      <c r="U742" s="336">
        <v>0.2</v>
      </c>
      <c r="V742" s="336">
        <v>0.2</v>
      </c>
      <c r="W742" s="336">
        <v>0.2</v>
      </c>
      <c r="X742" s="336">
        <v>0.2</v>
      </c>
      <c r="Y742" s="336">
        <v>0.2</v>
      </c>
      <c r="Z742" s="336">
        <v>0.2</v>
      </c>
      <c r="AA742" s="336">
        <v>0.2</v>
      </c>
      <c r="AB742" s="336">
        <v>0.2</v>
      </c>
      <c r="AC742" s="336">
        <v>0.2</v>
      </c>
      <c r="AD742" s="336">
        <v>0.2</v>
      </c>
      <c r="AE742" s="336">
        <v>0.2</v>
      </c>
      <c r="AF742" s="336">
        <v>0.2</v>
      </c>
      <c r="AG742" s="336">
        <v>0.2</v>
      </c>
      <c r="AH742" s="336">
        <v>0.2</v>
      </c>
      <c r="AI742" s="336">
        <v>0.2</v>
      </c>
      <c r="AJ742" s="336">
        <v>0.2</v>
      </c>
      <c r="AK742" s="336">
        <v>0.2</v>
      </c>
      <c r="AL742" s="336">
        <v>0.2</v>
      </c>
      <c r="AM742" s="336">
        <v>0.2</v>
      </c>
      <c r="AN742" s="336">
        <v>0.2</v>
      </c>
      <c r="AP742" s="21"/>
    </row>
    <row r="743" spans="2:42" x14ac:dyDescent="0.25">
      <c r="C743" s="21" t="s">
        <v>724</v>
      </c>
      <c r="D743" s="38" t="s">
        <v>29</v>
      </c>
      <c r="E743" s="425">
        <f>1-SUM(E741:E742)</f>
        <v>0.19999999999999996</v>
      </c>
      <c r="F743" s="425">
        <f t="shared" ref="F743" si="390">1-SUM(F741:F742)</f>
        <v>0.19999999999999996</v>
      </c>
      <c r="G743" s="425">
        <f t="shared" ref="G743" si="391">1-SUM(G741:G742)</f>
        <v>0.19999999999999996</v>
      </c>
      <c r="H743" s="425">
        <f t="shared" ref="H743" si="392">1-SUM(H741:H742)</f>
        <v>0.19999999999999996</v>
      </c>
      <c r="I743" s="425">
        <f t="shared" ref="I743" si="393">1-SUM(I741:I742)</f>
        <v>0.19999999999999996</v>
      </c>
      <c r="J743" s="425">
        <f t="shared" ref="J743" si="394">1-SUM(J741:J742)</f>
        <v>0.19999999999999996</v>
      </c>
      <c r="K743" s="425">
        <f t="shared" ref="K743" si="395">1-SUM(K741:K742)</f>
        <v>0.19999999999999996</v>
      </c>
      <c r="L743" s="425">
        <f t="shared" ref="L743" si="396">1-SUM(L741:L742)</f>
        <v>0.19999999999999996</v>
      </c>
      <c r="M743" s="425">
        <f t="shared" ref="M743" si="397">1-SUM(M741:M742)</f>
        <v>0.19999999999999996</v>
      </c>
      <c r="N743" s="425">
        <f t="shared" ref="N743" si="398">1-SUM(N741:N742)</f>
        <v>0.19999999999999996</v>
      </c>
      <c r="O743" s="425">
        <f t="shared" ref="O743" si="399">1-SUM(O741:O742)</f>
        <v>0.19999999999999996</v>
      </c>
      <c r="P743" s="425">
        <f t="shared" ref="P743" si="400">1-SUM(P741:P742)</f>
        <v>0.19999999999999996</v>
      </c>
      <c r="Q743" s="425">
        <f t="shared" ref="Q743" si="401">1-SUM(Q741:Q742)</f>
        <v>0.19999999999999996</v>
      </c>
      <c r="R743" s="425">
        <f t="shared" ref="R743" si="402">1-SUM(R741:R742)</f>
        <v>0.19999999999999996</v>
      </c>
      <c r="S743" s="425">
        <f t="shared" ref="S743" si="403">1-SUM(S741:S742)</f>
        <v>0.19999999999999996</v>
      </c>
      <c r="T743" s="425">
        <f t="shared" ref="T743" si="404">1-SUM(T741:T742)</f>
        <v>0.19999999999999996</v>
      </c>
      <c r="U743" s="425">
        <f t="shared" ref="U743" si="405">1-SUM(U741:U742)</f>
        <v>0.19999999999999996</v>
      </c>
      <c r="V743" s="425">
        <f t="shared" ref="V743" si="406">1-SUM(V741:V742)</f>
        <v>0.19999999999999996</v>
      </c>
      <c r="W743" s="425">
        <f t="shared" ref="W743" si="407">1-SUM(W741:W742)</f>
        <v>0.19999999999999996</v>
      </c>
      <c r="X743" s="425">
        <f t="shared" ref="X743" si="408">1-SUM(X741:X742)</f>
        <v>0.19999999999999996</v>
      </c>
      <c r="Y743" s="425">
        <f t="shared" ref="Y743" si="409">1-SUM(Y741:Y742)</f>
        <v>0.19999999999999996</v>
      </c>
      <c r="Z743" s="425">
        <f t="shared" ref="Z743" si="410">1-SUM(Z741:Z742)</f>
        <v>0.19999999999999996</v>
      </c>
      <c r="AA743" s="425">
        <f t="shared" ref="AA743" si="411">1-SUM(AA741:AA742)</f>
        <v>0.19999999999999996</v>
      </c>
      <c r="AB743" s="425">
        <f t="shared" ref="AB743" si="412">1-SUM(AB741:AB742)</f>
        <v>0.19999999999999996</v>
      </c>
      <c r="AC743" s="425">
        <f t="shared" ref="AC743" si="413">1-SUM(AC741:AC742)</f>
        <v>0.19999999999999996</v>
      </c>
      <c r="AD743" s="425">
        <f t="shared" ref="AD743" si="414">1-SUM(AD741:AD742)</f>
        <v>0.19999999999999996</v>
      </c>
      <c r="AE743" s="425">
        <f t="shared" ref="AE743" si="415">1-SUM(AE741:AE742)</f>
        <v>0.19999999999999996</v>
      </c>
      <c r="AF743" s="425">
        <f t="shared" ref="AF743" si="416">1-SUM(AF741:AF742)</f>
        <v>0.19999999999999996</v>
      </c>
      <c r="AG743" s="425">
        <f t="shared" ref="AG743" si="417">1-SUM(AG741:AG742)</f>
        <v>0.19999999999999996</v>
      </c>
      <c r="AH743" s="425">
        <f t="shared" ref="AH743" si="418">1-SUM(AH741:AH742)</f>
        <v>0.19999999999999996</v>
      </c>
      <c r="AI743" s="425">
        <f t="shared" ref="AI743" si="419">1-SUM(AI741:AI742)</f>
        <v>0.19999999999999996</v>
      </c>
      <c r="AJ743" s="425">
        <f t="shared" ref="AJ743" si="420">1-SUM(AJ741:AJ742)</f>
        <v>0.19999999999999996</v>
      </c>
      <c r="AK743" s="425">
        <f t="shared" ref="AK743" si="421">1-SUM(AK741:AK742)</f>
        <v>0.19999999999999996</v>
      </c>
      <c r="AL743" s="425">
        <f t="shared" ref="AL743" si="422">1-SUM(AL741:AL742)</f>
        <v>0.19999999999999996</v>
      </c>
      <c r="AM743" s="425">
        <f t="shared" ref="AM743" si="423">1-SUM(AM741:AM742)</f>
        <v>0.19999999999999996</v>
      </c>
      <c r="AN743" s="425">
        <f t="shared" ref="AN743" si="424">1-SUM(AN741:AN742)</f>
        <v>0.19999999999999996</v>
      </c>
      <c r="AP743" s="21"/>
    </row>
    <row r="744" spans="2:42" x14ac:dyDescent="0.25">
      <c r="B744" s="99" t="s">
        <v>9</v>
      </c>
      <c r="C744" s="105" t="s">
        <v>431</v>
      </c>
      <c r="D744" s="42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  <c r="AE744" s="105"/>
      <c r="AF744" s="105"/>
      <c r="AG744" s="105"/>
      <c r="AH744" s="105"/>
      <c r="AI744" s="105"/>
      <c r="AJ744" s="105"/>
      <c r="AK744" s="105"/>
      <c r="AL744" s="105"/>
      <c r="AM744" s="105"/>
      <c r="AN744" s="105"/>
      <c r="AP744" s="105"/>
    </row>
    <row r="745" spans="2:42" s="321" customFormat="1" x14ac:dyDescent="0.25">
      <c r="B745" s="417"/>
      <c r="C745" s="369" t="s">
        <v>720</v>
      </c>
      <c r="D745" s="370" t="s">
        <v>29</v>
      </c>
      <c r="E745" s="371">
        <v>0.1</v>
      </c>
      <c r="F745" s="371">
        <v>0.1</v>
      </c>
      <c r="G745" s="371">
        <v>0.1</v>
      </c>
      <c r="H745" s="371">
        <v>0.1</v>
      </c>
      <c r="I745" s="371">
        <v>0.1</v>
      </c>
      <c r="J745" s="371">
        <v>0.1</v>
      </c>
      <c r="K745" s="371">
        <v>0.1</v>
      </c>
      <c r="L745" s="371">
        <v>0.1</v>
      </c>
      <c r="M745" s="371">
        <v>0.1</v>
      </c>
      <c r="N745" s="371">
        <v>0.1</v>
      </c>
      <c r="O745" s="371">
        <v>0.1</v>
      </c>
      <c r="P745" s="371">
        <v>0.1</v>
      </c>
      <c r="Q745" s="371">
        <v>0.1</v>
      </c>
      <c r="R745" s="371">
        <v>0.1</v>
      </c>
      <c r="S745" s="371">
        <v>0.1</v>
      </c>
      <c r="T745" s="371">
        <v>0.1</v>
      </c>
      <c r="U745" s="371">
        <v>0.1</v>
      </c>
      <c r="V745" s="371">
        <v>0.1</v>
      </c>
      <c r="W745" s="371">
        <v>0.1</v>
      </c>
      <c r="X745" s="371">
        <v>0.1</v>
      </c>
      <c r="Y745" s="371">
        <v>0.1</v>
      </c>
      <c r="Z745" s="371">
        <v>0.1</v>
      </c>
      <c r="AA745" s="371">
        <v>0.1</v>
      </c>
      <c r="AB745" s="371">
        <v>0.1</v>
      </c>
      <c r="AC745" s="371">
        <v>0.1</v>
      </c>
      <c r="AD745" s="371">
        <v>0.1</v>
      </c>
      <c r="AE745" s="371">
        <v>0.1</v>
      </c>
      <c r="AF745" s="371">
        <v>0.1</v>
      </c>
      <c r="AG745" s="371">
        <v>0.1</v>
      </c>
      <c r="AH745" s="371">
        <v>0.1</v>
      </c>
      <c r="AI745" s="371">
        <v>0.1</v>
      </c>
      <c r="AJ745" s="371">
        <v>0.1</v>
      </c>
      <c r="AK745" s="371">
        <v>0.1</v>
      </c>
      <c r="AL745" s="371">
        <v>0.1</v>
      </c>
      <c r="AM745" s="371">
        <v>0.1</v>
      </c>
      <c r="AN745" s="371">
        <v>0.1</v>
      </c>
      <c r="AP745" s="372"/>
    </row>
    <row r="746" spans="2:42" x14ac:dyDescent="0.25">
      <c r="C746" s="20" t="s">
        <v>725</v>
      </c>
      <c r="D746" s="34" t="s">
        <v>29</v>
      </c>
      <c r="E746" s="336">
        <v>0.6</v>
      </c>
      <c r="F746" s="336">
        <v>0.6</v>
      </c>
      <c r="G746" s="336">
        <v>0.6</v>
      </c>
      <c r="H746" s="336">
        <v>0.6</v>
      </c>
      <c r="I746" s="336">
        <v>0.6</v>
      </c>
      <c r="J746" s="336">
        <v>0.6</v>
      </c>
      <c r="K746" s="336">
        <v>0.6</v>
      </c>
      <c r="L746" s="336">
        <v>0.6</v>
      </c>
      <c r="M746" s="336">
        <v>0.6</v>
      </c>
      <c r="N746" s="336">
        <v>0.6</v>
      </c>
      <c r="O746" s="336">
        <v>0.6</v>
      </c>
      <c r="P746" s="336">
        <v>0.6</v>
      </c>
      <c r="Q746" s="336">
        <v>0.6</v>
      </c>
      <c r="R746" s="336">
        <v>0.6</v>
      </c>
      <c r="S746" s="336">
        <v>0.6</v>
      </c>
      <c r="T746" s="336">
        <v>0.6</v>
      </c>
      <c r="U746" s="336">
        <v>0.6</v>
      </c>
      <c r="V746" s="336">
        <v>0.6</v>
      </c>
      <c r="W746" s="336">
        <v>0.6</v>
      </c>
      <c r="X746" s="336">
        <v>0.6</v>
      </c>
      <c r="Y746" s="336">
        <v>0.6</v>
      </c>
      <c r="Z746" s="336">
        <v>0.6</v>
      </c>
      <c r="AA746" s="336">
        <v>0.6</v>
      </c>
      <c r="AB746" s="336">
        <v>0.6</v>
      </c>
      <c r="AC746" s="336">
        <v>0.6</v>
      </c>
      <c r="AD746" s="336">
        <v>0.6</v>
      </c>
      <c r="AE746" s="336">
        <v>0.6</v>
      </c>
      <c r="AF746" s="336">
        <v>0.6</v>
      </c>
      <c r="AG746" s="336">
        <v>0.6</v>
      </c>
      <c r="AH746" s="336">
        <v>0.6</v>
      </c>
      <c r="AI746" s="336">
        <v>0.6</v>
      </c>
      <c r="AJ746" s="336">
        <v>0.6</v>
      </c>
      <c r="AK746" s="336">
        <v>0.6</v>
      </c>
      <c r="AL746" s="336">
        <v>0.6</v>
      </c>
      <c r="AM746" s="336">
        <v>0.6</v>
      </c>
      <c r="AN746" s="336">
        <v>0.6</v>
      </c>
      <c r="AP746" s="20"/>
    </row>
    <row r="747" spans="2:42" x14ac:dyDescent="0.25">
      <c r="C747" s="20" t="s">
        <v>723</v>
      </c>
      <c r="D747" s="330" t="s">
        <v>29</v>
      </c>
      <c r="E747" s="336">
        <v>0.2</v>
      </c>
      <c r="F747" s="336">
        <v>0.2</v>
      </c>
      <c r="G747" s="336">
        <v>0.2</v>
      </c>
      <c r="H747" s="336">
        <v>0.2</v>
      </c>
      <c r="I747" s="336">
        <v>0.2</v>
      </c>
      <c r="J747" s="336">
        <v>0.2</v>
      </c>
      <c r="K747" s="336">
        <v>0.2</v>
      </c>
      <c r="L747" s="336">
        <v>0.2</v>
      </c>
      <c r="M747" s="336">
        <v>0.2</v>
      </c>
      <c r="N747" s="336">
        <v>0.2</v>
      </c>
      <c r="O747" s="336">
        <v>0.2</v>
      </c>
      <c r="P747" s="336">
        <v>0.2</v>
      </c>
      <c r="Q747" s="336">
        <v>0.2</v>
      </c>
      <c r="R747" s="336">
        <v>0.2</v>
      </c>
      <c r="S747" s="336">
        <v>0.2</v>
      </c>
      <c r="T747" s="336">
        <v>0.2</v>
      </c>
      <c r="U747" s="336">
        <v>0.2</v>
      </c>
      <c r="V747" s="336">
        <v>0.2</v>
      </c>
      <c r="W747" s="336">
        <v>0.2</v>
      </c>
      <c r="X747" s="336">
        <v>0.2</v>
      </c>
      <c r="Y747" s="336">
        <v>0.2</v>
      </c>
      <c r="Z747" s="336">
        <v>0.2</v>
      </c>
      <c r="AA747" s="336">
        <v>0.2</v>
      </c>
      <c r="AB747" s="336">
        <v>0.2</v>
      </c>
      <c r="AC747" s="336">
        <v>0.2</v>
      </c>
      <c r="AD747" s="336">
        <v>0.2</v>
      </c>
      <c r="AE747" s="336">
        <v>0.2</v>
      </c>
      <c r="AF747" s="336">
        <v>0.2</v>
      </c>
      <c r="AG747" s="336">
        <v>0.2</v>
      </c>
      <c r="AH747" s="336">
        <v>0.2</v>
      </c>
      <c r="AI747" s="336">
        <v>0.2</v>
      </c>
      <c r="AJ747" s="336">
        <v>0.2</v>
      </c>
      <c r="AK747" s="336">
        <v>0.2</v>
      </c>
      <c r="AL747" s="336">
        <v>0.2</v>
      </c>
      <c r="AM747" s="336">
        <v>0.2</v>
      </c>
      <c r="AN747" s="336">
        <v>0.2</v>
      </c>
      <c r="AP747" s="21"/>
    </row>
    <row r="748" spans="2:42" x14ac:dyDescent="0.25">
      <c r="C748" s="21" t="s">
        <v>724</v>
      </c>
      <c r="D748" s="38" t="s">
        <v>29</v>
      </c>
      <c r="E748" s="425">
        <f>1-SUM(E746:E747)</f>
        <v>0.19999999999999996</v>
      </c>
      <c r="F748" s="425">
        <f t="shared" ref="F748" si="425">1-SUM(F746:F747)</f>
        <v>0.19999999999999996</v>
      </c>
      <c r="G748" s="425">
        <f t="shared" ref="G748" si="426">1-SUM(G746:G747)</f>
        <v>0.19999999999999996</v>
      </c>
      <c r="H748" s="425">
        <f t="shared" ref="H748" si="427">1-SUM(H746:H747)</f>
        <v>0.19999999999999996</v>
      </c>
      <c r="I748" s="425">
        <f t="shared" ref="I748" si="428">1-SUM(I746:I747)</f>
        <v>0.19999999999999996</v>
      </c>
      <c r="J748" s="425">
        <f t="shared" ref="J748" si="429">1-SUM(J746:J747)</f>
        <v>0.19999999999999996</v>
      </c>
      <c r="K748" s="425">
        <f t="shared" ref="K748" si="430">1-SUM(K746:K747)</f>
        <v>0.19999999999999996</v>
      </c>
      <c r="L748" s="425">
        <f t="shared" ref="L748" si="431">1-SUM(L746:L747)</f>
        <v>0.19999999999999996</v>
      </c>
      <c r="M748" s="425">
        <f t="shared" ref="M748" si="432">1-SUM(M746:M747)</f>
        <v>0.19999999999999996</v>
      </c>
      <c r="N748" s="425">
        <f t="shared" ref="N748" si="433">1-SUM(N746:N747)</f>
        <v>0.19999999999999996</v>
      </c>
      <c r="O748" s="425">
        <f t="shared" ref="O748" si="434">1-SUM(O746:O747)</f>
        <v>0.19999999999999996</v>
      </c>
      <c r="P748" s="425">
        <f t="shared" ref="P748" si="435">1-SUM(P746:P747)</f>
        <v>0.19999999999999996</v>
      </c>
      <c r="Q748" s="425">
        <f t="shared" ref="Q748" si="436">1-SUM(Q746:Q747)</f>
        <v>0.19999999999999996</v>
      </c>
      <c r="R748" s="425">
        <f t="shared" ref="R748" si="437">1-SUM(R746:R747)</f>
        <v>0.19999999999999996</v>
      </c>
      <c r="S748" s="425">
        <f t="shared" ref="S748" si="438">1-SUM(S746:S747)</f>
        <v>0.19999999999999996</v>
      </c>
      <c r="T748" s="425">
        <f t="shared" ref="T748" si="439">1-SUM(T746:T747)</f>
        <v>0.19999999999999996</v>
      </c>
      <c r="U748" s="425">
        <f t="shared" ref="U748" si="440">1-SUM(U746:U747)</f>
        <v>0.19999999999999996</v>
      </c>
      <c r="V748" s="425">
        <f t="shared" ref="V748" si="441">1-SUM(V746:V747)</f>
        <v>0.19999999999999996</v>
      </c>
      <c r="W748" s="425">
        <f t="shared" ref="W748" si="442">1-SUM(W746:W747)</f>
        <v>0.19999999999999996</v>
      </c>
      <c r="X748" s="425">
        <f t="shared" ref="X748" si="443">1-SUM(X746:X747)</f>
        <v>0.19999999999999996</v>
      </c>
      <c r="Y748" s="425">
        <f t="shared" ref="Y748" si="444">1-SUM(Y746:Y747)</f>
        <v>0.19999999999999996</v>
      </c>
      <c r="Z748" s="425">
        <f t="shared" ref="Z748" si="445">1-SUM(Z746:Z747)</f>
        <v>0.19999999999999996</v>
      </c>
      <c r="AA748" s="425">
        <f t="shared" ref="AA748" si="446">1-SUM(AA746:AA747)</f>
        <v>0.19999999999999996</v>
      </c>
      <c r="AB748" s="425">
        <f t="shared" ref="AB748" si="447">1-SUM(AB746:AB747)</f>
        <v>0.19999999999999996</v>
      </c>
      <c r="AC748" s="425">
        <f t="shared" ref="AC748" si="448">1-SUM(AC746:AC747)</f>
        <v>0.19999999999999996</v>
      </c>
      <c r="AD748" s="425">
        <f t="shared" ref="AD748" si="449">1-SUM(AD746:AD747)</f>
        <v>0.19999999999999996</v>
      </c>
      <c r="AE748" s="425">
        <f t="shared" ref="AE748" si="450">1-SUM(AE746:AE747)</f>
        <v>0.19999999999999996</v>
      </c>
      <c r="AF748" s="425">
        <f t="shared" ref="AF748" si="451">1-SUM(AF746:AF747)</f>
        <v>0.19999999999999996</v>
      </c>
      <c r="AG748" s="425">
        <f t="shared" ref="AG748" si="452">1-SUM(AG746:AG747)</f>
        <v>0.19999999999999996</v>
      </c>
      <c r="AH748" s="425">
        <f t="shared" ref="AH748" si="453">1-SUM(AH746:AH747)</f>
        <v>0.19999999999999996</v>
      </c>
      <c r="AI748" s="425">
        <f t="shared" ref="AI748" si="454">1-SUM(AI746:AI747)</f>
        <v>0.19999999999999996</v>
      </c>
      <c r="AJ748" s="425">
        <f t="shared" ref="AJ748" si="455">1-SUM(AJ746:AJ747)</f>
        <v>0.19999999999999996</v>
      </c>
      <c r="AK748" s="425">
        <f t="shared" ref="AK748" si="456">1-SUM(AK746:AK747)</f>
        <v>0.19999999999999996</v>
      </c>
      <c r="AL748" s="425">
        <f t="shared" ref="AL748" si="457">1-SUM(AL746:AL747)</f>
        <v>0.19999999999999996</v>
      </c>
      <c r="AM748" s="425">
        <f t="shared" ref="AM748" si="458">1-SUM(AM746:AM747)</f>
        <v>0.19999999999999996</v>
      </c>
      <c r="AN748" s="425">
        <f t="shared" ref="AN748" si="459">1-SUM(AN746:AN747)</f>
        <v>0.19999999999999996</v>
      </c>
      <c r="AP748" s="21"/>
    </row>
    <row r="749" spans="2:42" x14ac:dyDescent="0.25">
      <c r="B749" s="99" t="s">
        <v>9</v>
      </c>
      <c r="C749" s="105" t="s">
        <v>432</v>
      </c>
      <c r="D749" s="42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  <c r="AE749" s="105"/>
      <c r="AF749" s="105"/>
      <c r="AG749" s="105"/>
      <c r="AH749" s="105"/>
      <c r="AI749" s="105"/>
      <c r="AJ749" s="105"/>
      <c r="AK749" s="105"/>
      <c r="AL749" s="105"/>
      <c r="AM749" s="105"/>
      <c r="AN749" s="105"/>
      <c r="AP749" s="105"/>
    </row>
    <row r="750" spans="2:42" s="321" customFormat="1" x14ac:dyDescent="0.25">
      <c r="B750" s="417"/>
      <c r="C750" s="322" t="s">
        <v>721</v>
      </c>
      <c r="D750" s="419" t="s">
        <v>29</v>
      </c>
      <c r="E750" s="422">
        <v>0.1</v>
      </c>
      <c r="F750" s="422">
        <v>0.1</v>
      </c>
      <c r="G750" s="422">
        <v>0.1</v>
      </c>
      <c r="H750" s="422">
        <v>0.1</v>
      </c>
      <c r="I750" s="422">
        <v>0.1</v>
      </c>
      <c r="J750" s="422">
        <v>0.1</v>
      </c>
      <c r="K750" s="422">
        <v>0.1</v>
      </c>
      <c r="L750" s="422">
        <v>0.1</v>
      </c>
      <c r="M750" s="422">
        <v>0.1</v>
      </c>
      <c r="N750" s="422">
        <v>0.1</v>
      </c>
      <c r="O750" s="422">
        <v>0.1</v>
      </c>
      <c r="P750" s="422">
        <v>0.1</v>
      </c>
      <c r="Q750" s="422">
        <v>0.1</v>
      </c>
      <c r="R750" s="422">
        <v>0.1</v>
      </c>
      <c r="S750" s="422">
        <v>0.1</v>
      </c>
      <c r="T750" s="422">
        <v>0.1</v>
      </c>
      <c r="U750" s="422">
        <v>0.1</v>
      </c>
      <c r="V750" s="422">
        <v>0.1</v>
      </c>
      <c r="W750" s="422">
        <v>0.1</v>
      </c>
      <c r="X750" s="422">
        <v>0.1</v>
      </c>
      <c r="Y750" s="422">
        <v>0.1</v>
      </c>
      <c r="Z750" s="422">
        <v>0.1</v>
      </c>
      <c r="AA750" s="422">
        <v>0.1</v>
      </c>
      <c r="AB750" s="422">
        <v>0.1</v>
      </c>
      <c r="AC750" s="422">
        <v>0.1</v>
      </c>
      <c r="AD750" s="422">
        <v>0.1</v>
      </c>
      <c r="AE750" s="422">
        <v>0.1</v>
      </c>
      <c r="AF750" s="422">
        <v>0.1</v>
      </c>
      <c r="AG750" s="422">
        <v>0.1</v>
      </c>
      <c r="AH750" s="422">
        <v>0.1</v>
      </c>
      <c r="AI750" s="422">
        <v>0.1</v>
      </c>
      <c r="AJ750" s="422">
        <v>0.1</v>
      </c>
      <c r="AK750" s="422">
        <v>0.1</v>
      </c>
      <c r="AL750" s="422">
        <v>0.1</v>
      </c>
      <c r="AM750" s="422">
        <v>0.1</v>
      </c>
      <c r="AN750" s="422">
        <v>0.1</v>
      </c>
      <c r="AP750" s="418"/>
    </row>
    <row r="751" spans="2:42" x14ac:dyDescent="0.25">
      <c r="C751" s="21" t="s">
        <v>725</v>
      </c>
      <c r="D751" s="38" t="s">
        <v>29</v>
      </c>
      <c r="E751" s="338">
        <v>0.6</v>
      </c>
      <c r="F751" s="338">
        <v>0.6</v>
      </c>
      <c r="G751" s="338">
        <v>0.6</v>
      </c>
      <c r="H751" s="338">
        <v>0.6</v>
      </c>
      <c r="I751" s="338">
        <v>0.6</v>
      </c>
      <c r="J751" s="338">
        <v>0.6</v>
      </c>
      <c r="K751" s="338">
        <v>0.6</v>
      </c>
      <c r="L751" s="338">
        <v>0.6</v>
      </c>
      <c r="M751" s="338">
        <v>0.6</v>
      </c>
      <c r="N751" s="338">
        <v>0.6</v>
      </c>
      <c r="O751" s="338">
        <v>0.6</v>
      </c>
      <c r="P751" s="338">
        <v>0.6</v>
      </c>
      <c r="Q751" s="338">
        <v>0.6</v>
      </c>
      <c r="R751" s="338">
        <v>0.6</v>
      </c>
      <c r="S751" s="338">
        <v>0.6</v>
      </c>
      <c r="T751" s="338">
        <v>0.6</v>
      </c>
      <c r="U751" s="338">
        <v>0.6</v>
      </c>
      <c r="V751" s="338">
        <v>0.6</v>
      </c>
      <c r="W751" s="338">
        <v>0.6</v>
      </c>
      <c r="X751" s="338">
        <v>0.6</v>
      </c>
      <c r="Y751" s="338">
        <v>0.6</v>
      </c>
      <c r="Z751" s="338">
        <v>0.6</v>
      </c>
      <c r="AA751" s="338">
        <v>0.6</v>
      </c>
      <c r="AB751" s="338">
        <v>0.6</v>
      </c>
      <c r="AC751" s="338">
        <v>0.6</v>
      </c>
      <c r="AD751" s="338">
        <v>0.6</v>
      </c>
      <c r="AE751" s="338">
        <v>0.6</v>
      </c>
      <c r="AF751" s="338">
        <v>0.6</v>
      </c>
      <c r="AG751" s="338">
        <v>0.6</v>
      </c>
      <c r="AH751" s="338">
        <v>0.6</v>
      </c>
      <c r="AI751" s="338">
        <v>0.6</v>
      </c>
      <c r="AJ751" s="338">
        <v>0.6</v>
      </c>
      <c r="AK751" s="338">
        <v>0.6</v>
      </c>
      <c r="AL751" s="338">
        <v>0.6</v>
      </c>
      <c r="AM751" s="338">
        <v>0.6</v>
      </c>
      <c r="AN751" s="338">
        <v>0.6</v>
      </c>
      <c r="AP751" s="21"/>
    </row>
    <row r="752" spans="2:42" x14ac:dyDescent="0.25">
      <c r="C752" s="20" t="s">
        <v>723</v>
      </c>
      <c r="D752" s="330" t="s">
        <v>29</v>
      </c>
      <c r="E752" s="336">
        <v>0.2</v>
      </c>
      <c r="F752" s="336">
        <v>0.2</v>
      </c>
      <c r="G752" s="336">
        <v>0.2</v>
      </c>
      <c r="H752" s="336">
        <v>0.2</v>
      </c>
      <c r="I752" s="336">
        <v>0.2</v>
      </c>
      <c r="J752" s="336">
        <v>0.2</v>
      </c>
      <c r="K752" s="336">
        <v>0.2</v>
      </c>
      <c r="L752" s="336">
        <v>0.2</v>
      </c>
      <c r="M752" s="336">
        <v>0.2</v>
      </c>
      <c r="N752" s="336">
        <v>0.2</v>
      </c>
      <c r="O752" s="336">
        <v>0.2</v>
      </c>
      <c r="P752" s="336">
        <v>0.2</v>
      </c>
      <c r="Q752" s="336">
        <v>0.2</v>
      </c>
      <c r="R752" s="336">
        <v>0.2</v>
      </c>
      <c r="S752" s="336">
        <v>0.2</v>
      </c>
      <c r="T752" s="336">
        <v>0.2</v>
      </c>
      <c r="U752" s="336">
        <v>0.2</v>
      </c>
      <c r="V752" s="336">
        <v>0.2</v>
      </c>
      <c r="W752" s="336">
        <v>0.2</v>
      </c>
      <c r="X752" s="336">
        <v>0.2</v>
      </c>
      <c r="Y752" s="336">
        <v>0.2</v>
      </c>
      <c r="Z752" s="336">
        <v>0.2</v>
      </c>
      <c r="AA752" s="336">
        <v>0.2</v>
      </c>
      <c r="AB752" s="336">
        <v>0.2</v>
      </c>
      <c r="AC752" s="336">
        <v>0.2</v>
      </c>
      <c r="AD752" s="336">
        <v>0.2</v>
      </c>
      <c r="AE752" s="336">
        <v>0.2</v>
      </c>
      <c r="AF752" s="336">
        <v>0.2</v>
      </c>
      <c r="AG752" s="336">
        <v>0.2</v>
      </c>
      <c r="AH752" s="336">
        <v>0.2</v>
      </c>
      <c r="AI752" s="336">
        <v>0.2</v>
      </c>
      <c r="AJ752" s="336">
        <v>0.2</v>
      </c>
      <c r="AK752" s="336">
        <v>0.2</v>
      </c>
      <c r="AL752" s="336">
        <v>0.2</v>
      </c>
      <c r="AM752" s="336">
        <v>0.2</v>
      </c>
      <c r="AN752" s="336">
        <v>0.2</v>
      </c>
      <c r="AP752" s="21"/>
    </row>
    <row r="753" spans="2:42" x14ac:dyDescent="0.25">
      <c r="C753" s="21" t="s">
        <v>724</v>
      </c>
      <c r="D753" s="38" t="s">
        <v>29</v>
      </c>
      <c r="E753" s="425">
        <f>1-SUM(E751:E752)</f>
        <v>0.19999999999999996</v>
      </c>
      <c r="F753" s="425">
        <f t="shared" ref="F753" si="460">1-SUM(F751:F752)</f>
        <v>0.19999999999999996</v>
      </c>
      <c r="G753" s="425">
        <f t="shared" ref="G753" si="461">1-SUM(G751:G752)</f>
        <v>0.19999999999999996</v>
      </c>
      <c r="H753" s="425">
        <f t="shared" ref="H753" si="462">1-SUM(H751:H752)</f>
        <v>0.19999999999999996</v>
      </c>
      <c r="I753" s="425">
        <f t="shared" ref="I753" si="463">1-SUM(I751:I752)</f>
        <v>0.19999999999999996</v>
      </c>
      <c r="J753" s="425">
        <f t="shared" ref="J753" si="464">1-SUM(J751:J752)</f>
        <v>0.19999999999999996</v>
      </c>
      <c r="K753" s="425">
        <f t="shared" ref="K753" si="465">1-SUM(K751:K752)</f>
        <v>0.19999999999999996</v>
      </c>
      <c r="L753" s="425">
        <f t="shared" ref="L753" si="466">1-SUM(L751:L752)</f>
        <v>0.19999999999999996</v>
      </c>
      <c r="M753" s="425">
        <f t="shared" ref="M753" si="467">1-SUM(M751:M752)</f>
        <v>0.19999999999999996</v>
      </c>
      <c r="N753" s="425">
        <f t="shared" ref="N753" si="468">1-SUM(N751:N752)</f>
        <v>0.19999999999999996</v>
      </c>
      <c r="O753" s="425">
        <f t="shared" ref="O753" si="469">1-SUM(O751:O752)</f>
        <v>0.19999999999999996</v>
      </c>
      <c r="P753" s="425">
        <f t="shared" ref="P753" si="470">1-SUM(P751:P752)</f>
        <v>0.19999999999999996</v>
      </c>
      <c r="Q753" s="425">
        <f t="shared" ref="Q753" si="471">1-SUM(Q751:Q752)</f>
        <v>0.19999999999999996</v>
      </c>
      <c r="R753" s="425">
        <f t="shared" ref="R753" si="472">1-SUM(R751:R752)</f>
        <v>0.19999999999999996</v>
      </c>
      <c r="S753" s="425">
        <f t="shared" ref="S753" si="473">1-SUM(S751:S752)</f>
        <v>0.19999999999999996</v>
      </c>
      <c r="T753" s="425">
        <f t="shared" ref="T753" si="474">1-SUM(T751:T752)</f>
        <v>0.19999999999999996</v>
      </c>
      <c r="U753" s="425">
        <f t="shared" ref="U753" si="475">1-SUM(U751:U752)</f>
        <v>0.19999999999999996</v>
      </c>
      <c r="V753" s="425">
        <f t="shared" ref="V753" si="476">1-SUM(V751:V752)</f>
        <v>0.19999999999999996</v>
      </c>
      <c r="W753" s="425">
        <f t="shared" ref="W753" si="477">1-SUM(W751:W752)</f>
        <v>0.19999999999999996</v>
      </c>
      <c r="X753" s="425">
        <f t="shared" ref="X753" si="478">1-SUM(X751:X752)</f>
        <v>0.19999999999999996</v>
      </c>
      <c r="Y753" s="425">
        <f t="shared" ref="Y753" si="479">1-SUM(Y751:Y752)</f>
        <v>0.19999999999999996</v>
      </c>
      <c r="Z753" s="425">
        <f t="shared" ref="Z753" si="480">1-SUM(Z751:Z752)</f>
        <v>0.19999999999999996</v>
      </c>
      <c r="AA753" s="425">
        <f t="shared" ref="AA753" si="481">1-SUM(AA751:AA752)</f>
        <v>0.19999999999999996</v>
      </c>
      <c r="AB753" s="425">
        <f t="shared" ref="AB753" si="482">1-SUM(AB751:AB752)</f>
        <v>0.19999999999999996</v>
      </c>
      <c r="AC753" s="425">
        <f t="shared" ref="AC753" si="483">1-SUM(AC751:AC752)</f>
        <v>0.19999999999999996</v>
      </c>
      <c r="AD753" s="425">
        <f t="shared" ref="AD753" si="484">1-SUM(AD751:AD752)</f>
        <v>0.19999999999999996</v>
      </c>
      <c r="AE753" s="425">
        <f t="shared" ref="AE753" si="485">1-SUM(AE751:AE752)</f>
        <v>0.19999999999999996</v>
      </c>
      <c r="AF753" s="425">
        <f t="shared" ref="AF753" si="486">1-SUM(AF751:AF752)</f>
        <v>0.19999999999999996</v>
      </c>
      <c r="AG753" s="425">
        <f t="shared" ref="AG753" si="487">1-SUM(AG751:AG752)</f>
        <v>0.19999999999999996</v>
      </c>
      <c r="AH753" s="425">
        <f t="shared" ref="AH753" si="488">1-SUM(AH751:AH752)</f>
        <v>0.19999999999999996</v>
      </c>
      <c r="AI753" s="425">
        <f t="shared" ref="AI753" si="489">1-SUM(AI751:AI752)</f>
        <v>0.19999999999999996</v>
      </c>
      <c r="AJ753" s="425">
        <f t="shared" ref="AJ753" si="490">1-SUM(AJ751:AJ752)</f>
        <v>0.19999999999999996</v>
      </c>
      <c r="AK753" s="425">
        <f t="shared" ref="AK753" si="491">1-SUM(AK751:AK752)</f>
        <v>0.19999999999999996</v>
      </c>
      <c r="AL753" s="425">
        <f t="shared" ref="AL753" si="492">1-SUM(AL751:AL752)</f>
        <v>0.19999999999999996</v>
      </c>
      <c r="AM753" s="425">
        <f t="shared" ref="AM753" si="493">1-SUM(AM751:AM752)</f>
        <v>0.19999999999999996</v>
      </c>
      <c r="AN753" s="425">
        <f t="shared" ref="AN753" si="494">1-SUM(AN751:AN752)</f>
        <v>0.19999999999999996</v>
      </c>
      <c r="AP753" s="21"/>
    </row>
    <row r="754" spans="2:42" x14ac:dyDescent="0.25">
      <c r="C754" s="105" t="s">
        <v>742</v>
      </c>
      <c r="D754" s="42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  <c r="AE754" s="105"/>
      <c r="AF754" s="105"/>
      <c r="AG754" s="105"/>
      <c r="AH754" s="105"/>
      <c r="AI754" s="105"/>
      <c r="AJ754" s="105"/>
      <c r="AK754" s="105"/>
      <c r="AL754" s="105"/>
      <c r="AM754" s="105"/>
      <c r="AN754" s="105"/>
      <c r="AP754" s="105"/>
    </row>
    <row r="755" spans="2:42" x14ac:dyDescent="0.25">
      <c r="C755" s="20" t="s">
        <v>740</v>
      </c>
      <c r="D755" s="95" t="s">
        <v>29</v>
      </c>
      <c r="E755" s="336">
        <v>0.3</v>
      </c>
      <c r="F755" s="336">
        <v>0.3</v>
      </c>
      <c r="G755" s="336">
        <v>0.3</v>
      </c>
      <c r="H755" s="336">
        <v>0.3</v>
      </c>
      <c r="I755" s="336">
        <v>0.3</v>
      </c>
      <c r="J755" s="336">
        <v>0.3</v>
      </c>
      <c r="K755" s="336">
        <v>0.3</v>
      </c>
      <c r="L755" s="336">
        <v>0.3</v>
      </c>
      <c r="M755" s="336">
        <v>0.3</v>
      </c>
      <c r="N755" s="336">
        <v>0.3</v>
      </c>
      <c r="O755" s="336">
        <v>0.3</v>
      </c>
      <c r="P755" s="336">
        <v>0.3</v>
      </c>
      <c r="Q755" s="336">
        <v>0.3</v>
      </c>
      <c r="R755" s="336">
        <v>0.3</v>
      </c>
      <c r="S755" s="336">
        <v>0.3</v>
      </c>
      <c r="T755" s="336">
        <v>0.3</v>
      </c>
      <c r="U755" s="336">
        <v>0.3</v>
      </c>
      <c r="V755" s="336">
        <v>0.3</v>
      </c>
      <c r="W755" s="336">
        <v>0.3</v>
      </c>
      <c r="X755" s="336">
        <v>0.3</v>
      </c>
      <c r="Y755" s="336">
        <v>0.3</v>
      </c>
      <c r="Z755" s="336">
        <v>0.3</v>
      </c>
      <c r="AA755" s="336">
        <v>0.3</v>
      </c>
      <c r="AB755" s="336">
        <v>0.3</v>
      </c>
      <c r="AC755" s="336">
        <v>0.3</v>
      </c>
      <c r="AD755" s="336">
        <v>0.3</v>
      </c>
      <c r="AE755" s="336">
        <v>0.3</v>
      </c>
      <c r="AF755" s="336">
        <v>0.3</v>
      </c>
      <c r="AG755" s="336">
        <v>0.3</v>
      </c>
      <c r="AH755" s="336">
        <v>0.3</v>
      </c>
      <c r="AI755" s="336">
        <v>0.3</v>
      </c>
      <c r="AJ755" s="336">
        <v>0.3</v>
      </c>
      <c r="AK755" s="336">
        <v>0.3</v>
      </c>
      <c r="AL755" s="336">
        <v>0.3</v>
      </c>
      <c r="AM755" s="336">
        <v>0.3</v>
      </c>
      <c r="AN755" s="336">
        <v>0.3</v>
      </c>
      <c r="AP755" s="20"/>
    </row>
    <row r="756" spans="2:42" x14ac:dyDescent="0.25">
      <c r="C756" s="20" t="s">
        <v>741</v>
      </c>
      <c r="D756" s="319" t="s">
        <v>29</v>
      </c>
      <c r="E756" s="336">
        <v>0.2</v>
      </c>
      <c r="F756" s="336">
        <v>0.2</v>
      </c>
      <c r="G756" s="336">
        <v>0.2</v>
      </c>
      <c r="H756" s="336">
        <v>0.2</v>
      </c>
      <c r="I756" s="336">
        <v>0.2</v>
      </c>
      <c r="J756" s="336">
        <v>0.2</v>
      </c>
      <c r="K756" s="336">
        <v>0.2</v>
      </c>
      <c r="L756" s="336">
        <v>0.2</v>
      </c>
      <c r="M756" s="336">
        <v>0.2</v>
      </c>
      <c r="N756" s="336">
        <v>0.2</v>
      </c>
      <c r="O756" s="336">
        <v>0.2</v>
      </c>
      <c r="P756" s="336">
        <v>0.2</v>
      </c>
      <c r="Q756" s="336">
        <v>0.2</v>
      </c>
      <c r="R756" s="336">
        <v>0.2</v>
      </c>
      <c r="S756" s="336">
        <v>0.2</v>
      </c>
      <c r="T756" s="336">
        <v>0.2</v>
      </c>
      <c r="U756" s="336">
        <v>0.2</v>
      </c>
      <c r="V756" s="336">
        <v>0.2</v>
      </c>
      <c r="W756" s="336">
        <v>0.2</v>
      </c>
      <c r="X756" s="336">
        <v>0.2</v>
      </c>
      <c r="Y756" s="336">
        <v>0.2</v>
      </c>
      <c r="Z756" s="336">
        <v>0.2</v>
      </c>
      <c r="AA756" s="336">
        <v>0.2</v>
      </c>
      <c r="AB756" s="336">
        <v>0.2</v>
      </c>
      <c r="AC756" s="336">
        <v>0.2</v>
      </c>
      <c r="AD756" s="336">
        <v>0.2</v>
      </c>
      <c r="AE756" s="336">
        <v>0.2</v>
      </c>
      <c r="AF756" s="336">
        <v>0.2</v>
      </c>
      <c r="AG756" s="336">
        <v>0.2</v>
      </c>
      <c r="AH756" s="336">
        <v>0.2</v>
      </c>
      <c r="AI756" s="336">
        <v>0.2</v>
      </c>
      <c r="AJ756" s="336">
        <v>0.2</v>
      </c>
      <c r="AK756" s="336">
        <v>0.2</v>
      </c>
      <c r="AL756" s="336">
        <v>0.2</v>
      </c>
      <c r="AM756" s="336">
        <v>0.2</v>
      </c>
      <c r="AN756" s="336">
        <v>0.2</v>
      </c>
      <c r="AP756" s="20"/>
    </row>
    <row r="757" spans="2:42" x14ac:dyDescent="0.25">
      <c r="C757" s="105" t="s">
        <v>727</v>
      </c>
      <c r="D757" s="42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  <c r="AE757" s="105"/>
      <c r="AF757" s="105"/>
      <c r="AG757" s="105"/>
      <c r="AH757" s="105"/>
      <c r="AI757" s="105"/>
      <c r="AJ757" s="105"/>
      <c r="AK757" s="105"/>
      <c r="AL757" s="105"/>
      <c r="AM757" s="105"/>
      <c r="AN757" s="105"/>
      <c r="AP757" s="105"/>
    </row>
    <row r="758" spans="2:42" s="44" customFormat="1" x14ac:dyDescent="0.25">
      <c r="C758" s="311" t="s">
        <v>682</v>
      </c>
      <c r="D758" s="318"/>
      <c r="E758" s="311"/>
      <c r="F758" s="311"/>
      <c r="G758" s="311"/>
      <c r="H758" s="311"/>
      <c r="I758" s="311"/>
      <c r="J758" s="311"/>
      <c r="K758" s="311"/>
      <c r="L758" s="311"/>
      <c r="M758" s="311"/>
      <c r="N758" s="311"/>
      <c r="O758" s="311"/>
      <c r="P758" s="311"/>
      <c r="Q758" s="311"/>
      <c r="R758" s="311"/>
      <c r="S758" s="311"/>
      <c r="T758" s="311"/>
      <c r="U758" s="311"/>
      <c r="V758" s="311"/>
      <c r="W758" s="311"/>
      <c r="X758" s="311"/>
      <c r="Y758" s="311"/>
      <c r="Z758" s="311"/>
      <c r="AA758" s="311"/>
      <c r="AB758" s="311"/>
      <c r="AC758" s="311"/>
      <c r="AD758" s="311"/>
      <c r="AE758" s="311"/>
      <c r="AF758" s="311"/>
      <c r="AG758" s="311"/>
      <c r="AH758" s="311"/>
      <c r="AI758" s="311"/>
      <c r="AJ758" s="311"/>
      <c r="AK758" s="311"/>
      <c r="AL758" s="311"/>
      <c r="AM758" s="311"/>
      <c r="AN758" s="311"/>
      <c r="AO758" s="74"/>
      <c r="AP758" s="311"/>
    </row>
    <row r="759" spans="2:42" s="44" customFormat="1" x14ac:dyDescent="0.25">
      <c r="C759" s="86" t="s">
        <v>703</v>
      </c>
      <c r="D759" s="107" t="s">
        <v>46</v>
      </c>
      <c r="E759" s="492">
        <v>0</v>
      </c>
      <c r="F759" s="492">
        <v>0</v>
      </c>
      <c r="G759" s="492">
        <v>0</v>
      </c>
      <c r="H759" s="492">
        <v>0</v>
      </c>
      <c r="I759" s="492">
        <v>0</v>
      </c>
      <c r="J759" s="492">
        <v>0</v>
      </c>
      <c r="K759" s="492">
        <v>0</v>
      </c>
      <c r="L759" s="492">
        <v>0</v>
      </c>
      <c r="M759" s="492">
        <v>0</v>
      </c>
      <c r="N759" s="492">
        <v>0</v>
      </c>
      <c r="O759" s="492">
        <v>0</v>
      </c>
      <c r="P759" s="492">
        <v>0</v>
      </c>
      <c r="Q759" s="492">
        <v>0</v>
      </c>
      <c r="R759" s="492">
        <v>0</v>
      </c>
      <c r="S759" s="492">
        <v>0</v>
      </c>
      <c r="T759" s="492">
        <v>0</v>
      </c>
      <c r="U759" s="492">
        <v>0</v>
      </c>
      <c r="V759" s="492">
        <v>0</v>
      </c>
      <c r="W759" s="492">
        <v>0</v>
      </c>
      <c r="X759" s="492">
        <v>0</v>
      </c>
      <c r="Y759" s="492">
        <v>0</v>
      </c>
      <c r="Z759" s="492">
        <v>0</v>
      </c>
      <c r="AA759" s="492">
        <v>0</v>
      </c>
      <c r="AB759" s="492">
        <v>0</v>
      </c>
      <c r="AC759" s="492">
        <v>0</v>
      </c>
      <c r="AD759" s="492">
        <v>0</v>
      </c>
      <c r="AE759" s="492">
        <v>0</v>
      </c>
      <c r="AF759" s="492">
        <v>0</v>
      </c>
      <c r="AG759" s="492">
        <v>0</v>
      </c>
      <c r="AH759" s="492">
        <v>0</v>
      </c>
      <c r="AI759" s="492">
        <v>0</v>
      </c>
      <c r="AJ759" s="492">
        <v>0</v>
      </c>
      <c r="AK759" s="492">
        <v>0</v>
      </c>
      <c r="AL759" s="492">
        <v>0</v>
      </c>
      <c r="AM759" s="492">
        <v>0</v>
      </c>
      <c r="AN759" s="492">
        <v>0</v>
      </c>
      <c r="AP759" s="86"/>
    </row>
    <row r="760" spans="2:42" s="74" customFormat="1" x14ac:dyDescent="0.25">
      <c r="B760" s="99" t="s">
        <v>10</v>
      </c>
      <c r="C760" s="311" t="s">
        <v>659</v>
      </c>
      <c r="D760" s="318"/>
      <c r="E760" s="311"/>
      <c r="F760" s="311"/>
      <c r="G760" s="311"/>
      <c r="H760" s="311"/>
      <c r="I760" s="311"/>
      <c r="J760" s="311"/>
      <c r="K760" s="311"/>
      <c r="L760" s="311"/>
      <c r="M760" s="311"/>
      <c r="N760" s="311"/>
      <c r="O760" s="311"/>
      <c r="P760" s="311"/>
      <c r="Q760" s="311"/>
      <c r="R760" s="311"/>
      <c r="S760" s="311"/>
      <c r="T760" s="311"/>
      <c r="U760" s="311"/>
      <c r="V760" s="311"/>
      <c r="W760" s="311"/>
      <c r="X760" s="311"/>
      <c r="Y760" s="311"/>
      <c r="Z760" s="311"/>
      <c r="AA760" s="311"/>
      <c r="AB760" s="311"/>
      <c r="AC760" s="311"/>
      <c r="AD760" s="311"/>
      <c r="AE760" s="311"/>
      <c r="AF760" s="311"/>
      <c r="AG760" s="311"/>
      <c r="AH760" s="311"/>
      <c r="AI760" s="311"/>
      <c r="AJ760" s="311"/>
      <c r="AK760" s="311"/>
      <c r="AL760" s="311"/>
      <c r="AM760" s="311"/>
      <c r="AN760" s="311"/>
      <c r="AP760" s="311"/>
    </row>
    <row r="761" spans="2:42" s="44" customFormat="1" x14ac:dyDescent="0.25">
      <c r="B761" s="108"/>
      <c r="C761" s="94" t="s">
        <v>732</v>
      </c>
      <c r="D761" s="95" t="s">
        <v>29</v>
      </c>
      <c r="E761" s="335">
        <v>0.8</v>
      </c>
      <c r="F761" s="335">
        <v>0.8</v>
      </c>
      <c r="G761" s="335">
        <v>0.8</v>
      </c>
      <c r="H761" s="335">
        <v>0.8</v>
      </c>
      <c r="I761" s="335">
        <v>0.8</v>
      </c>
      <c r="J761" s="335">
        <v>0.8</v>
      </c>
      <c r="K761" s="335">
        <v>0.8</v>
      </c>
      <c r="L761" s="335">
        <v>0.8</v>
      </c>
      <c r="M761" s="335">
        <v>0.8</v>
      </c>
      <c r="N761" s="335">
        <v>0.8</v>
      </c>
      <c r="O761" s="335">
        <v>0.8</v>
      </c>
      <c r="P761" s="335">
        <v>0.8</v>
      </c>
      <c r="Q761" s="335">
        <v>0.8</v>
      </c>
      <c r="R761" s="335">
        <v>0.8</v>
      </c>
      <c r="S761" s="335">
        <v>0.8</v>
      </c>
      <c r="T761" s="335">
        <v>0.8</v>
      </c>
      <c r="U761" s="335">
        <v>0.8</v>
      </c>
      <c r="V761" s="335">
        <v>0.8</v>
      </c>
      <c r="W761" s="335">
        <v>0.8</v>
      </c>
      <c r="X761" s="335">
        <v>0.8</v>
      </c>
      <c r="Y761" s="335">
        <v>0.8</v>
      </c>
      <c r="Z761" s="335">
        <v>0.8</v>
      </c>
      <c r="AA761" s="335">
        <v>0.8</v>
      </c>
      <c r="AB761" s="335">
        <v>0.8</v>
      </c>
      <c r="AC761" s="335">
        <v>0.8</v>
      </c>
      <c r="AD761" s="335">
        <v>0.8</v>
      </c>
      <c r="AE761" s="335">
        <v>0.8</v>
      </c>
      <c r="AF761" s="335">
        <v>0.8</v>
      </c>
      <c r="AG761" s="335">
        <v>0.8</v>
      </c>
      <c r="AH761" s="335">
        <v>0.8</v>
      </c>
      <c r="AI761" s="335">
        <v>0.8</v>
      </c>
      <c r="AJ761" s="335">
        <v>0.8</v>
      </c>
      <c r="AK761" s="335">
        <v>0.8</v>
      </c>
      <c r="AL761" s="335">
        <v>0.8</v>
      </c>
      <c r="AM761" s="335">
        <v>0.8</v>
      </c>
      <c r="AN761" s="335">
        <v>0.8</v>
      </c>
      <c r="AO761" s="3"/>
      <c r="AP761" s="94"/>
    </row>
    <row r="762" spans="2:42" x14ac:dyDescent="0.25">
      <c r="C762" s="21" t="s">
        <v>693</v>
      </c>
      <c r="D762" s="38" t="s">
        <v>46</v>
      </c>
      <c r="E762" s="24">
        <v>30</v>
      </c>
      <c r="F762" s="24">
        <v>30</v>
      </c>
      <c r="G762" s="24">
        <v>30</v>
      </c>
      <c r="H762" s="24">
        <v>30</v>
      </c>
      <c r="I762" s="24">
        <v>30</v>
      </c>
      <c r="J762" s="24">
        <v>30</v>
      </c>
      <c r="K762" s="24">
        <v>30</v>
      </c>
      <c r="L762" s="24">
        <v>30</v>
      </c>
      <c r="M762" s="24">
        <v>30</v>
      </c>
      <c r="N762" s="24">
        <v>30</v>
      </c>
      <c r="O762" s="24">
        <v>30</v>
      </c>
      <c r="P762" s="24">
        <v>30</v>
      </c>
      <c r="Q762" s="24">
        <v>30</v>
      </c>
      <c r="R762" s="24">
        <v>30</v>
      </c>
      <c r="S762" s="24">
        <v>30</v>
      </c>
      <c r="T762" s="24">
        <v>30</v>
      </c>
      <c r="U762" s="24">
        <v>30</v>
      </c>
      <c r="V762" s="24">
        <v>30</v>
      </c>
      <c r="W762" s="24">
        <v>30</v>
      </c>
      <c r="X762" s="24">
        <v>30</v>
      </c>
      <c r="Y762" s="24">
        <v>30</v>
      </c>
      <c r="Z762" s="24">
        <v>30</v>
      </c>
      <c r="AA762" s="24">
        <v>30</v>
      </c>
      <c r="AB762" s="24">
        <v>30</v>
      </c>
      <c r="AC762" s="24">
        <v>30</v>
      </c>
      <c r="AD762" s="24">
        <v>30</v>
      </c>
      <c r="AE762" s="24">
        <v>30</v>
      </c>
      <c r="AF762" s="24">
        <v>30</v>
      </c>
      <c r="AG762" s="24">
        <v>30</v>
      </c>
      <c r="AH762" s="24">
        <v>30</v>
      </c>
      <c r="AI762" s="24">
        <v>30</v>
      </c>
      <c r="AJ762" s="24">
        <v>30</v>
      </c>
      <c r="AK762" s="24">
        <v>30</v>
      </c>
      <c r="AL762" s="24">
        <v>30</v>
      </c>
      <c r="AM762" s="24">
        <v>30</v>
      </c>
      <c r="AN762" s="24">
        <v>30</v>
      </c>
      <c r="AP762" s="21"/>
    </row>
    <row r="763" spans="2:42" x14ac:dyDescent="0.25">
      <c r="C763" s="26" t="s">
        <v>694</v>
      </c>
      <c r="D763" s="319" t="s">
        <v>46</v>
      </c>
      <c r="E763" s="310">
        <f>E762*12*0.75</f>
        <v>270</v>
      </c>
      <c r="F763" s="310">
        <f t="shared" ref="F763:AN763" si="495">F762*12*0.75</f>
        <v>270</v>
      </c>
      <c r="G763" s="310">
        <f t="shared" si="495"/>
        <v>270</v>
      </c>
      <c r="H763" s="310">
        <f t="shared" si="495"/>
        <v>270</v>
      </c>
      <c r="I763" s="310">
        <f t="shared" si="495"/>
        <v>270</v>
      </c>
      <c r="J763" s="310">
        <f t="shared" si="495"/>
        <v>270</v>
      </c>
      <c r="K763" s="310">
        <f t="shared" si="495"/>
        <v>270</v>
      </c>
      <c r="L763" s="310">
        <f t="shared" si="495"/>
        <v>270</v>
      </c>
      <c r="M763" s="310">
        <f t="shared" si="495"/>
        <v>270</v>
      </c>
      <c r="N763" s="310">
        <f t="shared" si="495"/>
        <v>270</v>
      </c>
      <c r="O763" s="310">
        <f t="shared" si="495"/>
        <v>270</v>
      </c>
      <c r="P763" s="310">
        <f t="shared" si="495"/>
        <v>270</v>
      </c>
      <c r="Q763" s="310">
        <f t="shared" si="495"/>
        <v>270</v>
      </c>
      <c r="R763" s="310">
        <f t="shared" si="495"/>
        <v>270</v>
      </c>
      <c r="S763" s="310">
        <f t="shared" si="495"/>
        <v>270</v>
      </c>
      <c r="T763" s="310">
        <f t="shared" si="495"/>
        <v>270</v>
      </c>
      <c r="U763" s="310">
        <f t="shared" si="495"/>
        <v>270</v>
      </c>
      <c r="V763" s="310">
        <f t="shared" si="495"/>
        <v>270</v>
      </c>
      <c r="W763" s="310">
        <f t="shared" si="495"/>
        <v>270</v>
      </c>
      <c r="X763" s="310">
        <f t="shared" si="495"/>
        <v>270</v>
      </c>
      <c r="Y763" s="310">
        <f t="shared" si="495"/>
        <v>270</v>
      </c>
      <c r="Z763" s="310">
        <f t="shared" si="495"/>
        <v>270</v>
      </c>
      <c r="AA763" s="310">
        <f t="shared" si="495"/>
        <v>270</v>
      </c>
      <c r="AB763" s="310">
        <f t="shared" si="495"/>
        <v>270</v>
      </c>
      <c r="AC763" s="310">
        <f t="shared" si="495"/>
        <v>270</v>
      </c>
      <c r="AD763" s="310">
        <f t="shared" si="495"/>
        <v>270</v>
      </c>
      <c r="AE763" s="310">
        <f t="shared" si="495"/>
        <v>270</v>
      </c>
      <c r="AF763" s="310">
        <f t="shared" si="495"/>
        <v>270</v>
      </c>
      <c r="AG763" s="310">
        <f t="shared" si="495"/>
        <v>270</v>
      </c>
      <c r="AH763" s="310">
        <f t="shared" si="495"/>
        <v>270</v>
      </c>
      <c r="AI763" s="310">
        <f t="shared" si="495"/>
        <v>270</v>
      </c>
      <c r="AJ763" s="310">
        <f t="shared" si="495"/>
        <v>270</v>
      </c>
      <c r="AK763" s="310">
        <f t="shared" si="495"/>
        <v>270</v>
      </c>
      <c r="AL763" s="310">
        <f t="shared" si="495"/>
        <v>270</v>
      </c>
      <c r="AM763" s="310">
        <f t="shared" si="495"/>
        <v>270</v>
      </c>
      <c r="AN763" s="310">
        <f t="shared" si="495"/>
        <v>270</v>
      </c>
      <c r="AP763" s="26"/>
    </row>
    <row r="764" spans="2:42" s="74" customFormat="1" x14ac:dyDescent="0.25">
      <c r="B764" s="99" t="s">
        <v>10</v>
      </c>
      <c r="C764" s="311" t="s">
        <v>681</v>
      </c>
      <c r="D764" s="318"/>
      <c r="E764" s="311"/>
      <c r="F764" s="311"/>
      <c r="G764" s="311"/>
      <c r="H764" s="311"/>
      <c r="I764" s="311"/>
      <c r="J764" s="311"/>
      <c r="K764" s="311"/>
      <c r="L764" s="311"/>
      <c r="M764" s="311"/>
      <c r="N764" s="311"/>
      <c r="O764" s="311"/>
      <c r="P764" s="311"/>
      <c r="Q764" s="311"/>
      <c r="R764" s="311"/>
      <c r="S764" s="311"/>
      <c r="T764" s="311"/>
      <c r="U764" s="311"/>
      <c r="V764" s="311"/>
      <c r="W764" s="311"/>
      <c r="X764" s="311"/>
      <c r="Y764" s="311"/>
      <c r="Z764" s="311"/>
      <c r="AA764" s="311"/>
      <c r="AB764" s="311"/>
      <c r="AC764" s="311"/>
      <c r="AD764" s="311"/>
      <c r="AE764" s="311"/>
      <c r="AF764" s="311"/>
      <c r="AG764" s="311"/>
      <c r="AH764" s="311"/>
      <c r="AI764" s="311"/>
      <c r="AJ764" s="311"/>
      <c r="AK764" s="311"/>
      <c r="AL764" s="311"/>
      <c r="AM764" s="311"/>
      <c r="AN764" s="311"/>
      <c r="AP764" s="311"/>
    </row>
    <row r="765" spans="2:42" s="44" customFormat="1" x14ac:dyDescent="0.25">
      <c r="B765" s="108"/>
      <c r="C765" s="94" t="s">
        <v>733</v>
      </c>
      <c r="D765" s="95" t="s">
        <v>29</v>
      </c>
      <c r="E765" s="335">
        <v>0.8</v>
      </c>
      <c r="F765" s="335">
        <v>0.8</v>
      </c>
      <c r="G765" s="335">
        <v>0.8</v>
      </c>
      <c r="H765" s="335">
        <v>0.8</v>
      </c>
      <c r="I765" s="335">
        <v>0.8</v>
      </c>
      <c r="J765" s="335">
        <v>0.8</v>
      </c>
      <c r="K765" s="335">
        <v>0.8</v>
      </c>
      <c r="L765" s="335">
        <v>0.8</v>
      </c>
      <c r="M765" s="335">
        <v>0.8</v>
      </c>
      <c r="N765" s="335">
        <v>0.8</v>
      </c>
      <c r="O765" s="335">
        <v>0.8</v>
      </c>
      <c r="P765" s="335">
        <v>0.8</v>
      </c>
      <c r="Q765" s="335">
        <v>0.8</v>
      </c>
      <c r="R765" s="335">
        <v>0.8</v>
      </c>
      <c r="S765" s="335">
        <v>0.8</v>
      </c>
      <c r="T765" s="335">
        <v>0.8</v>
      </c>
      <c r="U765" s="335">
        <v>0.8</v>
      </c>
      <c r="V765" s="335">
        <v>0.8</v>
      </c>
      <c r="W765" s="335">
        <v>0.8</v>
      </c>
      <c r="X765" s="335">
        <v>0.8</v>
      </c>
      <c r="Y765" s="335">
        <v>0.8</v>
      </c>
      <c r="Z765" s="335">
        <v>0.8</v>
      </c>
      <c r="AA765" s="335">
        <v>0.8</v>
      </c>
      <c r="AB765" s="335">
        <v>0.8</v>
      </c>
      <c r="AC765" s="335">
        <v>0.8</v>
      </c>
      <c r="AD765" s="335">
        <v>0.8</v>
      </c>
      <c r="AE765" s="335">
        <v>0.8</v>
      </c>
      <c r="AF765" s="335">
        <v>0.8</v>
      </c>
      <c r="AG765" s="335">
        <v>0.8</v>
      </c>
      <c r="AH765" s="335">
        <v>0.8</v>
      </c>
      <c r="AI765" s="335">
        <v>0.8</v>
      </c>
      <c r="AJ765" s="335">
        <v>0.8</v>
      </c>
      <c r="AK765" s="335">
        <v>0.8</v>
      </c>
      <c r="AL765" s="335">
        <v>0.8</v>
      </c>
      <c r="AM765" s="335">
        <v>0.8</v>
      </c>
      <c r="AN765" s="335">
        <v>0.8</v>
      </c>
      <c r="AO765" s="3"/>
      <c r="AP765" s="94"/>
    </row>
    <row r="766" spans="2:42" s="44" customFormat="1" x14ac:dyDescent="0.25">
      <c r="B766" s="108"/>
      <c r="C766" s="21" t="s">
        <v>693</v>
      </c>
      <c r="D766" s="465" t="s">
        <v>46</v>
      </c>
      <c r="E766" s="24">
        <v>50</v>
      </c>
      <c r="F766" s="24">
        <v>50</v>
      </c>
      <c r="G766" s="24">
        <v>50</v>
      </c>
      <c r="H766" s="24">
        <v>50</v>
      </c>
      <c r="I766" s="24">
        <v>50</v>
      </c>
      <c r="J766" s="24">
        <v>50</v>
      </c>
      <c r="K766" s="24">
        <v>50</v>
      </c>
      <c r="L766" s="24">
        <v>50</v>
      </c>
      <c r="M766" s="24">
        <v>50</v>
      </c>
      <c r="N766" s="24">
        <v>50</v>
      </c>
      <c r="O766" s="24">
        <v>50</v>
      </c>
      <c r="P766" s="24">
        <v>50</v>
      </c>
      <c r="Q766" s="24">
        <v>50</v>
      </c>
      <c r="R766" s="24">
        <v>50</v>
      </c>
      <c r="S766" s="24">
        <v>50</v>
      </c>
      <c r="T766" s="24">
        <v>50</v>
      </c>
      <c r="U766" s="24">
        <v>50</v>
      </c>
      <c r="V766" s="24">
        <v>50</v>
      </c>
      <c r="W766" s="24">
        <v>50</v>
      </c>
      <c r="X766" s="24">
        <v>50</v>
      </c>
      <c r="Y766" s="24">
        <v>50</v>
      </c>
      <c r="Z766" s="24">
        <v>50</v>
      </c>
      <c r="AA766" s="24">
        <v>50</v>
      </c>
      <c r="AB766" s="24">
        <v>50</v>
      </c>
      <c r="AC766" s="24">
        <v>50</v>
      </c>
      <c r="AD766" s="24">
        <v>50</v>
      </c>
      <c r="AE766" s="24">
        <v>50</v>
      </c>
      <c r="AF766" s="24">
        <v>50</v>
      </c>
      <c r="AG766" s="24">
        <v>50</v>
      </c>
      <c r="AH766" s="24">
        <v>50</v>
      </c>
      <c r="AI766" s="24">
        <v>50</v>
      </c>
      <c r="AJ766" s="24">
        <v>50</v>
      </c>
      <c r="AK766" s="24">
        <v>50</v>
      </c>
      <c r="AL766" s="24">
        <v>50</v>
      </c>
      <c r="AM766" s="24">
        <v>50</v>
      </c>
      <c r="AN766" s="24">
        <v>50</v>
      </c>
      <c r="AO766" s="3"/>
      <c r="AP766" s="21"/>
    </row>
    <row r="767" spans="2:42" x14ac:dyDescent="0.25">
      <c r="C767" s="26" t="s">
        <v>694</v>
      </c>
      <c r="D767" s="319" t="s">
        <v>46</v>
      </c>
      <c r="E767" s="310">
        <f>E766*12*0.75</f>
        <v>450</v>
      </c>
      <c r="F767" s="310">
        <f t="shared" ref="F767" si="496">F766*12*0.75</f>
        <v>450</v>
      </c>
      <c r="G767" s="310">
        <f t="shared" ref="G767" si="497">G766*12*0.75</f>
        <v>450</v>
      </c>
      <c r="H767" s="310">
        <f t="shared" ref="H767" si="498">H766*12*0.75</f>
        <v>450</v>
      </c>
      <c r="I767" s="310">
        <f t="shared" ref="I767" si="499">I766*12*0.75</f>
        <v>450</v>
      </c>
      <c r="J767" s="310">
        <f t="shared" ref="J767" si="500">J766*12*0.75</f>
        <v>450</v>
      </c>
      <c r="K767" s="310">
        <f t="shared" ref="K767" si="501">K766*12*0.75</f>
        <v>450</v>
      </c>
      <c r="L767" s="310">
        <f t="shared" ref="L767" si="502">L766*12*0.75</f>
        <v>450</v>
      </c>
      <c r="M767" s="310">
        <f t="shared" ref="M767" si="503">M766*12*0.75</f>
        <v>450</v>
      </c>
      <c r="N767" s="310">
        <f t="shared" ref="N767" si="504">N766*12*0.75</f>
        <v>450</v>
      </c>
      <c r="O767" s="310">
        <f t="shared" ref="O767" si="505">O766*12*0.75</f>
        <v>450</v>
      </c>
      <c r="P767" s="310">
        <f t="shared" ref="P767" si="506">P766*12*0.75</f>
        <v>450</v>
      </c>
      <c r="Q767" s="310">
        <f t="shared" ref="Q767" si="507">Q766*12*0.75</f>
        <v>450</v>
      </c>
      <c r="R767" s="310">
        <f t="shared" ref="R767" si="508">R766*12*0.75</f>
        <v>450</v>
      </c>
      <c r="S767" s="310">
        <f t="shared" ref="S767" si="509">S766*12*0.75</f>
        <v>450</v>
      </c>
      <c r="T767" s="310">
        <f t="shared" ref="T767" si="510">T766*12*0.75</f>
        <v>450</v>
      </c>
      <c r="U767" s="310">
        <f t="shared" ref="U767" si="511">U766*12*0.75</f>
        <v>450</v>
      </c>
      <c r="V767" s="310">
        <f t="shared" ref="V767" si="512">V766*12*0.75</f>
        <v>450</v>
      </c>
      <c r="W767" s="310">
        <f t="shared" ref="W767" si="513">W766*12*0.75</f>
        <v>450</v>
      </c>
      <c r="X767" s="310">
        <f t="shared" ref="X767" si="514">X766*12*0.75</f>
        <v>450</v>
      </c>
      <c r="Y767" s="310">
        <f t="shared" ref="Y767" si="515">Y766*12*0.75</f>
        <v>450</v>
      </c>
      <c r="Z767" s="310">
        <f t="shared" ref="Z767" si="516">Z766*12*0.75</f>
        <v>450</v>
      </c>
      <c r="AA767" s="310">
        <f t="shared" ref="AA767" si="517">AA766*12*0.75</f>
        <v>450</v>
      </c>
      <c r="AB767" s="310">
        <f t="shared" ref="AB767" si="518">AB766*12*0.75</f>
        <v>450</v>
      </c>
      <c r="AC767" s="310">
        <f t="shared" ref="AC767" si="519">AC766*12*0.75</f>
        <v>450</v>
      </c>
      <c r="AD767" s="310">
        <f t="shared" ref="AD767" si="520">AD766*12*0.75</f>
        <v>450</v>
      </c>
      <c r="AE767" s="310">
        <f t="shared" ref="AE767" si="521">AE766*12*0.75</f>
        <v>450</v>
      </c>
      <c r="AF767" s="310">
        <f t="shared" ref="AF767" si="522">AF766*12*0.75</f>
        <v>450</v>
      </c>
      <c r="AG767" s="310">
        <f t="shared" ref="AG767" si="523">AG766*12*0.75</f>
        <v>450</v>
      </c>
      <c r="AH767" s="310">
        <f t="shared" ref="AH767" si="524">AH766*12*0.75</f>
        <v>450</v>
      </c>
      <c r="AI767" s="310">
        <f t="shared" ref="AI767" si="525">AI766*12*0.75</f>
        <v>450</v>
      </c>
      <c r="AJ767" s="310">
        <f t="shared" ref="AJ767" si="526">AJ766*12*0.75</f>
        <v>450</v>
      </c>
      <c r="AK767" s="310">
        <f t="shared" ref="AK767" si="527">AK766*12*0.75</f>
        <v>450</v>
      </c>
      <c r="AL767" s="310">
        <f t="shared" ref="AL767" si="528">AL766*12*0.75</f>
        <v>450</v>
      </c>
      <c r="AM767" s="310">
        <f t="shared" ref="AM767" si="529">AM766*12*0.75</f>
        <v>450</v>
      </c>
      <c r="AN767" s="310">
        <f t="shared" ref="AN767" si="530">AN766*12*0.75</f>
        <v>450</v>
      </c>
      <c r="AP767" s="26"/>
    </row>
    <row r="768" spans="2:42" s="74" customFormat="1" x14ac:dyDescent="0.25">
      <c r="B768" s="99" t="s">
        <v>9</v>
      </c>
      <c r="C768" s="333" t="s">
        <v>688</v>
      </c>
      <c r="D768" s="334"/>
      <c r="E768" s="312"/>
      <c r="F768" s="312"/>
      <c r="G768" s="312"/>
      <c r="H768" s="312"/>
      <c r="I768" s="312"/>
      <c r="J768" s="312"/>
      <c r="K768" s="312"/>
      <c r="L768" s="312"/>
      <c r="M768" s="312"/>
      <c r="N768" s="312"/>
      <c r="O768" s="312"/>
      <c r="P768" s="312"/>
      <c r="Q768" s="312"/>
      <c r="R768" s="312"/>
      <c r="S768" s="312"/>
      <c r="T768" s="312"/>
      <c r="U768" s="312"/>
      <c r="V768" s="312"/>
      <c r="W768" s="312"/>
      <c r="X768" s="312"/>
      <c r="Y768" s="312"/>
      <c r="Z768" s="312"/>
      <c r="AA768" s="312"/>
      <c r="AB768" s="312"/>
      <c r="AC768" s="312"/>
      <c r="AD768" s="312"/>
      <c r="AE768" s="312"/>
      <c r="AF768" s="312"/>
      <c r="AG768" s="312"/>
      <c r="AH768" s="312"/>
      <c r="AI768" s="312"/>
      <c r="AJ768" s="312"/>
      <c r="AK768" s="312"/>
      <c r="AL768" s="312"/>
      <c r="AM768" s="312"/>
      <c r="AN768" s="312"/>
      <c r="AP768" s="312"/>
    </row>
    <row r="769" spans="2:42" x14ac:dyDescent="0.25">
      <c r="C769" s="94" t="s">
        <v>698</v>
      </c>
      <c r="D769" s="95" t="s">
        <v>29</v>
      </c>
      <c r="E769" s="335">
        <v>0.01</v>
      </c>
      <c r="F769" s="335">
        <v>0.01</v>
      </c>
      <c r="G769" s="335">
        <v>0.01</v>
      </c>
      <c r="H769" s="335">
        <v>0.01</v>
      </c>
      <c r="I769" s="335">
        <v>0.01</v>
      </c>
      <c r="J769" s="335">
        <v>0.01</v>
      </c>
      <c r="K769" s="335">
        <v>0.01</v>
      </c>
      <c r="L769" s="335">
        <v>0.01</v>
      </c>
      <c r="M769" s="335">
        <v>0.01</v>
      </c>
      <c r="N769" s="335">
        <v>0.01</v>
      </c>
      <c r="O769" s="335">
        <v>0.01</v>
      </c>
      <c r="P769" s="335">
        <v>0.01</v>
      </c>
      <c r="Q769" s="335">
        <v>0.01</v>
      </c>
      <c r="R769" s="335">
        <v>0.01</v>
      </c>
      <c r="S769" s="335">
        <v>0.01</v>
      </c>
      <c r="T769" s="335">
        <v>0.01</v>
      </c>
      <c r="U769" s="335">
        <v>0.01</v>
      </c>
      <c r="V769" s="335">
        <v>0.01</v>
      </c>
      <c r="W769" s="335">
        <v>0.01</v>
      </c>
      <c r="X769" s="335">
        <v>0.01</v>
      </c>
      <c r="Y769" s="335">
        <v>0.01</v>
      </c>
      <c r="Z769" s="335">
        <v>0.01</v>
      </c>
      <c r="AA769" s="335">
        <v>0.01</v>
      </c>
      <c r="AB769" s="335">
        <v>0.01</v>
      </c>
      <c r="AC769" s="335">
        <v>0.01</v>
      </c>
      <c r="AD769" s="335">
        <v>0.01</v>
      </c>
      <c r="AE769" s="335">
        <v>0.01</v>
      </c>
      <c r="AF769" s="335">
        <v>0.01</v>
      </c>
      <c r="AG769" s="335">
        <v>0.01</v>
      </c>
      <c r="AH769" s="335">
        <v>0.01</v>
      </c>
      <c r="AI769" s="335">
        <v>0.01</v>
      </c>
      <c r="AJ769" s="335">
        <v>0.01</v>
      </c>
      <c r="AK769" s="335">
        <v>0.01</v>
      </c>
      <c r="AL769" s="335">
        <v>0.01</v>
      </c>
      <c r="AM769" s="335">
        <v>0.01</v>
      </c>
      <c r="AN769" s="335">
        <v>0.01</v>
      </c>
      <c r="AP769" s="94"/>
    </row>
    <row r="770" spans="2:42" x14ac:dyDescent="0.25">
      <c r="C770" s="35" t="s">
        <v>697</v>
      </c>
      <c r="D770" s="98" t="s">
        <v>29</v>
      </c>
      <c r="E770" s="420">
        <v>0.01</v>
      </c>
      <c r="F770" s="420">
        <v>0.01</v>
      </c>
      <c r="G770" s="420">
        <v>0.01</v>
      </c>
      <c r="H770" s="420">
        <v>0.01</v>
      </c>
      <c r="I770" s="420">
        <v>0.01</v>
      </c>
      <c r="J770" s="420">
        <v>0.01</v>
      </c>
      <c r="K770" s="420">
        <v>0.01</v>
      </c>
      <c r="L770" s="420">
        <v>0.01</v>
      </c>
      <c r="M770" s="420">
        <v>0.01</v>
      </c>
      <c r="N770" s="420">
        <v>0.01</v>
      </c>
      <c r="O770" s="420">
        <v>0.01</v>
      </c>
      <c r="P770" s="420">
        <v>0.01</v>
      </c>
      <c r="Q770" s="420">
        <v>0.01</v>
      </c>
      <c r="R770" s="420">
        <v>0.01</v>
      </c>
      <c r="S770" s="420">
        <v>0.01</v>
      </c>
      <c r="T770" s="420">
        <v>0.01</v>
      </c>
      <c r="U770" s="420">
        <v>0.01</v>
      </c>
      <c r="V770" s="420">
        <v>0.01</v>
      </c>
      <c r="W770" s="420">
        <v>0.01</v>
      </c>
      <c r="X770" s="420">
        <v>0.01</v>
      </c>
      <c r="Y770" s="420">
        <v>0.01</v>
      </c>
      <c r="Z770" s="420">
        <v>0.01</v>
      </c>
      <c r="AA770" s="420">
        <v>0.01</v>
      </c>
      <c r="AB770" s="420">
        <v>0.01</v>
      </c>
      <c r="AC770" s="420">
        <v>0.01</v>
      </c>
      <c r="AD770" s="420">
        <v>0.01</v>
      </c>
      <c r="AE770" s="420">
        <v>0.01</v>
      </c>
      <c r="AF770" s="420">
        <v>0.01</v>
      </c>
      <c r="AG770" s="420">
        <v>0.01</v>
      </c>
      <c r="AH770" s="420">
        <v>0.01</v>
      </c>
      <c r="AI770" s="420">
        <v>0.01</v>
      </c>
      <c r="AJ770" s="420">
        <v>0.01</v>
      </c>
      <c r="AK770" s="420">
        <v>0.01</v>
      </c>
      <c r="AL770" s="420">
        <v>0.01</v>
      </c>
      <c r="AM770" s="420">
        <v>0.01</v>
      </c>
      <c r="AN770" s="420">
        <v>0.01</v>
      </c>
      <c r="AP770" s="35"/>
    </row>
    <row r="771" spans="2:42" x14ac:dyDescent="0.25">
      <c r="C771" s="299" t="s">
        <v>702</v>
      </c>
      <c r="D771" s="330" t="s">
        <v>29</v>
      </c>
      <c r="E771" s="421">
        <v>0</v>
      </c>
      <c r="F771" s="421">
        <v>0</v>
      </c>
      <c r="G771" s="421">
        <v>0</v>
      </c>
      <c r="H771" s="421">
        <v>0</v>
      </c>
      <c r="I771" s="421">
        <v>0</v>
      </c>
      <c r="J771" s="421">
        <v>0</v>
      </c>
      <c r="K771" s="421">
        <v>0</v>
      </c>
      <c r="L771" s="421">
        <v>0</v>
      </c>
      <c r="M771" s="421">
        <v>0</v>
      </c>
      <c r="N771" s="421">
        <v>0</v>
      </c>
      <c r="O771" s="421">
        <v>0</v>
      </c>
      <c r="P771" s="421">
        <v>0</v>
      </c>
      <c r="Q771" s="421">
        <v>0</v>
      </c>
      <c r="R771" s="421">
        <v>0</v>
      </c>
      <c r="S771" s="421">
        <v>0</v>
      </c>
      <c r="T771" s="421">
        <v>0</v>
      </c>
      <c r="U771" s="421">
        <v>0</v>
      </c>
      <c r="V771" s="421">
        <v>0</v>
      </c>
      <c r="W771" s="421">
        <v>0</v>
      </c>
      <c r="X771" s="421">
        <v>0</v>
      </c>
      <c r="Y771" s="421">
        <v>0</v>
      </c>
      <c r="Z771" s="421">
        <v>0</v>
      </c>
      <c r="AA771" s="421">
        <v>0</v>
      </c>
      <c r="AB771" s="421">
        <v>0</v>
      </c>
      <c r="AC771" s="421">
        <v>0</v>
      </c>
      <c r="AD771" s="421">
        <v>0</v>
      </c>
      <c r="AE771" s="421">
        <v>0</v>
      </c>
      <c r="AF771" s="421">
        <v>0</v>
      </c>
      <c r="AG771" s="421">
        <v>0</v>
      </c>
      <c r="AH771" s="421">
        <v>0</v>
      </c>
      <c r="AI771" s="421">
        <v>0</v>
      </c>
      <c r="AJ771" s="421">
        <v>0</v>
      </c>
      <c r="AK771" s="421">
        <v>0</v>
      </c>
      <c r="AL771" s="421">
        <v>0</v>
      </c>
      <c r="AM771" s="421">
        <v>0</v>
      </c>
      <c r="AN771" s="421">
        <v>0</v>
      </c>
      <c r="AP771" s="299"/>
    </row>
    <row r="772" spans="2:42" x14ac:dyDescent="0.25">
      <c r="C772" s="324" t="s">
        <v>696</v>
      </c>
      <c r="D772" s="325" t="s">
        <v>29</v>
      </c>
      <c r="E772" s="339">
        <v>0.04</v>
      </c>
      <c r="F772" s="339">
        <v>0.04</v>
      </c>
      <c r="G772" s="339">
        <v>0.04</v>
      </c>
      <c r="H772" s="339">
        <v>0.04</v>
      </c>
      <c r="I772" s="339">
        <v>0.04</v>
      </c>
      <c r="J772" s="339">
        <v>0.04</v>
      </c>
      <c r="K772" s="339">
        <v>0.04</v>
      </c>
      <c r="L772" s="339">
        <v>0.04</v>
      </c>
      <c r="M772" s="339">
        <v>0.04</v>
      </c>
      <c r="N772" s="339">
        <v>0.04</v>
      </c>
      <c r="O772" s="339">
        <v>0.04</v>
      </c>
      <c r="P772" s="339">
        <v>0.04</v>
      </c>
      <c r="Q772" s="339">
        <v>0.04</v>
      </c>
      <c r="R772" s="339">
        <v>0.04</v>
      </c>
      <c r="S772" s="339">
        <v>0.04</v>
      </c>
      <c r="T772" s="339">
        <v>0.04</v>
      </c>
      <c r="U772" s="339">
        <v>0.04</v>
      </c>
      <c r="V772" s="339">
        <v>0.04</v>
      </c>
      <c r="W772" s="339">
        <v>0.04</v>
      </c>
      <c r="X772" s="339">
        <v>0.04</v>
      </c>
      <c r="Y772" s="339">
        <v>0.04</v>
      </c>
      <c r="Z772" s="339">
        <v>0.04</v>
      </c>
      <c r="AA772" s="339">
        <v>0.04</v>
      </c>
      <c r="AB772" s="339">
        <v>0.04</v>
      </c>
      <c r="AC772" s="339">
        <v>0.04</v>
      </c>
      <c r="AD772" s="339">
        <v>0.04</v>
      </c>
      <c r="AE772" s="339">
        <v>0.04</v>
      </c>
      <c r="AF772" s="339">
        <v>0.04</v>
      </c>
      <c r="AG772" s="339">
        <v>0.04</v>
      </c>
      <c r="AH772" s="339">
        <v>0.04</v>
      </c>
      <c r="AI772" s="339">
        <v>0.04</v>
      </c>
      <c r="AJ772" s="339">
        <v>0.04</v>
      </c>
      <c r="AK772" s="339">
        <v>0.04</v>
      </c>
      <c r="AL772" s="339">
        <v>0.04</v>
      </c>
      <c r="AM772" s="339">
        <v>0.04</v>
      </c>
      <c r="AN772" s="339">
        <v>0.04</v>
      </c>
      <c r="AP772" s="324"/>
    </row>
    <row r="773" spans="2:42" s="74" customFormat="1" x14ac:dyDescent="0.25">
      <c r="B773" s="225">
        <v>3.4</v>
      </c>
      <c r="C773" s="176" t="s">
        <v>134</v>
      </c>
      <c r="D773" s="314"/>
      <c r="E773" s="252">
        <v>45688</v>
      </c>
      <c r="F773" s="252">
        <v>45716</v>
      </c>
      <c r="G773" s="252">
        <v>45747</v>
      </c>
      <c r="H773" s="252">
        <v>45777</v>
      </c>
      <c r="I773" s="252">
        <v>45808</v>
      </c>
      <c r="J773" s="252">
        <v>45838</v>
      </c>
      <c r="K773" s="252">
        <v>45869</v>
      </c>
      <c r="L773" s="252">
        <v>45900</v>
      </c>
      <c r="M773" s="252">
        <v>45930</v>
      </c>
      <c r="N773" s="252">
        <v>45961</v>
      </c>
      <c r="O773" s="252">
        <v>45991</v>
      </c>
      <c r="P773" s="252">
        <v>46022</v>
      </c>
      <c r="Q773" s="252">
        <f>E773+365.25</f>
        <v>46053.25</v>
      </c>
      <c r="R773" s="252">
        <f t="shared" ref="R773:AN773" si="531">F773+365.25</f>
        <v>46081.25</v>
      </c>
      <c r="S773" s="252">
        <f t="shared" si="531"/>
        <v>46112.25</v>
      </c>
      <c r="T773" s="252">
        <f t="shared" si="531"/>
        <v>46142.25</v>
      </c>
      <c r="U773" s="252">
        <f t="shared" si="531"/>
        <v>46173.25</v>
      </c>
      <c r="V773" s="252">
        <f t="shared" si="531"/>
        <v>46203.25</v>
      </c>
      <c r="W773" s="252">
        <f t="shared" si="531"/>
        <v>46234.25</v>
      </c>
      <c r="X773" s="252">
        <f t="shared" si="531"/>
        <v>46265.25</v>
      </c>
      <c r="Y773" s="252">
        <f t="shared" si="531"/>
        <v>46295.25</v>
      </c>
      <c r="Z773" s="252">
        <f t="shared" si="531"/>
        <v>46326.25</v>
      </c>
      <c r="AA773" s="252">
        <f t="shared" si="531"/>
        <v>46356.25</v>
      </c>
      <c r="AB773" s="252">
        <f t="shared" si="531"/>
        <v>46387.25</v>
      </c>
      <c r="AC773" s="252">
        <f t="shared" si="531"/>
        <v>46418.5</v>
      </c>
      <c r="AD773" s="252">
        <f t="shared" si="531"/>
        <v>46446.5</v>
      </c>
      <c r="AE773" s="252">
        <f t="shared" si="531"/>
        <v>46477.5</v>
      </c>
      <c r="AF773" s="252">
        <f t="shared" si="531"/>
        <v>46507.5</v>
      </c>
      <c r="AG773" s="252">
        <f t="shared" si="531"/>
        <v>46538.5</v>
      </c>
      <c r="AH773" s="252">
        <f t="shared" si="531"/>
        <v>46568.5</v>
      </c>
      <c r="AI773" s="252">
        <f t="shared" si="531"/>
        <v>46599.5</v>
      </c>
      <c r="AJ773" s="252">
        <f t="shared" si="531"/>
        <v>46630.5</v>
      </c>
      <c r="AK773" s="252">
        <f t="shared" si="531"/>
        <v>46660.5</v>
      </c>
      <c r="AL773" s="252">
        <f t="shared" si="531"/>
        <v>46691.5</v>
      </c>
      <c r="AM773" s="252">
        <f t="shared" si="531"/>
        <v>46721.5</v>
      </c>
      <c r="AN773" s="252">
        <f t="shared" si="531"/>
        <v>46752.5</v>
      </c>
      <c r="AP773" s="177"/>
    </row>
    <row r="774" spans="2:42" s="74" customFormat="1" x14ac:dyDescent="0.25">
      <c r="B774" s="99" t="s">
        <v>9</v>
      </c>
      <c r="C774" s="105" t="s">
        <v>754</v>
      </c>
      <c r="D774" s="42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  <c r="AE774" s="105"/>
      <c r="AF774" s="105"/>
      <c r="AG774" s="105"/>
      <c r="AH774" s="105"/>
      <c r="AI774" s="105"/>
      <c r="AJ774" s="105"/>
      <c r="AK774" s="105"/>
      <c r="AL774" s="105"/>
      <c r="AM774" s="105"/>
      <c r="AN774" s="105"/>
      <c r="AP774" s="105"/>
    </row>
    <row r="775" spans="2:42" x14ac:dyDescent="0.25">
      <c r="C775" s="20" t="s">
        <v>790</v>
      </c>
      <c r="D775" s="34" t="s">
        <v>29</v>
      </c>
      <c r="E775" s="336">
        <v>0.03</v>
      </c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P775" s="20"/>
    </row>
    <row r="776" spans="2:42" x14ac:dyDescent="0.25">
      <c r="C776" s="3" t="s">
        <v>789</v>
      </c>
      <c r="D776" s="236" t="s">
        <v>29</v>
      </c>
      <c r="E776" s="405">
        <v>0.1</v>
      </c>
    </row>
    <row r="777" spans="2:42" x14ac:dyDescent="0.25">
      <c r="C777" s="553" t="s">
        <v>802</v>
      </c>
      <c r="D777" s="554"/>
      <c r="E777" s="555"/>
      <c r="F777" s="555"/>
      <c r="G777" s="555"/>
      <c r="H777" s="555"/>
      <c r="I777" s="555"/>
      <c r="J777" s="555"/>
      <c r="K777" s="555"/>
      <c r="L777" s="555"/>
      <c r="M777" s="555"/>
      <c r="N777" s="555"/>
      <c r="O777" s="555"/>
      <c r="P777" s="555"/>
      <c r="Q777" s="555"/>
      <c r="R777" s="555"/>
      <c r="S777" s="555"/>
      <c r="T777" s="555"/>
      <c r="U777" s="555"/>
      <c r="V777" s="555"/>
      <c r="W777" s="555"/>
      <c r="X777" s="555"/>
      <c r="Y777" s="555"/>
      <c r="Z777" s="555"/>
      <c r="AA777" s="555"/>
      <c r="AB777" s="555"/>
      <c r="AC777" s="555"/>
      <c r="AD777" s="555"/>
      <c r="AE777" s="555"/>
      <c r="AF777" s="555"/>
      <c r="AG777" s="555"/>
      <c r="AH777" s="555"/>
      <c r="AI777" s="555"/>
      <c r="AJ777" s="555"/>
      <c r="AK777" s="555"/>
      <c r="AL777" s="555"/>
      <c r="AM777" s="555"/>
      <c r="AN777" s="555"/>
      <c r="AO777" s="44"/>
      <c r="AP777" s="555"/>
    </row>
    <row r="778" spans="2:42" x14ac:dyDescent="0.25">
      <c r="C778" s="20" t="s">
        <v>821</v>
      </c>
      <c r="D778" s="34" t="s">
        <v>46</v>
      </c>
      <c r="E778" s="556">
        <f>1000</f>
        <v>1000</v>
      </c>
      <c r="F778" s="556">
        <f>1000</f>
        <v>1000</v>
      </c>
      <c r="G778" s="556">
        <f>1000</f>
        <v>1000</v>
      </c>
      <c r="H778" s="556">
        <f>1000</f>
        <v>1000</v>
      </c>
      <c r="I778" s="556">
        <f>1000</f>
        <v>1000</v>
      </c>
      <c r="J778" s="556">
        <f>1000</f>
        <v>1000</v>
      </c>
      <c r="K778" s="556">
        <f>1000</f>
        <v>1000</v>
      </c>
      <c r="L778" s="556">
        <f>1000</f>
        <v>1000</v>
      </c>
      <c r="M778" s="556">
        <f>1000</f>
        <v>1000</v>
      </c>
      <c r="N778" s="556">
        <f>1000</f>
        <v>1000</v>
      </c>
      <c r="O778" s="556">
        <f>1000</f>
        <v>1000</v>
      </c>
      <c r="P778" s="556">
        <f>1000</f>
        <v>1000</v>
      </c>
      <c r="Q778" s="556">
        <f>1000</f>
        <v>1000</v>
      </c>
      <c r="R778" s="556">
        <f>1000</f>
        <v>1000</v>
      </c>
      <c r="S778" s="556">
        <f>1000</f>
        <v>1000</v>
      </c>
      <c r="T778" s="556">
        <f>1000</f>
        <v>1000</v>
      </c>
      <c r="U778" s="556">
        <f>1000</f>
        <v>1000</v>
      </c>
      <c r="V778" s="556">
        <f>1000</f>
        <v>1000</v>
      </c>
      <c r="W778" s="556">
        <f>1000</f>
        <v>1000</v>
      </c>
      <c r="X778" s="556">
        <f>1000</f>
        <v>1000</v>
      </c>
      <c r="Y778" s="556">
        <f>1000</f>
        <v>1000</v>
      </c>
      <c r="Z778" s="556">
        <f>1000</f>
        <v>1000</v>
      </c>
      <c r="AA778" s="556">
        <f>1000</f>
        <v>1000</v>
      </c>
      <c r="AB778" s="556">
        <f>1000</f>
        <v>1000</v>
      </c>
      <c r="AC778" s="556">
        <f>1000</f>
        <v>1000</v>
      </c>
      <c r="AD778" s="556">
        <f>1000</f>
        <v>1000</v>
      </c>
      <c r="AE778" s="556">
        <f>1000</f>
        <v>1000</v>
      </c>
      <c r="AF778" s="556">
        <f>1000</f>
        <v>1000</v>
      </c>
      <c r="AG778" s="556">
        <f>1000</f>
        <v>1000</v>
      </c>
      <c r="AH778" s="556">
        <f>1000</f>
        <v>1000</v>
      </c>
      <c r="AI778" s="556">
        <f>1000</f>
        <v>1000</v>
      </c>
      <c r="AJ778" s="556">
        <f>1000</f>
        <v>1000</v>
      </c>
      <c r="AK778" s="556">
        <f>1000</f>
        <v>1000</v>
      </c>
      <c r="AL778" s="556">
        <f>1000</f>
        <v>1000</v>
      </c>
      <c r="AM778" s="556">
        <f>1000</f>
        <v>1000</v>
      </c>
      <c r="AN778" s="556">
        <f>1000</f>
        <v>1000</v>
      </c>
      <c r="AO778" s="44"/>
      <c r="AP778" s="234"/>
    </row>
    <row r="779" spans="2:42" x14ac:dyDescent="0.25">
      <c r="C779" s="3" t="s">
        <v>822</v>
      </c>
      <c r="D779" s="96" t="s">
        <v>46</v>
      </c>
      <c r="E779" s="543">
        <f>1000</f>
        <v>1000</v>
      </c>
      <c r="F779" s="543">
        <f>1000</f>
        <v>1000</v>
      </c>
      <c r="G779" s="543">
        <f>1000</f>
        <v>1000</v>
      </c>
      <c r="H779" s="543">
        <f>1000</f>
        <v>1000</v>
      </c>
      <c r="I779" s="543">
        <f>1000</f>
        <v>1000</v>
      </c>
      <c r="J779" s="543">
        <f>1000</f>
        <v>1000</v>
      </c>
      <c r="K779" s="543">
        <f>1000</f>
        <v>1000</v>
      </c>
      <c r="L779" s="543">
        <f>1000</f>
        <v>1000</v>
      </c>
      <c r="M779" s="543">
        <f>1000</f>
        <v>1000</v>
      </c>
      <c r="N779" s="543">
        <f>1000</f>
        <v>1000</v>
      </c>
      <c r="O779" s="543">
        <f>1000</f>
        <v>1000</v>
      </c>
      <c r="P779" s="543">
        <f>1000</f>
        <v>1000</v>
      </c>
      <c r="Q779" s="543">
        <f>1000</f>
        <v>1000</v>
      </c>
      <c r="R779" s="543">
        <f>1000</f>
        <v>1000</v>
      </c>
      <c r="S779" s="543">
        <f>1000</f>
        <v>1000</v>
      </c>
      <c r="T779" s="543">
        <f>1000</f>
        <v>1000</v>
      </c>
      <c r="U779" s="543">
        <f>1000</f>
        <v>1000</v>
      </c>
      <c r="V779" s="543">
        <f>1000</f>
        <v>1000</v>
      </c>
      <c r="W779" s="543">
        <f>1000</f>
        <v>1000</v>
      </c>
      <c r="X779" s="543">
        <f>1000</f>
        <v>1000</v>
      </c>
      <c r="Y779" s="543">
        <f>1000</f>
        <v>1000</v>
      </c>
      <c r="Z779" s="543">
        <f>1000</f>
        <v>1000</v>
      </c>
      <c r="AA779" s="543">
        <f>1000</f>
        <v>1000</v>
      </c>
      <c r="AB779" s="543">
        <f>1000</f>
        <v>1000</v>
      </c>
      <c r="AC779" s="543">
        <f>1000</f>
        <v>1000</v>
      </c>
      <c r="AD779" s="543">
        <f>1000</f>
        <v>1000</v>
      </c>
      <c r="AE779" s="543">
        <f>1000</f>
        <v>1000</v>
      </c>
      <c r="AF779" s="543">
        <f>1000</f>
        <v>1000</v>
      </c>
      <c r="AG779" s="543">
        <f>1000</f>
        <v>1000</v>
      </c>
      <c r="AH779" s="543">
        <f>1000</f>
        <v>1000</v>
      </c>
      <c r="AI779" s="543">
        <f>1000</f>
        <v>1000</v>
      </c>
      <c r="AJ779" s="543">
        <f>1000</f>
        <v>1000</v>
      </c>
      <c r="AK779" s="543">
        <f>1000</f>
        <v>1000</v>
      </c>
      <c r="AL779" s="543">
        <f>1000</f>
        <v>1000</v>
      </c>
      <c r="AM779" s="543">
        <f>1000</f>
        <v>1000</v>
      </c>
      <c r="AN779" s="543">
        <f>1000</f>
        <v>1000</v>
      </c>
      <c r="AO779" s="44"/>
      <c r="AP779" s="244"/>
    </row>
    <row r="780" spans="2:42" x14ac:dyDescent="0.25">
      <c r="C780" s="553" t="s">
        <v>795</v>
      </c>
      <c r="D780" s="554"/>
      <c r="E780" s="555"/>
      <c r="F780" s="555"/>
      <c r="G780" s="555"/>
      <c r="H780" s="555"/>
      <c r="I780" s="555"/>
      <c r="J780" s="555"/>
      <c r="K780" s="555"/>
      <c r="L780" s="555"/>
      <c r="M780" s="555"/>
      <c r="N780" s="555"/>
      <c r="O780" s="555"/>
      <c r="P780" s="555"/>
      <c r="Q780" s="555"/>
      <c r="R780" s="555"/>
      <c r="S780" s="555"/>
      <c r="T780" s="555"/>
      <c r="U780" s="555"/>
      <c r="V780" s="555"/>
      <c r="W780" s="555"/>
      <c r="X780" s="555"/>
      <c r="Y780" s="555"/>
      <c r="Z780" s="555"/>
      <c r="AA780" s="555"/>
      <c r="AB780" s="555"/>
      <c r="AC780" s="555"/>
      <c r="AD780" s="555"/>
      <c r="AE780" s="555"/>
      <c r="AF780" s="555"/>
      <c r="AG780" s="555"/>
      <c r="AH780" s="555"/>
      <c r="AI780" s="555"/>
      <c r="AJ780" s="555"/>
      <c r="AK780" s="555"/>
      <c r="AL780" s="555"/>
      <c r="AM780" s="555"/>
      <c r="AN780" s="555"/>
      <c r="AO780" s="44"/>
      <c r="AP780" s="555"/>
    </row>
    <row r="781" spans="2:42" x14ac:dyDescent="0.25">
      <c r="C781" s="20" t="s">
        <v>804</v>
      </c>
      <c r="D781" s="34" t="s">
        <v>46</v>
      </c>
      <c r="E781" s="556">
        <v>5500</v>
      </c>
      <c r="F781" s="556">
        <v>5500</v>
      </c>
      <c r="G781" s="556">
        <v>5500</v>
      </c>
      <c r="H781" s="556">
        <v>5500</v>
      </c>
      <c r="I781" s="556">
        <v>5500</v>
      </c>
      <c r="J781" s="556">
        <v>5500</v>
      </c>
      <c r="K781" s="556">
        <v>5500</v>
      </c>
      <c r="L781" s="556">
        <v>5500</v>
      </c>
      <c r="M781" s="556">
        <v>5500</v>
      </c>
      <c r="N781" s="556">
        <v>5500</v>
      </c>
      <c r="O781" s="556">
        <v>5500</v>
      </c>
      <c r="P781" s="556">
        <v>5500</v>
      </c>
      <c r="Q781" s="556">
        <v>5500</v>
      </c>
      <c r="R781" s="556">
        <v>5500</v>
      </c>
      <c r="S781" s="556">
        <v>5500</v>
      </c>
      <c r="T781" s="556">
        <v>5500</v>
      </c>
      <c r="U781" s="556">
        <v>5500</v>
      </c>
      <c r="V781" s="556">
        <v>5500</v>
      </c>
      <c r="W781" s="556">
        <v>5500</v>
      </c>
      <c r="X781" s="556">
        <v>5500</v>
      </c>
      <c r="Y781" s="556">
        <v>5500</v>
      </c>
      <c r="Z781" s="556">
        <v>5500</v>
      </c>
      <c r="AA781" s="556">
        <v>5500</v>
      </c>
      <c r="AB781" s="556">
        <v>5500</v>
      </c>
      <c r="AC781" s="556">
        <v>5500</v>
      </c>
      <c r="AD781" s="556">
        <v>5500</v>
      </c>
      <c r="AE781" s="556">
        <v>5500</v>
      </c>
      <c r="AF781" s="556">
        <v>5500</v>
      </c>
      <c r="AG781" s="556">
        <v>5500</v>
      </c>
      <c r="AH781" s="556">
        <v>5500</v>
      </c>
      <c r="AI781" s="556">
        <v>5500</v>
      </c>
      <c r="AJ781" s="556">
        <v>5500</v>
      </c>
      <c r="AK781" s="556">
        <v>5500</v>
      </c>
      <c r="AL781" s="556">
        <v>5500</v>
      </c>
      <c r="AM781" s="556">
        <v>5500</v>
      </c>
      <c r="AN781" s="556">
        <v>5500</v>
      </c>
      <c r="AO781" s="44"/>
      <c r="AP781" s="234"/>
    </row>
    <row r="782" spans="2:42" x14ac:dyDescent="0.25">
      <c r="C782" s="20" t="s">
        <v>803</v>
      </c>
      <c r="D782" s="34" t="s">
        <v>46</v>
      </c>
      <c r="E782" s="400">
        <v>4250</v>
      </c>
      <c r="F782" s="400">
        <v>4250</v>
      </c>
      <c r="G782" s="400">
        <v>4250</v>
      </c>
      <c r="H782" s="400">
        <v>4250</v>
      </c>
      <c r="I782" s="400">
        <v>4250</v>
      </c>
      <c r="J782" s="400">
        <v>4250</v>
      </c>
      <c r="K782" s="400">
        <v>4250</v>
      </c>
      <c r="L782" s="400">
        <v>4250</v>
      </c>
      <c r="M782" s="400">
        <v>4250</v>
      </c>
      <c r="N782" s="400">
        <v>4250</v>
      </c>
      <c r="O782" s="400">
        <v>4250</v>
      </c>
      <c r="P782" s="400">
        <v>4250</v>
      </c>
      <c r="Q782" s="400">
        <v>4250</v>
      </c>
      <c r="R782" s="400">
        <v>4250</v>
      </c>
      <c r="S782" s="400">
        <v>4250</v>
      </c>
      <c r="T782" s="400">
        <v>4250</v>
      </c>
      <c r="U782" s="400">
        <v>4250</v>
      </c>
      <c r="V782" s="400">
        <v>4250</v>
      </c>
      <c r="W782" s="400">
        <v>4250</v>
      </c>
      <c r="X782" s="400">
        <v>4250</v>
      </c>
      <c r="Y782" s="400">
        <v>4250</v>
      </c>
      <c r="Z782" s="400">
        <v>4250</v>
      </c>
      <c r="AA782" s="400">
        <v>4250</v>
      </c>
      <c r="AB782" s="400">
        <v>4250</v>
      </c>
      <c r="AC782" s="400">
        <v>4250</v>
      </c>
      <c r="AD782" s="400">
        <v>4250</v>
      </c>
      <c r="AE782" s="400">
        <v>4250</v>
      </c>
      <c r="AF782" s="400">
        <v>4250</v>
      </c>
      <c r="AG782" s="400">
        <v>4250</v>
      </c>
      <c r="AH782" s="400">
        <v>4250</v>
      </c>
      <c r="AI782" s="400">
        <v>4250</v>
      </c>
      <c r="AJ782" s="400">
        <v>4250</v>
      </c>
      <c r="AK782" s="400">
        <v>4250</v>
      </c>
      <c r="AL782" s="400">
        <v>4250</v>
      </c>
      <c r="AM782" s="400">
        <v>4250</v>
      </c>
      <c r="AN782" s="400">
        <v>4250</v>
      </c>
      <c r="AO782" s="44"/>
      <c r="AP782" s="235"/>
    </row>
    <row r="783" spans="2:42" x14ac:dyDescent="0.25">
      <c r="C783" s="22" t="s">
        <v>805</v>
      </c>
      <c r="D783" s="96" t="s">
        <v>46</v>
      </c>
      <c r="E783" s="543">
        <v>2500</v>
      </c>
      <c r="F783" s="543">
        <v>2500</v>
      </c>
      <c r="G783" s="543">
        <v>2500</v>
      </c>
      <c r="H783" s="543">
        <v>2500</v>
      </c>
      <c r="I783" s="543">
        <v>2500</v>
      </c>
      <c r="J783" s="543">
        <v>2500</v>
      </c>
      <c r="K783" s="543">
        <v>2500</v>
      </c>
      <c r="L783" s="543">
        <v>2500</v>
      </c>
      <c r="M783" s="543">
        <v>2500</v>
      </c>
      <c r="N783" s="543">
        <v>2500</v>
      </c>
      <c r="O783" s="543">
        <v>2500</v>
      </c>
      <c r="P783" s="543">
        <v>2500</v>
      </c>
      <c r="Q783" s="543">
        <v>2500</v>
      </c>
      <c r="R783" s="543">
        <v>2500</v>
      </c>
      <c r="S783" s="543">
        <v>2500</v>
      </c>
      <c r="T783" s="543">
        <v>2500</v>
      </c>
      <c r="U783" s="543">
        <v>2500</v>
      </c>
      <c r="V783" s="543">
        <v>2500</v>
      </c>
      <c r="W783" s="543">
        <v>2500</v>
      </c>
      <c r="X783" s="543">
        <v>2500</v>
      </c>
      <c r="Y783" s="543">
        <v>2500</v>
      </c>
      <c r="Z783" s="543">
        <v>2500</v>
      </c>
      <c r="AA783" s="543">
        <v>2500</v>
      </c>
      <c r="AB783" s="543">
        <v>2500</v>
      </c>
      <c r="AC783" s="543">
        <v>2500</v>
      </c>
      <c r="AD783" s="543">
        <v>2500</v>
      </c>
      <c r="AE783" s="543">
        <v>2500</v>
      </c>
      <c r="AF783" s="543">
        <v>2500</v>
      </c>
      <c r="AG783" s="543">
        <v>2500</v>
      </c>
      <c r="AH783" s="543">
        <v>2500</v>
      </c>
      <c r="AI783" s="543">
        <v>2500</v>
      </c>
      <c r="AJ783" s="543">
        <v>2500</v>
      </c>
      <c r="AK783" s="543">
        <v>2500</v>
      </c>
      <c r="AL783" s="543">
        <v>2500</v>
      </c>
      <c r="AM783" s="543">
        <v>2500</v>
      </c>
      <c r="AN783" s="543">
        <v>2500</v>
      </c>
      <c r="AO783" s="44"/>
      <c r="AP783" s="244"/>
    </row>
    <row r="784" spans="2:42" x14ac:dyDescent="0.25">
      <c r="C784" s="553" t="s">
        <v>794</v>
      </c>
      <c r="D784" s="554"/>
      <c r="E784" s="555"/>
      <c r="F784" s="555"/>
      <c r="G784" s="555"/>
      <c r="H784" s="555"/>
      <c r="I784" s="555"/>
      <c r="J784" s="555"/>
      <c r="K784" s="555"/>
      <c r="L784" s="555"/>
      <c r="M784" s="555"/>
      <c r="N784" s="555"/>
      <c r="O784" s="555"/>
      <c r="P784" s="555"/>
      <c r="Q784" s="555"/>
      <c r="R784" s="555"/>
      <c r="S784" s="555"/>
      <c r="T784" s="555"/>
      <c r="U784" s="555"/>
      <c r="V784" s="555"/>
      <c r="W784" s="555"/>
      <c r="X784" s="555"/>
      <c r="Y784" s="555"/>
      <c r="Z784" s="555"/>
      <c r="AA784" s="555"/>
      <c r="AB784" s="555"/>
      <c r="AC784" s="555"/>
      <c r="AD784" s="555"/>
      <c r="AE784" s="555"/>
      <c r="AF784" s="555"/>
      <c r="AG784" s="555"/>
      <c r="AH784" s="555"/>
      <c r="AI784" s="555"/>
      <c r="AJ784" s="555"/>
      <c r="AK784" s="555"/>
      <c r="AL784" s="555"/>
      <c r="AM784" s="555"/>
      <c r="AN784" s="555"/>
      <c r="AO784" s="44"/>
      <c r="AP784" s="555"/>
    </row>
    <row r="785" spans="3:42" x14ac:dyDescent="0.25">
      <c r="C785" s="20" t="s">
        <v>804</v>
      </c>
      <c r="D785" s="34" t="s">
        <v>46</v>
      </c>
      <c r="E785" s="556">
        <v>5500</v>
      </c>
      <c r="F785" s="556">
        <v>5500</v>
      </c>
      <c r="G785" s="556">
        <v>5500</v>
      </c>
      <c r="H785" s="556">
        <v>5500</v>
      </c>
      <c r="I785" s="556">
        <v>5500</v>
      </c>
      <c r="J785" s="556">
        <v>5500</v>
      </c>
      <c r="K785" s="556">
        <v>5500</v>
      </c>
      <c r="L785" s="556">
        <v>5500</v>
      </c>
      <c r="M785" s="556">
        <v>5500</v>
      </c>
      <c r="N785" s="556">
        <v>5500</v>
      </c>
      <c r="O785" s="556">
        <v>5500</v>
      </c>
      <c r="P785" s="556">
        <v>5500</v>
      </c>
      <c r="Q785" s="556">
        <v>5500</v>
      </c>
      <c r="R785" s="556">
        <v>5500</v>
      </c>
      <c r="S785" s="556">
        <v>5500</v>
      </c>
      <c r="T785" s="556">
        <v>5500</v>
      </c>
      <c r="U785" s="556">
        <v>5500</v>
      </c>
      <c r="V785" s="556">
        <v>5500</v>
      </c>
      <c r="W785" s="556">
        <v>5500</v>
      </c>
      <c r="X785" s="556">
        <v>5500</v>
      </c>
      <c r="Y785" s="556">
        <v>5500</v>
      </c>
      <c r="Z785" s="556">
        <v>5500</v>
      </c>
      <c r="AA785" s="556">
        <v>5500</v>
      </c>
      <c r="AB785" s="556">
        <v>5500</v>
      </c>
      <c r="AC785" s="556">
        <v>5500</v>
      </c>
      <c r="AD785" s="556">
        <v>5500</v>
      </c>
      <c r="AE785" s="556">
        <v>5500</v>
      </c>
      <c r="AF785" s="556">
        <v>5500</v>
      </c>
      <c r="AG785" s="556">
        <v>5500</v>
      </c>
      <c r="AH785" s="556">
        <v>5500</v>
      </c>
      <c r="AI785" s="556">
        <v>5500</v>
      </c>
      <c r="AJ785" s="556">
        <v>5500</v>
      </c>
      <c r="AK785" s="556">
        <v>5500</v>
      </c>
      <c r="AL785" s="556">
        <v>5500</v>
      </c>
      <c r="AM785" s="556">
        <v>5500</v>
      </c>
      <c r="AN785" s="556">
        <v>5500</v>
      </c>
      <c r="AO785" s="44"/>
      <c r="AP785" s="234"/>
    </row>
    <row r="786" spans="3:42" x14ac:dyDescent="0.25">
      <c r="C786" s="20" t="s">
        <v>803</v>
      </c>
      <c r="D786" s="34" t="s">
        <v>46</v>
      </c>
      <c r="E786" s="400">
        <v>4250</v>
      </c>
      <c r="F786" s="400">
        <v>4250</v>
      </c>
      <c r="G786" s="400">
        <v>4250</v>
      </c>
      <c r="H786" s="400">
        <v>4250</v>
      </c>
      <c r="I786" s="400">
        <v>4250</v>
      </c>
      <c r="J786" s="400">
        <v>4250</v>
      </c>
      <c r="K786" s="400">
        <v>4250</v>
      </c>
      <c r="L786" s="400">
        <v>4250</v>
      </c>
      <c r="M786" s="400">
        <v>4250</v>
      </c>
      <c r="N786" s="400">
        <v>4250</v>
      </c>
      <c r="O786" s="400">
        <v>4250</v>
      </c>
      <c r="P786" s="400">
        <v>4250</v>
      </c>
      <c r="Q786" s="400">
        <v>4250</v>
      </c>
      <c r="R786" s="400">
        <v>4250</v>
      </c>
      <c r="S786" s="400">
        <v>4250</v>
      </c>
      <c r="T786" s="400">
        <v>4250</v>
      </c>
      <c r="U786" s="400">
        <v>4250</v>
      </c>
      <c r="V786" s="400">
        <v>4250</v>
      </c>
      <c r="W786" s="400">
        <v>4250</v>
      </c>
      <c r="X786" s="400">
        <v>4250</v>
      </c>
      <c r="Y786" s="400">
        <v>4250</v>
      </c>
      <c r="Z786" s="400">
        <v>4250</v>
      </c>
      <c r="AA786" s="400">
        <v>4250</v>
      </c>
      <c r="AB786" s="400">
        <v>4250</v>
      </c>
      <c r="AC786" s="400">
        <v>4250</v>
      </c>
      <c r="AD786" s="400">
        <v>4250</v>
      </c>
      <c r="AE786" s="400">
        <v>4250</v>
      </c>
      <c r="AF786" s="400">
        <v>4250</v>
      </c>
      <c r="AG786" s="400">
        <v>4250</v>
      </c>
      <c r="AH786" s="400">
        <v>4250</v>
      </c>
      <c r="AI786" s="400">
        <v>4250</v>
      </c>
      <c r="AJ786" s="400">
        <v>4250</v>
      </c>
      <c r="AK786" s="400">
        <v>4250</v>
      </c>
      <c r="AL786" s="400">
        <v>4250</v>
      </c>
      <c r="AM786" s="400">
        <v>4250</v>
      </c>
      <c r="AN786" s="400">
        <v>4250</v>
      </c>
      <c r="AO786" s="44"/>
      <c r="AP786" s="235"/>
    </row>
    <row r="787" spans="3:42" x14ac:dyDescent="0.25">
      <c r="C787" s="22" t="s">
        <v>805</v>
      </c>
      <c r="D787" s="96" t="s">
        <v>46</v>
      </c>
      <c r="E787" s="543">
        <v>2500</v>
      </c>
      <c r="F787" s="543">
        <v>2500</v>
      </c>
      <c r="G787" s="543">
        <v>2500</v>
      </c>
      <c r="H787" s="543">
        <v>2500</v>
      </c>
      <c r="I787" s="543">
        <v>2500</v>
      </c>
      <c r="J787" s="543">
        <v>2500</v>
      </c>
      <c r="K787" s="543">
        <v>2500</v>
      </c>
      <c r="L787" s="543">
        <v>2500</v>
      </c>
      <c r="M787" s="543">
        <v>2500</v>
      </c>
      <c r="N787" s="543">
        <v>2500</v>
      </c>
      <c r="O787" s="543">
        <v>2500</v>
      </c>
      <c r="P787" s="543">
        <v>2500</v>
      </c>
      <c r="Q787" s="543">
        <v>2500</v>
      </c>
      <c r="R787" s="543">
        <v>2500</v>
      </c>
      <c r="S787" s="543">
        <v>2500</v>
      </c>
      <c r="T787" s="543">
        <v>2500</v>
      </c>
      <c r="U787" s="543">
        <v>2500</v>
      </c>
      <c r="V787" s="543">
        <v>2500</v>
      </c>
      <c r="W787" s="543">
        <v>2500</v>
      </c>
      <c r="X787" s="543">
        <v>2500</v>
      </c>
      <c r="Y787" s="543">
        <v>2500</v>
      </c>
      <c r="Z787" s="543">
        <v>2500</v>
      </c>
      <c r="AA787" s="543">
        <v>2500</v>
      </c>
      <c r="AB787" s="543">
        <v>2500</v>
      </c>
      <c r="AC787" s="543">
        <v>2500</v>
      </c>
      <c r="AD787" s="543">
        <v>2500</v>
      </c>
      <c r="AE787" s="543">
        <v>2500</v>
      </c>
      <c r="AF787" s="543">
        <v>2500</v>
      </c>
      <c r="AG787" s="543">
        <v>2500</v>
      </c>
      <c r="AH787" s="543">
        <v>2500</v>
      </c>
      <c r="AI787" s="543">
        <v>2500</v>
      </c>
      <c r="AJ787" s="543">
        <v>2500</v>
      </c>
      <c r="AK787" s="543">
        <v>2500</v>
      </c>
      <c r="AL787" s="543">
        <v>2500</v>
      </c>
      <c r="AM787" s="543">
        <v>2500</v>
      </c>
      <c r="AN787" s="543">
        <v>2500</v>
      </c>
      <c r="AO787" s="44"/>
      <c r="AP787" s="244"/>
    </row>
    <row r="788" spans="3:42" x14ac:dyDescent="0.25">
      <c r="C788" s="553" t="s">
        <v>801</v>
      </c>
      <c r="D788" s="554"/>
      <c r="E788" s="555"/>
      <c r="F788" s="555"/>
      <c r="G788" s="555"/>
      <c r="H788" s="555"/>
      <c r="I788" s="555"/>
      <c r="J788" s="555"/>
      <c r="K788" s="555"/>
      <c r="L788" s="555"/>
      <c r="M788" s="555"/>
      <c r="N788" s="555"/>
      <c r="O788" s="555"/>
      <c r="P788" s="555"/>
      <c r="Q788" s="555"/>
      <c r="R788" s="555"/>
      <c r="S788" s="555"/>
      <c r="T788" s="555"/>
      <c r="U788" s="555"/>
      <c r="V788" s="555"/>
      <c r="W788" s="555"/>
      <c r="X788" s="555"/>
      <c r="Y788" s="555"/>
      <c r="Z788" s="555"/>
      <c r="AA788" s="555"/>
      <c r="AB788" s="555"/>
      <c r="AC788" s="555"/>
      <c r="AD788" s="555"/>
      <c r="AE788" s="555"/>
      <c r="AF788" s="555"/>
      <c r="AG788" s="555"/>
      <c r="AH788" s="555"/>
      <c r="AI788" s="555"/>
      <c r="AJ788" s="555"/>
      <c r="AK788" s="555"/>
      <c r="AL788" s="555"/>
      <c r="AM788" s="555"/>
      <c r="AN788" s="555"/>
      <c r="AO788" s="44"/>
      <c r="AP788" s="555"/>
    </row>
    <row r="789" spans="3:42" x14ac:dyDescent="0.25">
      <c r="C789" s="20" t="s">
        <v>804</v>
      </c>
      <c r="D789" s="34" t="s">
        <v>46</v>
      </c>
      <c r="E789" s="556">
        <v>5500</v>
      </c>
      <c r="F789" s="556">
        <v>5500</v>
      </c>
      <c r="G789" s="556">
        <v>5500</v>
      </c>
      <c r="H789" s="556">
        <v>5500</v>
      </c>
      <c r="I789" s="556">
        <v>5500</v>
      </c>
      <c r="J789" s="556">
        <v>5500</v>
      </c>
      <c r="K789" s="556">
        <v>5500</v>
      </c>
      <c r="L789" s="556">
        <v>5500</v>
      </c>
      <c r="M789" s="556">
        <v>5500</v>
      </c>
      <c r="N789" s="556">
        <v>5500</v>
      </c>
      <c r="O789" s="556">
        <v>5500</v>
      </c>
      <c r="P789" s="556">
        <v>5500</v>
      </c>
      <c r="Q789" s="556">
        <v>5500</v>
      </c>
      <c r="R789" s="556">
        <v>5500</v>
      </c>
      <c r="S789" s="556">
        <v>5500</v>
      </c>
      <c r="T789" s="556">
        <v>5500</v>
      </c>
      <c r="U789" s="556">
        <v>5500</v>
      </c>
      <c r="V789" s="556">
        <v>5500</v>
      </c>
      <c r="W789" s="556">
        <v>5500</v>
      </c>
      <c r="X789" s="556">
        <v>5500</v>
      </c>
      <c r="Y789" s="556">
        <v>5500</v>
      </c>
      <c r="Z789" s="556">
        <v>5500</v>
      </c>
      <c r="AA789" s="556">
        <v>5500</v>
      </c>
      <c r="AB789" s="556">
        <v>5500</v>
      </c>
      <c r="AC789" s="556">
        <v>5500</v>
      </c>
      <c r="AD789" s="556">
        <v>5500</v>
      </c>
      <c r="AE789" s="556">
        <v>5500</v>
      </c>
      <c r="AF789" s="556">
        <v>5500</v>
      </c>
      <c r="AG789" s="556">
        <v>5500</v>
      </c>
      <c r="AH789" s="556">
        <v>5500</v>
      </c>
      <c r="AI789" s="556">
        <v>5500</v>
      </c>
      <c r="AJ789" s="556">
        <v>5500</v>
      </c>
      <c r="AK789" s="556">
        <v>5500</v>
      </c>
      <c r="AL789" s="556">
        <v>5500</v>
      </c>
      <c r="AM789" s="556">
        <v>5500</v>
      </c>
      <c r="AN789" s="556">
        <v>5500</v>
      </c>
      <c r="AO789" s="44"/>
      <c r="AP789" s="234"/>
    </row>
    <row r="790" spans="3:42" x14ac:dyDescent="0.25">
      <c r="C790" s="20" t="s">
        <v>803</v>
      </c>
      <c r="D790" s="34" t="s">
        <v>46</v>
      </c>
      <c r="E790" s="400">
        <v>4250</v>
      </c>
      <c r="F790" s="400">
        <v>4250</v>
      </c>
      <c r="G790" s="400">
        <v>4250</v>
      </c>
      <c r="H790" s="400">
        <v>4250</v>
      </c>
      <c r="I790" s="400">
        <v>4250</v>
      </c>
      <c r="J790" s="400">
        <v>4250</v>
      </c>
      <c r="K790" s="400">
        <v>4250</v>
      </c>
      <c r="L790" s="400">
        <v>4250</v>
      </c>
      <c r="M790" s="400">
        <v>4250</v>
      </c>
      <c r="N790" s="400">
        <v>4250</v>
      </c>
      <c r="O790" s="400">
        <v>4250</v>
      </c>
      <c r="P790" s="400">
        <v>4250</v>
      </c>
      <c r="Q790" s="400">
        <v>4250</v>
      </c>
      <c r="R790" s="400">
        <v>4250</v>
      </c>
      <c r="S790" s="400">
        <v>4250</v>
      </c>
      <c r="T790" s="400">
        <v>4250</v>
      </c>
      <c r="U790" s="400">
        <v>4250</v>
      </c>
      <c r="V790" s="400">
        <v>4250</v>
      </c>
      <c r="W790" s="400">
        <v>4250</v>
      </c>
      <c r="X790" s="400">
        <v>4250</v>
      </c>
      <c r="Y790" s="400">
        <v>4250</v>
      </c>
      <c r="Z790" s="400">
        <v>4250</v>
      </c>
      <c r="AA790" s="400">
        <v>4250</v>
      </c>
      <c r="AB790" s="400">
        <v>4250</v>
      </c>
      <c r="AC790" s="400">
        <v>4250</v>
      </c>
      <c r="AD790" s="400">
        <v>4250</v>
      </c>
      <c r="AE790" s="400">
        <v>4250</v>
      </c>
      <c r="AF790" s="400">
        <v>4250</v>
      </c>
      <c r="AG790" s="400">
        <v>4250</v>
      </c>
      <c r="AH790" s="400">
        <v>4250</v>
      </c>
      <c r="AI790" s="400">
        <v>4250</v>
      </c>
      <c r="AJ790" s="400">
        <v>4250</v>
      </c>
      <c r="AK790" s="400">
        <v>4250</v>
      </c>
      <c r="AL790" s="400">
        <v>4250</v>
      </c>
      <c r="AM790" s="400">
        <v>4250</v>
      </c>
      <c r="AN790" s="400">
        <v>4250</v>
      </c>
      <c r="AO790" s="44"/>
      <c r="AP790" s="235"/>
    </row>
    <row r="791" spans="3:42" x14ac:dyDescent="0.25">
      <c r="C791" s="22" t="s">
        <v>805</v>
      </c>
      <c r="D791" s="96" t="s">
        <v>46</v>
      </c>
      <c r="E791" s="543">
        <v>2500</v>
      </c>
      <c r="F791" s="543">
        <v>2500</v>
      </c>
      <c r="G791" s="543">
        <v>2500</v>
      </c>
      <c r="H791" s="543">
        <v>2500</v>
      </c>
      <c r="I791" s="543">
        <v>2500</v>
      </c>
      <c r="J791" s="543">
        <v>2500</v>
      </c>
      <c r="K791" s="543">
        <v>2500</v>
      </c>
      <c r="L791" s="543">
        <v>2500</v>
      </c>
      <c r="M791" s="543">
        <v>2500</v>
      </c>
      <c r="N791" s="543">
        <v>2500</v>
      </c>
      <c r="O791" s="543">
        <v>2500</v>
      </c>
      <c r="P791" s="543">
        <v>2500</v>
      </c>
      <c r="Q791" s="543">
        <v>2500</v>
      </c>
      <c r="R791" s="543">
        <v>2500</v>
      </c>
      <c r="S791" s="543">
        <v>2500</v>
      </c>
      <c r="T791" s="543">
        <v>2500</v>
      </c>
      <c r="U791" s="543">
        <v>2500</v>
      </c>
      <c r="V791" s="543">
        <v>2500</v>
      </c>
      <c r="W791" s="543">
        <v>2500</v>
      </c>
      <c r="X791" s="543">
        <v>2500</v>
      </c>
      <c r="Y791" s="543">
        <v>2500</v>
      </c>
      <c r="Z791" s="543">
        <v>2500</v>
      </c>
      <c r="AA791" s="543">
        <v>2500</v>
      </c>
      <c r="AB791" s="543">
        <v>2500</v>
      </c>
      <c r="AC791" s="543">
        <v>2500</v>
      </c>
      <c r="AD791" s="543">
        <v>2500</v>
      </c>
      <c r="AE791" s="543">
        <v>2500</v>
      </c>
      <c r="AF791" s="543">
        <v>2500</v>
      </c>
      <c r="AG791" s="543">
        <v>2500</v>
      </c>
      <c r="AH791" s="543">
        <v>2500</v>
      </c>
      <c r="AI791" s="543">
        <v>2500</v>
      </c>
      <c r="AJ791" s="543">
        <v>2500</v>
      </c>
      <c r="AK791" s="543">
        <v>2500</v>
      </c>
      <c r="AL791" s="543">
        <v>2500</v>
      </c>
      <c r="AM791" s="543">
        <v>2500</v>
      </c>
      <c r="AN791" s="543">
        <v>2500</v>
      </c>
      <c r="AO791" s="44"/>
      <c r="AP791" s="244"/>
    </row>
    <row r="792" spans="3:42" x14ac:dyDescent="0.25">
      <c r="C792" s="553" t="s">
        <v>788</v>
      </c>
      <c r="D792" s="554"/>
      <c r="E792" s="555"/>
      <c r="F792" s="555"/>
      <c r="G792" s="555"/>
      <c r="H792" s="555"/>
      <c r="I792" s="555"/>
      <c r="J792" s="555"/>
      <c r="K792" s="555"/>
      <c r="L792" s="555"/>
      <c r="M792" s="555"/>
      <c r="N792" s="555"/>
      <c r="O792" s="555"/>
      <c r="P792" s="555"/>
      <c r="Q792" s="555"/>
      <c r="R792" s="555"/>
      <c r="S792" s="555"/>
      <c r="T792" s="555"/>
      <c r="U792" s="555"/>
      <c r="V792" s="555"/>
      <c r="W792" s="555"/>
      <c r="X792" s="555"/>
      <c r="Y792" s="555"/>
      <c r="Z792" s="555"/>
      <c r="AA792" s="555"/>
      <c r="AB792" s="555"/>
      <c r="AC792" s="555"/>
      <c r="AD792" s="555"/>
      <c r="AE792" s="555"/>
      <c r="AF792" s="555"/>
      <c r="AG792" s="555"/>
      <c r="AH792" s="555"/>
      <c r="AI792" s="555"/>
      <c r="AJ792" s="555"/>
      <c r="AK792" s="555"/>
      <c r="AL792" s="555"/>
      <c r="AM792" s="555"/>
      <c r="AN792" s="555"/>
      <c r="AO792" s="44"/>
      <c r="AP792" s="555"/>
    </row>
    <row r="793" spans="3:42" x14ac:dyDescent="0.25">
      <c r="C793" s="20" t="s">
        <v>804</v>
      </c>
      <c r="D793" s="34" t="s">
        <v>46</v>
      </c>
      <c r="E793" s="556">
        <v>5500</v>
      </c>
      <c r="F793" s="556">
        <v>5500</v>
      </c>
      <c r="G793" s="556">
        <v>5500</v>
      </c>
      <c r="H793" s="556">
        <v>5500</v>
      </c>
      <c r="I793" s="556">
        <v>5500</v>
      </c>
      <c r="J793" s="556">
        <v>5500</v>
      </c>
      <c r="K793" s="556">
        <v>5500</v>
      </c>
      <c r="L793" s="556">
        <v>5500</v>
      </c>
      <c r="M793" s="556">
        <v>5500</v>
      </c>
      <c r="N793" s="556">
        <v>5500</v>
      </c>
      <c r="O793" s="556">
        <v>5500</v>
      </c>
      <c r="P793" s="556">
        <v>5500</v>
      </c>
      <c r="Q793" s="556">
        <v>5500</v>
      </c>
      <c r="R793" s="556">
        <v>5500</v>
      </c>
      <c r="S793" s="556">
        <v>5500</v>
      </c>
      <c r="T793" s="556">
        <v>5500</v>
      </c>
      <c r="U793" s="556">
        <v>5500</v>
      </c>
      <c r="V793" s="556">
        <v>5500</v>
      </c>
      <c r="W793" s="556">
        <v>5500</v>
      </c>
      <c r="X793" s="556">
        <v>5500</v>
      </c>
      <c r="Y793" s="556">
        <v>5500</v>
      </c>
      <c r="Z793" s="556">
        <v>5500</v>
      </c>
      <c r="AA793" s="556">
        <v>5500</v>
      </c>
      <c r="AB793" s="556">
        <v>5500</v>
      </c>
      <c r="AC793" s="556">
        <v>5500</v>
      </c>
      <c r="AD793" s="556">
        <v>5500</v>
      </c>
      <c r="AE793" s="556">
        <v>5500</v>
      </c>
      <c r="AF793" s="556">
        <v>5500</v>
      </c>
      <c r="AG793" s="556">
        <v>5500</v>
      </c>
      <c r="AH793" s="556">
        <v>5500</v>
      </c>
      <c r="AI793" s="556">
        <v>5500</v>
      </c>
      <c r="AJ793" s="556">
        <v>5500</v>
      </c>
      <c r="AK793" s="556">
        <v>5500</v>
      </c>
      <c r="AL793" s="556">
        <v>5500</v>
      </c>
      <c r="AM793" s="556">
        <v>5500</v>
      </c>
      <c r="AN793" s="556">
        <v>5500</v>
      </c>
      <c r="AO793" s="44"/>
      <c r="AP793" s="234"/>
    </row>
    <row r="794" spans="3:42" x14ac:dyDescent="0.25">
      <c r="C794" s="20" t="s">
        <v>803</v>
      </c>
      <c r="D794" s="34" t="s">
        <v>46</v>
      </c>
      <c r="E794" s="400">
        <v>4250</v>
      </c>
      <c r="F794" s="400">
        <v>4250</v>
      </c>
      <c r="G794" s="400">
        <v>4250</v>
      </c>
      <c r="H794" s="400">
        <v>4250</v>
      </c>
      <c r="I794" s="400">
        <v>4250</v>
      </c>
      <c r="J794" s="400">
        <v>4250</v>
      </c>
      <c r="K794" s="400">
        <v>4250</v>
      </c>
      <c r="L794" s="400">
        <v>4250</v>
      </c>
      <c r="M794" s="400">
        <v>4250</v>
      </c>
      <c r="N794" s="400">
        <v>4250</v>
      </c>
      <c r="O794" s="400">
        <v>4250</v>
      </c>
      <c r="P794" s="400">
        <v>4250</v>
      </c>
      <c r="Q794" s="400">
        <v>4250</v>
      </c>
      <c r="R794" s="400">
        <v>4250</v>
      </c>
      <c r="S794" s="400">
        <v>4250</v>
      </c>
      <c r="T794" s="400">
        <v>4250</v>
      </c>
      <c r="U794" s="400">
        <v>4250</v>
      </c>
      <c r="V794" s="400">
        <v>4250</v>
      </c>
      <c r="W794" s="400">
        <v>4250</v>
      </c>
      <c r="X794" s="400">
        <v>4250</v>
      </c>
      <c r="Y794" s="400">
        <v>4250</v>
      </c>
      <c r="Z794" s="400">
        <v>4250</v>
      </c>
      <c r="AA794" s="400">
        <v>4250</v>
      </c>
      <c r="AB794" s="400">
        <v>4250</v>
      </c>
      <c r="AC794" s="400">
        <v>4250</v>
      </c>
      <c r="AD794" s="400">
        <v>4250</v>
      </c>
      <c r="AE794" s="400">
        <v>4250</v>
      </c>
      <c r="AF794" s="400">
        <v>4250</v>
      </c>
      <c r="AG794" s="400">
        <v>4250</v>
      </c>
      <c r="AH794" s="400">
        <v>4250</v>
      </c>
      <c r="AI794" s="400">
        <v>4250</v>
      </c>
      <c r="AJ794" s="400">
        <v>4250</v>
      </c>
      <c r="AK794" s="400">
        <v>4250</v>
      </c>
      <c r="AL794" s="400">
        <v>4250</v>
      </c>
      <c r="AM794" s="400">
        <v>4250</v>
      </c>
      <c r="AN794" s="400">
        <v>4250</v>
      </c>
      <c r="AO794" s="44"/>
      <c r="AP794" s="235"/>
    </row>
    <row r="795" spans="3:42" x14ac:dyDescent="0.25">
      <c r="C795" s="22" t="s">
        <v>805</v>
      </c>
      <c r="D795" s="96" t="s">
        <v>46</v>
      </c>
      <c r="E795" s="543">
        <v>2500</v>
      </c>
      <c r="F795" s="543">
        <v>2500</v>
      </c>
      <c r="G795" s="543">
        <v>2500</v>
      </c>
      <c r="H795" s="543">
        <v>2500</v>
      </c>
      <c r="I795" s="543">
        <v>2500</v>
      </c>
      <c r="J795" s="543">
        <v>2500</v>
      </c>
      <c r="K795" s="543">
        <v>2500</v>
      </c>
      <c r="L795" s="543">
        <v>2500</v>
      </c>
      <c r="M795" s="543">
        <v>2500</v>
      </c>
      <c r="N795" s="543">
        <v>2500</v>
      </c>
      <c r="O795" s="543">
        <v>2500</v>
      </c>
      <c r="P795" s="543">
        <v>2500</v>
      </c>
      <c r="Q795" s="543">
        <v>2500</v>
      </c>
      <c r="R795" s="543">
        <v>2500</v>
      </c>
      <c r="S795" s="543">
        <v>2500</v>
      </c>
      <c r="T795" s="543">
        <v>2500</v>
      </c>
      <c r="U795" s="543">
        <v>2500</v>
      </c>
      <c r="V795" s="543">
        <v>2500</v>
      </c>
      <c r="W795" s="543">
        <v>2500</v>
      </c>
      <c r="X795" s="543">
        <v>2500</v>
      </c>
      <c r="Y795" s="543">
        <v>2500</v>
      </c>
      <c r="Z795" s="543">
        <v>2500</v>
      </c>
      <c r="AA795" s="543">
        <v>2500</v>
      </c>
      <c r="AB795" s="543">
        <v>2500</v>
      </c>
      <c r="AC795" s="543">
        <v>2500</v>
      </c>
      <c r="AD795" s="543">
        <v>2500</v>
      </c>
      <c r="AE795" s="543">
        <v>2500</v>
      </c>
      <c r="AF795" s="543">
        <v>2500</v>
      </c>
      <c r="AG795" s="543">
        <v>2500</v>
      </c>
      <c r="AH795" s="543">
        <v>2500</v>
      </c>
      <c r="AI795" s="543">
        <v>2500</v>
      </c>
      <c r="AJ795" s="543">
        <v>2500</v>
      </c>
      <c r="AK795" s="543">
        <v>2500</v>
      </c>
      <c r="AL795" s="543">
        <v>2500</v>
      </c>
      <c r="AM795" s="543">
        <v>2500</v>
      </c>
      <c r="AN795" s="543">
        <v>2500</v>
      </c>
      <c r="AO795" s="44"/>
      <c r="AP795" s="244"/>
    </row>
    <row r="796" spans="3:42" x14ac:dyDescent="0.25">
      <c r="C796" s="553" t="s">
        <v>796</v>
      </c>
      <c r="D796" s="554"/>
      <c r="E796" s="555"/>
      <c r="F796" s="555"/>
      <c r="G796" s="555"/>
      <c r="H796" s="555"/>
      <c r="I796" s="555"/>
      <c r="J796" s="555"/>
      <c r="K796" s="555"/>
      <c r="L796" s="555"/>
      <c r="M796" s="555"/>
      <c r="N796" s="555"/>
      <c r="O796" s="555"/>
      <c r="P796" s="555"/>
      <c r="Q796" s="555"/>
      <c r="R796" s="555"/>
      <c r="S796" s="555"/>
      <c r="T796" s="555"/>
      <c r="U796" s="555"/>
      <c r="V796" s="555"/>
      <c r="W796" s="555"/>
      <c r="X796" s="555"/>
      <c r="Y796" s="555"/>
      <c r="Z796" s="555"/>
      <c r="AA796" s="555"/>
      <c r="AB796" s="555"/>
      <c r="AC796" s="555"/>
      <c r="AD796" s="555"/>
      <c r="AE796" s="555"/>
      <c r="AF796" s="555"/>
      <c r="AG796" s="555"/>
      <c r="AH796" s="555"/>
      <c r="AI796" s="555"/>
      <c r="AJ796" s="555"/>
      <c r="AK796" s="555"/>
      <c r="AL796" s="555"/>
      <c r="AM796" s="555"/>
      <c r="AN796" s="555"/>
      <c r="AO796" s="44"/>
      <c r="AP796" s="555"/>
    </row>
    <row r="797" spans="3:42" x14ac:dyDescent="0.25">
      <c r="C797" s="20" t="s">
        <v>804</v>
      </c>
      <c r="D797" s="34" t="s">
        <v>46</v>
      </c>
      <c r="E797" s="556">
        <v>5500</v>
      </c>
      <c r="F797" s="556">
        <v>5500</v>
      </c>
      <c r="G797" s="556">
        <v>5500</v>
      </c>
      <c r="H797" s="556">
        <v>5500</v>
      </c>
      <c r="I797" s="556">
        <v>5500</v>
      </c>
      <c r="J797" s="556">
        <v>5500</v>
      </c>
      <c r="K797" s="556">
        <v>5500</v>
      </c>
      <c r="L797" s="556">
        <v>5500</v>
      </c>
      <c r="M797" s="556">
        <v>5500</v>
      </c>
      <c r="N797" s="556">
        <v>5500</v>
      </c>
      <c r="O797" s="556">
        <v>5500</v>
      </c>
      <c r="P797" s="556">
        <v>5500</v>
      </c>
      <c r="Q797" s="556">
        <v>5500</v>
      </c>
      <c r="R797" s="556">
        <v>5500</v>
      </c>
      <c r="S797" s="556">
        <v>5500</v>
      </c>
      <c r="T797" s="556">
        <v>5500</v>
      </c>
      <c r="U797" s="556">
        <v>5500</v>
      </c>
      <c r="V797" s="556">
        <v>5500</v>
      </c>
      <c r="W797" s="556">
        <v>5500</v>
      </c>
      <c r="X797" s="556">
        <v>5500</v>
      </c>
      <c r="Y797" s="556">
        <v>5500</v>
      </c>
      <c r="Z797" s="556">
        <v>5500</v>
      </c>
      <c r="AA797" s="556">
        <v>5500</v>
      </c>
      <c r="AB797" s="556">
        <v>5500</v>
      </c>
      <c r="AC797" s="556">
        <v>5500</v>
      </c>
      <c r="AD797" s="556">
        <v>5500</v>
      </c>
      <c r="AE797" s="556">
        <v>5500</v>
      </c>
      <c r="AF797" s="556">
        <v>5500</v>
      </c>
      <c r="AG797" s="556">
        <v>5500</v>
      </c>
      <c r="AH797" s="556">
        <v>5500</v>
      </c>
      <c r="AI797" s="556">
        <v>5500</v>
      </c>
      <c r="AJ797" s="556">
        <v>5500</v>
      </c>
      <c r="AK797" s="556">
        <v>5500</v>
      </c>
      <c r="AL797" s="556">
        <v>5500</v>
      </c>
      <c r="AM797" s="556">
        <v>5500</v>
      </c>
      <c r="AN797" s="556">
        <v>5500</v>
      </c>
      <c r="AO797" s="44"/>
      <c r="AP797" s="234"/>
    </row>
    <row r="798" spans="3:42" x14ac:dyDescent="0.25">
      <c r="C798" s="20" t="s">
        <v>803</v>
      </c>
      <c r="D798" s="34" t="s">
        <v>46</v>
      </c>
      <c r="E798" s="400">
        <v>4250</v>
      </c>
      <c r="F798" s="400">
        <v>4250</v>
      </c>
      <c r="G798" s="400">
        <v>4250</v>
      </c>
      <c r="H798" s="400">
        <v>4250</v>
      </c>
      <c r="I798" s="400">
        <v>4250</v>
      </c>
      <c r="J798" s="400">
        <v>4250</v>
      </c>
      <c r="K798" s="400">
        <v>4250</v>
      </c>
      <c r="L798" s="400">
        <v>4250</v>
      </c>
      <c r="M798" s="400">
        <v>4250</v>
      </c>
      <c r="N798" s="400">
        <v>4250</v>
      </c>
      <c r="O798" s="400">
        <v>4250</v>
      </c>
      <c r="P798" s="400">
        <v>4250</v>
      </c>
      <c r="Q798" s="400">
        <v>4250</v>
      </c>
      <c r="R798" s="400">
        <v>4250</v>
      </c>
      <c r="S798" s="400">
        <v>4250</v>
      </c>
      <c r="T798" s="400">
        <v>4250</v>
      </c>
      <c r="U798" s="400">
        <v>4250</v>
      </c>
      <c r="V798" s="400">
        <v>4250</v>
      </c>
      <c r="W798" s="400">
        <v>4250</v>
      </c>
      <c r="X798" s="400">
        <v>4250</v>
      </c>
      <c r="Y798" s="400">
        <v>4250</v>
      </c>
      <c r="Z798" s="400">
        <v>4250</v>
      </c>
      <c r="AA798" s="400">
        <v>4250</v>
      </c>
      <c r="AB798" s="400">
        <v>4250</v>
      </c>
      <c r="AC798" s="400">
        <v>4250</v>
      </c>
      <c r="AD798" s="400">
        <v>4250</v>
      </c>
      <c r="AE798" s="400">
        <v>4250</v>
      </c>
      <c r="AF798" s="400">
        <v>4250</v>
      </c>
      <c r="AG798" s="400">
        <v>4250</v>
      </c>
      <c r="AH798" s="400">
        <v>4250</v>
      </c>
      <c r="AI798" s="400">
        <v>4250</v>
      </c>
      <c r="AJ798" s="400">
        <v>4250</v>
      </c>
      <c r="AK798" s="400">
        <v>4250</v>
      </c>
      <c r="AL798" s="400">
        <v>4250</v>
      </c>
      <c r="AM798" s="400">
        <v>4250</v>
      </c>
      <c r="AN798" s="400">
        <v>4250</v>
      </c>
      <c r="AO798" s="44"/>
      <c r="AP798" s="235"/>
    </row>
    <row r="799" spans="3:42" x14ac:dyDescent="0.25">
      <c r="C799" s="26" t="s">
        <v>805</v>
      </c>
      <c r="D799" s="319" t="s">
        <v>46</v>
      </c>
      <c r="E799" s="543">
        <v>2500</v>
      </c>
      <c r="F799" s="543">
        <v>2500</v>
      </c>
      <c r="G799" s="543">
        <v>2500</v>
      </c>
      <c r="H799" s="543">
        <v>2500</v>
      </c>
      <c r="I799" s="543">
        <v>2500</v>
      </c>
      <c r="J799" s="543">
        <v>2500</v>
      </c>
      <c r="K799" s="543">
        <v>2500</v>
      </c>
      <c r="L799" s="543">
        <v>2500</v>
      </c>
      <c r="M799" s="543">
        <v>2500</v>
      </c>
      <c r="N799" s="543">
        <v>2500</v>
      </c>
      <c r="O799" s="543">
        <v>2500</v>
      </c>
      <c r="P799" s="543">
        <v>2500</v>
      </c>
      <c r="Q799" s="543">
        <v>2500</v>
      </c>
      <c r="R799" s="543">
        <v>2500</v>
      </c>
      <c r="S799" s="543">
        <v>2500</v>
      </c>
      <c r="T799" s="543">
        <v>2500</v>
      </c>
      <c r="U799" s="543">
        <v>2500</v>
      </c>
      <c r="V799" s="543">
        <v>2500</v>
      </c>
      <c r="W799" s="543">
        <v>2500</v>
      </c>
      <c r="X799" s="543">
        <v>2500</v>
      </c>
      <c r="Y799" s="543">
        <v>2500</v>
      </c>
      <c r="Z799" s="543">
        <v>2500</v>
      </c>
      <c r="AA799" s="543">
        <v>2500</v>
      </c>
      <c r="AB799" s="543">
        <v>2500</v>
      </c>
      <c r="AC799" s="543">
        <v>2500</v>
      </c>
      <c r="AD799" s="543">
        <v>2500</v>
      </c>
      <c r="AE799" s="543">
        <v>2500</v>
      </c>
      <c r="AF799" s="543">
        <v>2500</v>
      </c>
      <c r="AG799" s="543">
        <v>2500</v>
      </c>
      <c r="AH799" s="543">
        <v>2500</v>
      </c>
      <c r="AI799" s="543">
        <v>2500</v>
      </c>
      <c r="AJ799" s="543">
        <v>2500</v>
      </c>
      <c r="AK799" s="543">
        <v>2500</v>
      </c>
      <c r="AL799" s="543">
        <v>2500</v>
      </c>
      <c r="AM799" s="543">
        <v>2500</v>
      </c>
      <c r="AN799" s="543">
        <v>2500</v>
      </c>
      <c r="AO799" s="44"/>
      <c r="AP799" s="235"/>
    </row>
    <row r="800" spans="3:42" x14ac:dyDescent="0.25">
      <c r="C800" s="553" t="s">
        <v>797</v>
      </c>
      <c r="D800" s="554"/>
      <c r="E800" s="555"/>
      <c r="F800" s="555"/>
      <c r="G800" s="555"/>
      <c r="H800" s="555"/>
      <c r="I800" s="555"/>
      <c r="J800" s="555"/>
      <c r="K800" s="555"/>
      <c r="L800" s="555"/>
      <c r="M800" s="555"/>
      <c r="N800" s="555"/>
      <c r="O800" s="555"/>
      <c r="P800" s="555"/>
      <c r="Q800" s="555"/>
      <c r="R800" s="555"/>
      <c r="S800" s="555"/>
      <c r="T800" s="555"/>
      <c r="U800" s="555"/>
      <c r="V800" s="555"/>
      <c r="W800" s="555"/>
      <c r="X800" s="555"/>
      <c r="Y800" s="555"/>
      <c r="Z800" s="555"/>
      <c r="AA800" s="555"/>
      <c r="AB800" s="555"/>
      <c r="AC800" s="555"/>
      <c r="AD800" s="555"/>
      <c r="AE800" s="555"/>
      <c r="AF800" s="555"/>
      <c r="AG800" s="555"/>
      <c r="AH800" s="555"/>
      <c r="AI800" s="555"/>
      <c r="AJ800" s="555"/>
      <c r="AK800" s="555"/>
      <c r="AL800" s="555"/>
      <c r="AM800" s="555"/>
      <c r="AN800" s="555"/>
      <c r="AO800" s="44"/>
      <c r="AP800" s="555"/>
    </row>
    <row r="801" spans="2:42" x14ac:dyDescent="0.25">
      <c r="C801" s="20" t="s">
        <v>804</v>
      </c>
      <c r="D801" s="34" t="s">
        <v>46</v>
      </c>
      <c r="E801" s="556">
        <v>5500</v>
      </c>
      <c r="F801" s="556">
        <v>5500</v>
      </c>
      <c r="G801" s="556">
        <v>5500</v>
      </c>
      <c r="H801" s="556">
        <v>5500</v>
      </c>
      <c r="I801" s="556">
        <v>5500</v>
      </c>
      <c r="J801" s="556">
        <v>5500</v>
      </c>
      <c r="K801" s="556">
        <v>5500</v>
      </c>
      <c r="L801" s="556">
        <v>5500</v>
      </c>
      <c r="M801" s="556">
        <v>5500</v>
      </c>
      <c r="N801" s="556">
        <v>5500</v>
      </c>
      <c r="O801" s="556">
        <v>5500</v>
      </c>
      <c r="P801" s="556">
        <v>5500</v>
      </c>
      <c r="Q801" s="556">
        <v>5500</v>
      </c>
      <c r="R801" s="556">
        <v>5500</v>
      </c>
      <c r="S801" s="556">
        <v>5500</v>
      </c>
      <c r="T801" s="556">
        <v>5500</v>
      </c>
      <c r="U801" s="556">
        <v>5500</v>
      </c>
      <c r="V801" s="556">
        <v>5500</v>
      </c>
      <c r="W801" s="556">
        <v>5500</v>
      </c>
      <c r="X801" s="556">
        <v>5500</v>
      </c>
      <c r="Y801" s="556">
        <v>5500</v>
      </c>
      <c r="Z801" s="556">
        <v>5500</v>
      </c>
      <c r="AA801" s="556">
        <v>5500</v>
      </c>
      <c r="AB801" s="556">
        <v>5500</v>
      </c>
      <c r="AC801" s="556">
        <v>5500</v>
      </c>
      <c r="AD801" s="556">
        <v>5500</v>
      </c>
      <c r="AE801" s="556">
        <v>5500</v>
      </c>
      <c r="AF801" s="556">
        <v>5500</v>
      </c>
      <c r="AG801" s="556">
        <v>5500</v>
      </c>
      <c r="AH801" s="556">
        <v>5500</v>
      </c>
      <c r="AI801" s="556">
        <v>5500</v>
      </c>
      <c r="AJ801" s="556">
        <v>5500</v>
      </c>
      <c r="AK801" s="556">
        <v>5500</v>
      </c>
      <c r="AL801" s="556">
        <v>5500</v>
      </c>
      <c r="AM801" s="556">
        <v>5500</v>
      </c>
      <c r="AN801" s="556">
        <v>5500</v>
      </c>
      <c r="AO801" s="44"/>
      <c r="AP801" s="235"/>
    </row>
    <row r="802" spans="2:42" x14ac:dyDescent="0.25">
      <c r="C802" s="20" t="s">
        <v>803</v>
      </c>
      <c r="D802" s="34" t="s">
        <v>46</v>
      </c>
      <c r="E802" s="400">
        <v>4250</v>
      </c>
      <c r="F802" s="400">
        <v>4250</v>
      </c>
      <c r="G802" s="400">
        <v>4250</v>
      </c>
      <c r="H802" s="400">
        <v>4250</v>
      </c>
      <c r="I802" s="400">
        <v>4250</v>
      </c>
      <c r="J802" s="400">
        <v>4250</v>
      </c>
      <c r="K802" s="400">
        <v>4250</v>
      </c>
      <c r="L802" s="400">
        <v>4250</v>
      </c>
      <c r="M802" s="400">
        <v>4250</v>
      </c>
      <c r="N802" s="400">
        <v>4250</v>
      </c>
      <c r="O802" s="400">
        <v>4250</v>
      </c>
      <c r="P802" s="400">
        <v>4250</v>
      </c>
      <c r="Q802" s="400">
        <v>4250</v>
      </c>
      <c r="R802" s="400">
        <v>4250</v>
      </c>
      <c r="S802" s="400">
        <v>4250</v>
      </c>
      <c r="T802" s="400">
        <v>4250</v>
      </c>
      <c r="U802" s="400">
        <v>4250</v>
      </c>
      <c r="V802" s="400">
        <v>4250</v>
      </c>
      <c r="W802" s="400">
        <v>4250</v>
      </c>
      <c r="X802" s="400">
        <v>4250</v>
      </c>
      <c r="Y802" s="400">
        <v>4250</v>
      </c>
      <c r="Z802" s="400">
        <v>4250</v>
      </c>
      <c r="AA802" s="400">
        <v>4250</v>
      </c>
      <c r="AB802" s="400">
        <v>4250</v>
      </c>
      <c r="AC802" s="400">
        <v>4250</v>
      </c>
      <c r="AD802" s="400">
        <v>4250</v>
      </c>
      <c r="AE802" s="400">
        <v>4250</v>
      </c>
      <c r="AF802" s="400">
        <v>4250</v>
      </c>
      <c r="AG802" s="400">
        <v>4250</v>
      </c>
      <c r="AH802" s="400">
        <v>4250</v>
      </c>
      <c r="AI802" s="400">
        <v>4250</v>
      </c>
      <c r="AJ802" s="400">
        <v>4250</v>
      </c>
      <c r="AK802" s="400">
        <v>4250</v>
      </c>
      <c r="AL802" s="400">
        <v>4250</v>
      </c>
      <c r="AM802" s="400">
        <v>4250</v>
      </c>
      <c r="AN802" s="400">
        <v>4250</v>
      </c>
      <c r="AO802" s="44"/>
      <c r="AP802" s="235"/>
    </row>
    <row r="803" spans="2:42" x14ac:dyDescent="0.25">
      <c r="C803" s="26" t="s">
        <v>805</v>
      </c>
      <c r="D803" s="319" t="s">
        <v>46</v>
      </c>
      <c r="E803" s="543">
        <v>2500</v>
      </c>
      <c r="F803" s="543">
        <v>2500</v>
      </c>
      <c r="G803" s="543">
        <v>2500</v>
      </c>
      <c r="H803" s="543">
        <v>2500</v>
      </c>
      <c r="I803" s="543">
        <v>2500</v>
      </c>
      <c r="J803" s="543">
        <v>2500</v>
      </c>
      <c r="K803" s="543">
        <v>2500</v>
      </c>
      <c r="L803" s="543">
        <v>2500</v>
      </c>
      <c r="M803" s="543">
        <v>2500</v>
      </c>
      <c r="N803" s="543">
        <v>2500</v>
      </c>
      <c r="O803" s="543">
        <v>2500</v>
      </c>
      <c r="P803" s="543">
        <v>2500</v>
      </c>
      <c r="Q803" s="543">
        <v>2500</v>
      </c>
      <c r="R803" s="543">
        <v>2500</v>
      </c>
      <c r="S803" s="543">
        <v>2500</v>
      </c>
      <c r="T803" s="543">
        <v>2500</v>
      </c>
      <c r="U803" s="543">
        <v>2500</v>
      </c>
      <c r="V803" s="543">
        <v>2500</v>
      </c>
      <c r="W803" s="543">
        <v>2500</v>
      </c>
      <c r="X803" s="543">
        <v>2500</v>
      </c>
      <c r="Y803" s="543">
        <v>2500</v>
      </c>
      <c r="Z803" s="543">
        <v>2500</v>
      </c>
      <c r="AA803" s="543">
        <v>2500</v>
      </c>
      <c r="AB803" s="543">
        <v>2500</v>
      </c>
      <c r="AC803" s="543">
        <v>2500</v>
      </c>
      <c r="AD803" s="543">
        <v>2500</v>
      </c>
      <c r="AE803" s="543">
        <v>2500</v>
      </c>
      <c r="AF803" s="543">
        <v>2500</v>
      </c>
      <c r="AG803" s="543">
        <v>2500</v>
      </c>
      <c r="AH803" s="543">
        <v>2500</v>
      </c>
      <c r="AI803" s="543">
        <v>2500</v>
      </c>
      <c r="AJ803" s="543">
        <v>2500</v>
      </c>
      <c r="AK803" s="543">
        <v>2500</v>
      </c>
      <c r="AL803" s="543">
        <v>2500</v>
      </c>
      <c r="AM803" s="543">
        <v>2500</v>
      </c>
      <c r="AN803" s="543">
        <v>2500</v>
      </c>
      <c r="AO803" s="44"/>
      <c r="AP803" s="235"/>
    </row>
    <row r="804" spans="2:42" x14ac:dyDescent="0.25">
      <c r="C804" s="553" t="s">
        <v>798</v>
      </c>
      <c r="D804" s="554"/>
      <c r="E804" s="555"/>
      <c r="F804" s="555"/>
      <c r="G804" s="555"/>
      <c r="H804" s="555"/>
      <c r="I804" s="555"/>
      <c r="J804" s="555"/>
      <c r="K804" s="555"/>
      <c r="L804" s="555"/>
      <c r="M804" s="555"/>
      <c r="N804" s="555"/>
      <c r="O804" s="555"/>
      <c r="P804" s="555"/>
      <c r="Q804" s="555"/>
      <c r="R804" s="555"/>
      <c r="S804" s="555"/>
      <c r="T804" s="555"/>
      <c r="U804" s="555"/>
      <c r="V804" s="555"/>
      <c r="W804" s="555"/>
      <c r="X804" s="555"/>
      <c r="Y804" s="555"/>
      <c r="Z804" s="555"/>
      <c r="AA804" s="555"/>
      <c r="AB804" s="555"/>
      <c r="AC804" s="555"/>
      <c r="AD804" s="555"/>
      <c r="AE804" s="555"/>
      <c r="AF804" s="555"/>
      <c r="AG804" s="555"/>
      <c r="AH804" s="555"/>
      <c r="AI804" s="555"/>
      <c r="AJ804" s="555"/>
      <c r="AK804" s="555"/>
      <c r="AL804" s="555"/>
      <c r="AM804" s="555"/>
      <c r="AN804" s="555"/>
      <c r="AO804" s="44"/>
      <c r="AP804" s="555"/>
    </row>
    <row r="805" spans="2:42" x14ac:dyDescent="0.25">
      <c r="C805" s="20" t="s">
        <v>804</v>
      </c>
      <c r="D805" s="34" t="s">
        <v>46</v>
      </c>
      <c r="E805" s="556">
        <v>5500</v>
      </c>
      <c r="F805" s="556">
        <v>5500</v>
      </c>
      <c r="G805" s="556">
        <v>5500</v>
      </c>
      <c r="H805" s="556">
        <v>5500</v>
      </c>
      <c r="I805" s="556">
        <v>5500</v>
      </c>
      <c r="J805" s="556">
        <v>5500</v>
      </c>
      <c r="K805" s="556">
        <v>5500</v>
      </c>
      <c r="L805" s="556">
        <v>5500</v>
      </c>
      <c r="M805" s="556">
        <v>5500</v>
      </c>
      <c r="N805" s="556">
        <v>5500</v>
      </c>
      <c r="O805" s="556">
        <v>5500</v>
      </c>
      <c r="P805" s="556">
        <v>5500</v>
      </c>
      <c r="Q805" s="556">
        <v>5500</v>
      </c>
      <c r="R805" s="556">
        <v>5500</v>
      </c>
      <c r="S805" s="556">
        <v>5500</v>
      </c>
      <c r="T805" s="556">
        <v>5500</v>
      </c>
      <c r="U805" s="556">
        <v>5500</v>
      </c>
      <c r="V805" s="556">
        <v>5500</v>
      </c>
      <c r="W805" s="556">
        <v>5500</v>
      </c>
      <c r="X805" s="556">
        <v>5500</v>
      </c>
      <c r="Y805" s="556">
        <v>5500</v>
      </c>
      <c r="Z805" s="556">
        <v>5500</v>
      </c>
      <c r="AA805" s="556">
        <v>5500</v>
      </c>
      <c r="AB805" s="556">
        <v>5500</v>
      </c>
      <c r="AC805" s="556">
        <v>5500</v>
      </c>
      <c r="AD805" s="556">
        <v>5500</v>
      </c>
      <c r="AE805" s="556">
        <v>5500</v>
      </c>
      <c r="AF805" s="556">
        <v>5500</v>
      </c>
      <c r="AG805" s="556">
        <v>5500</v>
      </c>
      <c r="AH805" s="556">
        <v>5500</v>
      </c>
      <c r="AI805" s="556">
        <v>5500</v>
      </c>
      <c r="AJ805" s="556">
        <v>5500</v>
      </c>
      <c r="AK805" s="556">
        <v>5500</v>
      </c>
      <c r="AL805" s="556">
        <v>5500</v>
      </c>
      <c r="AM805" s="556">
        <v>5500</v>
      </c>
      <c r="AN805" s="556">
        <v>5500</v>
      </c>
      <c r="AO805" s="44"/>
      <c r="AP805" s="235"/>
    </row>
    <row r="806" spans="2:42" x14ac:dyDescent="0.25">
      <c r="C806" s="20" t="s">
        <v>803</v>
      </c>
      <c r="D806" s="34" t="s">
        <v>46</v>
      </c>
      <c r="E806" s="400">
        <v>4250</v>
      </c>
      <c r="F806" s="400">
        <v>4250</v>
      </c>
      <c r="G806" s="400">
        <v>4250</v>
      </c>
      <c r="H806" s="400">
        <v>4250</v>
      </c>
      <c r="I806" s="400">
        <v>4250</v>
      </c>
      <c r="J806" s="400">
        <v>4250</v>
      </c>
      <c r="K806" s="400">
        <v>4250</v>
      </c>
      <c r="L806" s="400">
        <v>4250</v>
      </c>
      <c r="M806" s="400">
        <v>4250</v>
      </c>
      <c r="N806" s="400">
        <v>4250</v>
      </c>
      <c r="O806" s="400">
        <v>4250</v>
      </c>
      <c r="P806" s="400">
        <v>4250</v>
      </c>
      <c r="Q806" s="400">
        <v>4250</v>
      </c>
      <c r="R806" s="400">
        <v>4250</v>
      </c>
      <c r="S806" s="400">
        <v>4250</v>
      </c>
      <c r="T806" s="400">
        <v>4250</v>
      </c>
      <c r="U806" s="400">
        <v>4250</v>
      </c>
      <c r="V806" s="400">
        <v>4250</v>
      </c>
      <c r="W806" s="400">
        <v>4250</v>
      </c>
      <c r="X806" s="400">
        <v>4250</v>
      </c>
      <c r="Y806" s="400">
        <v>4250</v>
      </c>
      <c r="Z806" s="400">
        <v>4250</v>
      </c>
      <c r="AA806" s="400">
        <v>4250</v>
      </c>
      <c r="AB806" s="400">
        <v>4250</v>
      </c>
      <c r="AC806" s="400">
        <v>4250</v>
      </c>
      <c r="AD806" s="400">
        <v>4250</v>
      </c>
      <c r="AE806" s="400">
        <v>4250</v>
      </c>
      <c r="AF806" s="400">
        <v>4250</v>
      </c>
      <c r="AG806" s="400">
        <v>4250</v>
      </c>
      <c r="AH806" s="400">
        <v>4250</v>
      </c>
      <c r="AI806" s="400">
        <v>4250</v>
      </c>
      <c r="AJ806" s="400">
        <v>4250</v>
      </c>
      <c r="AK806" s="400">
        <v>4250</v>
      </c>
      <c r="AL806" s="400">
        <v>4250</v>
      </c>
      <c r="AM806" s="400">
        <v>4250</v>
      </c>
      <c r="AN806" s="400">
        <v>4250</v>
      </c>
      <c r="AO806" s="44"/>
      <c r="AP806" s="235"/>
    </row>
    <row r="807" spans="2:42" x14ac:dyDescent="0.25">
      <c r="C807" s="26" t="s">
        <v>805</v>
      </c>
      <c r="D807" s="319" t="s">
        <v>46</v>
      </c>
      <c r="E807" s="543">
        <v>2500</v>
      </c>
      <c r="F807" s="543">
        <v>2500</v>
      </c>
      <c r="G807" s="543">
        <v>2500</v>
      </c>
      <c r="H807" s="543">
        <v>2500</v>
      </c>
      <c r="I807" s="543">
        <v>2500</v>
      </c>
      <c r="J807" s="543">
        <v>2500</v>
      </c>
      <c r="K807" s="543">
        <v>2500</v>
      </c>
      <c r="L807" s="543">
        <v>2500</v>
      </c>
      <c r="M807" s="543">
        <v>2500</v>
      </c>
      <c r="N807" s="543">
        <v>2500</v>
      </c>
      <c r="O807" s="543">
        <v>2500</v>
      </c>
      <c r="P807" s="543">
        <v>2500</v>
      </c>
      <c r="Q807" s="543">
        <v>2500</v>
      </c>
      <c r="R807" s="543">
        <v>2500</v>
      </c>
      <c r="S807" s="543">
        <v>2500</v>
      </c>
      <c r="T807" s="543">
        <v>2500</v>
      </c>
      <c r="U807" s="543">
        <v>2500</v>
      </c>
      <c r="V807" s="543">
        <v>2500</v>
      </c>
      <c r="W807" s="543">
        <v>2500</v>
      </c>
      <c r="X807" s="543">
        <v>2500</v>
      </c>
      <c r="Y807" s="543">
        <v>2500</v>
      </c>
      <c r="Z807" s="543">
        <v>2500</v>
      </c>
      <c r="AA807" s="543">
        <v>2500</v>
      </c>
      <c r="AB807" s="543">
        <v>2500</v>
      </c>
      <c r="AC807" s="543">
        <v>2500</v>
      </c>
      <c r="AD807" s="543">
        <v>2500</v>
      </c>
      <c r="AE807" s="543">
        <v>2500</v>
      </c>
      <c r="AF807" s="543">
        <v>2500</v>
      </c>
      <c r="AG807" s="543">
        <v>2500</v>
      </c>
      <c r="AH807" s="543">
        <v>2500</v>
      </c>
      <c r="AI807" s="543">
        <v>2500</v>
      </c>
      <c r="AJ807" s="543">
        <v>2500</v>
      </c>
      <c r="AK807" s="543">
        <v>2500</v>
      </c>
      <c r="AL807" s="543">
        <v>2500</v>
      </c>
      <c r="AM807" s="543">
        <v>2500</v>
      </c>
      <c r="AN807" s="543">
        <v>2500</v>
      </c>
      <c r="AO807" s="44"/>
      <c r="AP807" s="235"/>
    </row>
    <row r="808" spans="2:42" x14ac:dyDescent="0.25">
      <c r="C808" s="553" t="s">
        <v>799</v>
      </c>
      <c r="D808" s="554"/>
      <c r="E808" s="555"/>
      <c r="F808" s="555"/>
      <c r="G808" s="555"/>
      <c r="H808" s="555"/>
      <c r="I808" s="555"/>
      <c r="J808" s="555"/>
      <c r="K808" s="555"/>
      <c r="L808" s="555"/>
      <c r="M808" s="555"/>
      <c r="N808" s="555"/>
      <c r="O808" s="555"/>
      <c r="P808" s="555"/>
      <c r="Q808" s="555"/>
      <c r="R808" s="555"/>
      <c r="S808" s="555"/>
      <c r="T808" s="555"/>
      <c r="U808" s="555"/>
      <c r="V808" s="555"/>
      <c r="W808" s="555"/>
      <c r="X808" s="555"/>
      <c r="Y808" s="555"/>
      <c r="Z808" s="555"/>
      <c r="AA808" s="555"/>
      <c r="AB808" s="555"/>
      <c r="AC808" s="555"/>
      <c r="AD808" s="555"/>
      <c r="AE808" s="555"/>
      <c r="AF808" s="555"/>
      <c r="AG808" s="555"/>
      <c r="AH808" s="555"/>
      <c r="AI808" s="555"/>
      <c r="AJ808" s="555"/>
      <c r="AK808" s="555"/>
      <c r="AL808" s="555"/>
      <c r="AM808" s="555"/>
      <c r="AN808" s="555"/>
      <c r="AO808" s="44"/>
      <c r="AP808" s="555"/>
    </row>
    <row r="809" spans="2:42" x14ac:dyDescent="0.25">
      <c r="C809" s="20" t="s">
        <v>804</v>
      </c>
      <c r="D809" s="34" t="s">
        <v>46</v>
      </c>
      <c r="E809" s="556">
        <v>5500</v>
      </c>
      <c r="F809" s="556">
        <v>5500</v>
      </c>
      <c r="G809" s="556">
        <v>5500</v>
      </c>
      <c r="H809" s="556">
        <v>5500</v>
      </c>
      <c r="I809" s="556">
        <v>5500</v>
      </c>
      <c r="J809" s="556">
        <v>5500</v>
      </c>
      <c r="K809" s="556">
        <v>5500</v>
      </c>
      <c r="L809" s="556">
        <v>5500</v>
      </c>
      <c r="M809" s="556">
        <v>5500</v>
      </c>
      <c r="N809" s="556">
        <v>5500</v>
      </c>
      <c r="O809" s="556">
        <v>5500</v>
      </c>
      <c r="P809" s="556">
        <v>5500</v>
      </c>
      <c r="Q809" s="556">
        <v>5500</v>
      </c>
      <c r="R809" s="556">
        <v>5500</v>
      </c>
      <c r="S809" s="556">
        <v>5500</v>
      </c>
      <c r="T809" s="556">
        <v>5500</v>
      </c>
      <c r="U809" s="556">
        <v>5500</v>
      </c>
      <c r="V809" s="556">
        <v>5500</v>
      </c>
      <c r="W809" s="556">
        <v>5500</v>
      </c>
      <c r="X809" s="556">
        <v>5500</v>
      </c>
      <c r="Y809" s="556">
        <v>5500</v>
      </c>
      <c r="Z809" s="556">
        <v>5500</v>
      </c>
      <c r="AA809" s="556">
        <v>5500</v>
      </c>
      <c r="AB809" s="556">
        <v>5500</v>
      </c>
      <c r="AC809" s="556">
        <v>5500</v>
      </c>
      <c r="AD809" s="556">
        <v>5500</v>
      </c>
      <c r="AE809" s="556">
        <v>5500</v>
      </c>
      <c r="AF809" s="556">
        <v>5500</v>
      </c>
      <c r="AG809" s="556">
        <v>5500</v>
      </c>
      <c r="AH809" s="556">
        <v>5500</v>
      </c>
      <c r="AI809" s="556">
        <v>5500</v>
      </c>
      <c r="AJ809" s="556">
        <v>5500</v>
      </c>
      <c r="AK809" s="556">
        <v>5500</v>
      </c>
      <c r="AL809" s="556">
        <v>5500</v>
      </c>
      <c r="AM809" s="556">
        <v>5500</v>
      </c>
      <c r="AN809" s="556">
        <v>5500</v>
      </c>
      <c r="AO809" s="44"/>
      <c r="AP809" s="235"/>
    </row>
    <row r="810" spans="2:42" x14ac:dyDescent="0.25">
      <c r="C810" s="20" t="s">
        <v>803</v>
      </c>
      <c r="D810" s="34" t="s">
        <v>46</v>
      </c>
      <c r="E810" s="400">
        <v>4250</v>
      </c>
      <c r="F810" s="400">
        <v>4250</v>
      </c>
      <c r="G810" s="400">
        <v>4250</v>
      </c>
      <c r="H810" s="400">
        <v>4250</v>
      </c>
      <c r="I810" s="400">
        <v>4250</v>
      </c>
      <c r="J810" s="400">
        <v>4250</v>
      </c>
      <c r="K810" s="400">
        <v>4250</v>
      </c>
      <c r="L810" s="400">
        <v>4250</v>
      </c>
      <c r="M810" s="400">
        <v>4250</v>
      </c>
      <c r="N810" s="400">
        <v>4250</v>
      </c>
      <c r="O810" s="400">
        <v>4250</v>
      </c>
      <c r="P810" s="400">
        <v>4250</v>
      </c>
      <c r="Q810" s="400">
        <v>4250</v>
      </c>
      <c r="R810" s="400">
        <v>4250</v>
      </c>
      <c r="S810" s="400">
        <v>4250</v>
      </c>
      <c r="T810" s="400">
        <v>4250</v>
      </c>
      <c r="U810" s="400">
        <v>4250</v>
      </c>
      <c r="V810" s="400">
        <v>4250</v>
      </c>
      <c r="W810" s="400">
        <v>4250</v>
      </c>
      <c r="X810" s="400">
        <v>4250</v>
      </c>
      <c r="Y810" s="400">
        <v>4250</v>
      </c>
      <c r="Z810" s="400">
        <v>4250</v>
      </c>
      <c r="AA810" s="400">
        <v>4250</v>
      </c>
      <c r="AB810" s="400">
        <v>4250</v>
      </c>
      <c r="AC810" s="400">
        <v>4250</v>
      </c>
      <c r="AD810" s="400">
        <v>4250</v>
      </c>
      <c r="AE810" s="400">
        <v>4250</v>
      </c>
      <c r="AF810" s="400">
        <v>4250</v>
      </c>
      <c r="AG810" s="400">
        <v>4250</v>
      </c>
      <c r="AH810" s="400">
        <v>4250</v>
      </c>
      <c r="AI810" s="400">
        <v>4250</v>
      </c>
      <c r="AJ810" s="400">
        <v>4250</v>
      </c>
      <c r="AK810" s="400">
        <v>4250</v>
      </c>
      <c r="AL810" s="400">
        <v>4250</v>
      </c>
      <c r="AM810" s="400">
        <v>4250</v>
      </c>
      <c r="AN810" s="400">
        <v>4250</v>
      </c>
      <c r="AO810" s="44"/>
      <c r="AP810" s="235"/>
    </row>
    <row r="811" spans="2:42" x14ac:dyDescent="0.25">
      <c r="C811" s="26" t="s">
        <v>805</v>
      </c>
      <c r="D811" s="319" t="s">
        <v>46</v>
      </c>
      <c r="E811" s="543">
        <v>2500</v>
      </c>
      <c r="F811" s="543">
        <v>2500</v>
      </c>
      <c r="G811" s="543">
        <v>2500</v>
      </c>
      <c r="H811" s="543">
        <v>2500</v>
      </c>
      <c r="I811" s="543">
        <v>2500</v>
      </c>
      <c r="J811" s="543">
        <v>2500</v>
      </c>
      <c r="K811" s="543">
        <v>2500</v>
      </c>
      <c r="L811" s="543">
        <v>2500</v>
      </c>
      <c r="M811" s="543">
        <v>2500</v>
      </c>
      <c r="N811" s="543">
        <v>2500</v>
      </c>
      <c r="O811" s="543">
        <v>2500</v>
      </c>
      <c r="P811" s="543">
        <v>2500</v>
      </c>
      <c r="Q811" s="543">
        <v>2500</v>
      </c>
      <c r="R811" s="543">
        <v>2500</v>
      </c>
      <c r="S811" s="543">
        <v>2500</v>
      </c>
      <c r="T811" s="543">
        <v>2500</v>
      </c>
      <c r="U811" s="543">
        <v>2500</v>
      </c>
      <c r="V811" s="543">
        <v>2500</v>
      </c>
      <c r="W811" s="543">
        <v>2500</v>
      </c>
      <c r="X811" s="543">
        <v>2500</v>
      </c>
      <c r="Y811" s="543">
        <v>2500</v>
      </c>
      <c r="Z811" s="543">
        <v>2500</v>
      </c>
      <c r="AA811" s="543">
        <v>2500</v>
      </c>
      <c r="AB811" s="543">
        <v>2500</v>
      </c>
      <c r="AC811" s="543">
        <v>2500</v>
      </c>
      <c r="AD811" s="543">
        <v>2500</v>
      </c>
      <c r="AE811" s="543">
        <v>2500</v>
      </c>
      <c r="AF811" s="543">
        <v>2500</v>
      </c>
      <c r="AG811" s="543">
        <v>2500</v>
      </c>
      <c r="AH811" s="543">
        <v>2500</v>
      </c>
      <c r="AI811" s="543">
        <v>2500</v>
      </c>
      <c r="AJ811" s="543">
        <v>2500</v>
      </c>
      <c r="AK811" s="543">
        <v>2500</v>
      </c>
      <c r="AL811" s="543">
        <v>2500</v>
      </c>
      <c r="AM811" s="543">
        <v>2500</v>
      </c>
      <c r="AN811" s="543">
        <v>2500</v>
      </c>
      <c r="AO811" s="44"/>
      <c r="AP811" s="235"/>
    </row>
    <row r="812" spans="2:42" x14ac:dyDescent="0.25">
      <c r="C812" s="553" t="s">
        <v>800</v>
      </c>
      <c r="D812" s="554" t="s">
        <v>46</v>
      </c>
      <c r="E812" s="555"/>
      <c r="F812" s="555"/>
      <c r="G812" s="555"/>
      <c r="H812" s="555"/>
      <c r="I812" s="555"/>
      <c r="J812" s="555"/>
      <c r="K812" s="555"/>
      <c r="L812" s="555"/>
      <c r="M812" s="555"/>
      <c r="N812" s="555"/>
      <c r="O812" s="555"/>
      <c r="P812" s="555"/>
      <c r="Q812" s="555"/>
      <c r="R812" s="555"/>
      <c r="S812" s="555"/>
      <c r="T812" s="555"/>
      <c r="U812" s="555"/>
      <c r="V812" s="555"/>
      <c r="W812" s="555"/>
      <c r="X812" s="555"/>
      <c r="Y812" s="555"/>
      <c r="Z812" s="555"/>
      <c r="AA812" s="555"/>
      <c r="AB812" s="555"/>
      <c r="AC812" s="555"/>
      <c r="AD812" s="555"/>
      <c r="AE812" s="555"/>
      <c r="AF812" s="555"/>
      <c r="AG812" s="555"/>
      <c r="AH812" s="555"/>
      <c r="AI812" s="555"/>
      <c r="AJ812" s="555"/>
      <c r="AK812" s="555"/>
      <c r="AL812" s="555"/>
      <c r="AM812" s="555"/>
      <c r="AN812" s="555"/>
      <c r="AO812" s="44"/>
      <c r="AP812" s="555"/>
    </row>
    <row r="813" spans="2:42" s="44" customFormat="1" x14ac:dyDescent="0.25">
      <c r="C813" s="234" t="s">
        <v>823</v>
      </c>
      <c r="D813" s="101" t="s">
        <v>46</v>
      </c>
      <c r="E813" s="556">
        <v>24</v>
      </c>
      <c r="F813" s="556">
        <v>24</v>
      </c>
      <c r="G813" s="556">
        <v>24</v>
      </c>
      <c r="H813" s="556">
        <v>24</v>
      </c>
      <c r="I813" s="556">
        <v>24</v>
      </c>
      <c r="J813" s="556">
        <v>24</v>
      </c>
      <c r="K813" s="556">
        <v>24</v>
      </c>
      <c r="L813" s="556">
        <v>24</v>
      </c>
      <c r="M813" s="556">
        <v>24</v>
      </c>
      <c r="N813" s="556">
        <v>24</v>
      </c>
      <c r="O813" s="556">
        <v>24</v>
      </c>
      <c r="P813" s="556">
        <v>24</v>
      </c>
      <c r="Q813" s="556">
        <v>24</v>
      </c>
      <c r="R813" s="556">
        <v>24</v>
      </c>
      <c r="S813" s="556">
        <v>24</v>
      </c>
      <c r="T813" s="556">
        <v>24</v>
      </c>
      <c r="U813" s="556">
        <v>24</v>
      </c>
      <c r="V813" s="556">
        <v>24</v>
      </c>
      <c r="W813" s="556">
        <v>24</v>
      </c>
      <c r="X813" s="556">
        <v>24</v>
      </c>
      <c r="Y813" s="556">
        <v>24</v>
      </c>
      <c r="Z813" s="556">
        <v>24</v>
      </c>
      <c r="AA813" s="556">
        <v>24</v>
      </c>
      <c r="AB813" s="556">
        <v>24</v>
      </c>
      <c r="AC813" s="556">
        <v>24</v>
      </c>
      <c r="AD813" s="556">
        <v>24</v>
      </c>
      <c r="AE813" s="556">
        <v>24</v>
      </c>
      <c r="AF813" s="556">
        <v>24</v>
      </c>
      <c r="AG813" s="556">
        <v>24</v>
      </c>
      <c r="AH813" s="556">
        <v>24</v>
      </c>
      <c r="AI813" s="556">
        <v>24</v>
      </c>
      <c r="AJ813" s="556">
        <v>24</v>
      </c>
      <c r="AK813" s="556">
        <v>24</v>
      </c>
      <c r="AL813" s="556">
        <v>24</v>
      </c>
      <c r="AM813" s="556">
        <v>24</v>
      </c>
      <c r="AN813" s="556">
        <v>24</v>
      </c>
      <c r="AP813" s="552"/>
    </row>
    <row r="814" spans="2:42" s="44" customFormat="1" x14ac:dyDescent="0.25">
      <c r="C814" s="244" t="s">
        <v>824</v>
      </c>
      <c r="D814" s="315" t="s">
        <v>46</v>
      </c>
      <c r="E814" s="543">
        <f>1000</f>
        <v>1000</v>
      </c>
      <c r="F814" s="543">
        <f>1000</f>
        <v>1000</v>
      </c>
      <c r="G814" s="543">
        <f>1000</f>
        <v>1000</v>
      </c>
      <c r="H814" s="543">
        <f>1000</f>
        <v>1000</v>
      </c>
      <c r="I814" s="543">
        <f>1000</f>
        <v>1000</v>
      </c>
      <c r="J814" s="543">
        <f>1000</f>
        <v>1000</v>
      </c>
      <c r="K814" s="543">
        <f>1000</f>
        <v>1000</v>
      </c>
      <c r="L814" s="543">
        <f>1000</f>
        <v>1000</v>
      </c>
      <c r="M814" s="543">
        <f>1000</f>
        <v>1000</v>
      </c>
      <c r="N814" s="543">
        <f>1000</f>
        <v>1000</v>
      </c>
      <c r="O814" s="543">
        <f>1000</f>
        <v>1000</v>
      </c>
      <c r="P814" s="543">
        <f>1000</f>
        <v>1000</v>
      </c>
      <c r="Q814" s="543">
        <f>1000</f>
        <v>1000</v>
      </c>
      <c r="R814" s="543">
        <f>1000</f>
        <v>1000</v>
      </c>
      <c r="S814" s="543">
        <f>1000</f>
        <v>1000</v>
      </c>
      <c r="T814" s="543">
        <f>1000</f>
        <v>1000</v>
      </c>
      <c r="U814" s="543">
        <f>1000</f>
        <v>1000</v>
      </c>
      <c r="V814" s="543">
        <f>1000</f>
        <v>1000</v>
      </c>
      <c r="W814" s="543">
        <f>1000</f>
        <v>1000</v>
      </c>
      <c r="X814" s="543">
        <f>1000</f>
        <v>1000</v>
      </c>
      <c r="Y814" s="543">
        <f>1000</f>
        <v>1000</v>
      </c>
      <c r="Z814" s="543">
        <f>1000</f>
        <v>1000</v>
      </c>
      <c r="AA814" s="543">
        <f>1000</f>
        <v>1000</v>
      </c>
      <c r="AB814" s="543">
        <f>1000</f>
        <v>1000</v>
      </c>
      <c r="AC814" s="543">
        <f>1000</f>
        <v>1000</v>
      </c>
      <c r="AD814" s="543">
        <f>1000</f>
        <v>1000</v>
      </c>
      <c r="AE814" s="543">
        <f>1000</f>
        <v>1000</v>
      </c>
      <c r="AF814" s="543">
        <f>1000</f>
        <v>1000</v>
      </c>
      <c r="AG814" s="543">
        <f>1000</f>
        <v>1000</v>
      </c>
      <c r="AH814" s="543">
        <f>1000</f>
        <v>1000</v>
      </c>
      <c r="AI814" s="543">
        <f>1000</f>
        <v>1000</v>
      </c>
      <c r="AJ814" s="543">
        <f>1000</f>
        <v>1000</v>
      </c>
      <c r="AK814" s="543">
        <f>1000</f>
        <v>1000</v>
      </c>
      <c r="AL814" s="543">
        <f>1000</f>
        <v>1000</v>
      </c>
      <c r="AM814" s="543">
        <f>1000</f>
        <v>1000</v>
      </c>
      <c r="AN814" s="543">
        <f>1000</f>
        <v>1000</v>
      </c>
      <c r="AP814" s="549"/>
    </row>
    <row r="815" spans="2:42" x14ac:dyDescent="0.25">
      <c r="B815" s="33" t="s">
        <v>9</v>
      </c>
      <c r="C815" s="11" t="s">
        <v>774</v>
      </c>
      <c r="D815" s="557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P815" s="11"/>
    </row>
    <row r="816" spans="2:42" x14ac:dyDescent="0.25">
      <c r="C816" s="553" t="s">
        <v>825</v>
      </c>
      <c r="D816" s="554"/>
      <c r="E816" s="553"/>
      <c r="F816" s="553"/>
      <c r="G816" s="553"/>
      <c r="H816" s="553"/>
      <c r="I816" s="553"/>
      <c r="J816" s="553"/>
      <c r="K816" s="553"/>
      <c r="L816" s="553"/>
      <c r="M816" s="553"/>
      <c r="N816" s="553"/>
      <c r="O816" s="553"/>
      <c r="P816" s="553"/>
      <c r="Q816" s="553"/>
      <c r="R816" s="553"/>
      <c r="S816" s="553"/>
      <c r="T816" s="553"/>
      <c r="U816" s="553"/>
      <c r="V816" s="553"/>
      <c r="W816" s="553"/>
      <c r="X816" s="553"/>
      <c r="Y816" s="553"/>
      <c r="Z816" s="553"/>
      <c r="AA816" s="553"/>
      <c r="AB816" s="553"/>
      <c r="AC816" s="553"/>
      <c r="AD816" s="553"/>
      <c r="AE816" s="553"/>
      <c r="AF816" s="553"/>
      <c r="AG816" s="553"/>
      <c r="AH816" s="553"/>
      <c r="AI816" s="553"/>
      <c r="AJ816" s="553"/>
      <c r="AK816" s="553"/>
      <c r="AL816" s="553"/>
      <c r="AM816" s="553"/>
      <c r="AN816" s="553"/>
      <c r="AP816" s="553"/>
    </row>
    <row r="817" spans="3:42" x14ac:dyDescent="0.25">
      <c r="C817" s="20" t="s">
        <v>830</v>
      </c>
      <c r="D817" s="34" t="s">
        <v>46</v>
      </c>
      <c r="E817" s="23">
        <v>1</v>
      </c>
      <c r="F817" s="23">
        <v>1</v>
      </c>
      <c r="G817" s="23">
        <v>1</v>
      </c>
      <c r="H817" s="23">
        <v>1</v>
      </c>
      <c r="I817" s="23">
        <v>1</v>
      </c>
      <c r="J817" s="23">
        <v>1</v>
      </c>
      <c r="K817" s="23">
        <v>1</v>
      </c>
      <c r="L817" s="23">
        <v>1</v>
      </c>
      <c r="M817" s="23">
        <v>1</v>
      </c>
      <c r="N817" s="23">
        <v>1</v>
      </c>
      <c r="O817" s="23">
        <v>1</v>
      </c>
      <c r="P817" s="23">
        <v>1</v>
      </c>
      <c r="Q817" s="23">
        <v>1</v>
      </c>
      <c r="R817" s="23">
        <v>1</v>
      </c>
      <c r="S817" s="23">
        <v>1</v>
      </c>
      <c r="T817" s="23">
        <v>1</v>
      </c>
      <c r="U817" s="23">
        <v>1</v>
      </c>
      <c r="V817" s="23">
        <v>1</v>
      </c>
      <c r="W817" s="23">
        <v>1</v>
      </c>
      <c r="X817" s="23">
        <v>1</v>
      </c>
      <c r="Y817" s="23">
        <v>1</v>
      </c>
      <c r="Z817" s="23">
        <v>1</v>
      </c>
      <c r="AA817" s="23">
        <v>1</v>
      </c>
      <c r="AB817" s="23">
        <v>1</v>
      </c>
      <c r="AC817" s="23">
        <v>1</v>
      </c>
      <c r="AD817" s="23">
        <v>1</v>
      </c>
      <c r="AE817" s="23">
        <v>1</v>
      </c>
      <c r="AF817" s="23">
        <v>1</v>
      </c>
      <c r="AG817" s="23">
        <v>1</v>
      </c>
      <c r="AH817" s="23">
        <v>1</v>
      </c>
      <c r="AI817" s="23">
        <v>1</v>
      </c>
      <c r="AJ817" s="23">
        <v>1</v>
      </c>
      <c r="AK817" s="23">
        <v>1</v>
      </c>
      <c r="AL817" s="23">
        <v>1</v>
      </c>
      <c r="AM817" s="23">
        <v>1</v>
      </c>
      <c r="AN817" s="23">
        <v>1</v>
      </c>
      <c r="AP817" s="20"/>
    </row>
    <row r="818" spans="3:42" x14ac:dyDescent="0.25">
      <c r="C818" s="20" t="s">
        <v>784</v>
      </c>
      <c r="D818" s="34" t="s">
        <v>46</v>
      </c>
      <c r="E818" s="24">
        <v>1</v>
      </c>
      <c r="F818" s="24">
        <v>1</v>
      </c>
      <c r="G818" s="24">
        <v>1</v>
      </c>
      <c r="H818" s="24">
        <v>1</v>
      </c>
      <c r="I818" s="24">
        <v>1</v>
      </c>
      <c r="J818" s="24">
        <v>1</v>
      </c>
      <c r="K818" s="24">
        <v>1</v>
      </c>
      <c r="L818" s="24">
        <v>1</v>
      </c>
      <c r="M818" s="24">
        <v>1</v>
      </c>
      <c r="N818" s="24">
        <v>1</v>
      </c>
      <c r="O818" s="24">
        <v>1</v>
      </c>
      <c r="P818" s="24">
        <v>1</v>
      </c>
      <c r="Q818" s="24">
        <v>1</v>
      </c>
      <c r="R818" s="24">
        <v>1</v>
      </c>
      <c r="S818" s="24">
        <v>1</v>
      </c>
      <c r="T818" s="24">
        <v>1</v>
      </c>
      <c r="U818" s="24">
        <v>1</v>
      </c>
      <c r="V818" s="24">
        <v>1</v>
      </c>
      <c r="W818" s="24">
        <v>1</v>
      </c>
      <c r="X818" s="24">
        <v>1</v>
      </c>
      <c r="Y818" s="24">
        <v>1</v>
      </c>
      <c r="Z818" s="24">
        <v>1</v>
      </c>
      <c r="AA818" s="24">
        <v>1</v>
      </c>
      <c r="AB818" s="24">
        <v>1</v>
      </c>
      <c r="AC818" s="24">
        <v>1</v>
      </c>
      <c r="AD818" s="24">
        <v>1</v>
      </c>
      <c r="AE818" s="24">
        <v>1</v>
      </c>
      <c r="AF818" s="24">
        <v>1</v>
      </c>
      <c r="AG818" s="24">
        <v>1</v>
      </c>
      <c r="AH818" s="24">
        <v>1</v>
      </c>
      <c r="AI818" s="24">
        <v>1</v>
      </c>
      <c r="AJ818" s="24">
        <v>1</v>
      </c>
      <c r="AK818" s="24">
        <v>1</v>
      </c>
      <c r="AL818" s="24">
        <v>1</v>
      </c>
      <c r="AM818" s="24">
        <v>1</v>
      </c>
      <c r="AN818" s="24">
        <v>1</v>
      </c>
      <c r="AP818" s="20"/>
    </row>
    <row r="819" spans="3:42" x14ac:dyDescent="0.25">
      <c r="C819" s="20" t="s">
        <v>785</v>
      </c>
      <c r="D819" s="34" t="s">
        <v>46</v>
      </c>
      <c r="E819" s="24">
        <v>1</v>
      </c>
      <c r="F819" s="24">
        <v>1</v>
      </c>
      <c r="G819" s="24">
        <v>1</v>
      </c>
      <c r="H819" s="24">
        <v>1</v>
      </c>
      <c r="I819" s="24">
        <v>1</v>
      </c>
      <c r="J819" s="24">
        <v>1</v>
      </c>
      <c r="K819" s="24">
        <v>1</v>
      </c>
      <c r="L819" s="24">
        <v>1</v>
      </c>
      <c r="M819" s="24">
        <v>1</v>
      </c>
      <c r="N819" s="24">
        <v>1</v>
      </c>
      <c r="O819" s="24">
        <v>1</v>
      </c>
      <c r="P819" s="24">
        <v>1</v>
      </c>
      <c r="Q819" s="24">
        <v>1</v>
      </c>
      <c r="R819" s="24">
        <v>1</v>
      </c>
      <c r="S819" s="24">
        <v>1</v>
      </c>
      <c r="T819" s="24">
        <v>1</v>
      </c>
      <c r="U819" s="24">
        <v>1</v>
      </c>
      <c r="V819" s="24">
        <v>1</v>
      </c>
      <c r="W819" s="24">
        <v>1</v>
      </c>
      <c r="X819" s="24">
        <v>1</v>
      </c>
      <c r="Y819" s="24">
        <v>1</v>
      </c>
      <c r="Z819" s="24">
        <v>1</v>
      </c>
      <c r="AA819" s="24">
        <v>1</v>
      </c>
      <c r="AB819" s="24">
        <v>1</v>
      </c>
      <c r="AC819" s="24">
        <v>1</v>
      </c>
      <c r="AD819" s="24">
        <v>1</v>
      </c>
      <c r="AE819" s="24">
        <v>1</v>
      </c>
      <c r="AF819" s="24">
        <v>1</v>
      </c>
      <c r="AG819" s="24">
        <v>1</v>
      </c>
      <c r="AH819" s="24">
        <v>1</v>
      </c>
      <c r="AI819" s="24">
        <v>1</v>
      </c>
      <c r="AJ819" s="24">
        <v>1</v>
      </c>
      <c r="AK819" s="24">
        <v>1</v>
      </c>
      <c r="AL819" s="24">
        <v>1</v>
      </c>
      <c r="AM819" s="24">
        <v>1</v>
      </c>
      <c r="AN819" s="24">
        <v>1</v>
      </c>
      <c r="AP819" s="20"/>
    </row>
    <row r="820" spans="3:42" x14ac:dyDescent="0.25">
      <c r="C820" s="20" t="s">
        <v>779</v>
      </c>
      <c r="D820" s="34" t="s">
        <v>46</v>
      </c>
      <c r="E820" s="24">
        <v>1</v>
      </c>
      <c r="F820" s="24">
        <v>1</v>
      </c>
      <c r="G820" s="24">
        <v>1</v>
      </c>
      <c r="H820" s="24">
        <v>1</v>
      </c>
      <c r="I820" s="24">
        <v>1</v>
      </c>
      <c r="J820" s="24">
        <v>1</v>
      </c>
      <c r="K820" s="24">
        <v>1</v>
      </c>
      <c r="L820" s="24">
        <v>1</v>
      </c>
      <c r="M820" s="24">
        <v>1</v>
      </c>
      <c r="N820" s="24">
        <v>1</v>
      </c>
      <c r="O820" s="24">
        <v>1</v>
      </c>
      <c r="P820" s="24">
        <v>1</v>
      </c>
      <c r="Q820" s="24">
        <v>1</v>
      </c>
      <c r="R820" s="24">
        <v>1</v>
      </c>
      <c r="S820" s="24">
        <v>1</v>
      </c>
      <c r="T820" s="24">
        <v>1</v>
      </c>
      <c r="U820" s="24">
        <v>1</v>
      </c>
      <c r="V820" s="24">
        <v>1</v>
      </c>
      <c r="W820" s="24">
        <v>1</v>
      </c>
      <c r="X820" s="24">
        <v>1</v>
      </c>
      <c r="Y820" s="24">
        <v>1</v>
      </c>
      <c r="Z820" s="24">
        <v>1</v>
      </c>
      <c r="AA820" s="24">
        <v>1</v>
      </c>
      <c r="AB820" s="24">
        <v>1</v>
      </c>
      <c r="AC820" s="24">
        <v>1</v>
      </c>
      <c r="AD820" s="24">
        <v>1</v>
      </c>
      <c r="AE820" s="24">
        <v>1</v>
      </c>
      <c r="AF820" s="24">
        <v>1</v>
      </c>
      <c r="AG820" s="24">
        <v>1</v>
      </c>
      <c r="AH820" s="24">
        <v>1</v>
      </c>
      <c r="AI820" s="24">
        <v>1</v>
      </c>
      <c r="AJ820" s="24">
        <v>1</v>
      </c>
      <c r="AK820" s="24">
        <v>1</v>
      </c>
      <c r="AL820" s="24">
        <v>1</v>
      </c>
      <c r="AM820" s="24">
        <v>1</v>
      </c>
      <c r="AN820" s="24">
        <v>1</v>
      </c>
      <c r="AP820" s="20"/>
    </row>
    <row r="821" spans="3:42" x14ac:dyDescent="0.25">
      <c r="C821" s="20" t="s">
        <v>780</v>
      </c>
      <c r="D821" s="34" t="s">
        <v>46</v>
      </c>
      <c r="E821" s="24">
        <v>1</v>
      </c>
      <c r="F821" s="24">
        <v>1</v>
      </c>
      <c r="G821" s="24">
        <v>1</v>
      </c>
      <c r="H821" s="24">
        <v>1</v>
      </c>
      <c r="I821" s="24">
        <v>1</v>
      </c>
      <c r="J821" s="24">
        <v>1</v>
      </c>
      <c r="K821" s="24">
        <v>1</v>
      </c>
      <c r="L821" s="24">
        <v>1</v>
      </c>
      <c r="M821" s="24">
        <v>1</v>
      </c>
      <c r="N821" s="24">
        <v>1</v>
      </c>
      <c r="O821" s="24">
        <v>1</v>
      </c>
      <c r="P821" s="24">
        <v>1</v>
      </c>
      <c r="Q821" s="24">
        <v>1</v>
      </c>
      <c r="R821" s="24">
        <v>1</v>
      </c>
      <c r="S821" s="24">
        <v>1</v>
      </c>
      <c r="T821" s="24">
        <v>1</v>
      </c>
      <c r="U821" s="24">
        <v>1</v>
      </c>
      <c r="V821" s="24">
        <v>1</v>
      </c>
      <c r="W821" s="24">
        <v>1</v>
      </c>
      <c r="X821" s="24">
        <v>1</v>
      </c>
      <c r="Y821" s="24">
        <v>1</v>
      </c>
      <c r="Z821" s="24">
        <v>1</v>
      </c>
      <c r="AA821" s="24">
        <v>1</v>
      </c>
      <c r="AB821" s="24">
        <v>1</v>
      </c>
      <c r="AC821" s="24">
        <v>1</v>
      </c>
      <c r="AD821" s="24">
        <v>1</v>
      </c>
      <c r="AE821" s="24">
        <v>1</v>
      </c>
      <c r="AF821" s="24">
        <v>1</v>
      </c>
      <c r="AG821" s="24">
        <v>1</v>
      </c>
      <c r="AH821" s="24">
        <v>1</v>
      </c>
      <c r="AI821" s="24">
        <v>1</v>
      </c>
      <c r="AJ821" s="24">
        <v>1</v>
      </c>
      <c r="AK821" s="24">
        <v>1</v>
      </c>
      <c r="AL821" s="24">
        <v>1</v>
      </c>
      <c r="AM821" s="24">
        <v>1</v>
      </c>
      <c r="AN821" s="24">
        <v>1</v>
      </c>
      <c r="AP821" s="20"/>
    </row>
    <row r="822" spans="3:42" x14ac:dyDescent="0.25">
      <c r="C822" s="20" t="s">
        <v>786</v>
      </c>
      <c r="D822" s="34" t="s">
        <v>46</v>
      </c>
      <c r="E822" s="24">
        <v>1</v>
      </c>
      <c r="F822" s="24">
        <v>1</v>
      </c>
      <c r="G822" s="24">
        <v>1</v>
      </c>
      <c r="H822" s="24">
        <v>1</v>
      </c>
      <c r="I822" s="24">
        <v>1</v>
      </c>
      <c r="J822" s="24">
        <v>1</v>
      </c>
      <c r="K822" s="24">
        <v>1</v>
      </c>
      <c r="L822" s="24">
        <v>1</v>
      </c>
      <c r="M822" s="24">
        <v>1</v>
      </c>
      <c r="N822" s="24">
        <v>1</v>
      </c>
      <c r="O822" s="24">
        <v>1</v>
      </c>
      <c r="P822" s="24">
        <v>1</v>
      </c>
      <c r="Q822" s="24">
        <v>1</v>
      </c>
      <c r="R822" s="24">
        <v>1</v>
      </c>
      <c r="S822" s="24">
        <v>1</v>
      </c>
      <c r="T822" s="24">
        <v>1</v>
      </c>
      <c r="U822" s="24">
        <v>1</v>
      </c>
      <c r="V822" s="24">
        <v>1</v>
      </c>
      <c r="W822" s="24">
        <v>1</v>
      </c>
      <c r="X822" s="24">
        <v>1</v>
      </c>
      <c r="Y822" s="24">
        <v>1</v>
      </c>
      <c r="Z822" s="24">
        <v>1</v>
      </c>
      <c r="AA822" s="24">
        <v>1</v>
      </c>
      <c r="AB822" s="24">
        <v>1</v>
      </c>
      <c r="AC822" s="24">
        <v>1</v>
      </c>
      <c r="AD822" s="24">
        <v>1</v>
      </c>
      <c r="AE822" s="24">
        <v>1</v>
      </c>
      <c r="AF822" s="24">
        <v>1</v>
      </c>
      <c r="AG822" s="24">
        <v>1</v>
      </c>
      <c r="AH822" s="24">
        <v>1</v>
      </c>
      <c r="AI822" s="24">
        <v>1</v>
      </c>
      <c r="AJ822" s="24">
        <v>1</v>
      </c>
      <c r="AK822" s="24">
        <v>1</v>
      </c>
      <c r="AL822" s="24">
        <v>1</v>
      </c>
      <c r="AM822" s="24">
        <v>1</v>
      </c>
      <c r="AN822" s="24">
        <v>1</v>
      </c>
      <c r="AP822" s="20"/>
    </row>
    <row r="823" spans="3:42" x14ac:dyDescent="0.25">
      <c r="C823" s="22" t="s">
        <v>783</v>
      </c>
      <c r="D823" s="236" t="s">
        <v>46</v>
      </c>
      <c r="E823" s="25">
        <v>1</v>
      </c>
      <c r="F823" s="25">
        <v>1</v>
      </c>
      <c r="G823" s="25">
        <v>1</v>
      </c>
      <c r="H823" s="25">
        <v>1</v>
      </c>
      <c r="I823" s="25">
        <v>1</v>
      </c>
      <c r="J823" s="25">
        <v>1</v>
      </c>
      <c r="K823" s="25">
        <v>1</v>
      </c>
      <c r="L823" s="25">
        <v>1</v>
      </c>
      <c r="M823" s="25">
        <v>1</v>
      </c>
      <c r="N823" s="25">
        <v>1</v>
      </c>
      <c r="O823" s="25">
        <v>1</v>
      </c>
      <c r="P823" s="25">
        <v>1</v>
      </c>
      <c r="Q823" s="25">
        <v>1</v>
      </c>
      <c r="R823" s="25">
        <v>1</v>
      </c>
      <c r="S823" s="25">
        <v>1</v>
      </c>
      <c r="T823" s="25">
        <v>1</v>
      </c>
      <c r="U823" s="25">
        <v>1</v>
      </c>
      <c r="V823" s="25">
        <v>1</v>
      </c>
      <c r="W823" s="25">
        <v>1</v>
      </c>
      <c r="X823" s="25">
        <v>1</v>
      </c>
      <c r="Y823" s="25">
        <v>1</v>
      </c>
      <c r="Z823" s="25">
        <v>1</v>
      </c>
      <c r="AA823" s="25">
        <v>1</v>
      </c>
      <c r="AB823" s="25">
        <v>1</v>
      </c>
      <c r="AC823" s="25">
        <v>1</v>
      </c>
      <c r="AD823" s="25">
        <v>1</v>
      </c>
      <c r="AE823" s="25">
        <v>1</v>
      </c>
      <c r="AF823" s="25">
        <v>1</v>
      </c>
      <c r="AG823" s="25">
        <v>1</v>
      </c>
      <c r="AH823" s="25">
        <v>1</v>
      </c>
      <c r="AI823" s="25">
        <v>1</v>
      </c>
      <c r="AJ823" s="25">
        <v>1</v>
      </c>
      <c r="AK823" s="25">
        <v>1</v>
      </c>
      <c r="AL823" s="25">
        <v>1</v>
      </c>
      <c r="AM823" s="25">
        <v>1</v>
      </c>
      <c r="AN823" s="25">
        <v>1</v>
      </c>
      <c r="AP823" s="22"/>
    </row>
    <row r="824" spans="3:42" x14ac:dyDescent="0.25">
      <c r="C824" s="553" t="s">
        <v>826</v>
      </c>
      <c r="D824" s="554"/>
      <c r="E824" s="553"/>
      <c r="F824" s="553"/>
      <c r="G824" s="553"/>
      <c r="H824" s="553"/>
      <c r="I824" s="553"/>
      <c r="J824" s="553"/>
      <c r="K824" s="553"/>
      <c r="L824" s="553"/>
      <c r="M824" s="553"/>
      <c r="N824" s="553"/>
      <c r="O824" s="553"/>
      <c r="P824" s="553"/>
      <c r="Q824" s="553"/>
      <c r="R824" s="553"/>
      <c r="S824" s="553"/>
      <c r="T824" s="553"/>
      <c r="U824" s="553"/>
      <c r="V824" s="553"/>
      <c r="W824" s="553"/>
      <c r="X824" s="553"/>
      <c r="Y824" s="553"/>
      <c r="Z824" s="553"/>
      <c r="AA824" s="553"/>
      <c r="AB824" s="553"/>
      <c r="AC824" s="553"/>
      <c r="AD824" s="553"/>
      <c r="AE824" s="553"/>
      <c r="AF824" s="553"/>
      <c r="AG824" s="553"/>
      <c r="AH824" s="553"/>
      <c r="AI824" s="553"/>
      <c r="AJ824" s="553"/>
      <c r="AK824" s="553"/>
      <c r="AL824" s="553"/>
      <c r="AM824" s="553"/>
      <c r="AN824" s="553"/>
      <c r="AP824" s="553"/>
    </row>
    <row r="825" spans="3:42" x14ac:dyDescent="0.25">
      <c r="C825" s="20" t="s">
        <v>778</v>
      </c>
      <c r="D825" s="34" t="s">
        <v>162</v>
      </c>
      <c r="E825" s="23">
        <v>100</v>
      </c>
      <c r="F825" s="23">
        <v>100</v>
      </c>
      <c r="G825" s="23">
        <v>100</v>
      </c>
      <c r="H825" s="23">
        <v>100</v>
      </c>
      <c r="I825" s="23">
        <v>100</v>
      </c>
      <c r="J825" s="23">
        <v>100</v>
      </c>
      <c r="K825" s="23">
        <v>100</v>
      </c>
      <c r="L825" s="23">
        <v>100</v>
      </c>
      <c r="M825" s="23">
        <v>100</v>
      </c>
      <c r="N825" s="23">
        <v>100</v>
      </c>
      <c r="O825" s="23">
        <v>100</v>
      </c>
      <c r="P825" s="23">
        <v>100</v>
      </c>
      <c r="Q825" s="23">
        <v>100</v>
      </c>
      <c r="R825" s="23">
        <v>100</v>
      </c>
      <c r="S825" s="23">
        <v>100</v>
      </c>
      <c r="T825" s="23">
        <v>100</v>
      </c>
      <c r="U825" s="23">
        <v>100</v>
      </c>
      <c r="V825" s="23">
        <v>100</v>
      </c>
      <c r="W825" s="23">
        <v>100</v>
      </c>
      <c r="X825" s="23">
        <v>100</v>
      </c>
      <c r="Y825" s="23">
        <v>100</v>
      </c>
      <c r="Z825" s="23">
        <v>100</v>
      </c>
      <c r="AA825" s="23">
        <v>100</v>
      </c>
      <c r="AB825" s="23">
        <v>100</v>
      </c>
      <c r="AC825" s="23">
        <v>100</v>
      </c>
      <c r="AD825" s="23">
        <v>100</v>
      </c>
      <c r="AE825" s="23">
        <v>100</v>
      </c>
      <c r="AF825" s="23">
        <v>100</v>
      </c>
      <c r="AG825" s="23">
        <v>100</v>
      </c>
      <c r="AH825" s="23">
        <v>100</v>
      </c>
      <c r="AI825" s="23">
        <v>100</v>
      </c>
      <c r="AJ825" s="23">
        <v>100</v>
      </c>
      <c r="AK825" s="23">
        <v>100</v>
      </c>
      <c r="AL825" s="23">
        <v>100</v>
      </c>
      <c r="AM825" s="23">
        <v>100</v>
      </c>
      <c r="AN825" s="23">
        <v>100</v>
      </c>
      <c r="AP825" s="20"/>
    </row>
    <row r="826" spans="3:42" x14ac:dyDescent="0.25">
      <c r="C826" s="20" t="s">
        <v>784</v>
      </c>
      <c r="D826" s="38" t="s">
        <v>162</v>
      </c>
      <c r="E826" s="24">
        <v>100</v>
      </c>
      <c r="F826" s="24">
        <v>100</v>
      </c>
      <c r="G826" s="24">
        <v>100</v>
      </c>
      <c r="H826" s="24">
        <v>100</v>
      </c>
      <c r="I826" s="24">
        <v>100</v>
      </c>
      <c r="J826" s="24">
        <v>100</v>
      </c>
      <c r="K826" s="24">
        <v>100</v>
      </c>
      <c r="L826" s="24">
        <v>100</v>
      </c>
      <c r="M826" s="24">
        <v>100</v>
      </c>
      <c r="N826" s="24">
        <v>100</v>
      </c>
      <c r="O826" s="24">
        <v>100</v>
      </c>
      <c r="P826" s="24">
        <v>100</v>
      </c>
      <c r="Q826" s="24">
        <v>100</v>
      </c>
      <c r="R826" s="24">
        <v>100</v>
      </c>
      <c r="S826" s="24">
        <v>100</v>
      </c>
      <c r="T826" s="24">
        <v>100</v>
      </c>
      <c r="U826" s="24">
        <v>100</v>
      </c>
      <c r="V826" s="24">
        <v>100</v>
      </c>
      <c r="W826" s="24">
        <v>100</v>
      </c>
      <c r="X826" s="24">
        <v>100</v>
      </c>
      <c r="Y826" s="24">
        <v>100</v>
      </c>
      <c r="Z826" s="24">
        <v>100</v>
      </c>
      <c r="AA826" s="24">
        <v>100</v>
      </c>
      <c r="AB826" s="24">
        <v>100</v>
      </c>
      <c r="AC826" s="24">
        <v>100</v>
      </c>
      <c r="AD826" s="24">
        <v>100</v>
      </c>
      <c r="AE826" s="24">
        <v>100</v>
      </c>
      <c r="AF826" s="24">
        <v>100</v>
      </c>
      <c r="AG826" s="24">
        <v>100</v>
      </c>
      <c r="AH826" s="24">
        <v>100</v>
      </c>
      <c r="AI826" s="24">
        <v>100</v>
      </c>
      <c r="AJ826" s="24">
        <v>100</v>
      </c>
      <c r="AK826" s="24">
        <v>100</v>
      </c>
      <c r="AL826" s="24">
        <v>100</v>
      </c>
      <c r="AM826" s="24">
        <v>100</v>
      </c>
      <c r="AN826" s="24">
        <v>100</v>
      </c>
      <c r="AP826" s="21"/>
    </row>
    <row r="827" spans="3:42" x14ac:dyDescent="0.25">
      <c r="C827" s="20" t="s">
        <v>785</v>
      </c>
      <c r="D827" s="38" t="s">
        <v>162</v>
      </c>
      <c r="E827" s="24">
        <v>100</v>
      </c>
      <c r="F827" s="24">
        <v>100</v>
      </c>
      <c r="G827" s="24">
        <v>100</v>
      </c>
      <c r="H827" s="24">
        <v>100</v>
      </c>
      <c r="I827" s="24">
        <v>100</v>
      </c>
      <c r="J827" s="24">
        <v>100</v>
      </c>
      <c r="K827" s="24">
        <v>100</v>
      </c>
      <c r="L827" s="24">
        <v>100</v>
      </c>
      <c r="M827" s="24">
        <v>100</v>
      </c>
      <c r="N827" s="24">
        <v>100</v>
      </c>
      <c r="O827" s="24">
        <v>100</v>
      </c>
      <c r="P827" s="24">
        <v>100</v>
      </c>
      <c r="Q827" s="24">
        <v>100</v>
      </c>
      <c r="R827" s="24">
        <v>100</v>
      </c>
      <c r="S827" s="24">
        <v>100</v>
      </c>
      <c r="T827" s="24">
        <v>100</v>
      </c>
      <c r="U827" s="24">
        <v>100</v>
      </c>
      <c r="V827" s="24">
        <v>100</v>
      </c>
      <c r="W827" s="24">
        <v>100</v>
      </c>
      <c r="X827" s="24">
        <v>100</v>
      </c>
      <c r="Y827" s="24">
        <v>100</v>
      </c>
      <c r="Z827" s="24">
        <v>100</v>
      </c>
      <c r="AA827" s="24">
        <v>100</v>
      </c>
      <c r="AB827" s="24">
        <v>100</v>
      </c>
      <c r="AC827" s="24">
        <v>100</v>
      </c>
      <c r="AD827" s="24">
        <v>100</v>
      </c>
      <c r="AE827" s="24">
        <v>100</v>
      </c>
      <c r="AF827" s="24">
        <v>100</v>
      </c>
      <c r="AG827" s="24">
        <v>100</v>
      </c>
      <c r="AH827" s="24">
        <v>100</v>
      </c>
      <c r="AI827" s="24">
        <v>100</v>
      </c>
      <c r="AJ827" s="24">
        <v>100</v>
      </c>
      <c r="AK827" s="24">
        <v>100</v>
      </c>
      <c r="AL827" s="24">
        <v>100</v>
      </c>
      <c r="AM827" s="24">
        <v>100</v>
      </c>
      <c r="AN827" s="24">
        <v>100</v>
      </c>
      <c r="AP827" s="21"/>
    </row>
    <row r="828" spans="3:42" x14ac:dyDescent="0.25">
      <c r="C828" s="20" t="s">
        <v>779</v>
      </c>
      <c r="D828" s="38" t="s">
        <v>162</v>
      </c>
      <c r="E828" s="24">
        <v>100</v>
      </c>
      <c r="F828" s="24">
        <v>100</v>
      </c>
      <c r="G828" s="24">
        <v>100</v>
      </c>
      <c r="H828" s="24">
        <v>100</v>
      </c>
      <c r="I828" s="24">
        <v>100</v>
      </c>
      <c r="J828" s="24">
        <v>100</v>
      </c>
      <c r="K828" s="24">
        <v>100</v>
      </c>
      <c r="L828" s="24">
        <v>100</v>
      </c>
      <c r="M828" s="24">
        <v>100</v>
      </c>
      <c r="N828" s="24">
        <v>100</v>
      </c>
      <c r="O828" s="24">
        <v>100</v>
      </c>
      <c r="P828" s="24">
        <v>100</v>
      </c>
      <c r="Q828" s="24">
        <v>100</v>
      </c>
      <c r="R828" s="24">
        <v>100</v>
      </c>
      <c r="S828" s="24">
        <v>100</v>
      </c>
      <c r="T828" s="24">
        <v>100</v>
      </c>
      <c r="U828" s="24">
        <v>100</v>
      </c>
      <c r="V828" s="24">
        <v>100</v>
      </c>
      <c r="W828" s="24">
        <v>100</v>
      </c>
      <c r="X828" s="24">
        <v>100</v>
      </c>
      <c r="Y828" s="24">
        <v>100</v>
      </c>
      <c r="Z828" s="24">
        <v>100</v>
      </c>
      <c r="AA828" s="24">
        <v>100</v>
      </c>
      <c r="AB828" s="24">
        <v>100</v>
      </c>
      <c r="AC828" s="24">
        <v>100</v>
      </c>
      <c r="AD828" s="24">
        <v>100</v>
      </c>
      <c r="AE828" s="24">
        <v>100</v>
      </c>
      <c r="AF828" s="24">
        <v>100</v>
      </c>
      <c r="AG828" s="24">
        <v>100</v>
      </c>
      <c r="AH828" s="24">
        <v>100</v>
      </c>
      <c r="AI828" s="24">
        <v>100</v>
      </c>
      <c r="AJ828" s="24">
        <v>100</v>
      </c>
      <c r="AK828" s="24">
        <v>100</v>
      </c>
      <c r="AL828" s="24">
        <v>100</v>
      </c>
      <c r="AM828" s="24">
        <v>100</v>
      </c>
      <c r="AN828" s="24">
        <v>100</v>
      </c>
      <c r="AP828" s="21"/>
    </row>
    <row r="829" spans="3:42" x14ac:dyDescent="0.25">
      <c r="C829" s="20" t="s">
        <v>780</v>
      </c>
      <c r="D829" s="38" t="s">
        <v>162</v>
      </c>
      <c r="E829" s="24">
        <v>100</v>
      </c>
      <c r="F829" s="24">
        <v>100</v>
      </c>
      <c r="G829" s="24">
        <v>100</v>
      </c>
      <c r="H829" s="24">
        <v>100</v>
      </c>
      <c r="I829" s="24">
        <v>100</v>
      </c>
      <c r="J829" s="24">
        <v>100</v>
      </c>
      <c r="K829" s="24">
        <v>100</v>
      </c>
      <c r="L829" s="24">
        <v>100</v>
      </c>
      <c r="M829" s="24">
        <v>100</v>
      </c>
      <c r="N829" s="24">
        <v>100</v>
      </c>
      <c r="O829" s="24">
        <v>100</v>
      </c>
      <c r="P829" s="24">
        <v>100</v>
      </c>
      <c r="Q829" s="24">
        <v>100</v>
      </c>
      <c r="R829" s="24">
        <v>100</v>
      </c>
      <c r="S829" s="24">
        <v>100</v>
      </c>
      <c r="T829" s="24">
        <v>100</v>
      </c>
      <c r="U829" s="24">
        <v>100</v>
      </c>
      <c r="V829" s="24">
        <v>100</v>
      </c>
      <c r="W829" s="24">
        <v>100</v>
      </c>
      <c r="X829" s="24">
        <v>100</v>
      </c>
      <c r="Y829" s="24">
        <v>100</v>
      </c>
      <c r="Z829" s="24">
        <v>100</v>
      </c>
      <c r="AA829" s="24">
        <v>100</v>
      </c>
      <c r="AB829" s="24">
        <v>100</v>
      </c>
      <c r="AC829" s="24">
        <v>100</v>
      </c>
      <c r="AD829" s="24">
        <v>100</v>
      </c>
      <c r="AE829" s="24">
        <v>100</v>
      </c>
      <c r="AF829" s="24">
        <v>100</v>
      </c>
      <c r="AG829" s="24">
        <v>100</v>
      </c>
      <c r="AH829" s="24">
        <v>100</v>
      </c>
      <c r="AI829" s="24">
        <v>100</v>
      </c>
      <c r="AJ829" s="24">
        <v>100</v>
      </c>
      <c r="AK829" s="24">
        <v>100</v>
      </c>
      <c r="AL829" s="24">
        <v>100</v>
      </c>
      <c r="AM829" s="24">
        <v>100</v>
      </c>
      <c r="AN829" s="24">
        <v>100</v>
      </c>
      <c r="AP829" s="21"/>
    </row>
    <row r="830" spans="3:42" x14ac:dyDescent="0.25">
      <c r="C830" s="20" t="s">
        <v>786</v>
      </c>
      <c r="D830" s="38" t="s">
        <v>162</v>
      </c>
      <c r="E830" s="24">
        <v>100</v>
      </c>
      <c r="F830" s="24">
        <v>100</v>
      </c>
      <c r="G830" s="24">
        <v>100</v>
      </c>
      <c r="H830" s="24">
        <v>100</v>
      </c>
      <c r="I830" s="24">
        <v>100</v>
      </c>
      <c r="J830" s="24">
        <v>100</v>
      </c>
      <c r="K830" s="24">
        <v>100</v>
      </c>
      <c r="L830" s="24">
        <v>100</v>
      </c>
      <c r="M830" s="24">
        <v>100</v>
      </c>
      <c r="N830" s="24">
        <v>100</v>
      </c>
      <c r="O830" s="24">
        <v>100</v>
      </c>
      <c r="P830" s="24">
        <v>100</v>
      </c>
      <c r="Q830" s="24">
        <v>100</v>
      </c>
      <c r="R830" s="24">
        <v>100</v>
      </c>
      <c r="S830" s="24">
        <v>100</v>
      </c>
      <c r="T830" s="24">
        <v>100</v>
      </c>
      <c r="U830" s="24">
        <v>100</v>
      </c>
      <c r="V830" s="24">
        <v>100</v>
      </c>
      <c r="W830" s="24">
        <v>100</v>
      </c>
      <c r="X830" s="24">
        <v>100</v>
      </c>
      <c r="Y830" s="24">
        <v>100</v>
      </c>
      <c r="Z830" s="24">
        <v>100</v>
      </c>
      <c r="AA830" s="24">
        <v>100</v>
      </c>
      <c r="AB830" s="24">
        <v>100</v>
      </c>
      <c r="AC830" s="24">
        <v>100</v>
      </c>
      <c r="AD830" s="24">
        <v>100</v>
      </c>
      <c r="AE830" s="24">
        <v>100</v>
      </c>
      <c r="AF830" s="24">
        <v>100</v>
      </c>
      <c r="AG830" s="24">
        <v>100</v>
      </c>
      <c r="AH830" s="24">
        <v>100</v>
      </c>
      <c r="AI830" s="24">
        <v>100</v>
      </c>
      <c r="AJ830" s="24">
        <v>100</v>
      </c>
      <c r="AK830" s="24">
        <v>100</v>
      </c>
      <c r="AL830" s="24">
        <v>100</v>
      </c>
      <c r="AM830" s="24">
        <v>100</v>
      </c>
      <c r="AN830" s="24">
        <v>100</v>
      </c>
      <c r="AP830" s="21"/>
    </row>
    <row r="831" spans="3:42" x14ac:dyDescent="0.25">
      <c r="C831" s="22" t="s">
        <v>783</v>
      </c>
      <c r="D831" s="96" t="s">
        <v>162</v>
      </c>
      <c r="E831" s="25">
        <v>100</v>
      </c>
      <c r="F831" s="25">
        <v>100</v>
      </c>
      <c r="G831" s="25">
        <v>100</v>
      </c>
      <c r="H831" s="25">
        <v>100</v>
      </c>
      <c r="I831" s="25">
        <v>100</v>
      </c>
      <c r="J831" s="25">
        <v>100</v>
      </c>
      <c r="K831" s="25">
        <v>100</v>
      </c>
      <c r="L831" s="25">
        <v>100</v>
      </c>
      <c r="M831" s="25">
        <v>100</v>
      </c>
      <c r="N831" s="25">
        <v>100</v>
      </c>
      <c r="O831" s="25">
        <v>100</v>
      </c>
      <c r="P831" s="25">
        <v>100</v>
      </c>
      <c r="Q831" s="25">
        <v>100</v>
      </c>
      <c r="R831" s="25">
        <v>100</v>
      </c>
      <c r="S831" s="25">
        <v>100</v>
      </c>
      <c r="T831" s="25">
        <v>100</v>
      </c>
      <c r="U831" s="25">
        <v>100</v>
      </c>
      <c r="V831" s="25">
        <v>100</v>
      </c>
      <c r="W831" s="25">
        <v>100</v>
      </c>
      <c r="X831" s="25">
        <v>100</v>
      </c>
      <c r="Y831" s="25">
        <v>100</v>
      </c>
      <c r="Z831" s="25">
        <v>100</v>
      </c>
      <c r="AA831" s="25">
        <v>100</v>
      </c>
      <c r="AB831" s="25">
        <v>100</v>
      </c>
      <c r="AC831" s="25">
        <v>100</v>
      </c>
      <c r="AD831" s="25">
        <v>100</v>
      </c>
      <c r="AE831" s="25">
        <v>100</v>
      </c>
      <c r="AF831" s="25">
        <v>100</v>
      </c>
      <c r="AG831" s="25">
        <v>100</v>
      </c>
      <c r="AH831" s="25">
        <v>100</v>
      </c>
      <c r="AI831" s="25">
        <v>100</v>
      </c>
      <c r="AJ831" s="25">
        <v>100</v>
      </c>
      <c r="AK831" s="25">
        <v>100</v>
      </c>
      <c r="AL831" s="25">
        <v>100</v>
      </c>
      <c r="AM831" s="25">
        <v>100</v>
      </c>
      <c r="AN831" s="25">
        <v>100</v>
      </c>
      <c r="AP831" s="22"/>
    </row>
    <row r="832" spans="3:42" x14ac:dyDescent="0.25">
      <c r="C832" s="553" t="s">
        <v>829</v>
      </c>
      <c r="D832" s="554"/>
      <c r="E832" s="553"/>
      <c r="F832" s="553"/>
      <c r="G832" s="553"/>
      <c r="H832" s="553"/>
      <c r="I832" s="553"/>
      <c r="J832" s="553"/>
      <c r="K832" s="553"/>
      <c r="L832" s="553"/>
      <c r="M832" s="553"/>
      <c r="N832" s="553"/>
      <c r="O832" s="553"/>
      <c r="P832" s="553"/>
      <c r="Q832" s="553"/>
      <c r="R832" s="553"/>
      <c r="S832" s="553"/>
      <c r="T832" s="553"/>
      <c r="U832" s="553"/>
      <c r="V832" s="553"/>
      <c r="W832" s="553"/>
      <c r="X832" s="553"/>
      <c r="Y832" s="553"/>
      <c r="Z832" s="553"/>
      <c r="AA832" s="553"/>
      <c r="AB832" s="553"/>
      <c r="AC832" s="553"/>
      <c r="AD832" s="553"/>
      <c r="AE832" s="553"/>
      <c r="AF832" s="553"/>
      <c r="AG832" s="553"/>
      <c r="AH832" s="553"/>
      <c r="AI832" s="553"/>
      <c r="AJ832" s="553"/>
      <c r="AK832" s="553"/>
      <c r="AL832" s="553"/>
      <c r="AM832" s="553"/>
      <c r="AN832" s="553"/>
      <c r="AP832" s="553"/>
    </row>
    <row r="833" spans="3:42" x14ac:dyDescent="0.25">
      <c r="C833" s="20" t="s">
        <v>778</v>
      </c>
      <c r="D833" s="34" t="s">
        <v>162</v>
      </c>
      <c r="E833" s="23">
        <v>100</v>
      </c>
      <c r="F833" s="23">
        <v>100</v>
      </c>
      <c r="G833" s="23">
        <v>100</v>
      </c>
      <c r="H833" s="23">
        <v>100</v>
      </c>
      <c r="I833" s="23">
        <v>100</v>
      </c>
      <c r="J833" s="23">
        <v>100</v>
      </c>
      <c r="K833" s="23">
        <v>100</v>
      </c>
      <c r="L833" s="23">
        <v>100</v>
      </c>
      <c r="M833" s="23">
        <v>100</v>
      </c>
      <c r="N833" s="23">
        <v>100</v>
      </c>
      <c r="O833" s="23">
        <v>100</v>
      </c>
      <c r="P833" s="23">
        <v>100</v>
      </c>
      <c r="Q833" s="23">
        <v>100</v>
      </c>
      <c r="R833" s="23">
        <v>100</v>
      </c>
      <c r="S833" s="23">
        <v>100</v>
      </c>
      <c r="T833" s="23">
        <v>100</v>
      </c>
      <c r="U833" s="23">
        <v>100</v>
      </c>
      <c r="V833" s="23">
        <v>100</v>
      </c>
      <c r="W833" s="23">
        <v>100</v>
      </c>
      <c r="X833" s="23">
        <v>100</v>
      </c>
      <c r="Y833" s="23">
        <v>100</v>
      </c>
      <c r="Z833" s="23">
        <v>100</v>
      </c>
      <c r="AA833" s="23">
        <v>100</v>
      </c>
      <c r="AB833" s="23">
        <v>100</v>
      </c>
      <c r="AC833" s="23">
        <v>100</v>
      </c>
      <c r="AD833" s="23">
        <v>100</v>
      </c>
      <c r="AE833" s="23">
        <v>100</v>
      </c>
      <c r="AF833" s="23">
        <v>100</v>
      </c>
      <c r="AG833" s="23">
        <v>100</v>
      </c>
      <c r="AH833" s="23">
        <v>100</v>
      </c>
      <c r="AI833" s="23">
        <v>100</v>
      </c>
      <c r="AJ833" s="23">
        <v>100</v>
      </c>
      <c r="AK833" s="23">
        <v>100</v>
      </c>
      <c r="AL833" s="23">
        <v>100</v>
      </c>
      <c r="AM833" s="23">
        <v>100</v>
      </c>
      <c r="AN833" s="23">
        <v>100</v>
      </c>
      <c r="AP833" s="20"/>
    </row>
    <row r="834" spans="3:42" x14ac:dyDescent="0.25">
      <c r="C834" s="20" t="s">
        <v>784</v>
      </c>
      <c r="D834" s="38" t="s">
        <v>162</v>
      </c>
      <c r="E834" s="24">
        <v>100</v>
      </c>
      <c r="F834" s="24">
        <v>100</v>
      </c>
      <c r="G834" s="24">
        <v>100</v>
      </c>
      <c r="H834" s="24">
        <v>100</v>
      </c>
      <c r="I834" s="24">
        <v>100</v>
      </c>
      <c r="J834" s="24">
        <v>100</v>
      </c>
      <c r="K834" s="24">
        <v>100</v>
      </c>
      <c r="L834" s="24">
        <v>100</v>
      </c>
      <c r="M834" s="24">
        <v>100</v>
      </c>
      <c r="N834" s="24">
        <v>100</v>
      </c>
      <c r="O834" s="24">
        <v>100</v>
      </c>
      <c r="P834" s="24">
        <v>100</v>
      </c>
      <c r="Q834" s="24">
        <v>100</v>
      </c>
      <c r="R834" s="24">
        <v>100</v>
      </c>
      <c r="S834" s="24">
        <v>100</v>
      </c>
      <c r="T834" s="24">
        <v>100</v>
      </c>
      <c r="U834" s="24">
        <v>100</v>
      </c>
      <c r="V834" s="24">
        <v>100</v>
      </c>
      <c r="W834" s="24">
        <v>100</v>
      </c>
      <c r="X834" s="24">
        <v>100</v>
      </c>
      <c r="Y834" s="24">
        <v>100</v>
      </c>
      <c r="Z834" s="24">
        <v>100</v>
      </c>
      <c r="AA834" s="24">
        <v>100</v>
      </c>
      <c r="AB834" s="24">
        <v>100</v>
      </c>
      <c r="AC834" s="24">
        <v>100</v>
      </c>
      <c r="AD834" s="24">
        <v>100</v>
      </c>
      <c r="AE834" s="24">
        <v>100</v>
      </c>
      <c r="AF834" s="24">
        <v>100</v>
      </c>
      <c r="AG834" s="24">
        <v>100</v>
      </c>
      <c r="AH834" s="24">
        <v>100</v>
      </c>
      <c r="AI834" s="24">
        <v>100</v>
      </c>
      <c r="AJ834" s="24">
        <v>100</v>
      </c>
      <c r="AK834" s="24">
        <v>100</v>
      </c>
      <c r="AL834" s="24">
        <v>100</v>
      </c>
      <c r="AM834" s="24">
        <v>100</v>
      </c>
      <c r="AN834" s="24">
        <v>100</v>
      </c>
      <c r="AP834" s="21"/>
    </row>
    <row r="835" spans="3:42" x14ac:dyDescent="0.25">
      <c r="C835" s="20" t="s">
        <v>785</v>
      </c>
      <c r="D835" s="38" t="s">
        <v>162</v>
      </c>
      <c r="E835" s="24">
        <v>100</v>
      </c>
      <c r="F835" s="24">
        <v>100</v>
      </c>
      <c r="G835" s="24">
        <v>100</v>
      </c>
      <c r="H835" s="24">
        <v>100</v>
      </c>
      <c r="I835" s="24">
        <v>100</v>
      </c>
      <c r="J835" s="24">
        <v>100</v>
      </c>
      <c r="K835" s="24">
        <v>100</v>
      </c>
      <c r="L835" s="24">
        <v>100</v>
      </c>
      <c r="M835" s="24">
        <v>100</v>
      </c>
      <c r="N835" s="24">
        <v>100</v>
      </c>
      <c r="O835" s="24">
        <v>100</v>
      </c>
      <c r="P835" s="24">
        <v>100</v>
      </c>
      <c r="Q835" s="24">
        <v>100</v>
      </c>
      <c r="R835" s="24">
        <v>100</v>
      </c>
      <c r="S835" s="24">
        <v>100</v>
      </c>
      <c r="T835" s="24">
        <v>100</v>
      </c>
      <c r="U835" s="24">
        <v>100</v>
      </c>
      <c r="V835" s="24">
        <v>100</v>
      </c>
      <c r="W835" s="24">
        <v>100</v>
      </c>
      <c r="X835" s="24">
        <v>100</v>
      </c>
      <c r="Y835" s="24">
        <v>100</v>
      </c>
      <c r="Z835" s="24">
        <v>100</v>
      </c>
      <c r="AA835" s="24">
        <v>100</v>
      </c>
      <c r="AB835" s="24">
        <v>100</v>
      </c>
      <c r="AC835" s="24">
        <v>100</v>
      </c>
      <c r="AD835" s="24">
        <v>100</v>
      </c>
      <c r="AE835" s="24">
        <v>100</v>
      </c>
      <c r="AF835" s="24">
        <v>100</v>
      </c>
      <c r="AG835" s="24">
        <v>100</v>
      </c>
      <c r="AH835" s="24">
        <v>100</v>
      </c>
      <c r="AI835" s="24">
        <v>100</v>
      </c>
      <c r="AJ835" s="24">
        <v>100</v>
      </c>
      <c r="AK835" s="24">
        <v>100</v>
      </c>
      <c r="AL835" s="24">
        <v>100</v>
      </c>
      <c r="AM835" s="24">
        <v>100</v>
      </c>
      <c r="AN835" s="24">
        <v>100</v>
      </c>
      <c r="AP835" s="21"/>
    </row>
    <row r="836" spans="3:42" x14ac:dyDescent="0.25">
      <c r="C836" s="20" t="s">
        <v>779</v>
      </c>
      <c r="D836" s="38" t="s">
        <v>162</v>
      </c>
      <c r="E836" s="24">
        <v>100</v>
      </c>
      <c r="F836" s="24">
        <v>100</v>
      </c>
      <c r="G836" s="24">
        <v>100</v>
      </c>
      <c r="H836" s="24">
        <v>100</v>
      </c>
      <c r="I836" s="24">
        <v>100</v>
      </c>
      <c r="J836" s="24">
        <v>100</v>
      </c>
      <c r="K836" s="24">
        <v>100</v>
      </c>
      <c r="L836" s="24">
        <v>100</v>
      </c>
      <c r="M836" s="24">
        <v>100</v>
      </c>
      <c r="N836" s="24">
        <v>100</v>
      </c>
      <c r="O836" s="24">
        <v>100</v>
      </c>
      <c r="P836" s="24">
        <v>100</v>
      </c>
      <c r="Q836" s="24">
        <v>100</v>
      </c>
      <c r="R836" s="24">
        <v>100</v>
      </c>
      <c r="S836" s="24">
        <v>100</v>
      </c>
      <c r="T836" s="24">
        <v>100</v>
      </c>
      <c r="U836" s="24">
        <v>100</v>
      </c>
      <c r="V836" s="24">
        <v>100</v>
      </c>
      <c r="W836" s="24">
        <v>100</v>
      </c>
      <c r="X836" s="24">
        <v>100</v>
      </c>
      <c r="Y836" s="24">
        <v>100</v>
      </c>
      <c r="Z836" s="24">
        <v>100</v>
      </c>
      <c r="AA836" s="24">
        <v>100</v>
      </c>
      <c r="AB836" s="24">
        <v>100</v>
      </c>
      <c r="AC836" s="24">
        <v>100</v>
      </c>
      <c r="AD836" s="24">
        <v>100</v>
      </c>
      <c r="AE836" s="24">
        <v>100</v>
      </c>
      <c r="AF836" s="24">
        <v>100</v>
      </c>
      <c r="AG836" s="24">
        <v>100</v>
      </c>
      <c r="AH836" s="24">
        <v>100</v>
      </c>
      <c r="AI836" s="24">
        <v>100</v>
      </c>
      <c r="AJ836" s="24">
        <v>100</v>
      </c>
      <c r="AK836" s="24">
        <v>100</v>
      </c>
      <c r="AL836" s="24">
        <v>100</v>
      </c>
      <c r="AM836" s="24">
        <v>100</v>
      </c>
      <c r="AN836" s="24">
        <v>100</v>
      </c>
      <c r="AP836" s="21"/>
    </row>
    <row r="837" spans="3:42" x14ac:dyDescent="0.25">
      <c r="C837" s="20" t="s">
        <v>780</v>
      </c>
      <c r="D837" s="38" t="s">
        <v>162</v>
      </c>
      <c r="E837" s="24">
        <v>100</v>
      </c>
      <c r="F837" s="24">
        <v>100</v>
      </c>
      <c r="G837" s="24">
        <v>100</v>
      </c>
      <c r="H837" s="24">
        <v>100</v>
      </c>
      <c r="I837" s="24">
        <v>100</v>
      </c>
      <c r="J837" s="24">
        <v>100</v>
      </c>
      <c r="K837" s="24">
        <v>100</v>
      </c>
      <c r="L837" s="24">
        <v>100</v>
      </c>
      <c r="M837" s="24">
        <v>100</v>
      </c>
      <c r="N837" s="24">
        <v>100</v>
      </c>
      <c r="O837" s="24">
        <v>100</v>
      </c>
      <c r="P837" s="24">
        <v>100</v>
      </c>
      <c r="Q837" s="24">
        <v>100</v>
      </c>
      <c r="R837" s="24">
        <v>100</v>
      </c>
      <c r="S837" s="24">
        <v>100</v>
      </c>
      <c r="T837" s="24">
        <v>100</v>
      </c>
      <c r="U837" s="24">
        <v>100</v>
      </c>
      <c r="V837" s="24">
        <v>100</v>
      </c>
      <c r="W837" s="24">
        <v>100</v>
      </c>
      <c r="X837" s="24">
        <v>100</v>
      </c>
      <c r="Y837" s="24">
        <v>100</v>
      </c>
      <c r="Z837" s="24">
        <v>100</v>
      </c>
      <c r="AA837" s="24">
        <v>100</v>
      </c>
      <c r="AB837" s="24">
        <v>100</v>
      </c>
      <c r="AC837" s="24">
        <v>100</v>
      </c>
      <c r="AD837" s="24">
        <v>100</v>
      </c>
      <c r="AE837" s="24">
        <v>100</v>
      </c>
      <c r="AF837" s="24">
        <v>100</v>
      </c>
      <c r="AG837" s="24">
        <v>100</v>
      </c>
      <c r="AH837" s="24">
        <v>100</v>
      </c>
      <c r="AI837" s="24">
        <v>100</v>
      </c>
      <c r="AJ837" s="24">
        <v>100</v>
      </c>
      <c r="AK837" s="24">
        <v>100</v>
      </c>
      <c r="AL837" s="24">
        <v>100</v>
      </c>
      <c r="AM837" s="24">
        <v>100</v>
      </c>
      <c r="AN837" s="24">
        <v>100</v>
      </c>
      <c r="AP837" s="21"/>
    </row>
    <row r="838" spans="3:42" x14ac:dyDescent="0.25">
      <c r="C838" s="20" t="s">
        <v>786</v>
      </c>
      <c r="D838" s="38" t="s">
        <v>162</v>
      </c>
      <c r="E838" s="24">
        <v>100</v>
      </c>
      <c r="F838" s="24">
        <v>100</v>
      </c>
      <c r="G838" s="24">
        <v>100</v>
      </c>
      <c r="H838" s="24">
        <v>100</v>
      </c>
      <c r="I838" s="24">
        <v>100</v>
      </c>
      <c r="J838" s="24">
        <v>100</v>
      </c>
      <c r="K838" s="24">
        <v>100</v>
      </c>
      <c r="L838" s="24">
        <v>100</v>
      </c>
      <c r="M838" s="24">
        <v>100</v>
      </c>
      <c r="N838" s="24">
        <v>100</v>
      </c>
      <c r="O838" s="24">
        <v>100</v>
      </c>
      <c r="P838" s="24">
        <v>100</v>
      </c>
      <c r="Q838" s="24">
        <v>100</v>
      </c>
      <c r="R838" s="24">
        <v>100</v>
      </c>
      <c r="S838" s="24">
        <v>100</v>
      </c>
      <c r="T838" s="24">
        <v>100</v>
      </c>
      <c r="U838" s="24">
        <v>100</v>
      </c>
      <c r="V838" s="24">
        <v>100</v>
      </c>
      <c r="W838" s="24">
        <v>100</v>
      </c>
      <c r="X838" s="24">
        <v>100</v>
      </c>
      <c r="Y838" s="24">
        <v>100</v>
      </c>
      <c r="Z838" s="24">
        <v>100</v>
      </c>
      <c r="AA838" s="24">
        <v>100</v>
      </c>
      <c r="AB838" s="24">
        <v>100</v>
      </c>
      <c r="AC838" s="24">
        <v>100</v>
      </c>
      <c r="AD838" s="24">
        <v>100</v>
      </c>
      <c r="AE838" s="24">
        <v>100</v>
      </c>
      <c r="AF838" s="24">
        <v>100</v>
      </c>
      <c r="AG838" s="24">
        <v>100</v>
      </c>
      <c r="AH838" s="24">
        <v>100</v>
      </c>
      <c r="AI838" s="24">
        <v>100</v>
      </c>
      <c r="AJ838" s="24">
        <v>100</v>
      </c>
      <c r="AK838" s="24">
        <v>100</v>
      </c>
      <c r="AL838" s="24">
        <v>100</v>
      </c>
      <c r="AM838" s="24">
        <v>100</v>
      </c>
      <c r="AN838" s="24">
        <v>100</v>
      </c>
      <c r="AP838" s="21"/>
    </row>
    <row r="839" spans="3:42" x14ac:dyDescent="0.25">
      <c r="C839" s="22" t="s">
        <v>783</v>
      </c>
      <c r="D839" s="96" t="s">
        <v>162</v>
      </c>
      <c r="E839" s="25">
        <v>100</v>
      </c>
      <c r="F839" s="25">
        <v>100</v>
      </c>
      <c r="G839" s="25">
        <v>100</v>
      </c>
      <c r="H839" s="25">
        <v>100</v>
      </c>
      <c r="I839" s="25">
        <v>100</v>
      </c>
      <c r="J839" s="25">
        <v>100</v>
      </c>
      <c r="K839" s="25">
        <v>100</v>
      </c>
      <c r="L839" s="25">
        <v>100</v>
      </c>
      <c r="M839" s="25">
        <v>100</v>
      </c>
      <c r="N839" s="25">
        <v>100</v>
      </c>
      <c r="O839" s="25">
        <v>100</v>
      </c>
      <c r="P839" s="25">
        <v>100</v>
      </c>
      <c r="Q839" s="25">
        <v>100</v>
      </c>
      <c r="R839" s="25">
        <v>100</v>
      </c>
      <c r="S839" s="25">
        <v>100</v>
      </c>
      <c r="T839" s="25">
        <v>100</v>
      </c>
      <c r="U839" s="25">
        <v>100</v>
      </c>
      <c r="V839" s="25">
        <v>100</v>
      </c>
      <c r="W839" s="25">
        <v>100</v>
      </c>
      <c r="X839" s="25">
        <v>100</v>
      </c>
      <c r="Y839" s="25">
        <v>100</v>
      </c>
      <c r="Z839" s="25">
        <v>100</v>
      </c>
      <c r="AA839" s="25">
        <v>100</v>
      </c>
      <c r="AB839" s="25">
        <v>100</v>
      </c>
      <c r="AC839" s="25">
        <v>100</v>
      </c>
      <c r="AD839" s="25">
        <v>100</v>
      </c>
      <c r="AE839" s="25">
        <v>100</v>
      </c>
      <c r="AF839" s="25">
        <v>100</v>
      </c>
      <c r="AG839" s="25">
        <v>100</v>
      </c>
      <c r="AH839" s="25">
        <v>100</v>
      </c>
      <c r="AI839" s="25">
        <v>100</v>
      </c>
      <c r="AJ839" s="25">
        <v>100</v>
      </c>
      <c r="AK839" s="25">
        <v>100</v>
      </c>
      <c r="AL839" s="25">
        <v>100</v>
      </c>
      <c r="AM839" s="25">
        <v>100</v>
      </c>
      <c r="AN839" s="25">
        <v>100</v>
      </c>
      <c r="AP839" s="22"/>
    </row>
    <row r="840" spans="3:42" x14ac:dyDescent="0.25">
      <c r="C840" s="553" t="s">
        <v>828</v>
      </c>
      <c r="D840" s="554"/>
      <c r="E840" s="553"/>
      <c r="F840" s="553"/>
      <c r="G840" s="553"/>
      <c r="H840" s="553"/>
      <c r="I840" s="553"/>
      <c r="J840" s="553"/>
      <c r="K840" s="553"/>
      <c r="L840" s="553"/>
      <c r="M840" s="553"/>
      <c r="N840" s="553"/>
      <c r="O840" s="553"/>
      <c r="P840" s="553"/>
      <c r="Q840" s="553"/>
      <c r="R840" s="553"/>
      <c r="S840" s="553"/>
      <c r="T840" s="553"/>
      <c r="U840" s="553"/>
      <c r="V840" s="553"/>
      <c r="W840" s="553"/>
      <c r="X840" s="553"/>
      <c r="Y840" s="553"/>
      <c r="Z840" s="553"/>
      <c r="AA840" s="553"/>
      <c r="AB840" s="553"/>
      <c r="AC840" s="553"/>
      <c r="AD840" s="553"/>
      <c r="AE840" s="553"/>
      <c r="AF840" s="553"/>
      <c r="AG840" s="553"/>
      <c r="AH840" s="553"/>
      <c r="AI840" s="553"/>
      <c r="AJ840" s="553"/>
      <c r="AK840" s="553"/>
      <c r="AL840" s="553"/>
      <c r="AM840" s="553"/>
      <c r="AN840" s="553"/>
      <c r="AP840" s="553"/>
    </row>
    <row r="841" spans="3:42" x14ac:dyDescent="0.25">
      <c r="C841" s="20" t="s">
        <v>778</v>
      </c>
      <c r="D841" s="34" t="s">
        <v>162</v>
      </c>
      <c r="E841" s="23">
        <v>100</v>
      </c>
      <c r="F841" s="23">
        <v>100</v>
      </c>
      <c r="G841" s="23">
        <v>100</v>
      </c>
      <c r="H841" s="23">
        <v>100</v>
      </c>
      <c r="I841" s="23">
        <v>100</v>
      </c>
      <c r="J841" s="23">
        <v>100</v>
      </c>
      <c r="K841" s="23">
        <v>100</v>
      </c>
      <c r="L841" s="23">
        <v>100</v>
      </c>
      <c r="M841" s="23">
        <v>100</v>
      </c>
      <c r="N841" s="23">
        <v>100</v>
      </c>
      <c r="O841" s="23">
        <v>100</v>
      </c>
      <c r="P841" s="23">
        <v>100</v>
      </c>
      <c r="Q841" s="23">
        <v>100</v>
      </c>
      <c r="R841" s="23">
        <v>100</v>
      </c>
      <c r="S841" s="23">
        <v>100</v>
      </c>
      <c r="T841" s="23">
        <v>100</v>
      </c>
      <c r="U841" s="23">
        <v>100</v>
      </c>
      <c r="V841" s="23">
        <v>100</v>
      </c>
      <c r="W841" s="23">
        <v>100</v>
      </c>
      <c r="X841" s="23">
        <v>100</v>
      </c>
      <c r="Y841" s="23">
        <v>100</v>
      </c>
      <c r="Z841" s="23">
        <v>100</v>
      </c>
      <c r="AA841" s="23">
        <v>100</v>
      </c>
      <c r="AB841" s="23">
        <v>100</v>
      </c>
      <c r="AC841" s="23">
        <v>100</v>
      </c>
      <c r="AD841" s="23">
        <v>100</v>
      </c>
      <c r="AE841" s="23">
        <v>100</v>
      </c>
      <c r="AF841" s="23">
        <v>100</v>
      </c>
      <c r="AG841" s="23">
        <v>100</v>
      </c>
      <c r="AH841" s="23">
        <v>100</v>
      </c>
      <c r="AI841" s="23">
        <v>100</v>
      </c>
      <c r="AJ841" s="23">
        <v>100</v>
      </c>
      <c r="AK841" s="23">
        <v>100</v>
      </c>
      <c r="AL841" s="23">
        <v>100</v>
      </c>
      <c r="AM841" s="23">
        <v>100</v>
      </c>
      <c r="AN841" s="23">
        <v>100</v>
      </c>
      <c r="AP841" s="20"/>
    </row>
    <row r="842" spans="3:42" x14ac:dyDescent="0.25">
      <c r="C842" s="20" t="s">
        <v>784</v>
      </c>
      <c r="D842" s="38" t="s">
        <v>162</v>
      </c>
      <c r="E842" s="24">
        <v>100</v>
      </c>
      <c r="F842" s="24">
        <v>100</v>
      </c>
      <c r="G842" s="24">
        <v>100</v>
      </c>
      <c r="H842" s="24">
        <v>100</v>
      </c>
      <c r="I842" s="24">
        <v>100</v>
      </c>
      <c r="J842" s="24">
        <v>100</v>
      </c>
      <c r="K842" s="24">
        <v>100</v>
      </c>
      <c r="L842" s="24">
        <v>100</v>
      </c>
      <c r="M842" s="24">
        <v>100</v>
      </c>
      <c r="N842" s="24">
        <v>100</v>
      </c>
      <c r="O842" s="24">
        <v>100</v>
      </c>
      <c r="P842" s="24">
        <v>100</v>
      </c>
      <c r="Q842" s="24">
        <v>100</v>
      </c>
      <c r="R842" s="24">
        <v>100</v>
      </c>
      <c r="S842" s="24">
        <v>100</v>
      </c>
      <c r="T842" s="24">
        <v>100</v>
      </c>
      <c r="U842" s="24">
        <v>100</v>
      </c>
      <c r="V842" s="24">
        <v>100</v>
      </c>
      <c r="W842" s="24">
        <v>100</v>
      </c>
      <c r="X842" s="24">
        <v>100</v>
      </c>
      <c r="Y842" s="24">
        <v>100</v>
      </c>
      <c r="Z842" s="24">
        <v>100</v>
      </c>
      <c r="AA842" s="24">
        <v>100</v>
      </c>
      <c r="AB842" s="24">
        <v>100</v>
      </c>
      <c r="AC842" s="24">
        <v>100</v>
      </c>
      <c r="AD842" s="24">
        <v>100</v>
      </c>
      <c r="AE842" s="24">
        <v>100</v>
      </c>
      <c r="AF842" s="24">
        <v>100</v>
      </c>
      <c r="AG842" s="24">
        <v>100</v>
      </c>
      <c r="AH842" s="24">
        <v>100</v>
      </c>
      <c r="AI842" s="24">
        <v>100</v>
      </c>
      <c r="AJ842" s="24">
        <v>100</v>
      </c>
      <c r="AK842" s="24">
        <v>100</v>
      </c>
      <c r="AL842" s="24">
        <v>100</v>
      </c>
      <c r="AM842" s="24">
        <v>100</v>
      </c>
      <c r="AN842" s="24">
        <v>100</v>
      </c>
      <c r="AP842" s="21"/>
    </row>
    <row r="843" spans="3:42" x14ac:dyDescent="0.25">
      <c r="C843" s="20" t="s">
        <v>785</v>
      </c>
      <c r="D843" s="38" t="s">
        <v>162</v>
      </c>
      <c r="E843" s="24">
        <v>100</v>
      </c>
      <c r="F843" s="24">
        <v>100</v>
      </c>
      <c r="G843" s="24">
        <v>100</v>
      </c>
      <c r="H843" s="24">
        <v>100</v>
      </c>
      <c r="I843" s="24">
        <v>100</v>
      </c>
      <c r="J843" s="24">
        <v>100</v>
      </c>
      <c r="K843" s="24">
        <v>100</v>
      </c>
      <c r="L843" s="24">
        <v>100</v>
      </c>
      <c r="M843" s="24">
        <v>100</v>
      </c>
      <c r="N843" s="24">
        <v>100</v>
      </c>
      <c r="O843" s="24">
        <v>100</v>
      </c>
      <c r="P843" s="24">
        <v>100</v>
      </c>
      <c r="Q843" s="24">
        <v>100</v>
      </c>
      <c r="R843" s="24">
        <v>100</v>
      </c>
      <c r="S843" s="24">
        <v>100</v>
      </c>
      <c r="T843" s="24">
        <v>100</v>
      </c>
      <c r="U843" s="24">
        <v>100</v>
      </c>
      <c r="V843" s="24">
        <v>100</v>
      </c>
      <c r="W843" s="24">
        <v>100</v>
      </c>
      <c r="X843" s="24">
        <v>100</v>
      </c>
      <c r="Y843" s="24">
        <v>100</v>
      </c>
      <c r="Z843" s="24">
        <v>100</v>
      </c>
      <c r="AA843" s="24">
        <v>100</v>
      </c>
      <c r="AB843" s="24">
        <v>100</v>
      </c>
      <c r="AC843" s="24">
        <v>100</v>
      </c>
      <c r="AD843" s="24">
        <v>100</v>
      </c>
      <c r="AE843" s="24">
        <v>100</v>
      </c>
      <c r="AF843" s="24">
        <v>100</v>
      </c>
      <c r="AG843" s="24">
        <v>100</v>
      </c>
      <c r="AH843" s="24">
        <v>100</v>
      </c>
      <c r="AI843" s="24">
        <v>100</v>
      </c>
      <c r="AJ843" s="24">
        <v>100</v>
      </c>
      <c r="AK843" s="24">
        <v>100</v>
      </c>
      <c r="AL843" s="24">
        <v>100</v>
      </c>
      <c r="AM843" s="24">
        <v>100</v>
      </c>
      <c r="AN843" s="24">
        <v>100</v>
      </c>
      <c r="AP843" s="21"/>
    </row>
    <row r="844" spans="3:42" x14ac:dyDescent="0.25">
      <c r="C844" s="20" t="s">
        <v>779</v>
      </c>
      <c r="D844" s="38" t="s">
        <v>162</v>
      </c>
      <c r="E844" s="24">
        <v>100</v>
      </c>
      <c r="F844" s="24">
        <v>100</v>
      </c>
      <c r="G844" s="24">
        <v>100</v>
      </c>
      <c r="H844" s="24">
        <v>100</v>
      </c>
      <c r="I844" s="24">
        <v>100</v>
      </c>
      <c r="J844" s="24">
        <v>100</v>
      </c>
      <c r="K844" s="24">
        <v>100</v>
      </c>
      <c r="L844" s="24">
        <v>100</v>
      </c>
      <c r="M844" s="24">
        <v>100</v>
      </c>
      <c r="N844" s="24">
        <v>100</v>
      </c>
      <c r="O844" s="24">
        <v>100</v>
      </c>
      <c r="P844" s="24">
        <v>100</v>
      </c>
      <c r="Q844" s="24">
        <v>100</v>
      </c>
      <c r="R844" s="24">
        <v>100</v>
      </c>
      <c r="S844" s="24">
        <v>100</v>
      </c>
      <c r="T844" s="24">
        <v>100</v>
      </c>
      <c r="U844" s="24">
        <v>100</v>
      </c>
      <c r="V844" s="24">
        <v>100</v>
      </c>
      <c r="W844" s="24">
        <v>100</v>
      </c>
      <c r="X844" s="24">
        <v>100</v>
      </c>
      <c r="Y844" s="24">
        <v>100</v>
      </c>
      <c r="Z844" s="24">
        <v>100</v>
      </c>
      <c r="AA844" s="24">
        <v>100</v>
      </c>
      <c r="AB844" s="24">
        <v>100</v>
      </c>
      <c r="AC844" s="24">
        <v>100</v>
      </c>
      <c r="AD844" s="24">
        <v>100</v>
      </c>
      <c r="AE844" s="24">
        <v>100</v>
      </c>
      <c r="AF844" s="24">
        <v>100</v>
      </c>
      <c r="AG844" s="24">
        <v>100</v>
      </c>
      <c r="AH844" s="24">
        <v>100</v>
      </c>
      <c r="AI844" s="24">
        <v>100</v>
      </c>
      <c r="AJ844" s="24">
        <v>100</v>
      </c>
      <c r="AK844" s="24">
        <v>100</v>
      </c>
      <c r="AL844" s="24">
        <v>100</v>
      </c>
      <c r="AM844" s="24">
        <v>100</v>
      </c>
      <c r="AN844" s="24">
        <v>100</v>
      </c>
      <c r="AP844" s="21"/>
    </row>
    <row r="845" spans="3:42" x14ac:dyDescent="0.25">
      <c r="C845" s="20" t="s">
        <v>780</v>
      </c>
      <c r="D845" s="38" t="s">
        <v>162</v>
      </c>
      <c r="E845" s="24">
        <v>100</v>
      </c>
      <c r="F845" s="24">
        <v>100</v>
      </c>
      <c r="G845" s="24">
        <v>100</v>
      </c>
      <c r="H845" s="24">
        <v>100</v>
      </c>
      <c r="I845" s="24">
        <v>100</v>
      </c>
      <c r="J845" s="24">
        <v>100</v>
      </c>
      <c r="K845" s="24">
        <v>100</v>
      </c>
      <c r="L845" s="24">
        <v>100</v>
      </c>
      <c r="M845" s="24">
        <v>100</v>
      </c>
      <c r="N845" s="24">
        <v>100</v>
      </c>
      <c r="O845" s="24">
        <v>100</v>
      </c>
      <c r="P845" s="24">
        <v>100</v>
      </c>
      <c r="Q845" s="24">
        <v>100</v>
      </c>
      <c r="R845" s="24">
        <v>100</v>
      </c>
      <c r="S845" s="24">
        <v>100</v>
      </c>
      <c r="T845" s="24">
        <v>100</v>
      </c>
      <c r="U845" s="24">
        <v>100</v>
      </c>
      <c r="V845" s="24">
        <v>100</v>
      </c>
      <c r="W845" s="24">
        <v>100</v>
      </c>
      <c r="X845" s="24">
        <v>100</v>
      </c>
      <c r="Y845" s="24">
        <v>100</v>
      </c>
      <c r="Z845" s="24">
        <v>100</v>
      </c>
      <c r="AA845" s="24">
        <v>100</v>
      </c>
      <c r="AB845" s="24">
        <v>100</v>
      </c>
      <c r="AC845" s="24">
        <v>100</v>
      </c>
      <c r="AD845" s="24">
        <v>100</v>
      </c>
      <c r="AE845" s="24">
        <v>100</v>
      </c>
      <c r="AF845" s="24">
        <v>100</v>
      </c>
      <c r="AG845" s="24">
        <v>100</v>
      </c>
      <c r="AH845" s="24">
        <v>100</v>
      </c>
      <c r="AI845" s="24">
        <v>100</v>
      </c>
      <c r="AJ845" s="24">
        <v>100</v>
      </c>
      <c r="AK845" s="24">
        <v>100</v>
      </c>
      <c r="AL845" s="24">
        <v>100</v>
      </c>
      <c r="AM845" s="24">
        <v>100</v>
      </c>
      <c r="AN845" s="24">
        <v>100</v>
      </c>
      <c r="AP845" s="21"/>
    </row>
    <row r="846" spans="3:42" x14ac:dyDescent="0.25">
      <c r="C846" s="20" t="s">
        <v>786</v>
      </c>
      <c r="D846" s="38" t="s">
        <v>162</v>
      </c>
      <c r="E846" s="24">
        <v>100</v>
      </c>
      <c r="F846" s="24">
        <v>100</v>
      </c>
      <c r="G846" s="24">
        <v>100</v>
      </c>
      <c r="H846" s="24">
        <v>100</v>
      </c>
      <c r="I846" s="24">
        <v>100</v>
      </c>
      <c r="J846" s="24">
        <v>100</v>
      </c>
      <c r="K846" s="24">
        <v>100</v>
      </c>
      <c r="L846" s="24">
        <v>100</v>
      </c>
      <c r="M846" s="24">
        <v>100</v>
      </c>
      <c r="N846" s="24">
        <v>100</v>
      </c>
      <c r="O846" s="24">
        <v>100</v>
      </c>
      <c r="P846" s="24">
        <v>100</v>
      </c>
      <c r="Q846" s="24">
        <v>100</v>
      </c>
      <c r="R846" s="24">
        <v>100</v>
      </c>
      <c r="S846" s="24">
        <v>100</v>
      </c>
      <c r="T846" s="24">
        <v>100</v>
      </c>
      <c r="U846" s="24">
        <v>100</v>
      </c>
      <c r="V846" s="24">
        <v>100</v>
      </c>
      <c r="W846" s="24">
        <v>100</v>
      </c>
      <c r="X846" s="24">
        <v>100</v>
      </c>
      <c r="Y846" s="24">
        <v>100</v>
      </c>
      <c r="Z846" s="24">
        <v>100</v>
      </c>
      <c r="AA846" s="24">
        <v>100</v>
      </c>
      <c r="AB846" s="24">
        <v>100</v>
      </c>
      <c r="AC846" s="24">
        <v>100</v>
      </c>
      <c r="AD846" s="24">
        <v>100</v>
      </c>
      <c r="AE846" s="24">
        <v>100</v>
      </c>
      <c r="AF846" s="24">
        <v>100</v>
      </c>
      <c r="AG846" s="24">
        <v>100</v>
      </c>
      <c r="AH846" s="24">
        <v>100</v>
      </c>
      <c r="AI846" s="24">
        <v>100</v>
      </c>
      <c r="AJ846" s="24">
        <v>100</v>
      </c>
      <c r="AK846" s="24">
        <v>100</v>
      </c>
      <c r="AL846" s="24">
        <v>100</v>
      </c>
      <c r="AM846" s="24">
        <v>100</v>
      </c>
      <c r="AN846" s="24">
        <v>100</v>
      </c>
      <c r="AP846" s="21"/>
    </row>
    <row r="847" spans="3:42" x14ac:dyDescent="0.25">
      <c r="C847" s="22" t="s">
        <v>783</v>
      </c>
      <c r="D847" s="96" t="s">
        <v>162</v>
      </c>
      <c r="E847" s="25">
        <v>100</v>
      </c>
      <c r="F847" s="25">
        <v>100</v>
      </c>
      <c r="G847" s="25">
        <v>100</v>
      </c>
      <c r="H847" s="25">
        <v>100</v>
      </c>
      <c r="I847" s="25">
        <v>100</v>
      </c>
      <c r="J847" s="25">
        <v>100</v>
      </c>
      <c r="K847" s="25">
        <v>100</v>
      </c>
      <c r="L847" s="25">
        <v>100</v>
      </c>
      <c r="M847" s="25">
        <v>100</v>
      </c>
      <c r="N847" s="25">
        <v>100</v>
      </c>
      <c r="O847" s="25">
        <v>100</v>
      </c>
      <c r="P847" s="25">
        <v>100</v>
      </c>
      <c r="Q847" s="25">
        <v>100</v>
      </c>
      <c r="R847" s="25">
        <v>100</v>
      </c>
      <c r="S847" s="25">
        <v>100</v>
      </c>
      <c r="T847" s="25">
        <v>100</v>
      </c>
      <c r="U847" s="25">
        <v>100</v>
      </c>
      <c r="V847" s="25">
        <v>100</v>
      </c>
      <c r="W847" s="25">
        <v>100</v>
      </c>
      <c r="X847" s="25">
        <v>100</v>
      </c>
      <c r="Y847" s="25">
        <v>100</v>
      </c>
      <c r="Z847" s="25">
        <v>100</v>
      </c>
      <c r="AA847" s="25">
        <v>100</v>
      </c>
      <c r="AB847" s="25">
        <v>100</v>
      </c>
      <c r="AC847" s="25">
        <v>100</v>
      </c>
      <c r="AD847" s="25">
        <v>100</v>
      </c>
      <c r="AE847" s="25">
        <v>100</v>
      </c>
      <c r="AF847" s="25">
        <v>100</v>
      </c>
      <c r="AG847" s="25">
        <v>100</v>
      </c>
      <c r="AH847" s="25">
        <v>100</v>
      </c>
      <c r="AI847" s="25">
        <v>100</v>
      </c>
      <c r="AJ847" s="25">
        <v>100</v>
      </c>
      <c r="AK847" s="25">
        <v>100</v>
      </c>
      <c r="AL847" s="25">
        <v>100</v>
      </c>
      <c r="AM847" s="25">
        <v>100</v>
      </c>
      <c r="AN847" s="25">
        <v>100</v>
      </c>
      <c r="AP847" s="22"/>
    </row>
    <row r="848" spans="3:42" x14ac:dyDescent="0.25">
      <c r="C848" s="553" t="s">
        <v>827</v>
      </c>
      <c r="D848" s="554"/>
      <c r="E848" s="553"/>
      <c r="F848" s="553"/>
      <c r="G848" s="553"/>
      <c r="H848" s="553"/>
      <c r="I848" s="553"/>
      <c r="J848" s="553"/>
      <c r="K848" s="553"/>
      <c r="L848" s="553"/>
      <c r="M848" s="553"/>
      <c r="N848" s="553"/>
      <c r="O848" s="553"/>
      <c r="P848" s="553"/>
      <c r="Q848" s="553"/>
      <c r="R848" s="553"/>
      <c r="S848" s="553"/>
      <c r="T848" s="553"/>
      <c r="U848" s="553"/>
      <c r="V848" s="553"/>
      <c r="W848" s="553"/>
      <c r="X848" s="553"/>
      <c r="Y848" s="553"/>
      <c r="Z848" s="553"/>
      <c r="AA848" s="553"/>
      <c r="AB848" s="553"/>
      <c r="AC848" s="553"/>
      <c r="AD848" s="553"/>
      <c r="AE848" s="553"/>
      <c r="AF848" s="553"/>
      <c r="AG848" s="553"/>
      <c r="AH848" s="553"/>
      <c r="AI848" s="553"/>
      <c r="AJ848" s="553"/>
      <c r="AK848" s="553"/>
      <c r="AL848" s="553"/>
      <c r="AM848" s="553"/>
      <c r="AN848" s="553"/>
      <c r="AP848" s="553"/>
    </row>
    <row r="849" spans="2:42" x14ac:dyDescent="0.25">
      <c r="C849" s="20" t="s">
        <v>778</v>
      </c>
      <c r="D849" s="34" t="s">
        <v>162</v>
      </c>
      <c r="E849" s="23">
        <v>100</v>
      </c>
      <c r="F849" s="23">
        <v>100</v>
      </c>
      <c r="G849" s="23">
        <v>100</v>
      </c>
      <c r="H849" s="23">
        <v>100</v>
      </c>
      <c r="I849" s="23">
        <v>100</v>
      </c>
      <c r="J849" s="23">
        <v>100</v>
      </c>
      <c r="K849" s="23">
        <v>100</v>
      </c>
      <c r="L849" s="23">
        <v>100</v>
      </c>
      <c r="M849" s="23">
        <v>100</v>
      </c>
      <c r="N849" s="23">
        <v>100</v>
      </c>
      <c r="O849" s="23">
        <v>100</v>
      </c>
      <c r="P849" s="23">
        <v>100</v>
      </c>
      <c r="Q849" s="23">
        <v>100</v>
      </c>
      <c r="R849" s="23">
        <v>100</v>
      </c>
      <c r="S849" s="23">
        <v>100</v>
      </c>
      <c r="T849" s="23">
        <v>100</v>
      </c>
      <c r="U849" s="23">
        <v>100</v>
      </c>
      <c r="V849" s="23">
        <v>100</v>
      </c>
      <c r="W849" s="23">
        <v>100</v>
      </c>
      <c r="X849" s="23">
        <v>100</v>
      </c>
      <c r="Y849" s="23">
        <v>100</v>
      </c>
      <c r="Z849" s="23">
        <v>100</v>
      </c>
      <c r="AA849" s="23">
        <v>100</v>
      </c>
      <c r="AB849" s="23">
        <v>100</v>
      </c>
      <c r="AC849" s="23">
        <v>100</v>
      </c>
      <c r="AD849" s="23">
        <v>100</v>
      </c>
      <c r="AE849" s="23">
        <v>100</v>
      </c>
      <c r="AF849" s="23">
        <v>100</v>
      </c>
      <c r="AG849" s="23">
        <v>100</v>
      </c>
      <c r="AH849" s="23">
        <v>100</v>
      </c>
      <c r="AI849" s="23">
        <v>100</v>
      </c>
      <c r="AJ849" s="23">
        <v>100</v>
      </c>
      <c r="AK849" s="23">
        <v>100</v>
      </c>
      <c r="AL849" s="23">
        <v>100</v>
      </c>
      <c r="AM849" s="23">
        <v>100</v>
      </c>
      <c r="AN849" s="23">
        <v>100</v>
      </c>
      <c r="AP849" s="20"/>
    </row>
    <row r="850" spans="2:42" x14ac:dyDescent="0.25">
      <c r="C850" s="20" t="s">
        <v>784</v>
      </c>
      <c r="D850" s="38" t="s">
        <v>162</v>
      </c>
      <c r="E850" s="24">
        <v>100</v>
      </c>
      <c r="F850" s="24">
        <v>100</v>
      </c>
      <c r="G850" s="24">
        <v>100</v>
      </c>
      <c r="H850" s="24">
        <v>100</v>
      </c>
      <c r="I850" s="24">
        <v>100</v>
      </c>
      <c r="J850" s="24">
        <v>100</v>
      </c>
      <c r="K850" s="24">
        <v>100</v>
      </c>
      <c r="L850" s="24">
        <v>100</v>
      </c>
      <c r="M850" s="24">
        <v>100</v>
      </c>
      <c r="N850" s="24">
        <v>100</v>
      </c>
      <c r="O850" s="24">
        <v>100</v>
      </c>
      <c r="P850" s="24">
        <v>100</v>
      </c>
      <c r="Q850" s="24">
        <v>100</v>
      </c>
      <c r="R850" s="24">
        <v>100</v>
      </c>
      <c r="S850" s="24">
        <v>100</v>
      </c>
      <c r="T850" s="24">
        <v>100</v>
      </c>
      <c r="U850" s="24">
        <v>100</v>
      </c>
      <c r="V850" s="24">
        <v>100</v>
      </c>
      <c r="W850" s="24">
        <v>100</v>
      </c>
      <c r="X850" s="24">
        <v>100</v>
      </c>
      <c r="Y850" s="24">
        <v>100</v>
      </c>
      <c r="Z850" s="24">
        <v>100</v>
      </c>
      <c r="AA850" s="24">
        <v>100</v>
      </c>
      <c r="AB850" s="24">
        <v>100</v>
      </c>
      <c r="AC850" s="24">
        <v>100</v>
      </c>
      <c r="AD850" s="24">
        <v>100</v>
      </c>
      <c r="AE850" s="24">
        <v>100</v>
      </c>
      <c r="AF850" s="24">
        <v>100</v>
      </c>
      <c r="AG850" s="24">
        <v>100</v>
      </c>
      <c r="AH850" s="24">
        <v>100</v>
      </c>
      <c r="AI850" s="24">
        <v>100</v>
      </c>
      <c r="AJ850" s="24">
        <v>100</v>
      </c>
      <c r="AK850" s="24">
        <v>100</v>
      </c>
      <c r="AL850" s="24">
        <v>100</v>
      </c>
      <c r="AM850" s="24">
        <v>100</v>
      </c>
      <c r="AN850" s="24">
        <v>100</v>
      </c>
      <c r="AP850" s="21"/>
    </row>
    <row r="851" spans="2:42" x14ac:dyDescent="0.25">
      <c r="C851" s="20" t="s">
        <v>785</v>
      </c>
      <c r="D851" s="38" t="s">
        <v>162</v>
      </c>
      <c r="E851" s="24">
        <v>100</v>
      </c>
      <c r="F851" s="24">
        <v>100</v>
      </c>
      <c r="G851" s="24">
        <v>100</v>
      </c>
      <c r="H851" s="24">
        <v>100</v>
      </c>
      <c r="I851" s="24">
        <v>100</v>
      </c>
      <c r="J851" s="24">
        <v>100</v>
      </c>
      <c r="K851" s="24">
        <v>100</v>
      </c>
      <c r="L851" s="24">
        <v>100</v>
      </c>
      <c r="M851" s="24">
        <v>100</v>
      </c>
      <c r="N851" s="24">
        <v>100</v>
      </c>
      <c r="O851" s="24">
        <v>100</v>
      </c>
      <c r="P851" s="24">
        <v>100</v>
      </c>
      <c r="Q851" s="24">
        <v>100</v>
      </c>
      <c r="R851" s="24">
        <v>100</v>
      </c>
      <c r="S851" s="24">
        <v>100</v>
      </c>
      <c r="T851" s="24">
        <v>100</v>
      </c>
      <c r="U851" s="24">
        <v>100</v>
      </c>
      <c r="V851" s="24">
        <v>100</v>
      </c>
      <c r="W851" s="24">
        <v>100</v>
      </c>
      <c r="X851" s="24">
        <v>100</v>
      </c>
      <c r="Y851" s="24">
        <v>100</v>
      </c>
      <c r="Z851" s="24">
        <v>100</v>
      </c>
      <c r="AA851" s="24">
        <v>100</v>
      </c>
      <c r="AB851" s="24">
        <v>100</v>
      </c>
      <c r="AC851" s="24">
        <v>100</v>
      </c>
      <c r="AD851" s="24">
        <v>100</v>
      </c>
      <c r="AE851" s="24">
        <v>100</v>
      </c>
      <c r="AF851" s="24">
        <v>100</v>
      </c>
      <c r="AG851" s="24">
        <v>100</v>
      </c>
      <c r="AH851" s="24">
        <v>100</v>
      </c>
      <c r="AI851" s="24">
        <v>100</v>
      </c>
      <c r="AJ851" s="24">
        <v>100</v>
      </c>
      <c r="AK851" s="24">
        <v>100</v>
      </c>
      <c r="AL851" s="24">
        <v>100</v>
      </c>
      <c r="AM851" s="24">
        <v>100</v>
      </c>
      <c r="AN851" s="24">
        <v>100</v>
      </c>
      <c r="AP851" s="21"/>
    </row>
    <row r="852" spans="2:42" x14ac:dyDescent="0.25">
      <c r="C852" s="20" t="s">
        <v>779</v>
      </c>
      <c r="D852" s="38" t="s">
        <v>162</v>
      </c>
      <c r="E852" s="24">
        <v>100</v>
      </c>
      <c r="F852" s="24">
        <v>100</v>
      </c>
      <c r="G852" s="24">
        <v>100</v>
      </c>
      <c r="H852" s="24">
        <v>100</v>
      </c>
      <c r="I852" s="24">
        <v>100</v>
      </c>
      <c r="J852" s="24">
        <v>100</v>
      </c>
      <c r="K852" s="24">
        <v>100</v>
      </c>
      <c r="L852" s="24">
        <v>100</v>
      </c>
      <c r="M852" s="24">
        <v>100</v>
      </c>
      <c r="N852" s="24">
        <v>100</v>
      </c>
      <c r="O852" s="24">
        <v>100</v>
      </c>
      <c r="P852" s="24">
        <v>100</v>
      </c>
      <c r="Q852" s="24">
        <v>100</v>
      </c>
      <c r="R852" s="24">
        <v>100</v>
      </c>
      <c r="S852" s="24">
        <v>100</v>
      </c>
      <c r="T852" s="24">
        <v>100</v>
      </c>
      <c r="U852" s="24">
        <v>100</v>
      </c>
      <c r="V852" s="24">
        <v>100</v>
      </c>
      <c r="W852" s="24">
        <v>100</v>
      </c>
      <c r="X852" s="24">
        <v>100</v>
      </c>
      <c r="Y852" s="24">
        <v>100</v>
      </c>
      <c r="Z852" s="24">
        <v>100</v>
      </c>
      <c r="AA852" s="24">
        <v>100</v>
      </c>
      <c r="AB852" s="24">
        <v>100</v>
      </c>
      <c r="AC852" s="24">
        <v>100</v>
      </c>
      <c r="AD852" s="24">
        <v>100</v>
      </c>
      <c r="AE852" s="24">
        <v>100</v>
      </c>
      <c r="AF852" s="24">
        <v>100</v>
      </c>
      <c r="AG852" s="24">
        <v>100</v>
      </c>
      <c r="AH852" s="24">
        <v>100</v>
      </c>
      <c r="AI852" s="24">
        <v>100</v>
      </c>
      <c r="AJ852" s="24">
        <v>100</v>
      </c>
      <c r="AK852" s="24">
        <v>100</v>
      </c>
      <c r="AL852" s="24">
        <v>100</v>
      </c>
      <c r="AM852" s="24">
        <v>100</v>
      </c>
      <c r="AN852" s="24">
        <v>100</v>
      </c>
      <c r="AP852" s="21"/>
    </row>
    <row r="853" spans="2:42" x14ac:dyDescent="0.25">
      <c r="C853" s="20" t="s">
        <v>780</v>
      </c>
      <c r="D853" s="38" t="s">
        <v>162</v>
      </c>
      <c r="E853" s="24">
        <v>100</v>
      </c>
      <c r="F853" s="24">
        <v>100</v>
      </c>
      <c r="G853" s="24">
        <v>100</v>
      </c>
      <c r="H853" s="24">
        <v>100</v>
      </c>
      <c r="I853" s="24">
        <v>100</v>
      </c>
      <c r="J853" s="24">
        <v>100</v>
      </c>
      <c r="K853" s="24">
        <v>100</v>
      </c>
      <c r="L853" s="24">
        <v>100</v>
      </c>
      <c r="M853" s="24">
        <v>100</v>
      </c>
      <c r="N853" s="24">
        <v>100</v>
      </c>
      <c r="O853" s="24">
        <v>100</v>
      </c>
      <c r="P853" s="24">
        <v>100</v>
      </c>
      <c r="Q853" s="24">
        <v>100</v>
      </c>
      <c r="R853" s="24">
        <v>100</v>
      </c>
      <c r="S853" s="24">
        <v>100</v>
      </c>
      <c r="T853" s="24">
        <v>100</v>
      </c>
      <c r="U853" s="24">
        <v>100</v>
      </c>
      <c r="V853" s="24">
        <v>100</v>
      </c>
      <c r="W853" s="24">
        <v>100</v>
      </c>
      <c r="X853" s="24">
        <v>100</v>
      </c>
      <c r="Y853" s="24">
        <v>100</v>
      </c>
      <c r="Z853" s="24">
        <v>100</v>
      </c>
      <c r="AA853" s="24">
        <v>100</v>
      </c>
      <c r="AB853" s="24">
        <v>100</v>
      </c>
      <c r="AC853" s="24">
        <v>100</v>
      </c>
      <c r="AD853" s="24">
        <v>100</v>
      </c>
      <c r="AE853" s="24">
        <v>100</v>
      </c>
      <c r="AF853" s="24">
        <v>100</v>
      </c>
      <c r="AG853" s="24">
        <v>100</v>
      </c>
      <c r="AH853" s="24">
        <v>100</v>
      </c>
      <c r="AI853" s="24">
        <v>100</v>
      </c>
      <c r="AJ853" s="24">
        <v>100</v>
      </c>
      <c r="AK853" s="24">
        <v>100</v>
      </c>
      <c r="AL853" s="24">
        <v>100</v>
      </c>
      <c r="AM853" s="24">
        <v>100</v>
      </c>
      <c r="AN853" s="24">
        <v>100</v>
      </c>
      <c r="AP853" s="21"/>
    </row>
    <row r="854" spans="2:42" x14ac:dyDescent="0.25">
      <c r="C854" s="20" t="s">
        <v>786</v>
      </c>
      <c r="D854" s="38" t="s">
        <v>162</v>
      </c>
      <c r="E854" s="24">
        <v>100</v>
      </c>
      <c r="F854" s="24">
        <v>100</v>
      </c>
      <c r="G854" s="24">
        <v>100</v>
      </c>
      <c r="H854" s="24">
        <v>100</v>
      </c>
      <c r="I854" s="24">
        <v>100</v>
      </c>
      <c r="J854" s="24">
        <v>100</v>
      </c>
      <c r="K854" s="24">
        <v>100</v>
      </c>
      <c r="L854" s="24">
        <v>100</v>
      </c>
      <c r="M854" s="24">
        <v>100</v>
      </c>
      <c r="N854" s="24">
        <v>100</v>
      </c>
      <c r="O854" s="24">
        <v>100</v>
      </c>
      <c r="P854" s="24">
        <v>100</v>
      </c>
      <c r="Q854" s="24">
        <v>100</v>
      </c>
      <c r="R854" s="24">
        <v>100</v>
      </c>
      <c r="S854" s="24">
        <v>100</v>
      </c>
      <c r="T854" s="24">
        <v>100</v>
      </c>
      <c r="U854" s="24">
        <v>100</v>
      </c>
      <c r="V854" s="24">
        <v>100</v>
      </c>
      <c r="W854" s="24">
        <v>100</v>
      </c>
      <c r="X854" s="24">
        <v>100</v>
      </c>
      <c r="Y854" s="24">
        <v>100</v>
      </c>
      <c r="Z854" s="24">
        <v>100</v>
      </c>
      <c r="AA854" s="24">
        <v>100</v>
      </c>
      <c r="AB854" s="24">
        <v>100</v>
      </c>
      <c r="AC854" s="24">
        <v>100</v>
      </c>
      <c r="AD854" s="24">
        <v>100</v>
      </c>
      <c r="AE854" s="24">
        <v>100</v>
      </c>
      <c r="AF854" s="24">
        <v>100</v>
      </c>
      <c r="AG854" s="24">
        <v>100</v>
      </c>
      <c r="AH854" s="24">
        <v>100</v>
      </c>
      <c r="AI854" s="24">
        <v>100</v>
      </c>
      <c r="AJ854" s="24">
        <v>100</v>
      </c>
      <c r="AK854" s="24">
        <v>100</v>
      </c>
      <c r="AL854" s="24">
        <v>100</v>
      </c>
      <c r="AM854" s="24">
        <v>100</v>
      </c>
      <c r="AN854" s="24">
        <v>100</v>
      </c>
      <c r="AP854" s="21"/>
    </row>
    <row r="855" spans="2:42" x14ac:dyDescent="0.25">
      <c r="C855" s="21" t="s">
        <v>783</v>
      </c>
      <c r="D855" s="38" t="s">
        <v>162</v>
      </c>
      <c r="E855" s="25">
        <v>100</v>
      </c>
      <c r="F855" s="25">
        <v>100</v>
      </c>
      <c r="G855" s="25">
        <v>100</v>
      </c>
      <c r="H855" s="25">
        <v>100</v>
      </c>
      <c r="I855" s="25">
        <v>100</v>
      </c>
      <c r="J855" s="25">
        <v>100</v>
      </c>
      <c r="K855" s="25">
        <v>100</v>
      </c>
      <c r="L855" s="25">
        <v>100</v>
      </c>
      <c r="M855" s="25">
        <v>100</v>
      </c>
      <c r="N855" s="25">
        <v>100</v>
      </c>
      <c r="O855" s="25">
        <v>100</v>
      </c>
      <c r="P855" s="25">
        <v>100</v>
      </c>
      <c r="Q855" s="25">
        <v>100</v>
      </c>
      <c r="R855" s="25">
        <v>100</v>
      </c>
      <c r="S855" s="25">
        <v>100</v>
      </c>
      <c r="T855" s="25">
        <v>100</v>
      </c>
      <c r="U855" s="25">
        <v>100</v>
      </c>
      <c r="V855" s="25">
        <v>100</v>
      </c>
      <c r="W855" s="25">
        <v>100</v>
      </c>
      <c r="X855" s="25">
        <v>100</v>
      </c>
      <c r="Y855" s="25">
        <v>100</v>
      </c>
      <c r="Z855" s="25">
        <v>100</v>
      </c>
      <c r="AA855" s="25">
        <v>100</v>
      </c>
      <c r="AB855" s="25">
        <v>100</v>
      </c>
      <c r="AC855" s="25">
        <v>100</v>
      </c>
      <c r="AD855" s="25">
        <v>100</v>
      </c>
      <c r="AE855" s="25">
        <v>100</v>
      </c>
      <c r="AF855" s="25">
        <v>100</v>
      </c>
      <c r="AG855" s="25">
        <v>100</v>
      </c>
      <c r="AH855" s="25">
        <v>100</v>
      </c>
      <c r="AI855" s="25">
        <v>100</v>
      </c>
      <c r="AJ855" s="25">
        <v>100</v>
      </c>
      <c r="AK855" s="25">
        <v>100</v>
      </c>
      <c r="AL855" s="25">
        <v>100</v>
      </c>
      <c r="AM855" s="25">
        <v>100</v>
      </c>
      <c r="AN855" s="25">
        <v>100</v>
      </c>
      <c r="AP855" s="21"/>
    </row>
    <row r="856" spans="2:42" s="74" customFormat="1" x14ac:dyDescent="0.25">
      <c r="B856" s="99" t="s">
        <v>9</v>
      </c>
      <c r="C856" s="148" t="s">
        <v>792</v>
      </c>
      <c r="D856" s="540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  <c r="AE856" s="105"/>
      <c r="AF856" s="105"/>
      <c r="AG856" s="105"/>
      <c r="AH856" s="105"/>
      <c r="AI856" s="105"/>
      <c r="AJ856" s="105"/>
      <c r="AK856" s="105"/>
      <c r="AL856" s="105"/>
      <c r="AM856" s="105"/>
      <c r="AN856" s="105"/>
      <c r="AP856" s="105"/>
    </row>
    <row r="857" spans="2:42" x14ac:dyDescent="0.25">
      <c r="C857" s="137" t="s">
        <v>781</v>
      </c>
      <c r="D857" s="157" t="s">
        <v>29</v>
      </c>
      <c r="E857" s="541">
        <v>0.05</v>
      </c>
      <c r="F857" s="541">
        <v>0.05</v>
      </c>
      <c r="G857" s="541">
        <v>0.05</v>
      </c>
      <c r="H857" s="541">
        <v>0.05</v>
      </c>
      <c r="I857" s="541">
        <v>0.05</v>
      </c>
      <c r="J857" s="541">
        <v>0.05</v>
      </c>
      <c r="K857" s="541">
        <v>0.05</v>
      </c>
      <c r="L857" s="541">
        <v>0.05</v>
      </c>
      <c r="M857" s="541">
        <v>0.05</v>
      </c>
      <c r="N857" s="541">
        <v>0.05</v>
      </c>
      <c r="O857" s="541">
        <v>0.05</v>
      </c>
      <c r="P857" s="541">
        <v>0.05</v>
      </c>
      <c r="Q857" s="541">
        <v>0.05</v>
      </c>
      <c r="R857" s="541">
        <v>0.05</v>
      </c>
      <c r="S857" s="541">
        <v>0.05</v>
      </c>
      <c r="T857" s="541">
        <v>0.05</v>
      </c>
      <c r="U857" s="541">
        <v>0.05</v>
      </c>
      <c r="V857" s="541">
        <v>0.05</v>
      </c>
      <c r="W857" s="541">
        <v>0.05</v>
      </c>
      <c r="X857" s="541">
        <v>0.05</v>
      </c>
      <c r="Y857" s="541">
        <v>0.05</v>
      </c>
      <c r="Z857" s="541">
        <v>0.05</v>
      </c>
      <c r="AA857" s="541">
        <v>0.05</v>
      </c>
      <c r="AB857" s="541">
        <v>0.05</v>
      </c>
      <c r="AC857" s="541">
        <v>0.05</v>
      </c>
      <c r="AD857" s="541">
        <v>0.05</v>
      </c>
      <c r="AE857" s="541">
        <v>0.05</v>
      </c>
      <c r="AF857" s="541">
        <v>0.05</v>
      </c>
      <c r="AG857" s="541">
        <v>0.05</v>
      </c>
      <c r="AH857" s="541">
        <v>0.05</v>
      </c>
      <c r="AI857" s="541">
        <v>0.05</v>
      </c>
      <c r="AJ857" s="541">
        <v>0.05</v>
      </c>
      <c r="AK857" s="541">
        <v>0.05</v>
      </c>
      <c r="AL857" s="541">
        <v>0.05</v>
      </c>
      <c r="AM857" s="541">
        <v>0.05</v>
      </c>
      <c r="AN857" s="541">
        <v>0.05</v>
      </c>
      <c r="AP857" s="20"/>
    </row>
    <row r="858" spans="2:42" x14ac:dyDescent="0.25">
      <c r="C858" s="133" t="s">
        <v>782</v>
      </c>
      <c r="D858" s="159" t="s">
        <v>840</v>
      </c>
      <c r="E858" s="563">
        <v>1</v>
      </c>
      <c r="F858" s="563">
        <v>1</v>
      </c>
      <c r="G858" s="563">
        <v>1</v>
      </c>
      <c r="H858" s="563">
        <v>1</v>
      </c>
      <c r="I858" s="563">
        <v>1</v>
      </c>
      <c r="J858" s="563">
        <v>1</v>
      </c>
      <c r="K858" s="563">
        <v>1</v>
      </c>
      <c r="L858" s="563">
        <v>1</v>
      </c>
      <c r="M858" s="563">
        <v>1</v>
      </c>
      <c r="N858" s="563">
        <v>1</v>
      </c>
      <c r="O858" s="563">
        <v>1</v>
      </c>
      <c r="P858" s="563">
        <v>1</v>
      </c>
      <c r="Q858" s="563">
        <v>1</v>
      </c>
      <c r="R858" s="563">
        <v>1</v>
      </c>
      <c r="S858" s="563">
        <v>1</v>
      </c>
      <c r="T858" s="563">
        <v>1</v>
      </c>
      <c r="U858" s="563">
        <v>1</v>
      </c>
      <c r="V858" s="563">
        <v>1</v>
      </c>
      <c r="W858" s="563">
        <v>1</v>
      </c>
      <c r="X858" s="563">
        <v>1</v>
      </c>
      <c r="Y858" s="563">
        <v>1</v>
      </c>
      <c r="Z858" s="563">
        <v>1</v>
      </c>
      <c r="AA858" s="563">
        <v>1</v>
      </c>
      <c r="AB858" s="563">
        <v>1</v>
      </c>
      <c r="AC858" s="563">
        <v>1</v>
      </c>
      <c r="AD858" s="563">
        <v>1</v>
      </c>
      <c r="AE858" s="563">
        <v>1</v>
      </c>
      <c r="AF858" s="563">
        <v>1</v>
      </c>
      <c r="AG858" s="563">
        <v>1</v>
      </c>
      <c r="AH858" s="563">
        <v>1</v>
      </c>
      <c r="AI858" s="563">
        <v>1</v>
      </c>
      <c r="AJ858" s="563">
        <v>1</v>
      </c>
      <c r="AK858" s="563">
        <v>1</v>
      </c>
      <c r="AL858" s="563">
        <v>1</v>
      </c>
      <c r="AM858" s="563">
        <v>1</v>
      </c>
      <c r="AN858" s="563">
        <v>1</v>
      </c>
      <c r="AP858" s="22"/>
    </row>
    <row r="859" spans="2:42" s="74" customFormat="1" x14ac:dyDescent="0.25">
      <c r="B859" s="99" t="s">
        <v>9</v>
      </c>
      <c r="C859" s="148" t="s">
        <v>758</v>
      </c>
      <c r="D859" s="540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  <c r="AE859" s="105"/>
      <c r="AF859" s="105"/>
      <c r="AG859" s="105"/>
      <c r="AH859" s="105"/>
      <c r="AI859" s="105"/>
      <c r="AJ859" s="105"/>
      <c r="AK859" s="105"/>
      <c r="AL859" s="105"/>
      <c r="AM859" s="105"/>
      <c r="AN859" s="105"/>
      <c r="AP859" s="105"/>
    </row>
    <row r="860" spans="2:42" x14ac:dyDescent="0.25">
      <c r="C860" s="137" t="s">
        <v>769</v>
      </c>
      <c r="D860" s="157" t="s">
        <v>29</v>
      </c>
      <c r="E860" s="541">
        <v>5.5E-2</v>
      </c>
      <c r="F860" s="541">
        <v>5.5E-2</v>
      </c>
      <c r="G860" s="541">
        <v>5.5E-2</v>
      </c>
      <c r="H860" s="541">
        <v>5.5E-2</v>
      </c>
      <c r="I860" s="541">
        <v>5.5E-2</v>
      </c>
      <c r="J860" s="541">
        <v>5.5E-2</v>
      </c>
      <c r="K860" s="541">
        <v>5.5E-2</v>
      </c>
      <c r="L860" s="541">
        <v>5.5E-2</v>
      </c>
      <c r="M860" s="541">
        <v>5.5E-2</v>
      </c>
      <c r="N860" s="541">
        <v>5.5E-2</v>
      </c>
      <c r="O860" s="541">
        <v>5.5E-2</v>
      </c>
      <c r="P860" s="541">
        <v>5.5E-2</v>
      </c>
      <c r="Q860" s="541">
        <v>5.5E-2</v>
      </c>
      <c r="R860" s="541">
        <v>5.5E-2</v>
      </c>
      <c r="S860" s="541">
        <v>5.5E-2</v>
      </c>
      <c r="T860" s="541">
        <v>5.5E-2</v>
      </c>
      <c r="U860" s="541">
        <v>5.5E-2</v>
      </c>
      <c r="V860" s="541">
        <v>5.5E-2</v>
      </c>
      <c r="W860" s="541">
        <v>5.5E-2</v>
      </c>
      <c r="X860" s="541">
        <v>5.5E-2</v>
      </c>
      <c r="Y860" s="541">
        <v>5.5E-2</v>
      </c>
      <c r="Z860" s="541">
        <v>5.5E-2</v>
      </c>
      <c r="AA860" s="541">
        <v>5.5E-2</v>
      </c>
      <c r="AB860" s="541">
        <v>5.5E-2</v>
      </c>
      <c r="AC860" s="541">
        <v>5.5E-2</v>
      </c>
      <c r="AD860" s="541">
        <v>5.5E-2</v>
      </c>
      <c r="AE860" s="541">
        <v>5.5E-2</v>
      </c>
      <c r="AF860" s="541">
        <v>5.5E-2</v>
      </c>
      <c r="AG860" s="541">
        <v>5.5E-2</v>
      </c>
      <c r="AH860" s="541">
        <v>5.5E-2</v>
      </c>
      <c r="AI860" s="541">
        <v>5.5E-2</v>
      </c>
      <c r="AJ860" s="541">
        <v>5.5E-2</v>
      </c>
      <c r="AK860" s="541">
        <v>5.5E-2</v>
      </c>
      <c r="AL860" s="541">
        <v>5.5E-2</v>
      </c>
      <c r="AM860" s="541">
        <v>5.5E-2</v>
      </c>
      <c r="AN860" s="541">
        <v>5.5E-2</v>
      </c>
      <c r="AP860" s="20"/>
    </row>
    <row r="861" spans="2:42" x14ac:dyDescent="0.25">
      <c r="C861" s="133" t="s">
        <v>770</v>
      </c>
      <c r="D861" s="159" t="s">
        <v>29</v>
      </c>
      <c r="E861" s="542">
        <v>1.4999999999999999E-2</v>
      </c>
      <c r="F861" s="542">
        <v>1.4999999999999999E-2</v>
      </c>
      <c r="G861" s="542">
        <v>1.4999999999999999E-2</v>
      </c>
      <c r="H861" s="542">
        <v>1.4999999999999999E-2</v>
      </c>
      <c r="I861" s="542">
        <v>1.4999999999999999E-2</v>
      </c>
      <c r="J861" s="542">
        <v>1.4999999999999999E-2</v>
      </c>
      <c r="K861" s="542">
        <v>1.4999999999999999E-2</v>
      </c>
      <c r="L861" s="542">
        <v>1.4999999999999999E-2</v>
      </c>
      <c r="M861" s="542">
        <v>1.4999999999999999E-2</v>
      </c>
      <c r="N861" s="542">
        <v>1.4999999999999999E-2</v>
      </c>
      <c r="O861" s="542">
        <v>1.4999999999999999E-2</v>
      </c>
      <c r="P861" s="542">
        <v>1.4999999999999999E-2</v>
      </c>
      <c r="Q861" s="542">
        <v>1.4999999999999999E-2</v>
      </c>
      <c r="R861" s="542">
        <v>1.4999999999999999E-2</v>
      </c>
      <c r="S861" s="542">
        <v>1.4999999999999999E-2</v>
      </c>
      <c r="T861" s="542">
        <v>1.4999999999999999E-2</v>
      </c>
      <c r="U861" s="542">
        <v>1.4999999999999999E-2</v>
      </c>
      <c r="V861" s="542">
        <v>1.4999999999999999E-2</v>
      </c>
      <c r="W861" s="542">
        <v>1.4999999999999999E-2</v>
      </c>
      <c r="X861" s="542">
        <v>1.4999999999999999E-2</v>
      </c>
      <c r="Y861" s="542">
        <v>1.4999999999999999E-2</v>
      </c>
      <c r="Z861" s="542">
        <v>1.4999999999999999E-2</v>
      </c>
      <c r="AA861" s="542">
        <v>1.4999999999999999E-2</v>
      </c>
      <c r="AB861" s="542">
        <v>1.4999999999999999E-2</v>
      </c>
      <c r="AC861" s="542">
        <v>1.4999999999999999E-2</v>
      </c>
      <c r="AD861" s="542">
        <v>1.4999999999999999E-2</v>
      </c>
      <c r="AE861" s="542">
        <v>1.4999999999999999E-2</v>
      </c>
      <c r="AF861" s="542">
        <v>1.4999999999999999E-2</v>
      </c>
      <c r="AG861" s="542">
        <v>1.4999999999999999E-2</v>
      </c>
      <c r="AH861" s="542">
        <v>1.4999999999999999E-2</v>
      </c>
      <c r="AI861" s="542">
        <v>1.4999999999999999E-2</v>
      </c>
      <c r="AJ861" s="542">
        <v>1.4999999999999999E-2</v>
      </c>
      <c r="AK861" s="542">
        <v>1.4999999999999999E-2</v>
      </c>
      <c r="AL861" s="542">
        <v>1.4999999999999999E-2</v>
      </c>
      <c r="AM861" s="542">
        <v>1.4999999999999999E-2</v>
      </c>
      <c r="AN861" s="542">
        <v>1.4999999999999999E-2</v>
      </c>
      <c r="AP861" s="22"/>
    </row>
    <row r="862" spans="2:42" s="74" customFormat="1" x14ac:dyDescent="0.25">
      <c r="B862" s="99" t="s">
        <v>9</v>
      </c>
      <c r="C862" s="148" t="s">
        <v>756</v>
      </c>
      <c r="D862" s="540"/>
      <c r="E862" s="148"/>
      <c r="F862" s="148"/>
      <c r="G862" s="148"/>
      <c r="H862" s="148"/>
      <c r="I862" s="148"/>
      <c r="J862" s="148"/>
      <c r="K862" s="148"/>
      <c r="L862" s="148"/>
      <c r="M862" s="148"/>
      <c r="N862" s="148"/>
      <c r="O862" s="148"/>
      <c r="P862" s="148"/>
      <c r="Q862" s="148"/>
      <c r="R862" s="148"/>
      <c r="S862" s="148"/>
      <c r="T862" s="148"/>
      <c r="U862" s="148"/>
      <c r="V862" s="148"/>
      <c r="W862" s="148"/>
      <c r="X862" s="148"/>
      <c r="Y862" s="148"/>
      <c r="Z862" s="148"/>
      <c r="AA862" s="148"/>
      <c r="AB862" s="148"/>
      <c r="AC862" s="148"/>
      <c r="AD862" s="148"/>
      <c r="AE862" s="148"/>
      <c r="AF862" s="148"/>
      <c r="AG862" s="148"/>
      <c r="AH862" s="148"/>
      <c r="AI862" s="148"/>
      <c r="AJ862" s="148"/>
      <c r="AK862" s="148"/>
      <c r="AL862" s="148"/>
      <c r="AM862" s="148"/>
      <c r="AN862" s="148"/>
      <c r="AP862" s="105"/>
    </row>
    <row r="863" spans="2:42" x14ac:dyDescent="0.25">
      <c r="C863" s="137" t="s">
        <v>775</v>
      </c>
      <c r="D863" s="157" t="s">
        <v>29</v>
      </c>
      <c r="E863" s="544">
        <v>0.05</v>
      </c>
      <c r="F863" s="544">
        <v>0.05</v>
      </c>
      <c r="G863" s="544">
        <v>0.05</v>
      </c>
      <c r="H863" s="544">
        <v>0.05</v>
      </c>
      <c r="I863" s="544">
        <v>0.05</v>
      </c>
      <c r="J863" s="544">
        <v>0.05</v>
      </c>
      <c r="K863" s="544">
        <v>0.05</v>
      </c>
      <c r="L863" s="544">
        <v>0.05</v>
      </c>
      <c r="M863" s="544">
        <v>0.05</v>
      </c>
      <c r="N863" s="544">
        <v>0.05</v>
      </c>
      <c r="O863" s="544">
        <v>0.05</v>
      </c>
      <c r="P863" s="544">
        <v>0.05</v>
      </c>
      <c r="Q863" s="544">
        <v>0.05</v>
      </c>
      <c r="R863" s="544">
        <v>0.05</v>
      </c>
      <c r="S863" s="544">
        <v>0.05</v>
      </c>
      <c r="T863" s="544">
        <v>0.05</v>
      </c>
      <c r="U863" s="544">
        <v>0.05</v>
      </c>
      <c r="V863" s="544">
        <v>0.05</v>
      </c>
      <c r="W863" s="544">
        <v>0.05</v>
      </c>
      <c r="X863" s="544">
        <v>0.05</v>
      </c>
      <c r="Y863" s="544">
        <v>0.05</v>
      </c>
      <c r="Z863" s="544">
        <v>0.05</v>
      </c>
      <c r="AA863" s="544">
        <v>0.05</v>
      </c>
      <c r="AB863" s="544">
        <v>0.05</v>
      </c>
      <c r="AC863" s="544">
        <v>0.05</v>
      </c>
      <c r="AD863" s="544">
        <v>0.05</v>
      </c>
      <c r="AE863" s="544">
        <v>0.05</v>
      </c>
      <c r="AF863" s="544">
        <v>0.05</v>
      </c>
      <c r="AG863" s="544">
        <v>0.05</v>
      </c>
      <c r="AH863" s="544">
        <v>0.05</v>
      </c>
      <c r="AI863" s="544">
        <v>0.05</v>
      </c>
      <c r="AJ863" s="544">
        <v>0.05</v>
      </c>
      <c r="AK863" s="544">
        <v>0.05</v>
      </c>
      <c r="AL863" s="544">
        <v>0.05</v>
      </c>
      <c r="AM863" s="544">
        <v>0.05</v>
      </c>
      <c r="AN863" s="544">
        <v>0.05</v>
      </c>
      <c r="AP863" s="20"/>
    </row>
    <row r="864" spans="2:42" x14ac:dyDescent="0.25">
      <c r="C864" s="132" t="s">
        <v>776</v>
      </c>
      <c r="D864" s="158" t="s">
        <v>29</v>
      </c>
      <c r="E864" s="545">
        <v>0.05</v>
      </c>
      <c r="F864" s="545">
        <v>0.05</v>
      </c>
      <c r="G864" s="545">
        <v>0.05</v>
      </c>
      <c r="H864" s="545">
        <v>0.05</v>
      </c>
      <c r="I864" s="545">
        <v>0.05</v>
      </c>
      <c r="J864" s="545">
        <v>0.05</v>
      </c>
      <c r="K864" s="545">
        <v>0.05</v>
      </c>
      <c r="L864" s="545">
        <v>0.05</v>
      </c>
      <c r="M864" s="545">
        <v>0.05</v>
      </c>
      <c r="N864" s="545">
        <v>0.05</v>
      </c>
      <c r="O864" s="545">
        <v>0.05</v>
      </c>
      <c r="P864" s="545">
        <v>0.05</v>
      </c>
      <c r="Q864" s="545">
        <v>0.05</v>
      </c>
      <c r="R864" s="545">
        <v>0.05</v>
      </c>
      <c r="S864" s="545">
        <v>0.05</v>
      </c>
      <c r="T864" s="545">
        <v>0.05</v>
      </c>
      <c r="U864" s="545">
        <v>0.05</v>
      </c>
      <c r="V864" s="545">
        <v>0.05</v>
      </c>
      <c r="W864" s="545">
        <v>0.05</v>
      </c>
      <c r="X864" s="545">
        <v>0.05</v>
      </c>
      <c r="Y864" s="545">
        <v>0.05</v>
      </c>
      <c r="Z864" s="545">
        <v>0.05</v>
      </c>
      <c r="AA864" s="545">
        <v>0.05</v>
      </c>
      <c r="AB864" s="545">
        <v>0.05</v>
      </c>
      <c r="AC864" s="545">
        <v>0.05</v>
      </c>
      <c r="AD864" s="545">
        <v>0.05</v>
      </c>
      <c r="AE864" s="545">
        <v>0.05</v>
      </c>
      <c r="AF864" s="545">
        <v>0.05</v>
      </c>
      <c r="AG864" s="545">
        <v>0.05</v>
      </c>
      <c r="AH864" s="545">
        <v>0.05</v>
      </c>
      <c r="AI864" s="545">
        <v>0.05</v>
      </c>
      <c r="AJ864" s="545">
        <v>0.05</v>
      </c>
      <c r="AK864" s="545">
        <v>0.05</v>
      </c>
      <c r="AL864" s="545">
        <v>0.05</v>
      </c>
      <c r="AM864" s="545">
        <v>0.05</v>
      </c>
      <c r="AN864" s="545">
        <v>0.05</v>
      </c>
      <c r="AP864" s="21"/>
    </row>
    <row r="865" spans="2:42" x14ac:dyDescent="0.25">
      <c r="C865" s="133" t="s">
        <v>777</v>
      </c>
      <c r="D865" s="159" t="s">
        <v>46</v>
      </c>
      <c r="E865" s="564">
        <v>10000</v>
      </c>
      <c r="F865" s="564">
        <v>10000</v>
      </c>
      <c r="G865" s="564">
        <v>10000</v>
      </c>
      <c r="H865" s="564">
        <v>10000</v>
      </c>
      <c r="I865" s="564">
        <v>10000</v>
      </c>
      <c r="J865" s="564">
        <v>10000</v>
      </c>
      <c r="K865" s="564">
        <v>10000</v>
      </c>
      <c r="L865" s="564">
        <v>10000</v>
      </c>
      <c r="M865" s="564">
        <v>10000</v>
      </c>
      <c r="N865" s="564">
        <v>10000</v>
      </c>
      <c r="O865" s="564">
        <v>10000</v>
      </c>
      <c r="P865" s="564">
        <v>10000</v>
      </c>
      <c r="Q865" s="564">
        <v>10000</v>
      </c>
      <c r="R865" s="564">
        <v>10000</v>
      </c>
      <c r="S865" s="564">
        <v>10000</v>
      </c>
      <c r="T865" s="564">
        <v>10000</v>
      </c>
      <c r="U865" s="564">
        <v>10000</v>
      </c>
      <c r="V865" s="564">
        <v>10000</v>
      </c>
      <c r="W865" s="564">
        <v>10000</v>
      </c>
      <c r="X865" s="564">
        <v>10000</v>
      </c>
      <c r="Y865" s="564">
        <v>10000</v>
      </c>
      <c r="Z865" s="564">
        <v>10000</v>
      </c>
      <c r="AA865" s="564">
        <v>10000</v>
      </c>
      <c r="AB865" s="564">
        <v>10000</v>
      </c>
      <c r="AC865" s="564">
        <v>10000</v>
      </c>
      <c r="AD865" s="564">
        <v>10000</v>
      </c>
      <c r="AE865" s="564">
        <v>10000</v>
      </c>
      <c r="AF865" s="564">
        <v>10000</v>
      </c>
      <c r="AG865" s="564">
        <v>10000</v>
      </c>
      <c r="AH865" s="564">
        <v>10000</v>
      </c>
      <c r="AI865" s="564">
        <v>10000</v>
      </c>
      <c r="AJ865" s="564">
        <v>10000</v>
      </c>
      <c r="AK865" s="564">
        <v>10000</v>
      </c>
      <c r="AL865" s="564">
        <v>10000</v>
      </c>
      <c r="AM865" s="564">
        <v>10000</v>
      </c>
      <c r="AN865" s="564">
        <v>10000</v>
      </c>
      <c r="AP865" s="22"/>
    </row>
    <row r="866" spans="2:42" s="74" customFormat="1" x14ac:dyDescent="0.25">
      <c r="B866" s="99" t="s">
        <v>9</v>
      </c>
      <c r="C866" s="148" t="s">
        <v>755</v>
      </c>
      <c r="D866" s="540"/>
      <c r="E866" s="148"/>
      <c r="F866" s="148"/>
      <c r="G866" s="148"/>
      <c r="H866" s="148"/>
      <c r="I866" s="148"/>
      <c r="J866" s="148"/>
      <c r="K866" s="148"/>
      <c r="L866" s="148"/>
      <c r="M866" s="148"/>
      <c r="N866" s="148"/>
      <c r="O866" s="148"/>
      <c r="P866" s="148"/>
      <c r="Q866" s="148"/>
      <c r="R866" s="148"/>
      <c r="S866" s="148"/>
      <c r="T866" s="148"/>
      <c r="U866" s="148"/>
      <c r="V866" s="148"/>
      <c r="W866" s="148"/>
      <c r="X866" s="148"/>
      <c r="Y866" s="148"/>
      <c r="Z866" s="148"/>
      <c r="AA866" s="148"/>
      <c r="AB866" s="148"/>
      <c r="AC866" s="148"/>
      <c r="AD866" s="148"/>
      <c r="AE866" s="148"/>
      <c r="AF866" s="148"/>
      <c r="AG866" s="148"/>
      <c r="AH866" s="148"/>
      <c r="AI866" s="148"/>
      <c r="AJ866" s="148"/>
      <c r="AK866" s="148"/>
      <c r="AL866" s="148"/>
      <c r="AM866" s="148"/>
      <c r="AN866" s="148"/>
      <c r="AP866" s="105"/>
    </row>
    <row r="867" spans="2:42" x14ac:dyDescent="0.25">
      <c r="C867" s="137" t="s">
        <v>763</v>
      </c>
      <c r="D867" s="157" t="s">
        <v>46</v>
      </c>
      <c r="E867" s="469">
        <v>0</v>
      </c>
      <c r="F867" s="469">
        <v>0</v>
      </c>
      <c r="G867" s="469">
        <v>0</v>
      </c>
      <c r="H867" s="469">
        <v>0</v>
      </c>
      <c r="I867" s="469">
        <v>0</v>
      </c>
      <c r="J867" s="469">
        <v>0</v>
      </c>
      <c r="K867" s="410">
        <v>5000</v>
      </c>
      <c r="L867" s="410">
        <v>5000</v>
      </c>
      <c r="M867" s="410">
        <v>5000</v>
      </c>
      <c r="N867" s="410">
        <v>5000</v>
      </c>
      <c r="O867" s="410">
        <v>5000</v>
      </c>
      <c r="P867" s="410">
        <v>5000</v>
      </c>
      <c r="Q867" s="410">
        <v>5000</v>
      </c>
      <c r="R867" s="410">
        <v>5000</v>
      </c>
      <c r="S867" s="410">
        <v>5000</v>
      </c>
      <c r="T867" s="410">
        <v>5000</v>
      </c>
      <c r="U867" s="410">
        <v>5000</v>
      </c>
      <c r="V867" s="410">
        <v>5000</v>
      </c>
      <c r="W867" s="410">
        <v>5000</v>
      </c>
      <c r="X867" s="410">
        <v>5000</v>
      </c>
      <c r="Y867" s="410">
        <v>5000</v>
      </c>
      <c r="Z867" s="410">
        <v>5000</v>
      </c>
      <c r="AA867" s="410">
        <v>5000</v>
      </c>
      <c r="AB867" s="410">
        <v>5000</v>
      </c>
      <c r="AC867" s="410">
        <v>5000</v>
      </c>
      <c r="AD867" s="410">
        <v>5000</v>
      </c>
      <c r="AE867" s="410">
        <v>5000</v>
      </c>
      <c r="AF867" s="410">
        <v>5000</v>
      </c>
      <c r="AG867" s="410">
        <v>5000</v>
      </c>
      <c r="AH867" s="410">
        <v>5000</v>
      </c>
      <c r="AI867" s="410">
        <v>5000</v>
      </c>
      <c r="AJ867" s="410">
        <v>5000</v>
      </c>
      <c r="AK867" s="410">
        <v>5000</v>
      </c>
      <c r="AL867" s="410">
        <v>5000</v>
      </c>
      <c r="AM867" s="410">
        <v>5000</v>
      </c>
      <c r="AN867" s="410">
        <v>5000</v>
      </c>
      <c r="AO867" s="264"/>
      <c r="AP867" s="352"/>
    </row>
    <row r="868" spans="2:42" x14ac:dyDescent="0.25">
      <c r="C868" s="132" t="s">
        <v>838</v>
      </c>
      <c r="D868" s="158" t="s">
        <v>831</v>
      </c>
      <c r="E868" s="562">
        <v>1500</v>
      </c>
      <c r="F868" s="562">
        <v>1500</v>
      </c>
      <c r="G868" s="562">
        <v>1500</v>
      </c>
      <c r="H868" s="562">
        <v>1500</v>
      </c>
      <c r="I868" s="562">
        <v>1500</v>
      </c>
      <c r="J868" s="562">
        <v>1500</v>
      </c>
      <c r="K868" s="562">
        <v>1500</v>
      </c>
      <c r="L868" s="562">
        <v>1500</v>
      </c>
      <c r="M868" s="562">
        <v>1500</v>
      </c>
      <c r="N868" s="562">
        <v>1500</v>
      </c>
      <c r="O868" s="562">
        <v>1500</v>
      </c>
      <c r="P868" s="562">
        <v>1500</v>
      </c>
      <c r="Q868" s="562">
        <v>1500</v>
      </c>
      <c r="R868" s="562">
        <v>1500</v>
      </c>
      <c r="S868" s="562">
        <v>1500</v>
      </c>
      <c r="T868" s="562">
        <v>1500</v>
      </c>
      <c r="U868" s="562">
        <v>1500</v>
      </c>
      <c r="V868" s="562">
        <v>1500</v>
      </c>
      <c r="W868" s="562">
        <v>1500</v>
      </c>
      <c r="X868" s="562">
        <v>1500</v>
      </c>
      <c r="Y868" s="562">
        <v>1500</v>
      </c>
      <c r="Z868" s="562">
        <v>1500</v>
      </c>
      <c r="AA868" s="562">
        <v>1500</v>
      </c>
      <c r="AB868" s="562">
        <v>1500</v>
      </c>
      <c r="AC868" s="562">
        <v>1500</v>
      </c>
      <c r="AD868" s="562">
        <v>1500</v>
      </c>
      <c r="AE868" s="562">
        <v>1500</v>
      </c>
      <c r="AF868" s="562">
        <v>1500</v>
      </c>
      <c r="AG868" s="562">
        <v>1500</v>
      </c>
      <c r="AH868" s="562">
        <v>1500</v>
      </c>
      <c r="AI868" s="562">
        <v>1500</v>
      </c>
      <c r="AJ868" s="562">
        <v>1500</v>
      </c>
      <c r="AK868" s="562">
        <v>1500</v>
      </c>
      <c r="AL868" s="562">
        <v>1500</v>
      </c>
      <c r="AM868" s="562">
        <v>1500</v>
      </c>
      <c r="AN868" s="562">
        <v>1500</v>
      </c>
      <c r="AP868" s="21"/>
    </row>
    <row r="869" spans="2:42" x14ac:dyDescent="0.25">
      <c r="C869" s="133" t="s">
        <v>773</v>
      </c>
      <c r="D869" s="158" t="s">
        <v>29</v>
      </c>
      <c r="E869" s="545">
        <v>0.05</v>
      </c>
      <c r="F869" s="545">
        <v>0.05</v>
      </c>
      <c r="G869" s="545">
        <v>0.05</v>
      </c>
      <c r="H869" s="545">
        <v>0.05</v>
      </c>
      <c r="I869" s="545">
        <v>0.05</v>
      </c>
      <c r="J869" s="545">
        <v>0.05</v>
      </c>
      <c r="K869" s="545">
        <v>0.05</v>
      </c>
      <c r="L869" s="545">
        <v>0.05</v>
      </c>
      <c r="M869" s="545">
        <v>0.05</v>
      </c>
      <c r="N869" s="545">
        <v>0.05</v>
      </c>
      <c r="O869" s="545">
        <v>0.05</v>
      </c>
      <c r="P869" s="545">
        <v>0.05</v>
      </c>
      <c r="Q869" s="545">
        <v>0.05</v>
      </c>
      <c r="R869" s="545">
        <v>0.05</v>
      </c>
      <c r="S869" s="545">
        <v>0.05</v>
      </c>
      <c r="T869" s="545">
        <v>0.05</v>
      </c>
      <c r="U869" s="545">
        <v>0.05</v>
      </c>
      <c r="V869" s="545">
        <v>0.05</v>
      </c>
      <c r="W869" s="545">
        <v>0.05</v>
      </c>
      <c r="X869" s="545">
        <v>0.05</v>
      </c>
      <c r="Y869" s="545">
        <v>0.05</v>
      </c>
      <c r="Z869" s="545">
        <v>0.05</v>
      </c>
      <c r="AA869" s="545">
        <v>0.05</v>
      </c>
      <c r="AB869" s="545">
        <v>0.05</v>
      </c>
      <c r="AC869" s="545">
        <v>0.05</v>
      </c>
      <c r="AD869" s="545">
        <v>0.05</v>
      </c>
      <c r="AE869" s="545">
        <v>0.05</v>
      </c>
      <c r="AF869" s="545">
        <v>0.05</v>
      </c>
      <c r="AG869" s="545">
        <v>0.05</v>
      </c>
      <c r="AH869" s="545">
        <v>0.05</v>
      </c>
      <c r="AI869" s="545">
        <v>0.05</v>
      </c>
      <c r="AJ869" s="545">
        <v>0.05</v>
      </c>
      <c r="AK869" s="545">
        <v>0.05</v>
      </c>
      <c r="AL869" s="545">
        <v>0.05</v>
      </c>
      <c r="AM869" s="545">
        <v>0.05</v>
      </c>
      <c r="AN869" s="545">
        <v>0.05</v>
      </c>
      <c r="AP869" s="21"/>
    </row>
    <row r="870" spans="2:42" x14ac:dyDescent="0.25">
      <c r="C870" s="566" t="s">
        <v>832</v>
      </c>
      <c r="D870" s="567" t="s">
        <v>29</v>
      </c>
      <c r="E870" s="568">
        <v>0.01</v>
      </c>
      <c r="F870" s="568">
        <v>0.01</v>
      </c>
      <c r="G870" s="568">
        <v>0.01</v>
      </c>
      <c r="H870" s="568">
        <v>0.01</v>
      </c>
      <c r="I870" s="568">
        <v>0.01</v>
      </c>
      <c r="J870" s="568">
        <v>0.01</v>
      </c>
      <c r="K870" s="568">
        <v>0.01</v>
      </c>
      <c r="L870" s="568">
        <v>0.01</v>
      </c>
      <c r="M870" s="568">
        <v>0.01</v>
      </c>
      <c r="N870" s="568">
        <v>0.01</v>
      </c>
      <c r="O870" s="568">
        <v>0.01</v>
      </c>
      <c r="P870" s="568">
        <v>0.01</v>
      </c>
      <c r="Q870" s="568">
        <v>0.01</v>
      </c>
      <c r="R870" s="568">
        <v>0.01</v>
      </c>
      <c r="S870" s="568">
        <v>0.01</v>
      </c>
      <c r="T870" s="568">
        <v>0.01</v>
      </c>
      <c r="U870" s="568">
        <v>0.01</v>
      </c>
      <c r="V870" s="568">
        <v>0.01</v>
      </c>
      <c r="W870" s="568">
        <v>0.01</v>
      </c>
      <c r="X870" s="568">
        <v>0.01</v>
      </c>
      <c r="Y870" s="568">
        <v>0.01</v>
      </c>
      <c r="Z870" s="568">
        <v>0.01</v>
      </c>
      <c r="AA870" s="568">
        <v>0.01</v>
      </c>
      <c r="AB870" s="568">
        <v>0.01</v>
      </c>
      <c r="AC870" s="568">
        <v>0.01</v>
      </c>
      <c r="AD870" s="568">
        <v>0.01</v>
      </c>
      <c r="AE870" s="568">
        <v>0.01</v>
      </c>
      <c r="AF870" s="568">
        <v>0.01</v>
      </c>
      <c r="AG870" s="568">
        <v>0.01</v>
      </c>
      <c r="AH870" s="568">
        <v>0.01</v>
      </c>
      <c r="AI870" s="568">
        <v>0.01</v>
      </c>
      <c r="AJ870" s="568">
        <v>0.01</v>
      </c>
      <c r="AK870" s="568">
        <v>0.01</v>
      </c>
      <c r="AL870" s="568">
        <v>0.01</v>
      </c>
      <c r="AM870" s="568">
        <v>0.01</v>
      </c>
      <c r="AN870" s="568">
        <v>0.01</v>
      </c>
      <c r="AP870" s="299"/>
    </row>
    <row r="871" spans="2:42" x14ac:dyDescent="0.25">
      <c r="C871" s="132" t="s">
        <v>836</v>
      </c>
      <c r="D871" s="158" t="s">
        <v>46</v>
      </c>
      <c r="E871" s="562">
        <v>15000</v>
      </c>
      <c r="F871" s="573"/>
      <c r="G871" s="573"/>
      <c r="H871" s="573"/>
      <c r="I871" s="573"/>
      <c r="J871" s="573"/>
      <c r="K871" s="573"/>
      <c r="L871" s="573"/>
      <c r="M871" s="573"/>
      <c r="N871" s="573"/>
      <c r="O871" s="573"/>
      <c r="P871" s="573"/>
      <c r="Q871" s="573"/>
      <c r="R871" s="573"/>
      <c r="S871" s="573"/>
      <c r="T871" s="573"/>
      <c r="U871" s="573"/>
      <c r="V871" s="573"/>
      <c r="W871" s="573"/>
      <c r="X871" s="573"/>
      <c r="Y871" s="573"/>
      <c r="Z871" s="573"/>
      <c r="AA871" s="573"/>
      <c r="AB871" s="573"/>
      <c r="AC871" s="573"/>
      <c r="AD871" s="573"/>
      <c r="AE871" s="573"/>
      <c r="AF871" s="573"/>
      <c r="AG871" s="573"/>
      <c r="AH871" s="573"/>
      <c r="AI871" s="573"/>
      <c r="AJ871" s="573"/>
      <c r="AK871" s="573"/>
      <c r="AL871" s="573"/>
      <c r="AM871" s="573"/>
      <c r="AN871" s="573"/>
      <c r="AP871" s="21"/>
    </row>
    <row r="872" spans="2:42" x14ac:dyDescent="0.25">
      <c r="C872" s="133" t="s">
        <v>835</v>
      </c>
      <c r="D872" s="158" t="s">
        <v>46</v>
      </c>
      <c r="E872" s="562">
        <v>4000</v>
      </c>
      <c r="F872" s="573"/>
      <c r="G872" s="573"/>
      <c r="H872" s="573"/>
      <c r="I872" s="573"/>
      <c r="J872" s="573"/>
      <c r="K872" s="573"/>
      <c r="L872" s="573"/>
      <c r="M872" s="573"/>
      <c r="N872" s="573"/>
      <c r="O872" s="573"/>
      <c r="P872" s="573"/>
      <c r="Q872" s="573"/>
      <c r="R872" s="573"/>
      <c r="S872" s="573"/>
      <c r="T872" s="573"/>
      <c r="U872" s="573"/>
      <c r="V872" s="573"/>
      <c r="W872" s="573"/>
      <c r="X872" s="573"/>
      <c r="Y872" s="573"/>
      <c r="Z872" s="573"/>
      <c r="AA872" s="573"/>
      <c r="AB872" s="573"/>
      <c r="AC872" s="573"/>
      <c r="AD872" s="573"/>
      <c r="AE872" s="573"/>
      <c r="AF872" s="573"/>
      <c r="AG872" s="573"/>
      <c r="AH872" s="573"/>
      <c r="AI872" s="573"/>
      <c r="AJ872" s="573"/>
      <c r="AK872" s="573"/>
      <c r="AL872" s="573"/>
      <c r="AM872" s="573"/>
      <c r="AN872" s="573"/>
      <c r="AP872" s="21"/>
    </row>
    <row r="873" spans="2:42" x14ac:dyDescent="0.25">
      <c r="C873" s="150" t="s">
        <v>837</v>
      </c>
      <c r="D873" s="162" t="s">
        <v>46</v>
      </c>
      <c r="E873" s="576">
        <v>20000</v>
      </c>
      <c r="F873" s="575"/>
      <c r="G873" s="575"/>
      <c r="H873" s="575"/>
      <c r="I873" s="575"/>
      <c r="J873" s="575"/>
      <c r="K873" s="575"/>
      <c r="L873" s="575"/>
      <c r="M873" s="575"/>
      <c r="N873" s="575"/>
      <c r="O873" s="575"/>
      <c r="P873" s="575"/>
      <c r="Q873" s="575"/>
      <c r="R873" s="575"/>
      <c r="S873" s="575"/>
      <c r="T873" s="575"/>
      <c r="U873" s="575"/>
      <c r="V873" s="575"/>
      <c r="W873" s="575"/>
      <c r="X873" s="575"/>
      <c r="Y873" s="575"/>
      <c r="Z873" s="575"/>
      <c r="AA873" s="575"/>
      <c r="AB873" s="575"/>
      <c r="AC873" s="575"/>
      <c r="AD873" s="575"/>
      <c r="AE873" s="575"/>
      <c r="AF873" s="575"/>
      <c r="AG873" s="575"/>
      <c r="AH873" s="575"/>
      <c r="AI873" s="575"/>
      <c r="AJ873" s="575"/>
      <c r="AK873" s="575"/>
      <c r="AL873" s="575"/>
      <c r="AM873" s="575"/>
      <c r="AN873" s="575"/>
      <c r="AO873" s="44"/>
      <c r="AP873" s="35"/>
    </row>
    <row r="874" spans="2:42" x14ac:dyDescent="0.25">
      <c r="C874" s="566" t="s">
        <v>833</v>
      </c>
      <c r="D874" s="567" t="s">
        <v>29</v>
      </c>
      <c r="E874" s="568">
        <v>0.4</v>
      </c>
      <c r="F874" s="571"/>
      <c r="G874" s="571"/>
      <c r="H874" s="571"/>
      <c r="I874" s="571"/>
      <c r="J874" s="571"/>
      <c r="K874" s="571"/>
      <c r="L874" s="571"/>
      <c r="M874" s="571"/>
      <c r="N874" s="571"/>
      <c r="O874" s="571"/>
      <c r="P874" s="571"/>
      <c r="Q874" s="571"/>
      <c r="R874" s="571"/>
      <c r="S874" s="571"/>
      <c r="T874" s="571"/>
      <c r="U874" s="571"/>
      <c r="V874" s="571"/>
      <c r="W874" s="571"/>
      <c r="X874" s="571"/>
      <c r="Y874" s="571"/>
      <c r="Z874" s="571"/>
      <c r="AA874" s="571"/>
      <c r="AB874" s="571"/>
      <c r="AC874" s="571"/>
      <c r="AD874" s="571"/>
      <c r="AE874" s="571"/>
      <c r="AF874" s="571"/>
      <c r="AG874" s="571"/>
      <c r="AH874" s="571"/>
      <c r="AI874" s="571"/>
      <c r="AJ874" s="571"/>
      <c r="AK874" s="571"/>
      <c r="AL874" s="571"/>
      <c r="AM874" s="571"/>
      <c r="AN874" s="571"/>
      <c r="AP874" s="299"/>
    </row>
    <row r="875" spans="2:42" x14ac:dyDescent="0.25">
      <c r="C875" s="569" t="s">
        <v>834</v>
      </c>
      <c r="D875" s="570" t="s">
        <v>46</v>
      </c>
      <c r="E875" s="574">
        <f>6800/3.6725</f>
        <v>1851.5997277059225</v>
      </c>
      <c r="F875" s="572"/>
      <c r="G875" s="572"/>
      <c r="H875" s="572"/>
      <c r="I875" s="572"/>
      <c r="J875" s="572"/>
      <c r="K875" s="572"/>
      <c r="L875" s="572"/>
      <c r="M875" s="572"/>
      <c r="N875" s="572"/>
      <c r="O875" s="572"/>
      <c r="P875" s="572"/>
      <c r="Q875" s="572"/>
      <c r="R875" s="572"/>
      <c r="S875" s="572"/>
      <c r="T875" s="572"/>
      <c r="U875" s="572"/>
      <c r="V875" s="572"/>
      <c r="W875" s="572"/>
      <c r="X875" s="572"/>
      <c r="Y875" s="572"/>
      <c r="Z875" s="572"/>
      <c r="AA875" s="572"/>
      <c r="AB875" s="572"/>
      <c r="AC875" s="572"/>
      <c r="AD875" s="572"/>
      <c r="AE875" s="572"/>
      <c r="AF875" s="572"/>
      <c r="AG875" s="572"/>
      <c r="AH875" s="572"/>
      <c r="AI875" s="572"/>
      <c r="AJ875" s="572"/>
      <c r="AK875" s="572"/>
      <c r="AL875" s="572"/>
      <c r="AM875" s="572"/>
      <c r="AN875" s="572"/>
      <c r="AP875" s="324"/>
    </row>
    <row r="876" spans="2:42" s="74" customFormat="1" x14ac:dyDescent="0.25">
      <c r="B876" s="99" t="s">
        <v>9</v>
      </c>
      <c r="C876" s="148" t="s">
        <v>771</v>
      </c>
      <c r="D876" s="540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  <c r="AE876" s="105"/>
      <c r="AF876" s="105"/>
      <c r="AG876" s="105"/>
      <c r="AH876" s="105"/>
      <c r="AI876" s="105"/>
      <c r="AJ876" s="105"/>
      <c r="AK876" s="105"/>
      <c r="AL876" s="105"/>
      <c r="AM876" s="105"/>
      <c r="AN876" s="105"/>
      <c r="AP876" s="105"/>
    </row>
    <row r="877" spans="2:42" x14ac:dyDescent="0.25">
      <c r="C877" s="136" t="s">
        <v>772</v>
      </c>
      <c r="D877" s="424" t="s">
        <v>29</v>
      </c>
      <c r="E877" s="539">
        <v>0.05</v>
      </c>
      <c r="F877" s="539">
        <v>0.05</v>
      </c>
      <c r="G877" s="539">
        <v>0.05</v>
      </c>
      <c r="H877" s="539">
        <v>0.05</v>
      </c>
      <c r="I877" s="539">
        <v>0.05</v>
      </c>
      <c r="J877" s="539">
        <v>0.05</v>
      </c>
      <c r="K877" s="539">
        <v>0.05</v>
      </c>
      <c r="L877" s="539">
        <v>0.05</v>
      </c>
      <c r="M877" s="539">
        <v>0.05</v>
      </c>
      <c r="N877" s="539">
        <v>0.05</v>
      </c>
      <c r="O877" s="539">
        <v>0.05</v>
      </c>
      <c r="P877" s="539">
        <v>0.05</v>
      </c>
      <c r="Q877" s="539">
        <v>0.05</v>
      </c>
      <c r="R877" s="539">
        <v>0.05</v>
      </c>
      <c r="S877" s="539">
        <v>0.05</v>
      </c>
      <c r="T877" s="539">
        <v>0.05</v>
      </c>
      <c r="U877" s="539">
        <v>0.05</v>
      </c>
      <c r="V877" s="539">
        <v>0.05</v>
      </c>
      <c r="W877" s="539">
        <v>0.05</v>
      </c>
      <c r="X877" s="539">
        <v>0.05</v>
      </c>
      <c r="Y877" s="539">
        <v>0.05</v>
      </c>
      <c r="Z877" s="539">
        <v>0.05</v>
      </c>
      <c r="AA877" s="539">
        <v>0.05</v>
      </c>
      <c r="AB877" s="539">
        <v>0.05</v>
      </c>
      <c r="AC877" s="539">
        <v>0.05</v>
      </c>
      <c r="AD877" s="539">
        <v>0.05</v>
      </c>
      <c r="AE877" s="539">
        <v>0.05</v>
      </c>
      <c r="AF877" s="539">
        <v>0.05</v>
      </c>
      <c r="AG877" s="539">
        <v>0.05</v>
      </c>
      <c r="AH877" s="539">
        <v>0.05</v>
      </c>
      <c r="AI877" s="539">
        <v>0.05</v>
      </c>
      <c r="AJ877" s="539">
        <v>0.05</v>
      </c>
      <c r="AK877" s="539">
        <v>0.05</v>
      </c>
      <c r="AL877" s="539">
        <v>0.05</v>
      </c>
      <c r="AM877" s="539">
        <v>0.05</v>
      </c>
      <c r="AN877" s="539">
        <v>0.05</v>
      </c>
    </row>
    <row r="878" spans="2:42" s="12" customFormat="1" x14ac:dyDescent="0.25">
      <c r="B878" s="225">
        <v>3.5</v>
      </c>
      <c r="C878" s="14" t="s">
        <v>842</v>
      </c>
      <c r="D878" s="320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3"/>
      <c r="AP878" s="15"/>
    </row>
    <row r="879" spans="2:42" s="16" customFormat="1" x14ac:dyDescent="0.25">
      <c r="B879" s="19" t="s">
        <v>9</v>
      </c>
      <c r="C879" s="17" t="s">
        <v>802</v>
      </c>
      <c r="D879" s="316" t="s">
        <v>162</v>
      </c>
      <c r="E879" s="17">
        <v>2</v>
      </c>
      <c r="F879" s="17">
        <v>2</v>
      </c>
      <c r="G879" s="17">
        <v>2</v>
      </c>
      <c r="H879" s="17">
        <v>2</v>
      </c>
      <c r="I879" s="17">
        <v>2</v>
      </c>
      <c r="J879" s="17">
        <v>2</v>
      </c>
      <c r="K879" s="17">
        <v>2</v>
      </c>
      <c r="L879" s="17">
        <v>2</v>
      </c>
      <c r="M879" s="17">
        <v>2</v>
      </c>
      <c r="N879" s="17">
        <v>2</v>
      </c>
      <c r="O879" s="17">
        <v>2</v>
      </c>
      <c r="P879" s="17">
        <v>2</v>
      </c>
      <c r="Q879" s="17">
        <v>2</v>
      </c>
      <c r="R879" s="17">
        <v>2</v>
      </c>
      <c r="S879" s="17">
        <v>2</v>
      </c>
      <c r="T879" s="17">
        <v>2</v>
      </c>
      <c r="U879" s="17">
        <v>2</v>
      </c>
      <c r="V879" s="17">
        <v>2</v>
      </c>
      <c r="W879" s="17">
        <v>2</v>
      </c>
      <c r="X879" s="17">
        <v>2</v>
      </c>
      <c r="Y879" s="17">
        <v>2</v>
      </c>
      <c r="Z879" s="17">
        <v>2</v>
      </c>
      <c r="AA879" s="17">
        <v>2</v>
      </c>
      <c r="AB879" s="17">
        <v>2</v>
      </c>
      <c r="AC879" s="17">
        <v>2</v>
      </c>
      <c r="AD879" s="17">
        <v>2</v>
      </c>
      <c r="AE879" s="17">
        <v>2</v>
      </c>
      <c r="AF879" s="17">
        <v>2</v>
      </c>
      <c r="AG879" s="17">
        <v>2</v>
      </c>
      <c r="AH879" s="17">
        <v>2</v>
      </c>
      <c r="AI879" s="17">
        <v>2</v>
      </c>
      <c r="AJ879" s="17">
        <v>2</v>
      </c>
      <c r="AK879" s="17">
        <v>2</v>
      </c>
      <c r="AL879" s="17">
        <v>2</v>
      </c>
      <c r="AM879" s="17">
        <v>2</v>
      </c>
      <c r="AN879" s="17">
        <v>2</v>
      </c>
      <c r="AO879" s="3"/>
      <c r="AP879" s="17"/>
    </row>
    <row r="880" spans="2:42" x14ac:dyDescent="0.25">
      <c r="B880" s="19" t="s">
        <v>9</v>
      </c>
      <c r="C880" s="17" t="s">
        <v>795</v>
      </c>
      <c r="D880" s="316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P880" s="17"/>
    </row>
    <row r="881" spans="2:42" x14ac:dyDescent="0.25">
      <c r="C881" s="20" t="s">
        <v>804</v>
      </c>
      <c r="D881" s="34" t="s">
        <v>162</v>
      </c>
      <c r="E881" s="556">
        <v>50</v>
      </c>
      <c r="F881" s="556">
        <v>50</v>
      </c>
      <c r="G881" s="556">
        <v>50</v>
      </c>
      <c r="H881" s="556">
        <v>50</v>
      </c>
      <c r="I881" s="556">
        <v>50</v>
      </c>
      <c r="J881" s="556">
        <v>50</v>
      </c>
      <c r="K881" s="556">
        <v>50</v>
      </c>
      <c r="L881" s="556">
        <v>50</v>
      </c>
      <c r="M881" s="556">
        <v>50</v>
      </c>
      <c r="N881" s="556">
        <v>50</v>
      </c>
      <c r="O881" s="556">
        <v>50</v>
      </c>
      <c r="P881" s="556">
        <v>50</v>
      </c>
      <c r="Q881" s="556">
        <v>50</v>
      </c>
      <c r="R881" s="556">
        <v>50</v>
      </c>
      <c r="S881" s="556">
        <v>50</v>
      </c>
      <c r="T881" s="556">
        <v>50</v>
      </c>
      <c r="U881" s="556">
        <v>50</v>
      </c>
      <c r="V881" s="556">
        <v>50</v>
      </c>
      <c r="W881" s="556">
        <v>50</v>
      </c>
      <c r="X881" s="556">
        <v>50</v>
      </c>
      <c r="Y881" s="556">
        <v>50</v>
      </c>
      <c r="Z881" s="556">
        <v>50</v>
      </c>
      <c r="AA881" s="556">
        <v>50</v>
      </c>
      <c r="AB881" s="556">
        <v>50</v>
      </c>
      <c r="AC881" s="556">
        <v>50</v>
      </c>
      <c r="AD881" s="556">
        <v>50</v>
      </c>
      <c r="AE881" s="556">
        <v>50</v>
      </c>
      <c r="AF881" s="556">
        <v>50</v>
      </c>
      <c r="AG881" s="556">
        <v>50</v>
      </c>
      <c r="AH881" s="556">
        <v>50</v>
      </c>
      <c r="AI881" s="556">
        <v>50</v>
      </c>
      <c r="AJ881" s="556">
        <v>50</v>
      </c>
      <c r="AK881" s="556">
        <v>50</v>
      </c>
      <c r="AL881" s="556">
        <v>50</v>
      </c>
      <c r="AM881" s="556">
        <v>50</v>
      </c>
      <c r="AN881" s="556">
        <v>50</v>
      </c>
      <c r="AP881" s="20"/>
    </row>
    <row r="882" spans="2:42" x14ac:dyDescent="0.25">
      <c r="C882" s="20" t="s">
        <v>803</v>
      </c>
      <c r="D882" s="34" t="s">
        <v>162</v>
      </c>
      <c r="E882" s="23">
        <v>22</v>
      </c>
      <c r="F882" s="23">
        <v>22</v>
      </c>
      <c r="G882" s="23">
        <v>22</v>
      </c>
      <c r="H882" s="23">
        <v>22</v>
      </c>
      <c r="I882" s="23">
        <v>22</v>
      </c>
      <c r="J882" s="23">
        <v>22</v>
      </c>
      <c r="K882" s="23">
        <v>22</v>
      </c>
      <c r="L882" s="23">
        <v>22</v>
      </c>
      <c r="M882" s="23">
        <v>22</v>
      </c>
      <c r="N882" s="23">
        <v>22</v>
      </c>
      <c r="O882" s="23">
        <v>22</v>
      </c>
      <c r="P882" s="23">
        <v>22</v>
      </c>
      <c r="Q882" s="23">
        <v>22</v>
      </c>
      <c r="R882" s="23">
        <v>22</v>
      </c>
      <c r="S882" s="23">
        <v>22</v>
      </c>
      <c r="T882" s="23">
        <v>22</v>
      </c>
      <c r="U882" s="23">
        <v>22</v>
      </c>
      <c r="V882" s="23">
        <v>22</v>
      </c>
      <c r="W882" s="23">
        <v>22</v>
      </c>
      <c r="X882" s="23">
        <v>22</v>
      </c>
      <c r="Y882" s="23">
        <v>22</v>
      </c>
      <c r="Z882" s="23">
        <v>22</v>
      </c>
      <c r="AA882" s="23">
        <v>22</v>
      </c>
      <c r="AB882" s="23">
        <v>22</v>
      </c>
      <c r="AC882" s="23">
        <v>22</v>
      </c>
      <c r="AD882" s="23">
        <v>22</v>
      </c>
      <c r="AE882" s="23">
        <v>22</v>
      </c>
      <c r="AF882" s="23">
        <v>22</v>
      </c>
      <c r="AG882" s="23">
        <v>22</v>
      </c>
      <c r="AH882" s="23">
        <v>22</v>
      </c>
      <c r="AI882" s="23">
        <v>22</v>
      </c>
      <c r="AJ882" s="23">
        <v>22</v>
      </c>
      <c r="AK882" s="23">
        <v>22</v>
      </c>
      <c r="AL882" s="23">
        <v>22</v>
      </c>
      <c r="AM882" s="23">
        <v>22</v>
      </c>
      <c r="AN882" s="23">
        <v>22</v>
      </c>
      <c r="AP882" s="20"/>
    </row>
    <row r="883" spans="2:42" x14ac:dyDescent="0.25">
      <c r="C883" s="26" t="s">
        <v>805</v>
      </c>
      <c r="D883" s="319" t="s">
        <v>162</v>
      </c>
      <c r="E883" s="23">
        <v>8</v>
      </c>
      <c r="F883" s="23">
        <v>8</v>
      </c>
      <c r="G883" s="23">
        <v>8</v>
      </c>
      <c r="H883" s="23">
        <v>8</v>
      </c>
      <c r="I883" s="23">
        <v>8</v>
      </c>
      <c r="J883" s="23">
        <v>8</v>
      </c>
      <c r="K883" s="23">
        <v>8</v>
      </c>
      <c r="L883" s="23">
        <v>8</v>
      </c>
      <c r="M883" s="23">
        <v>8</v>
      </c>
      <c r="N883" s="23">
        <v>8</v>
      </c>
      <c r="O883" s="23">
        <v>8</v>
      </c>
      <c r="P883" s="23">
        <v>8</v>
      </c>
      <c r="Q883" s="23">
        <v>8</v>
      </c>
      <c r="R883" s="23">
        <v>8</v>
      </c>
      <c r="S883" s="23">
        <v>8</v>
      </c>
      <c r="T883" s="23">
        <v>8</v>
      </c>
      <c r="U883" s="23">
        <v>8</v>
      </c>
      <c r="V883" s="23">
        <v>8</v>
      </c>
      <c r="W883" s="23">
        <v>8</v>
      </c>
      <c r="X883" s="23">
        <v>8</v>
      </c>
      <c r="Y883" s="23">
        <v>8</v>
      </c>
      <c r="Z883" s="23">
        <v>8</v>
      </c>
      <c r="AA883" s="23">
        <v>8</v>
      </c>
      <c r="AB883" s="23">
        <v>8</v>
      </c>
      <c r="AC883" s="23">
        <v>8</v>
      </c>
      <c r="AD883" s="23">
        <v>8</v>
      </c>
      <c r="AE883" s="23">
        <v>8</v>
      </c>
      <c r="AF883" s="23">
        <v>8</v>
      </c>
      <c r="AG883" s="23">
        <v>8</v>
      </c>
      <c r="AH883" s="23">
        <v>8</v>
      </c>
      <c r="AI883" s="23">
        <v>8</v>
      </c>
      <c r="AJ883" s="23">
        <v>8</v>
      </c>
      <c r="AK883" s="23">
        <v>8</v>
      </c>
      <c r="AL883" s="23">
        <v>8</v>
      </c>
      <c r="AM883" s="23">
        <v>8</v>
      </c>
      <c r="AN883" s="23">
        <v>8</v>
      </c>
      <c r="AP883" s="20"/>
    </row>
    <row r="884" spans="2:42" x14ac:dyDescent="0.25">
      <c r="B884" s="19" t="s">
        <v>9</v>
      </c>
      <c r="C884" s="17" t="s">
        <v>794</v>
      </c>
      <c r="D884" s="316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P884" s="17"/>
    </row>
    <row r="885" spans="2:42" x14ac:dyDescent="0.25">
      <c r="C885" s="20" t="s">
        <v>804</v>
      </c>
      <c r="D885" s="34" t="s">
        <v>162</v>
      </c>
      <c r="E885" s="556">
        <v>50</v>
      </c>
      <c r="F885" s="556">
        <v>50</v>
      </c>
      <c r="G885" s="556">
        <v>50</v>
      </c>
      <c r="H885" s="556">
        <v>50</v>
      </c>
      <c r="I885" s="556">
        <v>50</v>
      </c>
      <c r="J885" s="556">
        <v>50</v>
      </c>
      <c r="K885" s="556">
        <v>50</v>
      </c>
      <c r="L885" s="556">
        <v>50</v>
      </c>
      <c r="M885" s="556">
        <v>50</v>
      </c>
      <c r="N885" s="556">
        <v>50</v>
      </c>
      <c r="O885" s="556">
        <v>50</v>
      </c>
      <c r="P885" s="556">
        <v>50</v>
      </c>
      <c r="Q885" s="556">
        <v>50</v>
      </c>
      <c r="R885" s="556">
        <v>50</v>
      </c>
      <c r="S885" s="556">
        <v>50</v>
      </c>
      <c r="T885" s="556">
        <v>50</v>
      </c>
      <c r="U885" s="556">
        <v>50</v>
      </c>
      <c r="V885" s="556">
        <v>50</v>
      </c>
      <c r="W885" s="556">
        <v>50</v>
      </c>
      <c r="X885" s="556">
        <v>50</v>
      </c>
      <c r="Y885" s="556">
        <v>50</v>
      </c>
      <c r="Z885" s="556">
        <v>50</v>
      </c>
      <c r="AA885" s="556">
        <v>50</v>
      </c>
      <c r="AB885" s="556">
        <v>50</v>
      </c>
      <c r="AC885" s="556">
        <v>50</v>
      </c>
      <c r="AD885" s="556">
        <v>50</v>
      </c>
      <c r="AE885" s="556">
        <v>50</v>
      </c>
      <c r="AF885" s="556">
        <v>50</v>
      </c>
      <c r="AG885" s="556">
        <v>50</v>
      </c>
      <c r="AH885" s="556">
        <v>50</v>
      </c>
      <c r="AI885" s="556">
        <v>50</v>
      </c>
      <c r="AJ885" s="556">
        <v>50</v>
      </c>
      <c r="AK885" s="556">
        <v>50</v>
      </c>
      <c r="AL885" s="556">
        <v>50</v>
      </c>
      <c r="AM885" s="556">
        <v>50</v>
      </c>
      <c r="AN885" s="556">
        <v>50</v>
      </c>
      <c r="AP885" s="20"/>
    </row>
    <row r="886" spans="2:42" x14ac:dyDescent="0.25">
      <c r="C886" s="20" t="s">
        <v>803</v>
      </c>
      <c r="D886" s="34" t="s">
        <v>162</v>
      </c>
      <c r="E886" s="23">
        <v>22</v>
      </c>
      <c r="F886" s="23">
        <v>22</v>
      </c>
      <c r="G886" s="23">
        <v>22</v>
      </c>
      <c r="H886" s="23">
        <v>22</v>
      </c>
      <c r="I886" s="23">
        <v>22</v>
      </c>
      <c r="J886" s="23">
        <v>22</v>
      </c>
      <c r="K886" s="23">
        <v>22</v>
      </c>
      <c r="L886" s="23">
        <v>22</v>
      </c>
      <c r="M886" s="23">
        <v>22</v>
      </c>
      <c r="N886" s="23">
        <v>22</v>
      </c>
      <c r="O886" s="23">
        <v>22</v>
      </c>
      <c r="P886" s="23">
        <v>22</v>
      </c>
      <c r="Q886" s="23">
        <v>22</v>
      </c>
      <c r="R886" s="23">
        <v>22</v>
      </c>
      <c r="S886" s="23">
        <v>22</v>
      </c>
      <c r="T886" s="23">
        <v>22</v>
      </c>
      <c r="U886" s="23">
        <v>22</v>
      </c>
      <c r="V886" s="23">
        <v>22</v>
      </c>
      <c r="W886" s="23">
        <v>22</v>
      </c>
      <c r="X886" s="23">
        <v>22</v>
      </c>
      <c r="Y886" s="23">
        <v>22</v>
      </c>
      <c r="Z886" s="23">
        <v>22</v>
      </c>
      <c r="AA886" s="23">
        <v>22</v>
      </c>
      <c r="AB886" s="23">
        <v>22</v>
      </c>
      <c r="AC886" s="23">
        <v>22</v>
      </c>
      <c r="AD886" s="23">
        <v>22</v>
      </c>
      <c r="AE886" s="23">
        <v>22</v>
      </c>
      <c r="AF886" s="23">
        <v>22</v>
      </c>
      <c r="AG886" s="23">
        <v>22</v>
      </c>
      <c r="AH886" s="23">
        <v>22</v>
      </c>
      <c r="AI886" s="23">
        <v>22</v>
      </c>
      <c r="AJ886" s="23">
        <v>22</v>
      </c>
      <c r="AK886" s="23">
        <v>22</v>
      </c>
      <c r="AL886" s="23">
        <v>22</v>
      </c>
      <c r="AM886" s="23">
        <v>22</v>
      </c>
      <c r="AN886" s="23">
        <v>22</v>
      </c>
      <c r="AP886" s="20"/>
    </row>
    <row r="887" spans="2:42" x14ac:dyDescent="0.25">
      <c r="C887" s="26" t="s">
        <v>805</v>
      </c>
      <c r="D887" s="319" t="s">
        <v>162</v>
      </c>
      <c r="E887" s="23">
        <v>8</v>
      </c>
      <c r="F887" s="23">
        <v>8</v>
      </c>
      <c r="G887" s="23">
        <v>8</v>
      </c>
      <c r="H887" s="23">
        <v>8</v>
      </c>
      <c r="I887" s="23">
        <v>8</v>
      </c>
      <c r="J887" s="23">
        <v>8</v>
      </c>
      <c r="K887" s="23">
        <v>8</v>
      </c>
      <c r="L887" s="23">
        <v>8</v>
      </c>
      <c r="M887" s="23">
        <v>8</v>
      </c>
      <c r="N887" s="23">
        <v>8</v>
      </c>
      <c r="O887" s="23">
        <v>8</v>
      </c>
      <c r="P887" s="23">
        <v>8</v>
      </c>
      <c r="Q887" s="23">
        <v>8</v>
      </c>
      <c r="R887" s="23">
        <v>8</v>
      </c>
      <c r="S887" s="23">
        <v>8</v>
      </c>
      <c r="T887" s="23">
        <v>8</v>
      </c>
      <c r="U887" s="23">
        <v>8</v>
      </c>
      <c r="V887" s="23">
        <v>8</v>
      </c>
      <c r="W887" s="23">
        <v>8</v>
      </c>
      <c r="X887" s="23">
        <v>8</v>
      </c>
      <c r="Y887" s="23">
        <v>8</v>
      </c>
      <c r="Z887" s="23">
        <v>8</v>
      </c>
      <c r="AA887" s="23">
        <v>8</v>
      </c>
      <c r="AB887" s="23">
        <v>8</v>
      </c>
      <c r="AC887" s="23">
        <v>8</v>
      </c>
      <c r="AD887" s="23">
        <v>8</v>
      </c>
      <c r="AE887" s="23">
        <v>8</v>
      </c>
      <c r="AF887" s="23">
        <v>8</v>
      </c>
      <c r="AG887" s="23">
        <v>8</v>
      </c>
      <c r="AH887" s="23">
        <v>8</v>
      </c>
      <c r="AI887" s="23">
        <v>8</v>
      </c>
      <c r="AJ887" s="23">
        <v>8</v>
      </c>
      <c r="AK887" s="23">
        <v>8</v>
      </c>
      <c r="AL887" s="23">
        <v>8</v>
      </c>
      <c r="AM887" s="23">
        <v>8</v>
      </c>
      <c r="AN887" s="23">
        <v>8</v>
      </c>
    </row>
    <row r="888" spans="2:42" x14ac:dyDescent="0.25">
      <c r="B888" s="19" t="s">
        <v>9</v>
      </c>
      <c r="C888" s="17" t="s">
        <v>801</v>
      </c>
      <c r="D888" s="316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P888" s="17"/>
    </row>
    <row r="889" spans="2:42" x14ac:dyDescent="0.25">
      <c r="C889" s="20" t="s">
        <v>804</v>
      </c>
      <c r="D889" s="34" t="s">
        <v>162</v>
      </c>
      <c r="E889" s="556">
        <v>50</v>
      </c>
      <c r="F889" s="556">
        <v>50</v>
      </c>
      <c r="G889" s="556">
        <v>50</v>
      </c>
      <c r="H889" s="556">
        <v>50</v>
      </c>
      <c r="I889" s="556">
        <v>50</v>
      </c>
      <c r="J889" s="556">
        <v>50</v>
      </c>
      <c r="K889" s="556">
        <v>50</v>
      </c>
      <c r="L889" s="556">
        <v>50</v>
      </c>
      <c r="M889" s="556">
        <v>50</v>
      </c>
      <c r="N889" s="556">
        <v>50</v>
      </c>
      <c r="O889" s="556">
        <v>50</v>
      </c>
      <c r="P889" s="556">
        <v>50</v>
      </c>
      <c r="Q889" s="556">
        <v>50</v>
      </c>
      <c r="R889" s="556">
        <v>50</v>
      </c>
      <c r="S889" s="556">
        <v>50</v>
      </c>
      <c r="T889" s="556">
        <v>50</v>
      </c>
      <c r="U889" s="556">
        <v>50</v>
      </c>
      <c r="V889" s="556">
        <v>50</v>
      </c>
      <c r="W889" s="556">
        <v>50</v>
      </c>
      <c r="X889" s="556">
        <v>50</v>
      </c>
      <c r="Y889" s="556">
        <v>50</v>
      </c>
      <c r="Z889" s="556">
        <v>50</v>
      </c>
      <c r="AA889" s="556">
        <v>50</v>
      </c>
      <c r="AB889" s="556">
        <v>50</v>
      </c>
      <c r="AC889" s="556">
        <v>50</v>
      </c>
      <c r="AD889" s="556">
        <v>50</v>
      </c>
      <c r="AE889" s="556">
        <v>50</v>
      </c>
      <c r="AF889" s="556">
        <v>50</v>
      </c>
      <c r="AG889" s="556">
        <v>50</v>
      </c>
      <c r="AH889" s="556">
        <v>50</v>
      </c>
      <c r="AI889" s="556">
        <v>50</v>
      </c>
      <c r="AJ889" s="556">
        <v>50</v>
      </c>
      <c r="AK889" s="556">
        <v>50</v>
      </c>
      <c r="AL889" s="556">
        <v>50</v>
      </c>
      <c r="AM889" s="556">
        <v>50</v>
      </c>
      <c r="AN889" s="556">
        <v>50</v>
      </c>
      <c r="AP889" s="20"/>
    </row>
    <row r="890" spans="2:42" x14ac:dyDescent="0.25">
      <c r="C890" s="20" t="s">
        <v>803</v>
      </c>
      <c r="D890" s="34" t="s">
        <v>162</v>
      </c>
      <c r="E890" s="23">
        <v>22</v>
      </c>
      <c r="F890" s="23">
        <v>22</v>
      </c>
      <c r="G890" s="23">
        <v>22</v>
      </c>
      <c r="H890" s="23">
        <v>22</v>
      </c>
      <c r="I890" s="23">
        <v>22</v>
      </c>
      <c r="J890" s="23">
        <v>22</v>
      </c>
      <c r="K890" s="23">
        <v>22</v>
      </c>
      <c r="L890" s="23">
        <v>22</v>
      </c>
      <c r="M890" s="23">
        <v>22</v>
      </c>
      <c r="N890" s="23">
        <v>22</v>
      </c>
      <c r="O890" s="23">
        <v>22</v>
      </c>
      <c r="P890" s="23">
        <v>22</v>
      </c>
      <c r="Q890" s="23">
        <v>22</v>
      </c>
      <c r="R890" s="23">
        <v>22</v>
      </c>
      <c r="S890" s="23">
        <v>22</v>
      </c>
      <c r="T890" s="23">
        <v>22</v>
      </c>
      <c r="U890" s="23">
        <v>22</v>
      </c>
      <c r="V890" s="23">
        <v>22</v>
      </c>
      <c r="W890" s="23">
        <v>22</v>
      </c>
      <c r="X890" s="23">
        <v>22</v>
      </c>
      <c r="Y890" s="23">
        <v>22</v>
      </c>
      <c r="Z890" s="23">
        <v>22</v>
      </c>
      <c r="AA890" s="23">
        <v>22</v>
      </c>
      <c r="AB890" s="23">
        <v>22</v>
      </c>
      <c r="AC890" s="23">
        <v>22</v>
      </c>
      <c r="AD890" s="23">
        <v>22</v>
      </c>
      <c r="AE890" s="23">
        <v>22</v>
      </c>
      <c r="AF890" s="23">
        <v>22</v>
      </c>
      <c r="AG890" s="23">
        <v>22</v>
      </c>
      <c r="AH890" s="23">
        <v>22</v>
      </c>
      <c r="AI890" s="23">
        <v>22</v>
      </c>
      <c r="AJ890" s="23">
        <v>22</v>
      </c>
      <c r="AK890" s="23">
        <v>22</v>
      </c>
      <c r="AL890" s="23">
        <v>22</v>
      </c>
      <c r="AM890" s="23">
        <v>22</v>
      </c>
      <c r="AN890" s="23">
        <v>22</v>
      </c>
      <c r="AP890" s="20"/>
    </row>
    <row r="891" spans="2:42" x14ac:dyDescent="0.25">
      <c r="C891" s="26" t="s">
        <v>805</v>
      </c>
      <c r="D891" s="319" t="s">
        <v>162</v>
      </c>
      <c r="E891" s="23">
        <v>8</v>
      </c>
      <c r="F891" s="23">
        <v>8</v>
      </c>
      <c r="G891" s="23">
        <v>8</v>
      </c>
      <c r="H891" s="23">
        <v>8</v>
      </c>
      <c r="I891" s="23">
        <v>8</v>
      </c>
      <c r="J891" s="23">
        <v>8</v>
      </c>
      <c r="K891" s="23">
        <v>8</v>
      </c>
      <c r="L891" s="23">
        <v>8</v>
      </c>
      <c r="M891" s="23">
        <v>8</v>
      </c>
      <c r="N891" s="23">
        <v>8</v>
      </c>
      <c r="O891" s="23">
        <v>8</v>
      </c>
      <c r="P891" s="23">
        <v>8</v>
      </c>
      <c r="Q891" s="23">
        <v>8</v>
      </c>
      <c r="R891" s="23">
        <v>8</v>
      </c>
      <c r="S891" s="23">
        <v>8</v>
      </c>
      <c r="T891" s="23">
        <v>8</v>
      </c>
      <c r="U891" s="23">
        <v>8</v>
      </c>
      <c r="V891" s="23">
        <v>8</v>
      </c>
      <c r="W891" s="23">
        <v>8</v>
      </c>
      <c r="X891" s="23">
        <v>8</v>
      </c>
      <c r="Y891" s="23">
        <v>8</v>
      </c>
      <c r="Z891" s="23">
        <v>8</v>
      </c>
      <c r="AA891" s="23">
        <v>8</v>
      </c>
      <c r="AB891" s="23">
        <v>8</v>
      </c>
      <c r="AC891" s="23">
        <v>8</v>
      </c>
      <c r="AD891" s="23">
        <v>8</v>
      </c>
      <c r="AE891" s="23">
        <v>8</v>
      </c>
      <c r="AF891" s="23">
        <v>8</v>
      </c>
      <c r="AG891" s="23">
        <v>8</v>
      </c>
      <c r="AH891" s="23">
        <v>8</v>
      </c>
      <c r="AI891" s="23">
        <v>8</v>
      </c>
      <c r="AJ891" s="23">
        <v>8</v>
      </c>
      <c r="AK891" s="23">
        <v>8</v>
      </c>
      <c r="AL891" s="23">
        <v>8</v>
      </c>
      <c r="AM891" s="23">
        <v>8</v>
      </c>
      <c r="AN891" s="23">
        <v>8</v>
      </c>
      <c r="AP891" s="20"/>
    </row>
    <row r="892" spans="2:42" x14ac:dyDescent="0.25">
      <c r="B892" s="19" t="s">
        <v>9</v>
      </c>
      <c r="C892" s="17" t="s">
        <v>788</v>
      </c>
      <c r="D892" s="316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P892" s="17"/>
    </row>
    <row r="893" spans="2:42" s="16" customFormat="1" x14ac:dyDescent="0.25">
      <c r="C893" s="560" t="s">
        <v>806</v>
      </c>
      <c r="D893" s="561"/>
      <c r="E893" s="560"/>
      <c r="F893" s="560"/>
      <c r="G893" s="560"/>
      <c r="H893" s="560"/>
      <c r="I893" s="560"/>
      <c r="J893" s="560"/>
      <c r="K893" s="560"/>
      <c r="L893" s="560"/>
      <c r="M893" s="560"/>
      <c r="N893" s="560"/>
      <c r="O893" s="560"/>
      <c r="P893" s="560"/>
      <c r="Q893" s="560"/>
      <c r="R893" s="560"/>
      <c r="S893" s="560"/>
      <c r="T893" s="560"/>
      <c r="U893" s="560"/>
      <c r="V893" s="560"/>
      <c r="W893" s="560"/>
      <c r="X893" s="560"/>
      <c r="Y893" s="560"/>
      <c r="Z893" s="560"/>
      <c r="AA893" s="560"/>
      <c r="AB893" s="560"/>
      <c r="AC893" s="560"/>
      <c r="AD893" s="560"/>
      <c r="AE893" s="560"/>
      <c r="AF893" s="560"/>
      <c r="AG893" s="560"/>
      <c r="AH893" s="560"/>
      <c r="AI893" s="560"/>
      <c r="AJ893" s="560"/>
      <c r="AK893" s="560"/>
      <c r="AL893" s="560"/>
      <c r="AM893" s="560"/>
      <c r="AN893" s="560"/>
      <c r="AP893" s="560"/>
    </row>
    <row r="894" spans="2:42" x14ac:dyDescent="0.25">
      <c r="C894" s="20" t="s">
        <v>804</v>
      </c>
      <c r="D894" s="34" t="s">
        <v>162</v>
      </c>
      <c r="E894" s="556">
        <v>50</v>
      </c>
      <c r="F894" s="556">
        <v>50</v>
      </c>
      <c r="G894" s="556">
        <v>50</v>
      </c>
      <c r="H894" s="556">
        <v>50</v>
      </c>
      <c r="I894" s="556">
        <v>50</v>
      </c>
      <c r="J894" s="556">
        <v>50</v>
      </c>
      <c r="K894" s="556">
        <v>50</v>
      </c>
      <c r="L894" s="556">
        <v>50</v>
      </c>
      <c r="M894" s="556">
        <v>50</v>
      </c>
      <c r="N894" s="556">
        <v>50</v>
      </c>
      <c r="O894" s="556">
        <v>50</v>
      </c>
      <c r="P894" s="556">
        <v>50</v>
      </c>
      <c r="Q894" s="556">
        <v>50</v>
      </c>
      <c r="R894" s="556">
        <v>50</v>
      </c>
      <c r="S894" s="556">
        <v>50</v>
      </c>
      <c r="T894" s="556">
        <v>50</v>
      </c>
      <c r="U894" s="556">
        <v>50</v>
      </c>
      <c r="V894" s="556">
        <v>50</v>
      </c>
      <c r="W894" s="556">
        <v>50</v>
      </c>
      <c r="X894" s="556">
        <v>50</v>
      </c>
      <c r="Y894" s="556">
        <v>50</v>
      </c>
      <c r="Z894" s="556">
        <v>50</v>
      </c>
      <c r="AA894" s="556">
        <v>50</v>
      </c>
      <c r="AB894" s="556">
        <v>50</v>
      </c>
      <c r="AC894" s="556">
        <v>50</v>
      </c>
      <c r="AD894" s="556">
        <v>50</v>
      </c>
      <c r="AE894" s="556">
        <v>50</v>
      </c>
      <c r="AF894" s="556">
        <v>50</v>
      </c>
      <c r="AG894" s="556">
        <v>50</v>
      </c>
      <c r="AH894" s="556">
        <v>50</v>
      </c>
      <c r="AI894" s="556">
        <v>50</v>
      </c>
      <c r="AJ894" s="556">
        <v>50</v>
      </c>
      <c r="AK894" s="556">
        <v>50</v>
      </c>
      <c r="AL894" s="556">
        <v>50</v>
      </c>
      <c r="AM894" s="556">
        <v>50</v>
      </c>
      <c r="AN894" s="556">
        <v>50</v>
      </c>
      <c r="AP894" s="20"/>
    </row>
    <row r="895" spans="2:42" x14ac:dyDescent="0.25">
      <c r="C895" s="20" t="s">
        <v>803</v>
      </c>
      <c r="D895" s="34" t="s">
        <v>162</v>
      </c>
      <c r="E895" s="23">
        <v>22</v>
      </c>
      <c r="F895" s="23">
        <v>22</v>
      </c>
      <c r="G895" s="23">
        <v>22</v>
      </c>
      <c r="H895" s="23">
        <v>22</v>
      </c>
      <c r="I895" s="23">
        <v>22</v>
      </c>
      <c r="J895" s="23">
        <v>22</v>
      </c>
      <c r="K895" s="23">
        <v>22</v>
      </c>
      <c r="L895" s="23">
        <v>22</v>
      </c>
      <c r="M895" s="23">
        <v>22</v>
      </c>
      <c r="N895" s="23">
        <v>22</v>
      </c>
      <c r="O895" s="23">
        <v>22</v>
      </c>
      <c r="P895" s="23">
        <v>22</v>
      </c>
      <c r="Q895" s="23">
        <v>22</v>
      </c>
      <c r="R895" s="23">
        <v>22</v>
      </c>
      <c r="S895" s="23">
        <v>22</v>
      </c>
      <c r="T895" s="23">
        <v>22</v>
      </c>
      <c r="U895" s="23">
        <v>22</v>
      </c>
      <c r="V895" s="23">
        <v>22</v>
      </c>
      <c r="W895" s="23">
        <v>22</v>
      </c>
      <c r="X895" s="23">
        <v>22</v>
      </c>
      <c r="Y895" s="23">
        <v>22</v>
      </c>
      <c r="Z895" s="23">
        <v>22</v>
      </c>
      <c r="AA895" s="23">
        <v>22</v>
      </c>
      <c r="AB895" s="23">
        <v>22</v>
      </c>
      <c r="AC895" s="23">
        <v>22</v>
      </c>
      <c r="AD895" s="23">
        <v>22</v>
      </c>
      <c r="AE895" s="23">
        <v>22</v>
      </c>
      <c r="AF895" s="23">
        <v>22</v>
      </c>
      <c r="AG895" s="23">
        <v>22</v>
      </c>
      <c r="AH895" s="23">
        <v>22</v>
      </c>
      <c r="AI895" s="23">
        <v>22</v>
      </c>
      <c r="AJ895" s="23">
        <v>22</v>
      </c>
      <c r="AK895" s="23">
        <v>22</v>
      </c>
      <c r="AL895" s="23">
        <v>22</v>
      </c>
      <c r="AM895" s="23">
        <v>22</v>
      </c>
      <c r="AN895" s="23">
        <v>22</v>
      </c>
      <c r="AP895" s="20"/>
    </row>
    <row r="896" spans="2:42" x14ac:dyDescent="0.25">
      <c r="C896" s="22" t="s">
        <v>805</v>
      </c>
      <c r="D896" s="96" t="s">
        <v>162</v>
      </c>
      <c r="E896" s="332">
        <v>8</v>
      </c>
      <c r="F896" s="332">
        <v>8</v>
      </c>
      <c r="G896" s="332">
        <v>8</v>
      </c>
      <c r="H896" s="332">
        <v>8</v>
      </c>
      <c r="I896" s="332">
        <v>8</v>
      </c>
      <c r="J896" s="332">
        <v>8</v>
      </c>
      <c r="K896" s="332">
        <v>8</v>
      </c>
      <c r="L896" s="332">
        <v>8</v>
      </c>
      <c r="M896" s="332">
        <v>8</v>
      </c>
      <c r="N896" s="332">
        <v>8</v>
      </c>
      <c r="O896" s="332">
        <v>8</v>
      </c>
      <c r="P896" s="332">
        <v>8</v>
      </c>
      <c r="Q896" s="332">
        <v>8</v>
      </c>
      <c r="R896" s="332">
        <v>8</v>
      </c>
      <c r="S896" s="332">
        <v>8</v>
      </c>
      <c r="T896" s="332">
        <v>8</v>
      </c>
      <c r="U896" s="332">
        <v>8</v>
      </c>
      <c r="V896" s="332">
        <v>8</v>
      </c>
      <c r="W896" s="332">
        <v>8</v>
      </c>
      <c r="X896" s="332">
        <v>8</v>
      </c>
      <c r="Y896" s="332">
        <v>8</v>
      </c>
      <c r="Z896" s="332">
        <v>8</v>
      </c>
      <c r="AA896" s="332">
        <v>8</v>
      </c>
      <c r="AB896" s="332">
        <v>8</v>
      </c>
      <c r="AC896" s="332">
        <v>8</v>
      </c>
      <c r="AD896" s="332">
        <v>8</v>
      </c>
      <c r="AE896" s="332">
        <v>8</v>
      </c>
      <c r="AF896" s="332">
        <v>8</v>
      </c>
      <c r="AG896" s="332">
        <v>8</v>
      </c>
      <c r="AH896" s="332">
        <v>8</v>
      </c>
      <c r="AI896" s="332">
        <v>8</v>
      </c>
      <c r="AJ896" s="332">
        <v>8</v>
      </c>
      <c r="AK896" s="332">
        <v>8</v>
      </c>
      <c r="AL896" s="332">
        <v>8</v>
      </c>
      <c r="AM896" s="332">
        <v>8</v>
      </c>
      <c r="AN896" s="332">
        <v>8</v>
      </c>
    </row>
    <row r="897" spans="2:42" x14ac:dyDescent="0.25">
      <c r="C897" s="553" t="s">
        <v>807</v>
      </c>
      <c r="D897" s="559"/>
      <c r="E897" s="553"/>
      <c r="F897" s="553"/>
      <c r="G897" s="553"/>
      <c r="H897" s="553"/>
      <c r="I897" s="553"/>
      <c r="J897" s="553"/>
      <c r="K897" s="553"/>
      <c r="L897" s="553"/>
      <c r="M897" s="553"/>
      <c r="N897" s="553"/>
      <c r="O897" s="553"/>
      <c r="P897" s="553"/>
      <c r="Q897" s="553"/>
      <c r="R897" s="553"/>
      <c r="S897" s="553"/>
      <c r="T897" s="553"/>
      <c r="U897" s="553"/>
      <c r="V897" s="553"/>
      <c r="W897" s="553"/>
      <c r="X897" s="553"/>
      <c r="Y897" s="553"/>
      <c r="Z897" s="553"/>
      <c r="AA897" s="553"/>
      <c r="AB897" s="553"/>
      <c r="AC897" s="553"/>
      <c r="AD897" s="553"/>
      <c r="AE897" s="553"/>
      <c r="AF897" s="553"/>
      <c r="AG897" s="553"/>
      <c r="AH897" s="553"/>
      <c r="AI897" s="553"/>
      <c r="AJ897" s="553"/>
      <c r="AK897" s="553"/>
      <c r="AL897" s="553"/>
      <c r="AM897" s="553"/>
      <c r="AN897" s="553"/>
      <c r="AP897" s="553"/>
    </row>
    <row r="898" spans="2:42" x14ac:dyDescent="0.25">
      <c r="C898" s="20" t="s">
        <v>804</v>
      </c>
      <c r="D898" s="34" t="s">
        <v>162</v>
      </c>
      <c r="E898" s="556">
        <v>50</v>
      </c>
      <c r="F898" s="556">
        <v>50</v>
      </c>
      <c r="G898" s="556">
        <v>50</v>
      </c>
      <c r="H898" s="556">
        <v>50</v>
      </c>
      <c r="I898" s="556">
        <v>50</v>
      </c>
      <c r="J898" s="556">
        <v>50</v>
      </c>
      <c r="K898" s="556">
        <v>50</v>
      </c>
      <c r="L898" s="556">
        <v>50</v>
      </c>
      <c r="M898" s="556">
        <v>50</v>
      </c>
      <c r="N898" s="556">
        <v>50</v>
      </c>
      <c r="O898" s="556">
        <v>50</v>
      </c>
      <c r="P898" s="556">
        <v>50</v>
      </c>
      <c r="Q898" s="556">
        <v>50</v>
      </c>
      <c r="R898" s="556">
        <v>50</v>
      </c>
      <c r="S898" s="556">
        <v>50</v>
      </c>
      <c r="T898" s="556">
        <v>50</v>
      </c>
      <c r="U898" s="556">
        <v>50</v>
      </c>
      <c r="V898" s="556">
        <v>50</v>
      </c>
      <c r="W898" s="556">
        <v>50</v>
      </c>
      <c r="X898" s="556">
        <v>50</v>
      </c>
      <c r="Y898" s="556">
        <v>50</v>
      </c>
      <c r="Z898" s="556">
        <v>50</v>
      </c>
      <c r="AA898" s="556">
        <v>50</v>
      </c>
      <c r="AB898" s="556">
        <v>50</v>
      </c>
      <c r="AC898" s="556">
        <v>50</v>
      </c>
      <c r="AD898" s="556">
        <v>50</v>
      </c>
      <c r="AE898" s="556">
        <v>50</v>
      </c>
      <c r="AF898" s="556">
        <v>50</v>
      </c>
      <c r="AG898" s="556">
        <v>50</v>
      </c>
      <c r="AH898" s="556">
        <v>50</v>
      </c>
      <c r="AI898" s="556">
        <v>50</v>
      </c>
      <c r="AJ898" s="556">
        <v>50</v>
      </c>
      <c r="AK898" s="556">
        <v>50</v>
      </c>
      <c r="AL898" s="556">
        <v>50</v>
      </c>
      <c r="AM898" s="556">
        <v>50</v>
      </c>
      <c r="AN898" s="556">
        <v>50</v>
      </c>
      <c r="AP898" s="20"/>
    </row>
    <row r="899" spans="2:42" x14ac:dyDescent="0.25">
      <c r="C899" s="20" t="s">
        <v>803</v>
      </c>
      <c r="D899" s="34" t="s">
        <v>162</v>
      </c>
      <c r="E899" s="23">
        <v>22</v>
      </c>
      <c r="F899" s="23">
        <v>22</v>
      </c>
      <c r="G899" s="23">
        <v>22</v>
      </c>
      <c r="H899" s="23">
        <v>22</v>
      </c>
      <c r="I899" s="23">
        <v>22</v>
      </c>
      <c r="J899" s="23">
        <v>22</v>
      </c>
      <c r="K899" s="23">
        <v>22</v>
      </c>
      <c r="L899" s="23">
        <v>22</v>
      </c>
      <c r="M899" s="23">
        <v>22</v>
      </c>
      <c r="N899" s="23">
        <v>22</v>
      </c>
      <c r="O899" s="23">
        <v>22</v>
      </c>
      <c r="P899" s="23">
        <v>22</v>
      </c>
      <c r="Q899" s="23">
        <v>22</v>
      </c>
      <c r="R899" s="23">
        <v>22</v>
      </c>
      <c r="S899" s="23">
        <v>22</v>
      </c>
      <c r="T899" s="23">
        <v>22</v>
      </c>
      <c r="U899" s="23">
        <v>22</v>
      </c>
      <c r="V899" s="23">
        <v>22</v>
      </c>
      <c r="W899" s="23">
        <v>22</v>
      </c>
      <c r="X899" s="23">
        <v>22</v>
      </c>
      <c r="Y899" s="23">
        <v>22</v>
      </c>
      <c r="Z899" s="23">
        <v>22</v>
      </c>
      <c r="AA899" s="23">
        <v>22</v>
      </c>
      <c r="AB899" s="23">
        <v>22</v>
      </c>
      <c r="AC899" s="23">
        <v>22</v>
      </c>
      <c r="AD899" s="23">
        <v>22</v>
      </c>
      <c r="AE899" s="23">
        <v>22</v>
      </c>
      <c r="AF899" s="23">
        <v>22</v>
      </c>
      <c r="AG899" s="23">
        <v>22</v>
      </c>
      <c r="AH899" s="23">
        <v>22</v>
      </c>
      <c r="AI899" s="23">
        <v>22</v>
      </c>
      <c r="AJ899" s="23">
        <v>22</v>
      </c>
      <c r="AK899" s="23">
        <v>22</v>
      </c>
      <c r="AL899" s="23">
        <v>22</v>
      </c>
      <c r="AM899" s="23">
        <v>22</v>
      </c>
      <c r="AN899" s="23">
        <v>22</v>
      </c>
      <c r="AP899" s="20"/>
    </row>
    <row r="900" spans="2:42" x14ac:dyDescent="0.25">
      <c r="C900" s="22" t="s">
        <v>805</v>
      </c>
      <c r="D900" s="96" t="s">
        <v>162</v>
      </c>
      <c r="E900" s="332">
        <v>8</v>
      </c>
      <c r="F900" s="332">
        <v>8</v>
      </c>
      <c r="G900" s="332">
        <v>8</v>
      </c>
      <c r="H900" s="332">
        <v>8</v>
      </c>
      <c r="I900" s="332">
        <v>8</v>
      </c>
      <c r="J900" s="332">
        <v>8</v>
      </c>
      <c r="K900" s="332">
        <v>8</v>
      </c>
      <c r="L900" s="332">
        <v>8</v>
      </c>
      <c r="M900" s="332">
        <v>8</v>
      </c>
      <c r="N900" s="332">
        <v>8</v>
      </c>
      <c r="O900" s="332">
        <v>8</v>
      </c>
      <c r="P900" s="332">
        <v>8</v>
      </c>
      <c r="Q900" s="332">
        <v>8</v>
      </c>
      <c r="R900" s="332">
        <v>8</v>
      </c>
      <c r="S900" s="332">
        <v>8</v>
      </c>
      <c r="T900" s="332">
        <v>8</v>
      </c>
      <c r="U900" s="332">
        <v>8</v>
      </c>
      <c r="V900" s="332">
        <v>8</v>
      </c>
      <c r="W900" s="332">
        <v>8</v>
      </c>
      <c r="X900" s="332">
        <v>8</v>
      </c>
      <c r="Y900" s="332">
        <v>8</v>
      </c>
      <c r="Z900" s="332">
        <v>8</v>
      </c>
      <c r="AA900" s="332">
        <v>8</v>
      </c>
      <c r="AB900" s="332">
        <v>8</v>
      </c>
      <c r="AC900" s="332">
        <v>8</v>
      </c>
      <c r="AD900" s="332">
        <v>8</v>
      </c>
      <c r="AE900" s="332">
        <v>8</v>
      </c>
      <c r="AF900" s="332">
        <v>8</v>
      </c>
      <c r="AG900" s="332">
        <v>8</v>
      </c>
      <c r="AH900" s="332">
        <v>8</v>
      </c>
      <c r="AI900" s="332">
        <v>8</v>
      </c>
      <c r="AJ900" s="332">
        <v>8</v>
      </c>
      <c r="AK900" s="332">
        <v>8</v>
      </c>
      <c r="AL900" s="332">
        <v>8</v>
      </c>
      <c r="AM900" s="332">
        <v>8</v>
      </c>
      <c r="AN900" s="332">
        <v>8</v>
      </c>
    </row>
    <row r="901" spans="2:42" x14ac:dyDescent="0.25">
      <c r="C901" s="553" t="s">
        <v>808</v>
      </c>
      <c r="D901" s="559"/>
      <c r="E901" s="553"/>
      <c r="F901" s="553"/>
      <c r="G901" s="553"/>
      <c r="H901" s="553"/>
      <c r="I901" s="553"/>
      <c r="J901" s="553"/>
      <c r="K901" s="553"/>
      <c r="L901" s="553"/>
      <c r="M901" s="553"/>
      <c r="N901" s="553"/>
      <c r="O901" s="553"/>
      <c r="P901" s="553"/>
      <c r="Q901" s="553"/>
      <c r="R901" s="553"/>
      <c r="S901" s="553"/>
      <c r="T901" s="553"/>
      <c r="U901" s="553"/>
      <c r="V901" s="553"/>
      <c r="W901" s="553"/>
      <c r="X901" s="553"/>
      <c r="Y901" s="553"/>
      <c r="Z901" s="553"/>
      <c r="AA901" s="553"/>
      <c r="AB901" s="553"/>
      <c r="AC901" s="553"/>
      <c r="AD901" s="553"/>
      <c r="AE901" s="553"/>
      <c r="AF901" s="553"/>
      <c r="AG901" s="553"/>
      <c r="AH901" s="553"/>
      <c r="AI901" s="553"/>
      <c r="AJ901" s="553"/>
      <c r="AK901" s="553"/>
      <c r="AL901" s="553"/>
      <c r="AM901" s="553"/>
      <c r="AN901" s="553"/>
      <c r="AP901" s="553"/>
    </row>
    <row r="902" spans="2:42" x14ac:dyDescent="0.25">
      <c r="C902" s="20" t="s">
        <v>804</v>
      </c>
      <c r="D902" s="34" t="s">
        <v>162</v>
      </c>
      <c r="E902" s="556">
        <v>50</v>
      </c>
      <c r="F902" s="556">
        <v>50</v>
      </c>
      <c r="G902" s="556">
        <v>50</v>
      </c>
      <c r="H902" s="556">
        <v>50</v>
      </c>
      <c r="I902" s="556">
        <v>50</v>
      </c>
      <c r="J902" s="556">
        <v>50</v>
      </c>
      <c r="K902" s="556">
        <v>50</v>
      </c>
      <c r="L902" s="556">
        <v>50</v>
      </c>
      <c r="M902" s="556">
        <v>50</v>
      </c>
      <c r="N902" s="556">
        <v>50</v>
      </c>
      <c r="O902" s="556">
        <v>50</v>
      </c>
      <c r="P902" s="556">
        <v>50</v>
      </c>
      <c r="Q902" s="556">
        <v>50</v>
      </c>
      <c r="R902" s="556">
        <v>50</v>
      </c>
      <c r="S902" s="556">
        <v>50</v>
      </c>
      <c r="T902" s="556">
        <v>50</v>
      </c>
      <c r="U902" s="556">
        <v>50</v>
      </c>
      <c r="V902" s="556">
        <v>50</v>
      </c>
      <c r="W902" s="556">
        <v>50</v>
      </c>
      <c r="X902" s="556">
        <v>50</v>
      </c>
      <c r="Y902" s="556">
        <v>50</v>
      </c>
      <c r="Z902" s="556">
        <v>50</v>
      </c>
      <c r="AA902" s="556">
        <v>50</v>
      </c>
      <c r="AB902" s="556">
        <v>50</v>
      </c>
      <c r="AC902" s="556">
        <v>50</v>
      </c>
      <c r="AD902" s="556">
        <v>50</v>
      </c>
      <c r="AE902" s="556">
        <v>50</v>
      </c>
      <c r="AF902" s="556">
        <v>50</v>
      </c>
      <c r="AG902" s="556">
        <v>50</v>
      </c>
      <c r="AH902" s="556">
        <v>50</v>
      </c>
      <c r="AI902" s="556">
        <v>50</v>
      </c>
      <c r="AJ902" s="556">
        <v>50</v>
      </c>
      <c r="AK902" s="556">
        <v>50</v>
      </c>
      <c r="AL902" s="556">
        <v>50</v>
      </c>
      <c r="AM902" s="556">
        <v>50</v>
      </c>
      <c r="AN902" s="556">
        <v>50</v>
      </c>
      <c r="AP902" s="20"/>
    </row>
    <row r="903" spans="2:42" x14ac:dyDescent="0.25">
      <c r="C903" s="20" t="s">
        <v>803</v>
      </c>
      <c r="D903" s="34" t="s">
        <v>162</v>
      </c>
      <c r="E903" s="23">
        <v>22</v>
      </c>
      <c r="F903" s="23">
        <v>22</v>
      </c>
      <c r="G903" s="23">
        <v>22</v>
      </c>
      <c r="H903" s="23">
        <v>22</v>
      </c>
      <c r="I903" s="23">
        <v>22</v>
      </c>
      <c r="J903" s="23">
        <v>22</v>
      </c>
      <c r="K903" s="23">
        <v>22</v>
      </c>
      <c r="L903" s="23">
        <v>22</v>
      </c>
      <c r="M903" s="23">
        <v>22</v>
      </c>
      <c r="N903" s="23">
        <v>22</v>
      </c>
      <c r="O903" s="23">
        <v>22</v>
      </c>
      <c r="P903" s="23">
        <v>22</v>
      </c>
      <c r="Q903" s="23">
        <v>22</v>
      </c>
      <c r="R903" s="23">
        <v>22</v>
      </c>
      <c r="S903" s="23">
        <v>22</v>
      </c>
      <c r="T903" s="23">
        <v>22</v>
      </c>
      <c r="U903" s="23">
        <v>22</v>
      </c>
      <c r="V903" s="23">
        <v>22</v>
      </c>
      <c r="W903" s="23">
        <v>22</v>
      </c>
      <c r="X903" s="23">
        <v>22</v>
      </c>
      <c r="Y903" s="23">
        <v>22</v>
      </c>
      <c r="Z903" s="23">
        <v>22</v>
      </c>
      <c r="AA903" s="23">
        <v>22</v>
      </c>
      <c r="AB903" s="23">
        <v>22</v>
      </c>
      <c r="AC903" s="23">
        <v>22</v>
      </c>
      <c r="AD903" s="23">
        <v>22</v>
      </c>
      <c r="AE903" s="23">
        <v>22</v>
      </c>
      <c r="AF903" s="23">
        <v>22</v>
      </c>
      <c r="AG903" s="23">
        <v>22</v>
      </c>
      <c r="AH903" s="23">
        <v>22</v>
      </c>
      <c r="AI903" s="23">
        <v>22</v>
      </c>
      <c r="AJ903" s="23">
        <v>22</v>
      </c>
      <c r="AK903" s="23">
        <v>22</v>
      </c>
      <c r="AL903" s="23">
        <v>22</v>
      </c>
      <c r="AM903" s="23">
        <v>22</v>
      </c>
      <c r="AN903" s="23">
        <v>22</v>
      </c>
      <c r="AP903" s="20"/>
    </row>
    <row r="904" spans="2:42" x14ac:dyDescent="0.25">
      <c r="C904" s="22" t="s">
        <v>805</v>
      </c>
      <c r="D904" s="96" t="s">
        <v>162</v>
      </c>
      <c r="E904" s="332">
        <v>8</v>
      </c>
      <c r="F904" s="332">
        <v>8</v>
      </c>
      <c r="G904" s="332">
        <v>8</v>
      </c>
      <c r="H904" s="332">
        <v>8</v>
      </c>
      <c r="I904" s="332">
        <v>8</v>
      </c>
      <c r="J904" s="332">
        <v>8</v>
      </c>
      <c r="K904" s="332">
        <v>8</v>
      </c>
      <c r="L904" s="332">
        <v>8</v>
      </c>
      <c r="M904" s="332">
        <v>8</v>
      </c>
      <c r="N904" s="332">
        <v>8</v>
      </c>
      <c r="O904" s="332">
        <v>8</v>
      </c>
      <c r="P904" s="332">
        <v>8</v>
      </c>
      <c r="Q904" s="332">
        <v>8</v>
      </c>
      <c r="R904" s="332">
        <v>8</v>
      </c>
      <c r="S904" s="332">
        <v>8</v>
      </c>
      <c r="T904" s="332">
        <v>8</v>
      </c>
      <c r="U904" s="332">
        <v>8</v>
      </c>
      <c r="V904" s="332">
        <v>8</v>
      </c>
      <c r="W904" s="332">
        <v>8</v>
      </c>
      <c r="X904" s="332">
        <v>8</v>
      </c>
      <c r="Y904" s="332">
        <v>8</v>
      </c>
      <c r="Z904" s="332">
        <v>8</v>
      </c>
      <c r="AA904" s="332">
        <v>8</v>
      </c>
      <c r="AB904" s="332">
        <v>8</v>
      </c>
      <c r="AC904" s="332">
        <v>8</v>
      </c>
      <c r="AD904" s="332">
        <v>8</v>
      </c>
      <c r="AE904" s="332">
        <v>8</v>
      </c>
      <c r="AF904" s="332">
        <v>8</v>
      </c>
      <c r="AG904" s="332">
        <v>8</v>
      </c>
      <c r="AH904" s="332">
        <v>8</v>
      </c>
      <c r="AI904" s="332">
        <v>8</v>
      </c>
      <c r="AJ904" s="332">
        <v>8</v>
      </c>
      <c r="AK904" s="332">
        <v>8</v>
      </c>
      <c r="AL904" s="332">
        <v>8</v>
      </c>
      <c r="AM904" s="332">
        <v>8</v>
      </c>
      <c r="AN904" s="332">
        <v>8</v>
      </c>
    </row>
    <row r="905" spans="2:42" x14ac:dyDescent="0.25">
      <c r="B905" s="33" t="s">
        <v>9</v>
      </c>
      <c r="C905" s="11" t="s">
        <v>796</v>
      </c>
      <c r="D905" s="557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P905" s="11"/>
    </row>
    <row r="906" spans="2:42" x14ac:dyDescent="0.25">
      <c r="C906" s="20" t="s">
        <v>804</v>
      </c>
      <c r="D906" s="34" t="s">
        <v>162</v>
      </c>
      <c r="E906" s="556">
        <v>50</v>
      </c>
      <c r="F906" s="556">
        <v>50</v>
      </c>
      <c r="G906" s="556">
        <v>50</v>
      </c>
      <c r="H906" s="556">
        <v>50</v>
      </c>
      <c r="I906" s="556">
        <v>50</v>
      </c>
      <c r="J906" s="556">
        <v>50</v>
      </c>
      <c r="K906" s="556">
        <v>50</v>
      </c>
      <c r="L906" s="556">
        <v>50</v>
      </c>
      <c r="M906" s="556">
        <v>50</v>
      </c>
      <c r="N906" s="556">
        <v>50</v>
      </c>
      <c r="O906" s="556">
        <v>50</v>
      </c>
      <c r="P906" s="556">
        <v>50</v>
      </c>
      <c r="Q906" s="556">
        <v>50</v>
      </c>
      <c r="R906" s="556">
        <v>50</v>
      </c>
      <c r="S906" s="556">
        <v>50</v>
      </c>
      <c r="T906" s="556">
        <v>50</v>
      </c>
      <c r="U906" s="556">
        <v>50</v>
      </c>
      <c r="V906" s="556">
        <v>50</v>
      </c>
      <c r="W906" s="556">
        <v>50</v>
      </c>
      <c r="X906" s="556">
        <v>50</v>
      </c>
      <c r="Y906" s="556">
        <v>50</v>
      </c>
      <c r="Z906" s="556">
        <v>50</v>
      </c>
      <c r="AA906" s="556">
        <v>50</v>
      </c>
      <c r="AB906" s="556">
        <v>50</v>
      </c>
      <c r="AC906" s="556">
        <v>50</v>
      </c>
      <c r="AD906" s="556">
        <v>50</v>
      </c>
      <c r="AE906" s="556">
        <v>50</v>
      </c>
      <c r="AF906" s="556">
        <v>50</v>
      </c>
      <c r="AG906" s="556">
        <v>50</v>
      </c>
      <c r="AH906" s="556">
        <v>50</v>
      </c>
      <c r="AI906" s="556">
        <v>50</v>
      </c>
      <c r="AJ906" s="556">
        <v>50</v>
      </c>
      <c r="AK906" s="556">
        <v>50</v>
      </c>
      <c r="AL906" s="556">
        <v>50</v>
      </c>
      <c r="AM906" s="556">
        <v>50</v>
      </c>
      <c r="AN906" s="556">
        <v>50</v>
      </c>
      <c r="AP906" s="20"/>
    </row>
    <row r="907" spans="2:42" x14ac:dyDescent="0.25">
      <c r="C907" s="20" t="s">
        <v>803</v>
      </c>
      <c r="D907" s="34" t="s">
        <v>162</v>
      </c>
      <c r="E907" s="23">
        <v>22</v>
      </c>
      <c r="F907" s="23">
        <v>22</v>
      </c>
      <c r="G907" s="23">
        <v>22</v>
      </c>
      <c r="H907" s="23">
        <v>22</v>
      </c>
      <c r="I907" s="23">
        <v>22</v>
      </c>
      <c r="J907" s="23">
        <v>22</v>
      </c>
      <c r="K907" s="23">
        <v>22</v>
      </c>
      <c r="L907" s="23">
        <v>22</v>
      </c>
      <c r="M907" s="23">
        <v>22</v>
      </c>
      <c r="N907" s="23">
        <v>22</v>
      </c>
      <c r="O907" s="23">
        <v>22</v>
      </c>
      <c r="P907" s="23">
        <v>22</v>
      </c>
      <c r="Q907" s="23">
        <v>22</v>
      </c>
      <c r="R907" s="23">
        <v>22</v>
      </c>
      <c r="S907" s="23">
        <v>22</v>
      </c>
      <c r="T907" s="23">
        <v>22</v>
      </c>
      <c r="U907" s="23">
        <v>22</v>
      </c>
      <c r="V907" s="23">
        <v>22</v>
      </c>
      <c r="W907" s="23">
        <v>22</v>
      </c>
      <c r="X907" s="23">
        <v>22</v>
      </c>
      <c r="Y907" s="23">
        <v>22</v>
      </c>
      <c r="Z907" s="23">
        <v>22</v>
      </c>
      <c r="AA907" s="23">
        <v>22</v>
      </c>
      <c r="AB907" s="23">
        <v>22</v>
      </c>
      <c r="AC907" s="23">
        <v>22</v>
      </c>
      <c r="AD907" s="23">
        <v>22</v>
      </c>
      <c r="AE907" s="23">
        <v>22</v>
      </c>
      <c r="AF907" s="23">
        <v>22</v>
      </c>
      <c r="AG907" s="23">
        <v>22</v>
      </c>
      <c r="AH907" s="23">
        <v>22</v>
      </c>
      <c r="AI907" s="23">
        <v>22</v>
      </c>
      <c r="AJ907" s="23">
        <v>22</v>
      </c>
      <c r="AK907" s="23">
        <v>22</v>
      </c>
      <c r="AL907" s="23">
        <v>22</v>
      </c>
      <c r="AM907" s="23">
        <v>22</v>
      </c>
      <c r="AN907" s="23">
        <v>22</v>
      </c>
      <c r="AP907" s="20"/>
    </row>
    <row r="908" spans="2:42" x14ac:dyDescent="0.25">
      <c r="C908" s="22" t="s">
        <v>805</v>
      </c>
      <c r="D908" s="96" t="s">
        <v>162</v>
      </c>
      <c r="E908" s="332">
        <v>8</v>
      </c>
      <c r="F908" s="332">
        <v>8</v>
      </c>
      <c r="G908" s="332">
        <v>8</v>
      </c>
      <c r="H908" s="332">
        <v>8</v>
      </c>
      <c r="I908" s="332">
        <v>8</v>
      </c>
      <c r="J908" s="332">
        <v>8</v>
      </c>
      <c r="K908" s="332">
        <v>8</v>
      </c>
      <c r="L908" s="332">
        <v>8</v>
      </c>
      <c r="M908" s="332">
        <v>8</v>
      </c>
      <c r="N908" s="332">
        <v>8</v>
      </c>
      <c r="O908" s="332">
        <v>8</v>
      </c>
      <c r="P908" s="332">
        <v>8</v>
      </c>
      <c r="Q908" s="332">
        <v>8</v>
      </c>
      <c r="R908" s="332">
        <v>8</v>
      </c>
      <c r="S908" s="332">
        <v>8</v>
      </c>
      <c r="T908" s="332">
        <v>8</v>
      </c>
      <c r="U908" s="332">
        <v>8</v>
      </c>
      <c r="V908" s="332">
        <v>8</v>
      </c>
      <c r="W908" s="332">
        <v>8</v>
      </c>
      <c r="X908" s="332">
        <v>8</v>
      </c>
      <c r="Y908" s="332">
        <v>8</v>
      </c>
      <c r="Z908" s="332">
        <v>8</v>
      </c>
      <c r="AA908" s="332">
        <v>8</v>
      </c>
      <c r="AB908" s="332">
        <v>8</v>
      </c>
      <c r="AC908" s="332">
        <v>8</v>
      </c>
      <c r="AD908" s="332">
        <v>8</v>
      </c>
      <c r="AE908" s="332">
        <v>8</v>
      </c>
      <c r="AF908" s="332">
        <v>8</v>
      </c>
      <c r="AG908" s="332">
        <v>8</v>
      </c>
      <c r="AH908" s="332">
        <v>8</v>
      </c>
      <c r="AI908" s="332">
        <v>8</v>
      </c>
      <c r="AJ908" s="332">
        <v>8</v>
      </c>
      <c r="AK908" s="332">
        <v>8</v>
      </c>
      <c r="AL908" s="332">
        <v>8</v>
      </c>
      <c r="AM908" s="332">
        <v>8</v>
      </c>
      <c r="AN908" s="332">
        <v>8</v>
      </c>
    </row>
    <row r="909" spans="2:42" x14ac:dyDescent="0.25">
      <c r="B909" s="33" t="s">
        <v>9</v>
      </c>
      <c r="C909" s="11" t="s">
        <v>797</v>
      </c>
      <c r="D909" s="557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P909" s="11"/>
    </row>
    <row r="910" spans="2:42" x14ac:dyDescent="0.25">
      <c r="C910" s="20" t="s">
        <v>804</v>
      </c>
      <c r="D910" s="34" t="s">
        <v>162</v>
      </c>
      <c r="E910" s="556">
        <v>50</v>
      </c>
      <c r="F910" s="556">
        <v>50</v>
      </c>
      <c r="G910" s="556">
        <v>50</v>
      </c>
      <c r="H910" s="556">
        <v>50</v>
      </c>
      <c r="I910" s="556">
        <v>50</v>
      </c>
      <c r="J910" s="556">
        <v>50</v>
      </c>
      <c r="K910" s="556">
        <v>50</v>
      </c>
      <c r="L910" s="556">
        <v>50</v>
      </c>
      <c r="M910" s="556">
        <v>50</v>
      </c>
      <c r="N910" s="556">
        <v>50</v>
      </c>
      <c r="O910" s="556">
        <v>50</v>
      </c>
      <c r="P910" s="556">
        <v>50</v>
      </c>
      <c r="Q910" s="556">
        <v>50</v>
      </c>
      <c r="R910" s="556">
        <v>50</v>
      </c>
      <c r="S910" s="556">
        <v>50</v>
      </c>
      <c r="T910" s="556">
        <v>50</v>
      </c>
      <c r="U910" s="556">
        <v>50</v>
      </c>
      <c r="V910" s="556">
        <v>50</v>
      </c>
      <c r="W910" s="556">
        <v>50</v>
      </c>
      <c r="X910" s="556">
        <v>50</v>
      </c>
      <c r="Y910" s="556">
        <v>50</v>
      </c>
      <c r="Z910" s="556">
        <v>50</v>
      </c>
      <c r="AA910" s="556">
        <v>50</v>
      </c>
      <c r="AB910" s="556">
        <v>50</v>
      </c>
      <c r="AC910" s="556">
        <v>50</v>
      </c>
      <c r="AD910" s="556">
        <v>50</v>
      </c>
      <c r="AE910" s="556">
        <v>50</v>
      </c>
      <c r="AF910" s="556">
        <v>50</v>
      </c>
      <c r="AG910" s="556">
        <v>50</v>
      </c>
      <c r="AH910" s="556">
        <v>50</v>
      </c>
      <c r="AI910" s="556">
        <v>50</v>
      </c>
      <c r="AJ910" s="556">
        <v>50</v>
      </c>
      <c r="AK910" s="556">
        <v>50</v>
      </c>
      <c r="AL910" s="556">
        <v>50</v>
      </c>
      <c r="AM910" s="556">
        <v>50</v>
      </c>
      <c r="AN910" s="556">
        <v>50</v>
      </c>
      <c r="AP910" s="20"/>
    </row>
    <row r="911" spans="2:42" x14ac:dyDescent="0.25">
      <c r="C911" s="20" t="s">
        <v>803</v>
      </c>
      <c r="D911" s="34" t="s">
        <v>162</v>
      </c>
      <c r="E911" s="23">
        <v>22</v>
      </c>
      <c r="F911" s="23">
        <v>22</v>
      </c>
      <c r="G911" s="23">
        <v>22</v>
      </c>
      <c r="H911" s="23">
        <v>22</v>
      </c>
      <c r="I911" s="23">
        <v>22</v>
      </c>
      <c r="J911" s="23">
        <v>22</v>
      </c>
      <c r="K911" s="23">
        <v>22</v>
      </c>
      <c r="L911" s="23">
        <v>22</v>
      </c>
      <c r="M911" s="23">
        <v>22</v>
      </c>
      <c r="N911" s="23">
        <v>22</v>
      </c>
      <c r="O911" s="23">
        <v>22</v>
      </c>
      <c r="P911" s="23">
        <v>22</v>
      </c>
      <c r="Q911" s="23">
        <v>22</v>
      </c>
      <c r="R911" s="23">
        <v>22</v>
      </c>
      <c r="S911" s="23">
        <v>22</v>
      </c>
      <c r="T911" s="23">
        <v>22</v>
      </c>
      <c r="U911" s="23">
        <v>22</v>
      </c>
      <c r="V911" s="23">
        <v>22</v>
      </c>
      <c r="W911" s="23">
        <v>22</v>
      </c>
      <c r="X911" s="23">
        <v>22</v>
      </c>
      <c r="Y911" s="23">
        <v>22</v>
      </c>
      <c r="Z911" s="23">
        <v>22</v>
      </c>
      <c r="AA911" s="23">
        <v>22</v>
      </c>
      <c r="AB911" s="23">
        <v>22</v>
      </c>
      <c r="AC911" s="23">
        <v>22</v>
      </c>
      <c r="AD911" s="23">
        <v>22</v>
      </c>
      <c r="AE911" s="23">
        <v>22</v>
      </c>
      <c r="AF911" s="23">
        <v>22</v>
      </c>
      <c r="AG911" s="23">
        <v>22</v>
      </c>
      <c r="AH911" s="23">
        <v>22</v>
      </c>
      <c r="AI911" s="23">
        <v>22</v>
      </c>
      <c r="AJ911" s="23">
        <v>22</v>
      </c>
      <c r="AK911" s="23">
        <v>22</v>
      </c>
      <c r="AL911" s="23">
        <v>22</v>
      </c>
      <c r="AM911" s="23">
        <v>22</v>
      </c>
      <c r="AN911" s="23">
        <v>22</v>
      </c>
      <c r="AP911" s="20"/>
    </row>
    <row r="912" spans="2:42" x14ac:dyDescent="0.25">
      <c r="C912" s="22" t="s">
        <v>805</v>
      </c>
      <c r="D912" s="96" t="s">
        <v>162</v>
      </c>
      <c r="E912" s="332">
        <v>8</v>
      </c>
      <c r="F912" s="332">
        <v>8</v>
      </c>
      <c r="G912" s="332">
        <v>8</v>
      </c>
      <c r="H912" s="332">
        <v>8</v>
      </c>
      <c r="I912" s="332">
        <v>8</v>
      </c>
      <c r="J912" s="332">
        <v>8</v>
      </c>
      <c r="K912" s="332">
        <v>8</v>
      </c>
      <c r="L912" s="332">
        <v>8</v>
      </c>
      <c r="M912" s="332">
        <v>8</v>
      </c>
      <c r="N912" s="332">
        <v>8</v>
      </c>
      <c r="O912" s="332">
        <v>8</v>
      </c>
      <c r="P912" s="332">
        <v>8</v>
      </c>
      <c r="Q912" s="332">
        <v>8</v>
      </c>
      <c r="R912" s="332">
        <v>8</v>
      </c>
      <c r="S912" s="332">
        <v>8</v>
      </c>
      <c r="T912" s="332">
        <v>8</v>
      </c>
      <c r="U912" s="332">
        <v>8</v>
      </c>
      <c r="V912" s="332">
        <v>8</v>
      </c>
      <c r="W912" s="332">
        <v>8</v>
      </c>
      <c r="X912" s="332">
        <v>8</v>
      </c>
      <c r="Y912" s="332">
        <v>8</v>
      </c>
      <c r="Z912" s="332">
        <v>8</v>
      </c>
      <c r="AA912" s="332">
        <v>8</v>
      </c>
      <c r="AB912" s="332">
        <v>8</v>
      </c>
      <c r="AC912" s="332">
        <v>8</v>
      </c>
      <c r="AD912" s="332">
        <v>8</v>
      </c>
      <c r="AE912" s="332">
        <v>8</v>
      </c>
      <c r="AF912" s="332">
        <v>8</v>
      </c>
      <c r="AG912" s="332">
        <v>8</v>
      </c>
      <c r="AH912" s="332">
        <v>8</v>
      </c>
      <c r="AI912" s="332">
        <v>8</v>
      </c>
      <c r="AJ912" s="332">
        <v>8</v>
      </c>
      <c r="AK912" s="332">
        <v>8</v>
      </c>
      <c r="AL912" s="332">
        <v>8</v>
      </c>
      <c r="AM912" s="332">
        <v>8</v>
      </c>
      <c r="AN912" s="332">
        <v>8</v>
      </c>
      <c r="AP912" s="22"/>
    </row>
    <row r="913" spans="2:42" x14ac:dyDescent="0.25">
      <c r="B913" s="33" t="s">
        <v>9</v>
      </c>
      <c r="C913" s="11" t="s">
        <v>787</v>
      </c>
      <c r="D913" s="557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P913" s="11"/>
    </row>
    <row r="914" spans="2:42" x14ac:dyDescent="0.25">
      <c r="C914" s="20" t="s">
        <v>804</v>
      </c>
      <c r="D914" s="34" t="s">
        <v>162</v>
      </c>
      <c r="E914" s="556">
        <v>50</v>
      </c>
      <c r="F914" s="556">
        <v>50</v>
      </c>
      <c r="G914" s="556">
        <v>50</v>
      </c>
      <c r="H914" s="556">
        <v>50</v>
      </c>
      <c r="I914" s="556">
        <v>50</v>
      </c>
      <c r="J914" s="556">
        <v>50</v>
      </c>
      <c r="K914" s="556">
        <v>50</v>
      </c>
      <c r="L914" s="556">
        <v>50</v>
      </c>
      <c r="M914" s="556">
        <v>50</v>
      </c>
      <c r="N914" s="556">
        <v>50</v>
      </c>
      <c r="O914" s="556">
        <v>50</v>
      </c>
      <c r="P914" s="556">
        <v>50</v>
      </c>
      <c r="Q914" s="556">
        <v>50</v>
      </c>
      <c r="R914" s="556">
        <v>50</v>
      </c>
      <c r="S914" s="556">
        <v>50</v>
      </c>
      <c r="T914" s="556">
        <v>50</v>
      </c>
      <c r="U914" s="556">
        <v>50</v>
      </c>
      <c r="V914" s="556">
        <v>50</v>
      </c>
      <c r="W914" s="556">
        <v>50</v>
      </c>
      <c r="X914" s="556">
        <v>50</v>
      </c>
      <c r="Y914" s="556">
        <v>50</v>
      </c>
      <c r="Z914" s="556">
        <v>50</v>
      </c>
      <c r="AA914" s="556">
        <v>50</v>
      </c>
      <c r="AB914" s="556">
        <v>50</v>
      </c>
      <c r="AC914" s="556">
        <v>50</v>
      </c>
      <c r="AD914" s="556">
        <v>50</v>
      </c>
      <c r="AE914" s="556">
        <v>50</v>
      </c>
      <c r="AF914" s="556">
        <v>50</v>
      </c>
      <c r="AG914" s="556">
        <v>50</v>
      </c>
      <c r="AH914" s="556">
        <v>50</v>
      </c>
      <c r="AI914" s="556">
        <v>50</v>
      </c>
      <c r="AJ914" s="556">
        <v>50</v>
      </c>
      <c r="AK914" s="556">
        <v>50</v>
      </c>
      <c r="AL914" s="556">
        <v>50</v>
      </c>
      <c r="AM914" s="556">
        <v>50</v>
      </c>
      <c r="AN914" s="556">
        <v>50</v>
      </c>
    </row>
    <row r="915" spans="2:42" x14ac:dyDescent="0.25">
      <c r="C915" s="20" t="s">
        <v>803</v>
      </c>
      <c r="D915" s="34" t="s">
        <v>162</v>
      </c>
      <c r="E915" s="23">
        <v>22</v>
      </c>
      <c r="F915" s="23">
        <v>22</v>
      </c>
      <c r="G915" s="23">
        <v>22</v>
      </c>
      <c r="H915" s="23">
        <v>22</v>
      </c>
      <c r="I915" s="23">
        <v>22</v>
      </c>
      <c r="J915" s="23">
        <v>22</v>
      </c>
      <c r="K915" s="23">
        <v>22</v>
      </c>
      <c r="L915" s="23">
        <v>22</v>
      </c>
      <c r="M915" s="23">
        <v>22</v>
      </c>
      <c r="N915" s="23">
        <v>22</v>
      </c>
      <c r="O915" s="23">
        <v>22</v>
      </c>
      <c r="P915" s="23">
        <v>22</v>
      </c>
      <c r="Q915" s="23">
        <v>22</v>
      </c>
      <c r="R915" s="23">
        <v>22</v>
      </c>
      <c r="S915" s="23">
        <v>22</v>
      </c>
      <c r="T915" s="23">
        <v>22</v>
      </c>
      <c r="U915" s="23">
        <v>22</v>
      </c>
      <c r="V915" s="23">
        <v>22</v>
      </c>
      <c r="W915" s="23">
        <v>22</v>
      </c>
      <c r="X915" s="23">
        <v>22</v>
      </c>
      <c r="Y915" s="23">
        <v>22</v>
      </c>
      <c r="Z915" s="23">
        <v>22</v>
      </c>
      <c r="AA915" s="23">
        <v>22</v>
      </c>
      <c r="AB915" s="23">
        <v>22</v>
      </c>
      <c r="AC915" s="23">
        <v>22</v>
      </c>
      <c r="AD915" s="23">
        <v>22</v>
      </c>
      <c r="AE915" s="23">
        <v>22</v>
      </c>
      <c r="AF915" s="23">
        <v>22</v>
      </c>
      <c r="AG915" s="23">
        <v>22</v>
      </c>
      <c r="AH915" s="23">
        <v>22</v>
      </c>
      <c r="AI915" s="23">
        <v>22</v>
      </c>
      <c r="AJ915" s="23">
        <v>22</v>
      </c>
      <c r="AK915" s="23">
        <v>22</v>
      </c>
      <c r="AL915" s="23">
        <v>22</v>
      </c>
      <c r="AM915" s="23">
        <v>22</v>
      </c>
      <c r="AN915" s="23">
        <v>22</v>
      </c>
      <c r="AP915" s="22"/>
    </row>
    <row r="916" spans="2:42" x14ac:dyDescent="0.25">
      <c r="C916" s="22" t="s">
        <v>805</v>
      </c>
      <c r="D916" s="96" t="s">
        <v>162</v>
      </c>
      <c r="E916" s="332">
        <v>8</v>
      </c>
      <c r="F916" s="332">
        <v>8</v>
      </c>
      <c r="G916" s="332">
        <v>8</v>
      </c>
      <c r="H916" s="332">
        <v>8</v>
      </c>
      <c r="I916" s="332">
        <v>8</v>
      </c>
      <c r="J916" s="332">
        <v>8</v>
      </c>
      <c r="K916" s="332">
        <v>8</v>
      </c>
      <c r="L916" s="332">
        <v>8</v>
      </c>
      <c r="M916" s="332">
        <v>8</v>
      </c>
      <c r="N916" s="332">
        <v>8</v>
      </c>
      <c r="O916" s="332">
        <v>8</v>
      </c>
      <c r="P916" s="332">
        <v>8</v>
      </c>
      <c r="Q916" s="332">
        <v>8</v>
      </c>
      <c r="R916" s="332">
        <v>8</v>
      </c>
      <c r="S916" s="332">
        <v>8</v>
      </c>
      <c r="T916" s="332">
        <v>8</v>
      </c>
      <c r="U916" s="332">
        <v>8</v>
      </c>
      <c r="V916" s="332">
        <v>8</v>
      </c>
      <c r="W916" s="332">
        <v>8</v>
      </c>
      <c r="X916" s="332">
        <v>8</v>
      </c>
      <c r="Y916" s="332">
        <v>8</v>
      </c>
      <c r="Z916" s="332">
        <v>8</v>
      </c>
      <c r="AA916" s="332">
        <v>8</v>
      </c>
      <c r="AB916" s="332">
        <v>8</v>
      </c>
      <c r="AC916" s="332">
        <v>8</v>
      </c>
      <c r="AD916" s="332">
        <v>8</v>
      </c>
      <c r="AE916" s="332">
        <v>8</v>
      </c>
      <c r="AF916" s="332">
        <v>8</v>
      </c>
      <c r="AG916" s="332">
        <v>8</v>
      </c>
      <c r="AH916" s="332">
        <v>8</v>
      </c>
      <c r="AI916" s="332">
        <v>8</v>
      </c>
      <c r="AJ916" s="332">
        <v>8</v>
      </c>
      <c r="AK916" s="332">
        <v>8</v>
      </c>
      <c r="AL916" s="332">
        <v>8</v>
      </c>
      <c r="AM916" s="332">
        <v>8</v>
      </c>
      <c r="AN916" s="332">
        <v>8</v>
      </c>
      <c r="AP916" s="22"/>
    </row>
    <row r="917" spans="2:42" x14ac:dyDescent="0.25">
      <c r="B917" s="33" t="s">
        <v>9</v>
      </c>
      <c r="C917" s="11" t="s">
        <v>799</v>
      </c>
      <c r="D917" s="557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P917" s="11"/>
    </row>
    <row r="918" spans="2:42" x14ac:dyDescent="0.25">
      <c r="C918" s="20" t="s">
        <v>804</v>
      </c>
      <c r="D918" s="34" t="s">
        <v>162</v>
      </c>
      <c r="E918" s="556">
        <v>50</v>
      </c>
      <c r="F918" s="556">
        <v>50</v>
      </c>
      <c r="G918" s="556">
        <v>50</v>
      </c>
      <c r="H918" s="556">
        <v>50</v>
      </c>
      <c r="I918" s="556">
        <v>50</v>
      </c>
      <c r="J918" s="556">
        <v>50</v>
      </c>
      <c r="K918" s="556">
        <v>50</v>
      </c>
      <c r="L918" s="556">
        <v>50</v>
      </c>
      <c r="M918" s="556">
        <v>50</v>
      </c>
      <c r="N918" s="556">
        <v>50</v>
      </c>
      <c r="O918" s="556">
        <v>50</v>
      </c>
      <c r="P918" s="556">
        <v>50</v>
      </c>
      <c r="Q918" s="556">
        <v>50</v>
      </c>
      <c r="R918" s="556">
        <v>50</v>
      </c>
      <c r="S918" s="556">
        <v>50</v>
      </c>
      <c r="T918" s="556">
        <v>50</v>
      </c>
      <c r="U918" s="556">
        <v>50</v>
      </c>
      <c r="V918" s="556">
        <v>50</v>
      </c>
      <c r="W918" s="556">
        <v>50</v>
      </c>
      <c r="X918" s="556">
        <v>50</v>
      </c>
      <c r="Y918" s="556">
        <v>50</v>
      </c>
      <c r="Z918" s="556">
        <v>50</v>
      </c>
      <c r="AA918" s="556">
        <v>50</v>
      </c>
      <c r="AB918" s="556">
        <v>50</v>
      </c>
      <c r="AC918" s="556">
        <v>50</v>
      </c>
      <c r="AD918" s="556">
        <v>50</v>
      </c>
      <c r="AE918" s="556">
        <v>50</v>
      </c>
      <c r="AF918" s="556">
        <v>50</v>
      </c>
      <c r="AG918" s="556">
        <v>50</v>
      </c>
      <c r="AH918" s="556">
        <v>50</v>
      </c>
      <c r="AI918" s="556">
        <v>50</v>
      </c>
      <c r="AJ918" s="556">
        <v>50</v>
      </c>
      <c r="AK918" s="556">
        <v>50</v>
      </c>
      <c r="AL918" s="556">
        <v>50</v>
      </c>
      <c r="AM918" s="556">
        <v>50</v>
      </c>
      <c r="AN918" s="556">
        <v>50</v>
      </c>
    </row>
    <row r="919" spans="2:42" x14ac:dyDescent="0.25">
      <c r="C919" s="20" t="s">
        <v>803</v>
      </c>
      <c r="D919" s="34" t="s">
        <v>162</v>
      </c>
      <c r="E919" s="23">
        <v>22</v>
      </c>
      <c r="F919" s="23">
        <v>22</v>
      </c>
      <c r="G919" s="23">
        <v>22</v>
      </c>
      <c r="H919" s="23">
        <v>22</v>
      </c>
      <c r="I919" s="23">
        <v>22</v>
      </c>
      <c r="J919" s="23">
        <v>22</v>
      </c>
      <c r="K919" s="23">
        <v>22</v>
      </c>
      <c r="L919" s="23">
        <v>22</v>
      </c>
      <c r="M919" s="23">
        <v>22</v>
      </c>
      <c r="N919" s="23">
        <v>22</v>
      </c>
      <c r="O919" s="23">
        <v>22</v>
      </c>
      <c r="P919" s="23">
        <v>22</v>
      </c>
      <c r="Q919" s="23">
        <v>22</v>
      </c>
      <c r="R919" s="23">
        <v>22</v>
      </c>
      <c r="S919" s="23">
        <v>22</v>
      </c>
      <c r="T919" s="23">
        <v>22</v>
      </c>
      <c r="U919" s="23">
        <v>22</v>
      </c>
      <c r="V919" s="23">
        <v>22</v>
      </c>
      <c r="W919" s="23">
        <v>22</v>
      </c>
      <c r="X919" s="23">
        <v>22</v>
      </c>
      <c r="Y919" s="23">
        <v>22</v>
      </c>
      <c r="Z919" s="23">
        <v>22</v>
      </c>
      <c r="AA919" s="23">
        <v>22</v>
      </c>
      <c r="AB919" s="23">
        <v>22</v>
      </c>
      <c r="AC919" s="23">
        <v>22</v>
      </c>
      <c r="AD919" s="23">
        <v>22</v>
      </c>
      <c r="AE919" s="23">
        <v>22</v>
      </c>
      <c r="AF919" s="23">
        <v>22</v>
      </c>
      <c r="AG919" s="23">
        <v>22</v>
      </c>
      <c r="AH919" s="23">
        <v>22</v>
      </c>
      <c r="AI919" s="23">
        <v>22</v>
      </c>
      <c r="AJ919" s="23">
        <v>22</v>
      </c>
      <c r="AK919" s="23">
        <v>22</v>
      </c>
      <c r="AL919" s="23">
        <v>22</v>
      </c>
      <c r="AM919" s="23">
        <v>22</v>
      </c>
      <c r="AN919" s="23">
        <v>22</v>
      </c>
      <c r="AP919" s="22"/>
    </row>
    <row r="920" spans="2:42" x14ac:dyDescent="0.25">
      <c r="C920" s="22" t="s">
        <v>805</v>
      </c>
      <c r="D920" s="96" t="s">
        <v>162</v>
      </c>
      <c r="E920" s="332">
        <v>8</v>
      </c>
      <c r="F920" s="332">
        <v>8</v>
      </c>
      <c r="G920" s="332">
        <v>8</v>
      </c>
      <c r="H920" s="332">
        <v>8</v>
      </c>
      <c r="I920" s="332">
        <v>8</v>
      </c>
      <c r="J920" s="332">
        <v>8</v>
      </c>
      <c r="K920" s="332">
        <v>8</v>
      </c>
      <c r="L920" s="332">
        <v>8</v>
      </c>
      <c r="M920" s="332">
        <v>8</v>
      </c>
      <c r="N920" s="332">
        <v>8</v>
      </c>
      <c r="O920" s="332">
        <v>8</v>
      </c>
      <c r="P920" s="332">
        <v>8</v>
      </c>
      <c r="Q920" s="332">
        <v>8</v>
      </c>
      <c r="R920" s="332">
        <v>8</v>
      </c>
      <c r="S920" s="332">
        <v>8</v>
      </c>
      <c r="T920" s="332">
        <v>8</v>
      </c>
      <c r="U920" s="332">
        <v>8</v>
      </c>
      <c r="V920" s="332">
        <v>8</v>
      </c>
      <c r="W920" s="332">
        <v>8</v>
      </c>
      <c r="X920" s="332">
        <v>8</v>
      </c>
      <c r="Y920" s="332">
        <v>8</v>
      </c>
      <c r="Z920" s="332">
        <v>8</v>
      </c>
      <c r="AA920" s="332">
        <v>8</v>
      </c>
      <c r="AB920" s="332">
        <v>8</v>
      </c>
      <c r="AC920" s="332">
        <v>8</v>
      </c>
      <c r="AD920" s="332">
        <v>8</v>
      </c>
      <c r="AE920" s="332">
        <v>8</v>
      </c>
      <c r="AF920" s="332">
        <v>8</v>
      </c>
      <c r="AG920" s="332">
        <v>8</v>
      </c>
      <c r="AH920" s="332">
        <v>8</v>
      </c>
      <c r="AI920" s="332">
        <v>8</v>
      </c>
      <c r="AJ920" s="332">
        <v>8</v>
      </c>
      <c r="AK920" s="332">
        <v>8</v>
      </c>
      <c r="AL920" s="332">
        <v>8</v>
      </c>
      <c r="AM920" s="332">
        <v>8</v>
      </c>
      <c r="AN920" s="332">
        <v>8</v>
      </c>
      <c r="AP920" s="22"/>
    </row>
    <row r="921" spans="2:42" x14ac:dyDescent="0.25">
      <c r="B921" s="33" t="s">
        <v>9</v>
      </c>
      <c r="C921" s="11" t="s">
        <v>800</v>
      </c>
      <c r="D921" s="557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P921" s="11"/>
    </row>
    <row r="922" spans="2:42" x14ac:dyDescent="0.25">
      <c r="C922" s="297" t="s">
        <v>809</v>
      </c>
      <c r="D922" s="586" t="s">
        <v>162</v>
      </c>
      <c r="E922" s="587">
        <v>1</v>
      </c>
      <c r="F922" s="587">
        <v>1</v>
      </c>
      <c r="G922" s="587">
        <v>1</v>
      </c>
      <c r="H922" s="587">
        <v>1</v>
      </c>
      <c r="I922" s="587">
        <v>1</v>
      </c>
      <c r="J922" s="587">
        <v>1</v>
      </c>
      <c r="K922" s="587">
        <v>1</v>
      </c>
      <c r="L922" s="587">
        <v>1</v>
      </c>
      <c r="M922" s="587">
        <v>1</v>
      </c>
      <c r="N922" s="587">
        <v>1</v>
      </c>
      <c r="O922" s="587">
        <v>1</v>
      </c>
      <c r="P922" s="587">
        <v>1</v>
      </c>
      <c r="Q922" s="587">
        <v>1</v>
      </c>
      <c r="R922" s="587">
        <v>1</v>
      </c>
      <c r="S922" s="587">
        <v>1</v>
      </c>
      <c r="T922" s="587">
        <v>1</v>
      </c>
      <c r="U922" s="587">
        <v>1</v>
      </c>
      <c r="V922" s="587">
        <v>1</v>
      </c>
      <c r="W922" s="587">
        <v>1</v>
      </c>
      <c r="X922" s="587">
        <v>1</v>
      </c>
      <c r="Y922" s="587">
        <v>1</v>
      </c>
      <c r="Z922" s="587">
        <v>1</v>
      </c>
      <c r="AA922" s="587">
        <v>1</v>
      </c>
      <c r="AB922" s="587">
        <v>1</v>
      </c>
      <c r="AC922" s="587">
        <v>1</v>
      </c>
      <c r="AD922" s="587">
        <v>1</v>
      </c>
      <c r="AE922" s="587">
        <v>1</v>
      </c>
      <c r="AF922" s="587">
        <v>1</v>
      </c>
      <c r="AG922" s="587">
        <v>1</v>
      </c>
      <c r="AH922" s="587">
        <v>1</v>
      </c>
      <c r="AI922" s="587">
        <v>1</v>
      </c>
      <c r="AJ922" s="587">
        <v>1</v>
      </c>
      <c r="AK922" s="587">
        <v>1</v>
      </c>
      <c r="AL922" s="587">
        <v>1</v>
      </c>
      <c r="AM922" s="587">
        <v>1</v>
      </c>
      <c r="AN922" s="587">
        <v>1</v>
      </c>
      <c r="AP922" s="297"/>
    </row>
    <row r="923" spans="2:42" x14ac:dyDescent="0.25">
      <c r="C923" s="299" t="s">
        <v>810</v>
      </c>
      <c r="D923" s="330" t="s">
        <v>162</v>
      </c>
      <c r="E923" s="331">
        <v>1</v>
      </c>
      <c r="F923" s="331">
        <v>1</v>
      </c>
      <c r="G923" s="331">
        <v>1</v>
      </c>
      <c r="H923" s="331">
        <v>1</v>
      </c>
      <c r="I923" s="331">
        <v>1</v>
      </c>
      <c r="J923" s="331">
        <v>1</v>
      </c>
      <c r="K923" s="331">
        <v>1</v>
      </c>
      <c r="L923" s="331">
        <v>1</v>
      </c>
      <c r="M923" s="331">
        <v>1</v>
      </c>
      <c r="N923" s="331">
        <v>1</v>
      </c>
      <c r="O923" s="331">
        <v>1</v>
      </c>
      <c r="P923" s="331">
        <v>1</v>
      </c>
      <c r="Q923" s="331">
        <v>1</v>
      </c>
      <c r="R923" s="331">
        <v>1</v>
      </c>
      <c r="S923" s="331">
        <v>1</v>
      </c>
      <c r="T923" s="331">
        <v>1</v>
      </c>
      <c r="U923" s="331">
        <v>1</v>
      </c>
      <c r="V923" s="331">
        <v>1</v>
      </c>
      <c r="W923" s="331">
        <v>1</v>
      </c>
      <c r="X923" s="331">
        <v>1</v>
      </c>
      <c r="Y923" s="331">
        <v>1</v>
      </c>
      <c r="Z923" s="331">
        <v>1</v>
      </c>
      <c r="AA923" s="331">
        <v>1</v>
      </c>
      <c r="AB923" s="331">
        <v>1</v>
      </c>
      <c r="AC923" s="331">
        <v>1</v>
      </c>
      <c r="AD923" s="331">
        <v>1</v>
      </c>
      <c r="AE923" s="331">
        <v>1</v>
      </c>
      <c r="AF923" s="331">
        <v>1</v>
      </c>
      <c r="AG923" s="331">
        <v>1</v>
      </c>
      <c r="AH923" s="331">
        <v>1</v>
      </c>
      <c r="AI923" s="331">
        <v>1</v>
      </c>
      <c r="AJ923" s="331">
        <v>1</v>
      </c>
      <c r="AK923" s="331">
        <v>1</v>
      </c>
      <c r="AL923" s="331">
        <v>1</v>
      </c>
      <c r="AM923" s="331">
        <v>1</v>
      </c>
      <c r="AN923" s="331">
        <v>1</v>
      </c>
      <c r="AP923" s="299"/>
    </row>
    <row r="924" spans="2:42" x14ac:dyDescent="0.25">
      <c r="C924" s="299" t="s">
        <v>811</v>
      </c>
      <c r="D924" s="330" t="s">
        <v>162</v>
      </c>
      <c r="E924" s="331">
        <v>1</v>
      </c>
      <c r="F924" s="331">
        <v>1</v>
      </c>
      <c r="G924" s="331">
        <v>1</v>
      </c>
      <c r="H924" s="331">
        <v>1</v>
      </c>
      <c r="I924" s="331">
        <v>1</v>
      </c>
      <c r="J924" s="331">
        <v>1</v>
      </c>
      <c r="K924" s="331">
        <v>1</v>
      </c>
      <c r="L924" s="331">
        <v>1</v>
      </c>
      <c r="M924" s="331">
        <v>1</v>
      </c>
      <c r="N924" s="331">
        <v>1</v>
      </c>
      <c r="O924" s="331">
        <v>1</v>
      </c>
      <c r="P924" s="331">
        <v>1</v>
      </c>
      <c r="Q924" s="331">
        <v>1</v>
      </c>
      <c r="R924" s="331">
        <v>1</v>
      </c>
      <c r="S924" s="331">
        <v>1</v>
      </c>
      <c r="T924" s="331">
        <v>1</v>
      </c>
      <c r="U924" s="331">
        <v>1</v>
      </c>
      <c r="V924" s="331">
        <v>1</v>
      </c>
      <c r="W924" s="331">
        <v>1</v>
      </c>
      <c r="X924" s="331">
        <v>1</v>
      </c>
      <c r="Y924" s="331">
        <v>1</v>
      </c>
      <c r="Z924" s="331">
        <v>1</v>
      </c>
      <c r="AA924" s="331">
        <v>1</v>
      </c>
      <c r="AB924" s="331">
        <v>1</v>
      </c>
      <c r="AC924" s="331">
        <v>1</v>
      </c>
      <c r="AD924" s="331">
        <v>1</v>
      </c>
      <c r="AE924" s="331">
        <v>1</v>
      </c>
      <c r="AF924" s="331">
        <v>1</v>
      </c>
      <c r="AG924" s="331">
        <v>1</v>
      </c>
      <c r="AH924" s="331">
        <v>1</v>
      </c>
      <c r="AI924" s="331">
        <v>1</v>
      </c>
      <c r="AJ924" s="331">
        <v>1</v>
      </c>
      <c r="AK924" s="331">
        <v>1</v>
      </c>
      <c r="AL924" s="331">
        <v>1</v>
      </c>
      <c r="AM924" s="331">
        <v>1</v>
      </c>
      <c r="AN924" s="331">
        <v>1</v>
      </c>
      <c r="AP924" s="299"/>
    </row>
    <row r="925" spans="2:42" x14ac:dyDescent="0.25">
      <c r="C925" s="299" t="s">
        <v>812</v>
      </c>
      <c r="D925" s="330" t="s">
        <v>162</v>
      </c>
      <c r="E925" s="331">
        <v>1</v>
      </c>
      <c r="F925" s="331">
        <v>1</v>
      </c>
      <c r="G925" s="331">
        <v>1</v>
      </c>
      <c r="H925" s="331">
        <v>1</v>
      </c>
      <c r="I925" s="331">
        <v>1</v>
      </c>
      <c r="J925" s="331">
        <v>1</v>
      </c>
      <c r="K925" s="331">
        <v>1</v>
      </c>
      <c r="L925" s="331">
        <v>1</v>
      </c>
      <c r="M925" s="331">
        <v>1</v>
      </c>
      <c r="N925" s="331">
        <v>1</v>
      </c>
      <c r="O925" s="331">
        <v>1</v>
      </c>
      <c r="P925" s="331">
        <v>1</v>
      </c>
      <c r="Q925" s="331">
        <v>1</v>
      </c>
      <c r="R925" s="331">
        <v>1</v>
      </c>
      <c r="S925" s="331">
        <v>1</v>
      </c>
      <c r="T925" s="331">
        <v>1</v>
      </c>
      <c r="U925" s="331">
        <v>1</v>
      </c>
      <c r="V925" s="331">
        <v>1</v>
      </c>
      <c r="W925" s="331">
        <v>1</v>
      </c>
      <c r="X925" s="331">
        <v>1</v>
      </c>
      <c r="Y925" s="331">
        <v>1</v>
      </c>
      <c r="Z925" s="331">
        <v>1</v>
      </c>
      <c r="AA925" s="331">
        <v>1</v>
      </c>
      <c r="AB925" s="331">
        <v>1</v>
      </c>
      <c r="AC925" s="331">
        <v>1</v>
      </c>
      <c r="AD925" s="331">
        <v>1</v>
      </c>
      <c r="AE925" s="331">
        <v>1</v>
      </c>
      <c r="AF925" s="331">
        <v>1</v>
      </c>
      <c r="AG925" s="331">
        <v>1</v>
      </c>
      <c r="AH925" s="331">
        <v>1</v>
      </c>
      <c r="AI925" s="331">
        <v>1</v>
      </c>
      <c r="AJ925" s="331">
        <v>1</v>
      </c>
      <c r="AK925" s="331">
        <v>1</v>
      </c>
      <c r="AL925" s="331">
        <v>1</v>
      </c>
      <c r="AM925" s="331">
        <v>1</v>
      </c>
      <c r="AN925" s="331">
        <v>1</v>
      </c>
      <c r="AP925" s="299"/>
    </row>
    <row r="926" spans="2:42" x14ac:dyDescent="0.25">
      <c r="C926" s="299" t="s">
        <v>813</v>
      </c>
      <c r="D926" s="330" t="s">
        <v>162</v>
      </c>
      <c r="E926" s="331">
        <v>1</v>
      </c>
      <c r="F926" s="331">
        <v>1</v>
      </c>
      <c r="G926" s="331">
        <v>1</v>
      </c>
      <c r="H926" s="331">
        <v>1</v>
      </c>
      <c r="I926" s="331">
        <v>1</v>
      </c>
      <c r="J926" s="331">
        <v>1</v>
      </c>
      <c r="K926" s="331">
        <v>1</v>
      </c>
      <c r="L926" s="331">
        <v>1</v>
      </c>
      <c r="M926" s="331">
        <v>1</v>
      </c>
      <c r="N926" s="331">
        <v>1</v>
      </c>
      <c r="O926" s="331">
        <v>1</v>
      </c>
      <c r="P926" s="331">
        <v>1</v>
      </c>
      <c r="Q926" s="331">
        <v>1</v>
      </c>
      <c r="R926" s="331">
        <v>1</v>
      </c>
      <c r="S926" s="331">
        <v>1</v>
      </c>
      <c r="T926" s="331">
        <v>1</v>
      </c>
      <c r="U926" s="331">
        <v>1</v>
      </c>
      <c r="V926" s="331">
        <v>1</v>
      </c>
      <c r="W926" s="331">
        <v>1</v>
      </c>
      <c r="X926" s="331">
        <v>1</v>
      </c>
      <c r="Y926" s="331">
        <v>1</v>
      </c>
      <c r="Z926" s="331">
        <v>1</v>
      </c>
      <c r="AA926" s="331">
        <v>1</v>
      </c>
      <c r="AB926" s="331">
        <v>1</v>
      </c>
      <c r="AC926" s="331">
        <v>1</v>
      </c>
      <c r="AD926" s="331">
        <v>1</v>
      </c>
      <c r="AE926" s="331">
        <v>1</v>
      </c>
      <c r="AF926" s="331">
        <v>1</v>
      </c>
      <c r="AG926" s="331">
        <v>1</v>
      </c>
      <c r="AH926" s="331">
        <v>1</v>
      </c>
      <c r="AI926" s="331">
        <v>1</v>
      </c>
      <c r="AJ926" s="331">
        <v>1</v>
      </c>
      <c r="AK926" s="331">
        <v>1</v>
      </c>
      <c r="AL926" s="331">
        <v>1</v>
      </c>
      <c r="AM926" s="331">
        <v>1</v>
      </c>
      <c r="AN926" s="331">
        <v>1</v>
      </c>
      <c r="AP926" s="299"/>
    </row>
    <row r="927" spans="2:42" x14ac:dyDescent="0.25">
      <c r="C927" s="299" t="s">
        <v>814</v>
      </c>
      <c r="D927" s="330" t="s">
        <v>162</v>
      </c>
      <c r="E927" s="331">
        <v>1</v>
      </c>
      <c r="F927" s="331">
        <v>1</v>
      </c>
      <c r="G927" s="331">
        <v>1</v>
      </c>
      <c r="H927" s="331">
        <v>1</v>
      </c>
      <c r="I927" s="331">
        <v>1</v>
      </c>
      <c r="J927" s="331">
        <v>1</v>
      </c>
      <c r="K927" s="331">
        <v>1</v>
      </c>
      <c r="L927" s="331">
        <v>1</v>
      </c>
      <c r="M927" s="331">
        <v>1</v>
      </c>
      <c r="N927" s="331">
        <v>1</v>
      </c>
      <c r="O927" s="331">
        <v>1</v>
      </c>
      <c r="P927" s="331">
        <v>1</v>
      </c>
      <c r="Q927" s="331">
        <v>1</v>
      </c>
      <c r="R927" s="331">
        <v>1</v>
      </c>
      <c r="S927" s="331">
        <v>1</v>
      </c>
      <c r="T927" s="331">
        <v>1</v>
      </c>
      <c r="U927" s="331">
        <v>1</v>
      </c>
      <c r="V927" s="331">
        <v>1</v>
      </c>
      <c r="W927" s="331">
        <v>1</v>
      </c>
      <c r="X927" s="331">
        <v>1</v>
      </c>
      <c r="Y927" s="331">
        <v>1</v>
      </c>
      <c r="Z927" s="331">
        <v>1</v>
      </c>
      <c r="AA927" s="331">
        <v>1</v>
      </c>
      <c r="AB927" s="331">
        <v>1</v>
      </c>
      <c r="AC927" s="331">
        <v>1</v>
      </c>
      <c r="AD927" s="331">
        <v>1</v>
      </c>
      <c r="AE927" s="331">
        <v>1</v>
      </c>
      <c r="AF927" s="331">
        <v>1</v>
      </c>
      <c r="AG927" s="331">
        <v>1</v>
      </c>
      <c r="AH927" s="331">
        <v>1</v>
      </c>
      <c r="AI927" s="331">
        <v>1</v>
      </c>
      <c r="AJ927" s="331">
        <v>1</v>
      </c>
      <c r="AK927" s="331">
        <v>1</v>
      </c>
      <c r="AL927" s="331">
        <v>1</v>
      </c>
      <c r="AM927" s="331">
        <v>1</v>
      </c>
      <c r="AN927" s="331">
        <v>1</v>
      </c>
      <c r="AP927" s="299"/>
    </row>
    <row r="928" spans="2:42" x14ac:dyDescent="0.25">
      <c r="C928" s="299" t="s">
        <v>815</v>
      </c>
      <c r="D928" s="330" t="s">
        <v>162</v>
      </c>
      <c r="E928" s="331">
        <v>1</v>
      </c>
      <c r="F928" s="331">
        <v>1</v>
      </c>
      <c r="G928" s="331">
        <v>1</v>
      </c>
      <c r="H928" s="331">
        <v>1</v>
      </c>
      <c r="I928" s="331">
        <v>1</v>
      </c>
      <c r="J928" s="331">
        <v>1</v>
      </c>
      <c r="K928" s="331">
        <v>1</v>
      </c>
      <c r="L928" s="331">
        <v>1</v>
      </c>
      <c r="M928" s="331">
        <v>1</v>
      </c>
      <c r="N928" s="331">
        <v>1</v>
      </c>
      <c r="O928" s="331">
        <v>1</v>
      </c>
      <c r="P928" s="331">
        <v>1</v>
      </c>
      <c r="Q928" s="331">
        <v>1</v>
      </c>
      <c r="R928" s="331">
        <v>1</v>
      </c>
      <c r="S928" s="331">
        <v>1</v>
      </c>
      <c r="T928" s="331">
        <v>1</v>
      </c>
      <c r="U928" s="331">
        <v>1</v>
      </c>
      <c r="V928" s="331">
        <v>1</v>
      </c>
      <c r="W928" s="331">
        <v>1</v>
      </c>
      <c r="X928" s="331">
        <v>1</v>
      </c>
      <c r="Y928" s="331">
        <v>1</v>
      </c>
      <c r="Z928" s="331">
        <v>1</v>
      </c>
      <c r="AA928" s="331">
        <v>1</v>
      </c>
      <c r="AB928" s="331">
        <v>1</v>
      </c>
      <c r="AC928" s="331">
        <v>1</v>
      </c>
      <c r="AD928" s="331">
        <v>1</v>
      </c>
      <c r="AE928" s="331">
        <v>1</v>
      </c>
      <c r="AF928" s="331">
        <v>1</v>
      </c>
      <c r="AG928" s="331">
        <v>1</v>
      </c>
      <c r="AH928" s="331">
        <v>1</v>
      </c>
      <c r="AI928" s="331">
        <v>1</v>
      </c>
      <c r="AJ928" s="331">
        <v>1</v>
      </c>
      <c r="AK928" s="331">
        <v>1</v>
      </c>
      <c r="AL928" s="331">
        <v>1</v>
      </c>
      <c r="AM928" s="331">
        <v>1</v>
      </c>
      <c r="AN928" s="331">
        <v>1</v>
      </c>
      <c r="AP928" s="299"/>
    </row>
    <row r="929" spans="2:43" x14ac:dyDescent="0.25">
      <c r="C929" s="299" t="s">
        <v>816</v>
      </c>
      <c r="D929" s="330" t="s">
        <v>162</v>
      </c>
      <c r="E929" s="331">
        <v>1</v>
      </c>
      <c r="F929" s="331">
        <v>1</v>
      </c>
      <c r="G929" s="331">
        <v>1</v>
      </c>
      <c r="H929" s="331">
        <v>1</v>
      </c>
      <c r="I929" s="331">
        <v>1</v>
      </c>
      <c r="J929" s="331">
        <v>1</v>
      </c>
      <c r="K929" s="331">
        <v>1</v>
      </c>
      <c r="L929" s="331">
        <v>1</v>
      </c>
      <c r="M929" s="331">
        <v>1</v>
      </c>
      <c r="N929" s="331">
        <v>1</v>
      </c>
      <c r="O929" s="331">
        <v>1</v>
      </c>
      <c r="P929" s="331">
        <v>1</v>
      </c>
      <c r="Q929" s="331">
        <v>1</v>
      </c>
      <c r="R929" s="331">
        <v>1</v>
      </c>
      <c r="S929" s="331">
        <v>1</v>
      </c>
      <c r="T929" s="331">
        <v>1</v>
      </c>
      <c r="U929" s="331">
        <v>1</v>
      </c>
      <c r="V929" s="331">
        <v>1</v>
      </c>
      <c r="W929" s="331">
        <v>1</v>
      </c>
      <c r="X929" s="331">
        <v>1</v>
      </c>
      <c r="Y929" s="331">
        <v>1</v>
      </c>
      <c r="Z929" s="331">
        <v>1</v>
      </c>
      <c r="AA929" s="331">
        <v>1</v>
      </c>
      <c r="AB929" s="331">
        <v>1</v>
      </c>
      <c r="AC929" s="331">
        <v>1</v>
      </c>
      <c r="AD929" s="331">
        <v>1</v>
      </c>
      <c r="AE929" s="331">
        <v>1</v>
      </c>
      <c r="AF929" s="331">
        <v>1</v>
      </c>
      <c r="AG929" s="331">
        <v>1</v>
      </c>
      <c r="AH929" s="331">
        <v>1</v>
      </c>
      <c r="AI929" s="331">
        <v>1</v>
      </c>
      <c r="AJ929" s="331">
        <v>1</v>
      </c>
      <c r="AK929" s="331">
        <v>1</v>
      </c>
      <c r="AL929" s="331">
        <v>1</v>
      </c>
      <c r="AM929" s="331">
        <v>1</v>
      </c>
      <c r="AN929" s="331">
        <v>1</v>
      </c>
      <c r="AP929" s="299"/>
    </row>
    <row r="930" spans="2:43" x14ac:dyDescent="0.25">
      <c r="C930" s="299" t="s">
        <v>817</v>
      </c>
      <c r="D930" s="330" t="s">
        <v>162</v>
      </c>
      <c r="E930" s="331">
        <v>1</v>
      </c>
      <c r="F930" s="331">
        <v>1</v>
      </c>
      <c r="G930" s="331">
        <v>1</v>
      </c>
      <c r="H930" s="331">
        <v>1</v>
      </c>
      <c r="I930" s="331">
        <v>1</v>
      </c>
      <c r="J930" s="331">
        <v>1</v>
      </c>
      <c r="K930" s="331">
        <v>1</v>
      </c>
      <c r="L930" s="331">
        <v>1</v>
      </c>
      <c r="M930" s="331">
        <v>1</v>
      </c>
      <c r="N930" s="331">
        <v>1</v>
      </c>
      <c r="O930" s="331">
        <v>1</v>
      </c>
      <c r="P930" s="331">
        <v>1</v>
      </c>
      <c r="Q930" s="331">
        <v>1</v>
      </c>
      <c r="R930" s="331">
        <v>1</v>
      </c>
      <c r="S930" s="331">
        <v>1</v>
      </c>
      <c r="T930" s="331">
        <v>1</v>
      </c>
      <c r="U930" s="331">
        <v>1</v>
      </c>
      <c r="V930" s="331">
        <v>1</v>
      </c>
      <c r="W930" s="331">
        <v>1</v>
      </c>
      <c r="X930" s="331">
        <v>1</v>
      </c>
      <c r="Y930" s="331">
        <v>1</v>
      </c>
      <c r="Z930" s="331">
        <v>1</v>
      </c>
      <c r="AA930" s="331">
        <v>1</v>
      </c>
      <c r="AB930" s="331">
        <v>1</v>
      </c>
      <c r="AC930" s="331">
        <v>1</v>
      </c>
      <c r="AD930" s="331">
        <v>1</v>
      </c>
      <c r="AE930" s="331">
        <v>1</v>
      </c>
      <c r="AF930" s="331">
        <v>1</v>
      </c>
      <c r="AG930" s="331">
        <v>1</v>
      </c>
      <c r="AH930" s="331">
        <v>1</v>
      </c>
      <c r="AI930" s="331">
        <v>1</v>
      </c>
      <c r="AJ930" s="331">
        <v>1</v>
      </c>
      <c r="AK930" s="331">
        <v>1</v>
      </c>
      <c r="AL930" s="331">
        <v>1</v>
      </c>
      <c r="AM930" s="331">
        <v>1</v>
      </c>
      <c r="AN930" s="331">
        <v>1</v>
      </c>
      <c r="AP930" s="299"/>
    </row>
    <row r="931" spans="2:43" x14ac:dyDescent="0.25">
      <c r="C931" s="299" t="s">
        <v>818</v>
      </c>
      <c r="D931" s="330" t="s">
        <v>162</v>
      </c>
      <c r="E931" s="331">
        <v>1</v>
      </c>
      <c r="F931" s="331">
        <v>1</v>
      </c>
      <c r="G931" s="331">
        <v>1</v>
      </c>
      <c r="H931" s="331">
        <v>1</v>
      </c>
      <c r="I931" s="331">
        <v>1</v>
      </c>
      <c r="J931" s="331">
        <v>1</v>
      </c>
      <c r="K931" s="331">
        <v>1</v>
      </c>
      <c r="L931" s="331">
        <v>1</v>
      </c>
      <c r="M931" s="331">
        <v>1</v>
      </c>
      <c r="N931" s="331">
        <v>1</v>
      </c>
      <c r="O931" s="331">
        <v>1</v>
      </c>
      <c r="P931" s="331">
        <v>1</v>
      </c>
      <c r="Q931" s="331">
        <v>1</v>
      </c>
      <c r="R931" s="331">
        <v>1</v>
      </c>
      <c r="S931" s="331">
        <v>1</v>
      </c>
      <c r="T931" s="331">
        <v>1</v>
      </c>
      <c r="U931" s="331">
        <v>1</v>
      </c>
      <c r="V931" s="331">
        <v>1</v>
      </c>
      <c r="W931" s="331">
        <v>1</v>
      </c>
      <c r="X931" s="331">
        <v>1</v>
      </c>
      <c r="Y931" s="331">
        <v>1</v>
      </c>
      <c r="Z931" s="331">
        <v>1</v>
      </c>
      <c r="AA931" s="331">
        <v>1</v>
      </c>
      <c r="AB931" s="331">
        <v>1</v>
      </c>
      <c r="AC931" s="331">
        <v>1</v>
      </c>
      <c r="AD931" s="331">
        <v>1</v>
      </c>
      <c r="AE931" s="331">
        <v>1</v>
      </c>
      <c r="AF931" s="331">
        <v>1</v>
      </c>
      <c r="AG931" s="331">
        <v>1</v>
      </c>
      <c r="AH931" s="331">
        <v>1</v>
      </c>
      <c r="AI931" s="331">
        <v>1</v>
      </c>
      <c r="AJ931" s="331">
        <v>1</v>
      </c>
      <c r="AK931" s="331">
        <v>1</v>
      </c>
      <c r="AL931" s="331">
        <v>1</v>
      </c>
      <c r="AM931" s="331">
        <v>1</v>
      </c>
      <c r="AN931" s="331">
        <v>1</v>
      </c>
      <c r="AP931" s="299"/>
    </row>
    <row r="932" spans="2:43" x14ac:dyDescent="0.25">
      <c r="C932" s="299" t="s">
        <v>819</v>
      </c>
      <c r="D932" s="330" t="s">
        <v>162</v>
      </c>
      <c r="E932" s="331">
        <v>1</v>
      </c>
      <c r="F932" s="331">
        <v>1</v>
      </c>
      <c r="G932" s="331">
        <v>1</v>
      </c>
      <c r="H932" s="331">
        <v>1</v>
      </c>
      <c r="I932" s="331">
        <v>1</v>
      </c>
      <c r="J932" s="331">
        <v>1</v>
      </c>
      <c r="K932" s="331">
        <v>1</v>
      </c>
      <c r="L932" s="331">
        <v>1</v>
      </c>
      <c r="M932" s="331">
        <v>1</v>
      </c>
      <c r="N932" s="331">
        <v>1</v>
      </c>
      <c r="O932" s="331">
        <v>1</v>
      </c>
      <c r="P932" s="331">
        <v>1</v>
      </c>
      <c r="Q932" s="331">
        <v>1</v>
      </c>
      <c r="R932" s="331">
        <v>1</v>
      </c>
      <c r="S932" s="331">
        <v>1</v>
      </c>
      <c r="T932" s="331">
        <v>1</v>
      </c>
      <c r="U932" s="331">
        <v>1</v>
      </c>
      <c r="V932" s="331">
        <v>1</v>
      </c>
      <c r="W932" s="331">
        <v>1</v>
      </c>
      <c r="X932" s="331">
        <v>1</v>
      </c>
      <c r="Y932" s="331">
        <v>1</v>
      </c>
      <c r="Z932" s="331">
        <v>1</v>
      </c>
      <c r="AA932" s="331">
        <v>1</v>
      </c>
      <c r="AB932" s="331">
        <v>1</v>
      </c>
      <c r="AC932" s="331">
        <v>1</v>
      </c>
      <c r="AD932" s="331">
        <v>1</v>
      </c>
      <c r="AE932" s="331">
        <v>1</v>
      </c>
      <c r="AF932" s="331">
        <v>1</v>
      </c>
      <c r="AG932" s="331">
        <v>1</v>
      </c>
      <c r="AH932" s="331">
        <v>1</v>
      </c>
      <c r="AI932" s="331">
        <v>1</v>
      </c>
      <c r="AJ932" s="331">
        <v>1</v>
      </c>
      <c r="AK932" s="331">
        <v>1</v>
      </c>
      <c r="AL932" s="331">
        <v>1</v>
      </c>
      <c r="AM932" s="331">
        <v>1</v>
      </c>
      <c r="AN932" s="331">
        <v>1</v>
      </c>
      <c r="AP932" s="299"/>
    </row>
    <row r="933" spans="2:43" x14ac:dyDescent="0.25">
      <c r="C933" s="289" t="s">
        <v>820</v>
      </c>
      <c r="D933" s="102" t="s">
        <v>162</v>
      </c>
      <c r="E933" s="551">
        <v>1</v>
      </c>
      <c r="F933" s="551">
        <v>1</v>
      </c>
      <c r="G933" s="551">
        <v>1</v>
      </c>
      <c r="H933" s="551">
        <v>1</v>
      </c>
      <c r="I933" s="551">
        <v>1</v>
      </c>
      <c r="J933" s="551">
        <v>1</v>
      </c>
      <c r="K933" s="551">
        <v>1</v>
      </c>
      <c r="L933" s="551">
        <v>1</v>
      </c>
      <c r="M933" s="551">
        <v>1</v>
      </c>
      <c r="N933" s="551">
        <v>1</v>
      </c>
      <c r="O933" s="551">
        <v>1</v>
      </c>
      <c r="P933" s="551">
        <v>1</v>
      </c>
      <c r="Q933" s="551">
        <v>1</v>
      </c>
      <c r="R933" s="551">
        <v>1</v>
      </c>
      <c r="S933" s="551">
        <v>1</v>
      </c>
      <c r="T933" s="551">
        <v>1</v>
      </c>
      <c r="U933" s="551">
        <v>1</v>
      </c>
      <c r="V933" s="551">
        <v>1</v>
      </c>
      <c r="W933" s="551">
        <v>1</v>
      </c>
      <c r="X933" s="551">
        <v>1</v>
      </c>
      <c r="Y933" s="551">
        <v>1</v>
      </c>
      <c r="Z933" s="551">
        <v>1</v>
      </c>
      <c r="AA933" s="551">
        <v>1</v>
      </c>
      <c r="AB933" s="551">
        <v>1</v>
      </c>
      <c r="AC933" s="551">
        <v>1</v>
      </c>
      <c r="AD933" s="551">
        <v>1</v>
      </c>
      <c r="AE933" s="551">
        <v>1</v>
      </c>
      <c r="AF933" s="551">
        <v>1</v>
      </c>
      <c r="AG933" s="551">
        <v>1</v>
      </c>
      <c r="AH933" s="551">
        <v>1</v>
      </c>
      <c r="AI933" s="551">
        <v>1</v>
      </c>
      <c r="AJ933" s="551">
        <v>1</v>
      </c>
      <c r="AK933" s="551">
        <v>1</v>
      </c>
      <c r="AL933" s="551">
        <v>1</v>
      </c>
      <c r="AM933" s="551">
        <v>1</v>
      </c>
      <c r="AN933" s="551">
        <v>1</v>
      </c>
      <c r="AP933" s="289"/>
    </row>
    <row r="934" spans="2:43" x14ac:dyDescent="0.25">
      <c r="B934" s="595">
        <v>3.6</v>
      </c>
      <c r="C934" s="10" t="s">
        <v>5</v>
      </c>
      <c r="D934" s="31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P934" s="5"/>
    </row>
    <row r="935" spans="2:43" s="74" customFormat="1" x14ac:dyDescent="0.25">
      <c r="B935" s="99" t="s">
        <v>9</v>
      </c>
      <c r="C935" s="41" t="s">
        <v>845</v>
      </c>
      <c r="D935" s="42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  <c r="AE935" s="105"/>
      <c r="AF935" s="105"/>
      <c r="AG935" s="105"/>
      <c r="AH935" s="105"/>
      <c r="AI935" s="105"/>
      <c r="AJ935" s="105"/>
      <c r="AK935" s="105"/>
      <c r="AL935" s="105"/>
      <c r="AM935" s="105"/>
      <c r="AN935" s="105"/>
      <c r="AP935" s="105"/>
    </row>
    <row r="936" spans="2:43" x14ac:dyDescent="0.25">
      <c r="C936" s="20" t="s">
        <v>850</v>
      </c>
      <c r="D936" s="34" t="s">
        <v>46</v>
      </c>
      <c r="E936" s="556">
        <v>1500</v>
      </c>
      <c r="F936" s="556">
        <v>0</v>
      </c>
      <c r="G936" s="556">
        <v>0</v>
      </c>
      <c r="H936" s="556">
        <v>0</v>
      </c>
      <c r="I936" s="556">
        <v>0</v>
      </c>
      <c r="J936" s="556">
        <v>0</v>
      </c>
      <c r="K936" s="556">
        <v>0</v>
      </c>
      <c r="L936" s="556">
        <v>0</v>
      </c>
      <c r="M936" s="556">
        <v>0</v>
      </c>
      <c r="N936" s="556">
        <v>0</v>
      </c>
      <c r="O936" s="556">
        <v>0</v>
      </c>
      <c r="P936" s="556">
        <v>0</v>
      </c>
      <c r="Q936" s="556">
        <v>0</v>
      </c>
      <c r="R936" s="556">
        <v>0</v>
      </c>
      <c r="S936" s="556">
        <v>0</v>
      </c>
      <c r="T936" s="556">
        <v>0</v>
      </c>
      <c r="U936" s="556">
        <v>0</v>
      </c>
      <c r="V936" s="556">
        <v>0</v>
      </c>
      <c r="W936" s="556">
        <v>0</v>
      </c>
      <c r="X936" s="556">
        <v>0</v>
      </c>
      <c r="Y936" s="556">
        <v>0</v>
      </c>
      <c r="Z936" s="556">
        <v>0</v>
      </c>
      <c r="AA936" s="556">
        <v>0</v>
      </c>
      <c r="AB936" s="556">
        <v>0</v>
      </c>
      <c r="AC936" s="556">
        <v>0</v>
      </c>
      <c r="AD936" s="556">
        <v>0</v>
      </c>
      <c r="AE936" s="556">
        <v>0</v>
      </c>
      <c r="AF936" s="556">
        <v>0</v>
      </c>
      <c r="AG936" s="556">
        <v>0</v>
      </c>
      <c r="AH936" s="556">
        <v>0</v>
      </c>
      <c r="AI936" s="556">
        <v>0</v>
      </c>
      <c r="AJ936" s="556">
        <v>0</v>
      </c>
      <c r="AK936" s="556">
        <v>0</v>
      </c>
      <c r="AL936" s="556">
        <v>0</v>
      </c>
      <c r="AM936" s="556">
        <v>0</v>
      </c>
      <c r="AN936" s="556">
        <v>0</v>
      </c>
      <c r="AP936" s="20"/>
    </row>
    <row r="937" spans="2:43" x14ac:dyDescent="0.25">
      <c r="C937" s="3" t="s">
        <v>851</v>
      </c>
      <c r="D937" s="236" t="s">
        <v>46</v>
      </c>
      <c r="E937" s="558">
        <v>10000</v>
      </c>
      <c r="F937" s="558">
        <f>E937*10%</f>
        <v>1000</v>
      </c>
      <c r="G937" s="558">
        <f>F937</f>
        <v>1000</v>
      </c>
      <c r="H937" s="558">
        <f t="shared" ref="H937:AN937" si="532">G937</f>
        <v>1000</v>
      </c>
      <c r="I937" s="558">
        <f t="shared" si="532"/>
        <v>1000</v>
      </c>
      <c r="J937" s="558">
        <f t="shared" si="532"/>
        <v>1000</v>
      </c>
      <c r="K937" s="558">
        <f t="shared" si="532"/>
        <v>1000</v>
      </c>
      <c r="L937" s="558">
        <f t="shared" si="532"/>
        <v>1000</v>
      </c>
      <c r="M937" s="558">
        <f t="shared" si="532"/>
        <v>1000</v>
      </c>
      <c r="N937" s="558">
        <f t="shared" si="532"/>
        <v>1000</v>
      </c>
      <c r="O937" s="558">
        <f t="shared" si="532"/>
        <v>1000</v>
      </c>
      <c r="P937" s="558">
        <f t="shared" si="532"/>
        <v>1000</v>
      </c>
      <c r="Q937" s="558">
        <f t="shared" si="532"/>
        <v>1000</v>
      </c>
      <c r="R937" s="558">
        <f t="shared" si="532"/>
        <v>1000</v>
      </c>
      <c r="S937" s="558">
        <f t="shared" si="532"/>
        <v>1000</v>
      </c>
      <c r="T937" s="558">
        <f t="shared" si="532"/>
        <v>1000</v>
      </c>
      <c r="U937" s="558">
        <f t="shared" si="532"/>
        <v>1000</v>
      </c>
      <c r="V937" s="558">
        <f t="shared" si="532"/>
        <v>1000</v>
      </c>
      <c r="W937" s="558">
        <f t="shared" si="532"/>
        <v>1000</v>
      </c>
      <c r="X937" s="558">
        <f t="shared" si="532"/>
        <v>1000</v>
      </c>
      <c r="Y937" s="558">
        <f t="shared" si="532"/>
        <v>1000</v>
      </c>
      <c r="Z937" s="558">
        <f t="shared" si="532"/>
        <v>1000</v>
      </c>
      <c r="AA937" s="558">
        <f t="shared" si="532"/>
        <v>1000</v>
      </c>
      <c r="AB937" s="558">
        <f t="shared" si="532"/>
        <v>1000</v>
      </c>
      <c r="AC937" s="558">
        <f t="shared" si="532"/>
        <v>1000</v>
      </c>
      <c r="AD937" s="558">
        <f t="shared" si="532"/>
        <v>1000</v>
      </c>
      <c r="AE937" s="558">
        <f t="shared" si="532"/>
        <v>1000</v>
      </c>
      <c r="AF937" s="558">
        <f t="shared" si="532"/>
        <v>1000</v>
      </c>
      <c r="AG937" s="558">
        <f t="shared" si="532"/>
        <v>1000</v>
      </c>
      <c r="AH937" s="558">
        <f t="shared" si="532"/>
        <v>1000</v>
      </c>
      <c r="AI937" s="558">
        <f t="shared" si="532"/>
        <v>1000</v>
      </c>
      <c r="AJ937" s="558">
        <f t="shared" si="532"/>
        <v>1000</v>
      </c>
      <c r="AK937" s="558">
        <f t="shared" si="532"/>
        <v>1000</v>
      </c>
      <c r="AL937" s="558">
        <f t="shared" si="532"/>
        <v>1000</v>
      </c>
      <c r="AM937" s="558">
        <f t="shared" si="532"/>
        <v>1000</v>
      </c>
      <c r="AN937" s="558">
        <f t="shared" si="532"/>
        <v>1000</v>
      </c>
    </row>
    <row r="938" spans="2:43" x14ac:dyDescent="0.25">
      <c r="C938" s="22" t="s">
        <v>852</v>
      </c>
      <c r="D938" s="96" t="s">
        <v>46</v>
      </c>
      <c r="E938" s="25">
        <v>0</v>
      </c>
      <c r="F938" s="25">
        <v>0</v>
      </c>
      <c r="G938" s="25">
        <v>0</v>
      </c>
      <c r="H938" s="25">
        <v>0</v>
      </c>
      <c r="I938" s="25">
        <v>0</v>
      </c>
      <c r="J938" s="25">
        <v>0</v>
      </c>
      <c r="K938" s="25">
        <v>0</v>
      </c>
      <c r="L938" s="25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5">
        <v>0</v>
      </c>
      <c r="S938" s="25">
        <v>0</v>
      </c>
      <c r="T938" s="25">
        <v>0</v>
      </c>
      <c r="U938" s="25">
        <v>0</v>
      </c>
      <c r="V938" s="25">
        <v>0</v>
      </c>
      <c r="W938" s="25">
        <v>0</v>
      </c>
      <c r="X938" s="25">
        <v>0</v>
      </c>
      <c r="Y938" s="25">
        <v>0</v>
      </c>
      <c r="Z938" s="25">
        <v>0</v>
      </c>
      <c r="AA938" s="25">
        <v>0</v>
      </c>
      <c r="AB938" s="25">
        <v>0</v>
      </c>
      <c r="AC938" s="25">
        <v>0</v>
      </c>
      <c r="AD938" s="25">
        <v>0</v>
      </c>
      <c r="AE938" s="25">
        <v>0</v>
      </c>
      <c r="AF938" s="25">
        <v>0</v>
      </c>
      <c r="AG938" s="25">
        <v>0</v>
      </c>
      <c r="AH938" s="25">
        <v>0</v>
      </c>
      <c r="AI938" s="25">
        <v>0</v>
      </c>
      <c r="AJ938" s="25">
        <v>0</v>
      </c>
      <c r="AK938" s="25">
        <v>0</v>
      </c>
      <c r="AL938" s="25">
        <v>0</v>
      </c>
      <c r="AM938" s="25">
        <v>0</v>
      </c>
      <c r="AN938" s="25">
        <v>0</v>
      </c>
      <c r="AP938" s="22"/>
    </row>
    <row r="939" spans="2:43" s="74" customFormat="1" x14ac:dyDescent="0.25">
      <c r="B939" s="99" t="s">
        <v>9</v>
      </c>
      <c r="C939" s="41" t="s">
        <v>848</v>
      </c>
      <c r="D939" s="42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  <c r="AE939" s="105"/>
      <c r="AF939" s="105"/>
      <c r="AG939" s="105"/>
      <c r="AH939" s="105"/>
      <c r="AI939" s="105"/>
      <c r="AJ939" s="105"/>
      <c r="AK939" s="105"/>
      <c r="AL939" s="105"/>
      <c r="AM939" s="105"/>
      <c r="AN939" s="105"/>
      <c r="AP939" s="105"/>
    </row>
    <row r="940" spans="2:43" x14ac:dyDescent="0.25">
      <c r="B940" s="33"/>
      <c r="C940" s="553" t="s">
        <v>863</v>
      </c>
      <c r="D940" s="559"/>
      <c r="E940" s="553"/>
      <c r="F940" s="553"/>
      <c r="G940" s="553"/>
      <c r="H940" s="553"/>
      <c r="I940" s="553"/>
      <c r="J940" s="553"/>
      <c r="K940" s="553"/>
      <c r="L940" s="553"/>
      <c r="M940" s="553"/>
      <c r="N940" s="553"/>
      <c r="O940" s="553"/>
      <c r="P940" s="553"/>
      <c r="Q940" s="553"/>
      <c r="R940" s="553"/>
      <c r="S940" s="553"/>
      <c r="T940" s="553"/>
      <c r="U940" s="553"/>
      <c r="V940" s="553"/>
      <c r="W940" s="553"/>
      <c r="X940" s="553"/>
      <c r="Y940" s="553"/>
      <c r="Z940" s="553"/>
      <c r="AA940" s="553"/>
      <c r="AB940" s="553"/>
      <c r="AC940" s="553"/>
      <c r="AD940" s="553"/>
      <c r="AE940" s="553"/>
      <c r="AF940" s="553"/>
      <c r="AG940" s="553"/>
      <c r="AH940" s="553"/>
      <c r="AI940" s="553"/>
      <c r="AJ940" s="553"/>
      <c r="AK940" s="553"/>
      <c r="AL940" s="553"/>
      <c r="AM940" s="553"/>
      <c r="AN940" s="553"/>
      <c r="AP940" s="553"/>
    </row>
    <row r="941" spans="2:43" x14ac:dyDescent="0.25">
      <c r="C941" s="20" t="s">
        <v>854</v>
      </c>
      <c r="D941" s="34" t="s">
        <v>46</v>
      </c>
      <c r="E941" s="556">
        <v>100000</v>
      </c>
      <c r="F941" s="234"/>
      <c r="G941" s="234"/>
      <c r="H941" s="234"/>
      <c r="I941" s="234"/>
      <c r="J941" s="234"/>
      <c r="K941" s="234"/>
      <c r="L941" s="234"/>
      <c r="M941" s="234"/>
      <c r="N941" s="234"/>
      <c r="O941" s="234"/>
      <c r="P941" s="234"/>
      <c r="Q941" s="234"/>
      <c r="R941" s="234"/>
      <c r="S941" s="234"/>
      <c r="T941" s="234"/>
      <c r="U941" s="234"/>
      <c r="V941" s="234"/>
      <c r="W941" s="234"/>
      <c r="X941" s="234"/>
      <c r="Y941" s="234"/>
      <c r="Z941" s="234"/>
      <c r="AA941" s="234"/>
      <c r="AB941" s="234"/>
      <c r="AC941" s="234"/>
      <c r="AD941" s="234"/>
      <c r="AE941" s="234"/>
      <c r="AF941" s="234"/>
      <c r="AG941" s="234"/>
      <c r="AH941" s="234"/>
      <c r="AI941" s="234"/>
      <c r="AJ941" s="234"/>
      <c r="AK941" s="234"/>
      <c r="AL941" s="234"/>
      <c r="AM941" s="234"/>
      <c r="AN941" s="234"/>
      <c r="AP941" s="20"/>
    </row>
    <row r="942" spans="2:43" x14ac:dyDescent="0.25">
      <c r="C942" s="22" t="s">
        <v>853</v>
      </c>
      <c r="D942" s="96" t="s">
        <v>46</v>
      </c>
      <c r="E942" s="543">
        <v>150000</v>
      </c>
      <c r="F942" s="244"/>
      <c r="G942" s="244"/>
      <c r="H942" s="244"/>
      <c r="I942" s="244"/>
      <c r="J942" s="244"/>
      <c r="K942" s="244"/>
      <c r="L942" s="244"/>
      <c r="M942" s="244"/>
      <c r="N942" s="244"/>
      <c r="O942" s="244"/>
      <c r="P942" s="244"/>
      <c r="Q942" s="244"/>
      <c r="R942" s="244"/>
      <c r="S942" s="244"/>
      <c r="T942" s="244"/>
      <c r="U942" s="244"/>
      <c r="V942" s="244"/>
      <c r="W942" s="244"/>
      <c r="X942" s="244"/>
      <c r="Y942" s="244"/>
      <c r="Z942" s="244"/>
      <c r="AA942" s="244"/>
      <c r="AB942" s="244"/>
      <c r="AC942" s="244"/>
      <c r="AD942" s="244"/>
      <c r="AE942" s="244"/>
      <c r="AF942" s="244"/>
      <c r="AG942" s="244"/>
      <c r="AH942" s="244"/>
      <c r="AI942" s="244"/>
      <c r="AJ942" s="244"/>
      <c r="AK942" s="244"/>
      <c r="AL942" s="244"/>
      <c r="AM942" s="244"/>
      <c r="AN942" s="244"/>
      <c r="AP942" s="22"/>
    </row>
    <row r="943" spans="2:43" s="74" customFormat="1" x14ac:dyDescent="0.25">
      <c r="C943" s="600" t="s">
        <v>864</v>
      </c>
      <c r="D943" s="601"/>
      <c r="E943" s="600"/>
      <c r="F943" s="600"/>
      <c r="G943" s="600"/>
      <c r="H943" s="600"/>
      <c r="I943" s="600"/>
      <c r="J943" s="600"/>
      <c r="K943" s="600"/>
      <c r="L943" s="600"/>
      <c r="M943" s="600"/>
      <c r="N943" s="600"/>
      <c r="O943" s="600"/>
      <c r="P943" s="600"/>
      <c r="Q943" s="600"/>
      <c r="R943" s="600"/>
      <c r="S943" s="600"/>
      <c r="T943" s="600"/>
      <c r="U943" s="600"/>
      <c r="V943" s="600"/>
      <c r="W943" s="600"/>
      <c r="X943" s="600"/>
      <c r="Y943" s="600"/>
      <c r="Z943" s="600"/>
      <c r="AA943" s="600"/>
      <c r="AB943" s="600"/>
      <c r="AC943" s="600"/>
      <c r="AD943" s="600"/>
      <c r="AE943" s="600"/>
      <c r="AF943" s="600"/>
      <c r="AG943" s="600"/>
      <c r="AH943" s="600"/>
      <c r="AI943" s="600"/>
      <c r="AJ943" s="600"/>
      <c r="AK943" s="600"/>
      <c r="AL943" s="600"/>
      <c r="AM943" s="600"/>
      <c r="AN943" s="600"/>
      <c r="AP943" s="600"/>
    </row>
    <row r="944" spans="2:43" x14ac:dyDescent="0.25">
      <c r="C944" s="137" t="s">
        <v>157</v>
      </c>
      <c r="D944" s="157" t="s">
        <v>162</v>
      </c>
      <c r="E944" s="598">
        <v>45688</v>
      </c>
      <c r="F944" s="234"/>
      <c r="G944" s="234"/>
      <c r="H944" s="234"/>
      <c r="I944" s="234"/>
      <c r="J944" s="234"/>
      <c r="K944" s="234"/>
      <c r="L944" s="234"/>
      <c r="M944" s="234"/>
      <c r="N944" s="234"/>
      <c r="O944" s="234"/>
      <c r="P944" s="234"/>
      <c r="Q944" s="234"/>
      <c r="R944" s="234"/>
      <c r="S944" s="234"/>
      <c r="T944" s="234"/>
      <c r="U944" s="234"/>
      <c r="V944" s="234"/>
      <c r="W944" s="234"/>
      <c r="X944" s="234"/>
      <c r="Y944" s="234"/>
      <c r="Z944" s="234"/>
      <c r="AA944" s="234"/>
      <c r="AB944" s="234"/>
      <c r="AC944" s="234"/>
      <c r="AD944" s="234"/>
      <c r="AE944" s="234"/>
      <c r="AF944" s="234"/>
      <c r="AG944" s="234"/>
      <c r="AH944" s="234"/>
      <c r="AI944" s="234"/>
      <c r="AJ944" s="234"/>
      <c r="AK944" s="234"/>
      <c r="AL944" s="234"/>
      <c r="AM944" s="234"/>
      <c r="AN944" s="234"/>
      <c r="AO944" s="44"/>
      <c r="AP944" s="234"/>
      <c r="AQ944" s="44"/>
    </row>
    <row r="945" spans="2:43" x14ac:dyDescent="0.25">
      <c r="C945" s="21" t="s">
        <v>604</v>
      </c>
      <c r="D945" s="38" t="s">
        <v>162</v>
      </c>
      <c r="E945" s="599">
        <v>45747</v>
      </c>
      <c r="F945" s="235"/>
      <c r="G945" s="235"/>
      <c r="H945" s="235"/>
      <c r="I945" s="235"/>
      <c r="J945" s="235"/>
      <c r="K945" s="235"/>
      <c r="L945" s="235"/>
      <c r="M945" s="235"/>
      <c r="N945" s="235"/>
      <c r="O945" s="235"/>
      <c r="P945" s="235"/>
      <c r="Q945" s="235"/>
      <c r="R945" s="235"/>
      <c r="S945" s="235"/>
      <c r="T945" s="235"/>
      <c r="U945" s="235"/>
      <c r="V945" s="235"/>
      <c r="W945" s="235"/>
      <c r="X945" s="235"/>
      <c r="Y945" s="235"/>
      <c r="Z945" s="235"/>
      <c r="AA945" s="235"/>
      <c r="AB945" s="235"/>
      <c r="AC945" s="235"/>
      <c r="AD945" s="235"/>
      <c r="AE945" s="235"/>
      <c r="AF945" s="235"/>
      <c r="AG945" s="235"/>
      <c r="AH945" s="235"/>
      <c r="AI945" s="235"/>
      <c r="AJ945" s="235"/>
      <c r="AK945" s="235"/>
      <c r="AL945" s="235"/>
      <c r="AM945" s="235"/>
      <c r="AN945" s="235"/>
      <c r="AO945" s="44"/>
      <c r="AP945" s="235"/>
      <c r="AQ945" s="44"/>
    </row>
    <row r="946" spans="2:43" x14ac:dyDescent="0.25">
      <c r="C946" s="21" t="s">
        <v>601</v>
      </c>
      <c r="D946" s="38" t="s">
        <v>162</v>
      </c>
      <c r="E946" s="599">
        <v>45777</v>
      </c>
      <c r="F946" s="235"/>
      <c r="G946" s="235"/>
      <c r="H946" s="235"/>
      <c r="I946" s="235"/>
      <c r="J946" s="235"/>
      <c r="K946" s="235"/>
      <c r="L946" s="235"/>
      <c r="M946" s="235"/>
      <c r="N946" s="235"/>
      <c r="O946" s="235"/>
      <c r="P946" s="235"/>
      <c r="Q946" s="235"/>
      <c r="R946" s="235"/>
      <c r="S946" s="235"/>
      <c r="T946" s="235"/>
      <c r="U946" s="235"/>
      <c r="V946" s="235"/>
      <c r="W946" s="235"/>
      <c r="X946" s="235"/>
      <c r="Y946" s="235"/>
      <c r="Z946" s="235"/>
      <c r="AA946" s="235"/>
      <c r="AB946" s="235"/>
      <c r="AC946" s="235"/>
      <c r="AD946" s="235"/>
      <c r="AE946" s="235"/>
      <c r="AF946" s="235"/>
      <c r="AG946" s="235"/>
      <c r="AH946" s="235"/>
      <c r="AI946" s="235"/>
      <c r="AJ946" s="235"/>
      <c r="AK946" s="235"/>
      <c r="AL946" s="235"/>
      <c r="AM946" s="235"/>
      <c r="AN946" s="235"/>
      <c r="AO946" s="44"/>
      <c r="AP946" s="235"/>
      <c r="AQ946" s="44"/>
    </row>
    <row r="947" spans="2:43" x14ac:dyDescent="0.25">
      <c r="C947" s="21" t="s">
        <v>154</v>
      </c>
      <c r="D947" s="38" t="s">
        <v>162</v>
      </c>
      <c r="E947" s="599">
        <v>45808</v>
      </c>
      <c r="F947" s="235"/>
      <c r="G947" s="235"/>
      <c r="H947" s="235"/>
      <c r="I947" s="235"/>
      <c r="J947" s="235"/>
      <c r="K947" s="235"/>
      <c r="L947" s="235"/>
      <c r="M947" s="235"/>
      <c r="N947" s="235"/>
      <c r="O947" s="235"/>
      <c r="P947" s="235"/>
      <c r="Q947" s="235"/>
      <c r="R947" s="235"/>
      <c r="S947" s="235"/>
      <c r="T947" s="235"/>
      <c r="U947" s="235"/>
      <c r="V947" s="235"/>
      <c r="W947" s="235"/>
      <c r="X947" s="235"/>
      <c r="Y947" s="235"/>
      <c r="Z947" s="235"/>
      <c r="AA947" s="235"/>
      <c r="AB947" s="235"/>
      <c r="AC947" s="235"/>
      <c r="AD947" s="235"/>
      <c r="AE947" s="235"/>
      <c r="AF947" s="235"/>
      <c r="AG947" s="235"/>
      <c r="AH947" s="235"/>
      <c r="AI947" s="235"/>
      <c r="AJ947" s="235"/>
      <c r="AK947" s="235"/>
      <c r="AL947" s="235"/>
      <c r="AM947" s="235"/>
      <c r="AN947" s="235"/>
      <c r="AO947" s="44"/>
      <c r="AP947" s="235"/>
      <c r="AQ947" s="44"/>
    </row>
    <row r="948" spans="2:43" x14ac:dyDescent="0.25">
      <c r="C948" s="21" t="s">
        <v>153</v>
      </c>
      <c r="D948" s="38" t="s">
        <v>162</v>
      </c>
      <c r="E948" s="599">
        <v>45777</v>
      </c>
      <c r="F948" s="235"/>
      <c r="G948" s="235"/>
      <c r="H948" s="235"/>
      <c r="I948" s="235"/>
      <c r="J948" s="235"/>
      <c r="K948" s="235"/>
      <c r="L948" s="235"/>
      <c r="M948" s="235"/>
      <c r="N948" s="235"/>
      <c r="O948" s="235"/>
      <c r="P948" s="235"/>
      <c r="Q948" s="235"/>
      <c r="R948" s="235"/>
      <c r="S948" s="235"/>
      <c r="T948" s="235"/>
      <c r="U948" s="235"/>
      <c r="V948" s="235"/>
      <c r="W948" s="235"/>
      <c r="X948" s="235"/>
      <c r="Y948" s="235"/>
      <c r="Z948" s="235"/>
      <c r="AA948" s="235"/>
      <c r="AB948" s="235"/>
      <c r="AC948" s="235"/>
      <c r="AD948" s="235"/>
      <c r="AE948" s="235"/>
      <c r="AF948" s="235"/>
      <c r="AG948" s="235"/>
      <c r="AH948" s="235"/>
      <c r="AI948" s="235"/>
      <c r="AJ948" s="235"/>
      <c r="AK948" s="235"/>
      <c r="AL948" s="235"/>
      <c r="AM948" s="235"/>
      <c r="AN948" s="235"/>
      <c r="AO948" s="44"/>
      <c r="AP948" s="235"/>
      <c r="AQ948" s="44"/>
    </row>
    <row r="949" spans="2:43" x14ac:dyDescent="0.25">
      <c r="C949" s="21" t="s">
        <v>607</v>
      </c>
      <c r="D949" s="38" t="s">
        <v>162</v>
      </c>
      <c r="E949" s="599">
        <v>45900</v>
      </c>
      <c r="F949" s="235"/>
      <c r="G949" s="235"/>
      <c r="H949" s="235"/>
      <c r="I949" s="235"/>
      <c r="J949" s="235"/>
      <c r="K949" s="235"/>
      <c r="L949" s="235"/>
      <c r="M949" s="235"/>
      <c r="N949" s="235"/>
      <c r="O949" s="235"/>
      <c r="P949" s="235"/>
      <c r="Q949" s="235"/>
      <c r="R949" s="235"/>
      <c r="S949" s="235"/>
      <c r="T949" s="235"/>
      <c r="U949" s="235"/>
      <c r="V949" s="235"/>
      <c r="W949" s="235"/>
      <c r="X949" s="235"/>
      <c r="Y949" s="235"/>
      <c r="Z949" s="235"/>
      <c r="AA949" s="235"/>
      <c r="AB949" s="235"/>
      <c r="AC949" s="235"/>
      <c r="AD949" s="235"/>
      <c r="AE949" s="235"/>
      <c r="AF949" s="235"/>
      <c r="AG949" s="235"/>
      <c r="AH949" s="235"/>
      <c r="AI949" s="235"/>
      <c r="AJ949" s="235"/>
      <c r="AK949" s="235"/>
      <c r="AL949" s="235"/>
      <c r="AM949" s="235"/>
      <c r="AN949" s="235"/>
      <c r="AO949" s="44"/>
      <c r="AP949" s="235"/>
      <c r="AQ949" s="44"/>
    </row>
    <row r="950" spans="2:43" x14ac:dyDescent="0.25">
      <c r="C950" s="21" t="s">
        <v>616</v>
      </c>
      <c r="D950" s="38" t="s">
        <v>162</v>
      </c>
      <c r="E950" s="599">
        <v>45869</v>
      </c>
      <c r="F950" s="235"/>
      <c r="G950" s="235"/>
      <c r="H950" s="235"/>
      <c r="I950" s="235"/>
      <c r="J950" s="235"/>
      <c r="K950" s="235"/>
      <c r="L950" s="235"/>
      <c r="M950" s="235"/>
      <c r="N950" s="235"/>
      <c r="O950" s="235"/>
      <c r="P950" s="235"/>
      <c r="Q950" s="235"/>
      <c r="R950" s="235"/>
      <c r="S950" s="235"/>
      <c r="T950" s="235"/>
      <c r="U950" s="235"/>
      <c r="V950" s="235"/>
      <c r="W950" s="235"/>
      <c r="X950" s="235"/>
      <c r="Y950" s="235"/>
      <c r="Z950" s="235"/>
      <c r="AA950" s="235"/>
      <c r="AB950" s="235"/>
      <c r="AC950" s="235"/>
      <c r="AD950" s="235"/>
      <c r="AE950" s="235"/>
      <c r="AF950" s="235"/>
      <c r="AG950" s="235"/>
      <c r="AH950" s="235"/>
      <c r="AI950" s="235"/>
      <c r="AJ950" s="235"/>
      <c r="AK950" s="235"/>
      <c r="AL950" s="235"/>
      <c r="AM950" s="235"/>
      <c r="AN950" s="235"/>
      <c r="AO950" s="44"/>
      <c r="AP950" s="235"/>
      <c r="AQ950" s="44"/>
    </row>
    <row r="951" spans="2:43" x14ac:dyDescent="0.25">
      <c r="C951" s="21" t="s">
        <v>605</v>
      </c>
      <c r="D951" s="38" t="s">
        <v>162</v>
      </c>
      <c r="E951" s="599">
        <v>45961</v>
      </c>
      <c r="F951" s="235"/>
      <c r="G951" s="235"/>
      <c r="H951" s="235"/>
      <c r="I951" s="235"/>
      <c r="J951" s="235"/>
      <c r="K951" s="235"/>
      <c r="L951" s="235"/>
      <c r="M951" s="235"/>
      <c r="N951" s="235"/>
      <c r="O951" s="235"/>
      <c r="P951" s="235"/>
      <c r="Q951" s="235"/>
      <c r="R951" s="235"/>
      <c r="S951" s="235"/>
      <c r="T951" s="235"/>
      <c r="U951" s="235"/>
      <c r="V951" s="235"/>
      <c r="W951" s="235"/>
      <c r="X951" s="235"/>
      <c r="Y951" s="235"/>
      <c r="Z951" s="235"/>
      <c r="AA951" s="235"/>
      <c r="AB951" s="235"/>
      <c r="AC951" s="235"/>
      <c r="AD951" s="235"/>
      <c r="AE951" s="235"/>
      <c r="AF951" s="235"/>
      <c r="AG951" s="235"/>
      <c r="AH951" s="235"/>
      <c r="AI951" s="235"/>
      <c r="AJ951" s="235"/>
      <c r="AK951" s="235"/>
      <c r="AL951" s="235"/>
      <c r="AM951" s="235"/>
      <c r="AN951" s="235"/>
      <c r="AO951" s="44"/>
      <c r="AP951" s="235"/>
      <c r="AQ951" s="44"/>
    </row>
    <row r="952" spans="2:43" x14ac:dyDescent="0.25">
      <c r="C952" s="21" t="s">
        <v>608</v>
      </c>
      <c r="D952" s="38" t="s">
        <v>162</v>
      </c>
      <c r="E952" s="599">
        <v>45900</v>
      </c>
      <c r="F952" s="235"/>
      <c r="G952" s="235"/>
      <c r="H952" s="235"/>
      <c r="I952" s="235"/>
      <c r="J952" s="235"/>
      <c r="K952" s="235"/>
      <c r="L952" s="235"/>
      <c r="M952" s="235"/>
      <c r="N952" s="235"/>
      <c r="O952" s="235"/>
      <c r="P952" s="235"/>
      <c r="Q952" s="235"/>
      <c r="R952" s="235"/>
      <c r="S952" s="235"/>
      <c r="T952" s="235"/>
      <c r="U952" s="235"/>
      <c r="V952" s="235"/>
      <c r="W952" s="235"/>
      <c r="X952" s="235"/>
      <c r="Y952" s="235"/>
      <c r="Z952" s="235"/>
      <c r="AA952" s="235"/>
      <c r="AB952" s="235"/>
      <c r="AC952" s="235"/>
      <c r="AD952" s="235"/>
      <c r="AE952" s="235"/>
      <c r="AF952" s="235"/>
      <c r="AG952" s="235"/>
      <c r="AH952" s="235"/>
      <c r="AI952" s="235"/>
      <c r="AJ952" s="235"/>
      <c r="AK952" s="235"/>
      <c r="AL952" s="235"/>
      <c r="AM952" s="235"/>
      <c r="AN952" s="235"/>
      <c r="AO952" s="44"/>
      <c r="AP952" s="235"/>
      <c r="AQ952" s="44"/>
    </row>
    <row r="953" spans="2:43" x14ac:dyDescent="0.25">
      <c r="C953" s="21" t="s">
        <v>606</v>
      </c>
      <c r="D953" s="38" t="s">
        <v>162</v>
      </c>
      <c r="E953" s="599">
        <v>45838</v>
      </c>
      <c r="F953" s="235"/>
      <c r="G953" s="235"/>
      <c r="H953" s="235"/>
      <c r="I953" s="235"/>
      <c r="J953" s="235"/>
      <c r="K953" s="235"/>
      <c r="L953" s="235"/>
      <c r="M953" s="235"/>
      <c r="N953" s="235"/>
      <c r="O953" s="235"/>
      <c r="P953" s="235"/>
      <c r="Q953" s="235"/>
      <c r="R953" s="235"/>
      <c r="S953" s="235"/>
      <c r="T953" s="235"/>
      <c r="U953" s="235"/>
      <c r="V953" s="235"/>
      <c r="W953" s="235"/>
      <c r="X953" s="235"/>
      <c r="Y953" s="235"/>
      <c r="Z953" s="235"/>
      <c r="AA953" s="235"/>
      <c r="AB953" s="235"/>
      <c r="AC953" s="235"/>
      <c r="AD953" s="235"/>
      <c r="AE953" s="235"/>
      <c r="AF953" s="235"/>
      <c r="AG953" s="235"/>
      <c r="AH953" s="235"/>
      <c r="AI953" s="235"/>
      <c r="AJ953" s="235"/>
      <c r="AK953" s="235"/>
      <c r="AL953" s="235"/>
      <c r="AM953" s="235"/>
      <c r="AN953" s="235"/>
      <c r="AO953" s="44"/>
      <c r="AP953" s="235"/>
      <c r="AQ953" s="44"/>
    </row>
    <row r="954" spans="2:43" x14ac:dyDescent="0.25">
      <c r="C954" s="21" t="s">
        <v>617</v>
      </c>
      <c r="D954" s="38" t="s">
        <v>162</v>
      </c>
      <c r="E954" s="599">
        <v>46081.25</v>
      </c>
      <c r="F954" s="235"/>
      <c r="G954" s="235"/>
      <c r="H954" s="235"/>
      <c r="I954" s="235"/>
      <c r="J954" s="235"/>
      <c r="K954" s="235"/>
      <c r="L954" s="235"/>
      <c r="M954" s="235"/>
      <c r="N954" s="235"/>
      <c r="O954" s="235"/>
      <c r="P954" s="235"/>
      <c r="Q954" s="235"/>
      <c r="R954" s="235"/>
      <c r="S954" s="235"/>
      <c r="T954" s="235"/>
      <c r="U954" s="235"/>
      <c r="V954" s="235"/>
      <c r="W954" s="235"/>
      <c r="X954" s="235"/>
      <c r="Y954" s="235"/>
      <c r="Z954" s="235"/>
      <c r="AA954" s="235"/>
      <c r="AB954" s="235"/>
      <c r="AC954" s="235"/>
      <c r="AD954" s="235"/>
      <c r="AE954" s="235"/>
      <c r="AF954" s="235"/>
      <c r="AG954" s="235"/>
      <c r="AH954" s="235"/>
      <c r="AI954" s="235"/>
      <c r="AJ954" s="235"/>
      <c r="AK954" s="235"/>
      <c r="AL954" s="235"/>
      <c r="AM954" s="235"/>
      <c r="AN954" s="235"/>
      <c r="AO954" s="44"/>
      <c r="AP954" s="235"/>
      <c r="AQ954" s="44"/>
    </row>
    <row r="955" spans="2:43" x14ac:dyDescent="0.25">
      <c r="C955" s="22" t="s">
        <v>609</v>
      </c>
      <c r="D955" s="96" t="s">
        <v>162</v>
      </c>
      <c r="E955" s="599">
        <v>46081.25</v>
      </c>
      <c r="F955" s="323"/>
      <c r="G955" s="323"/>
      <c r="H955" s="323"/>
      <c r="I955" s="323"/>
      <c r="J955" s="323"/>
      <c r="K955" s="323"/>
      <c r="L955" s="323"/>
      <c r="M955" s="323"/>
      <c r="N955" s="323"/>
      <c r="O955" s="323"/>
      <c r="P955" s="323"/>
      <c r="Q955" s="323"/>
      <c r="R955" s="323"/>
      <c r="S955" s="323"/>
      <c r="T955" s="323"/>
      <c r="U955" s="323"/>
      <c r="V955" s="323"/>
      <c r="W955" s="323"/>
      <c r="X955" s="323"/>
      <c r="Y955" s="323"/>
      <c r="Z955" s="323"/>
      <c r="AA955" s="323"/>
      <c r="AB955" s="323"/>
      <c r="AC955" s="323"/>
      <c r="AD955" s="323"/>
      <c r="AE955" s="323"/>
      <c r="AF955" s="323"/>
      <c r="AG955" s="323"/>
      <c r="AH955" s="323"/>
      <c r="AI955" s="323"/>
      <c r="AJ955" s="323"/>
      <c r="AK955" s="323"/>
      <c r="AL955" s="323"/>
      <c r="AM955" s="323"/>
      <c r="AN955" s="323"/>
      <c r="AO955" s="44"/>
      <c r="AP955" s="323"/>
      <c r="AQ955" s="44"/>
    </row>
    <row r="956" spans="2:43" s="74" customFormat="1" x14ac:dyDescent="0.25">
      <c r="B956" s="99" t="s">
        <v>9</v>
      </c>
      <c r="C956" s="41" t="s">
        <v>846</v>
      </c>
      <c r="D956" s="42"/>
      <c r="E956" s="390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  <c r="AC956" s="105"/>
      <c r="AD956" s="105"/>
      <c r="AE956" s="105"/>
      <c r="AF956" s="105"/>
      <c r="AG956" s="105"/>
      <c r="AH956" s="105"/>
      <c r="AI956" s="105"/>
      <c r="AJ956" s="105"/>
      <c r="AK956" s="105"/>
      <c r="AL956" s="105"/>
      <c r="AM956" s="105"/>
      <c r="AN956" s="105"/>
      <c r="AP956" s="105"/>
    </row>
    <row r="957" spans="2:43" x14ac:dyDescent="0.25">
      <c r="C957" s="20" t="s">
        <v>855</v>
      </c>
      <c r="D957" s="34" t="s">
        <v>46</v>
      </c>
      <c r="E957" s="23">
        <v>0</v>
      </c>
      <c r="F957" s="23">
        <v>0</v>
      </c>
      <c r="G957" s="23">
        <v>0</v>
      </c>
      <c r="H957" s="23">
        <v>0</v>
      </c>
      <c r="I957" s="23">
        <v>0</v>
      </c>
      <c r="J957" s="23">
        <v>0</v>
      </c>
      <c r="K957" s="23">
        <v>0</v>
      </c>
      <c r="L957" s="23">
        <v>0</v>
      </c>
      <c r="M957" s="23">
        <v>0</v>
      </c>
      <c r="N957" s="23">
        <v>0</v>
      </c>
      <c r="O957" s="23">
        <v>0</v>
      </c>
      <c r="P957" s="23">
        <v>0</v>
      </c>
      <c r="Q957" s="23">
        <v>0</v>
      </c>
      <c r="R957" s="23">
        <v>0</v>
      </c>
      <c r="S957" s="23">
        <v>0</v>
      </c>
      <c r="T957" s="23">
        <v>0</v>
      </c>
      <c r="U957" s="23">
        <v>0</v>
      </c>
      <c r="V957" s="23">
        <v>0</v>
      </c>
      <c r="W957" s="23">
        <v>0</v>
      </c>
      <c r="X957" s="23">
        <v>0</v>
      </c>
      <c r="Y957" s="23">
        <v>0</v>
      </c>
      <c r="Z957" s="23">
        <v>0</v>
      </c>
      <c r="AA957" s="23">
        <v>0</v>
      </c>
      <c r="AB957" s="23">
        <v>0</v>
      </c>
      <c r="AC957" s="23">
        <v>0</v>
      </c>
      <c r="AD957" s="23">
        <v>0</v>
      </c>
      <c r="AE957" s="23">
        <v>0</v>
      </c>
      <c r="AF957" s="23">
        <v>0</v>
      </c>
      <c r="AG957" s="23">
        <v>0</v>
      </c>
      <c r="AH957" s="23">
        <v>0</v>
      </c>
      <c r="AI957" s="23">
        <v>0</v>
      </c>
      <c r="AJ957" s="23">
        <v>0</v>
      </c>
      <c r="AK957" s="23">
        <v>0</v>
      </c>
      <c r="AL957" s="23">
        <v>0</v>
      </c>
      <c r="AM957" s="23">
        <v>0</v>
      </c>
      <c r="AN957" s="23">
        <v>0</v>
      </c>
      <c r="AP957" s="20"/>
    </row>
    <row r="958" spans="2:43" x14ac:dyDescent="0.25">
      <c r="C958" s="22" t="s">
        <v>856</v>
      </c>
      <c r="D958" s="96" t="s">
        <v>46</v>
      </c>
      <c r="E958" s="25">
        <v>0</v>
      </c>
      <c r="F958" s="25">
        <v>0</v>
      </c>
      <c r="G958" s="25">
        <v>0</v>
      </c>
      <c r="H958" s="25">
        <v>0</v>
      </c>
      <c r="I958" s="25">
        <v>0</v>
      </c>
      <c r="J958" s="25">
        <v>0</v>
      </c>
      <c r="K958" s="25">
        <v>0</v>
      </c>
      <c r="L958" s="25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5">
        <v>0</v>
      </c>
      <c r="S958" s="25">
        <v>0</v>
      </c>
      <c r="T958" s="25">
        <v>0</v>
      </c>
      <c r="U958" s="25">
        <v>0</v>
      </c>
      <c r="V958" s="25">
        <v>0</v>
      </c>
      <c r="W958" s="25">
        <v>0</v>
      </c>
      <c r="X958" s="25">
        <v>0</v>
      </c>
      <c r="Y958" s="25">
        <v>0</v>
      </c>
      <c r="Z958" s="25">
        <v>0</v>
      </c>
      <c r="AA958" s="25">
        <v>0</v>
      </c>
      <c r="AB958" s="25">
        <v>0</v>
      </c>
      <c r="AC958" s="25">
        <v>0</v>
      </c>
      <c r="AD958" s="25">
        <v>0</v>
      </c>
      <c r="AE958" s="25">
        <v>0</v>
      </c>
      <c r="AF958" s="25">
        <v>0</v>
      </c>
      <c r="AG958" s="25">
        <v>0</v>
      </c>
      <c r="AH958" s="25">
        <v>0</v>
      </c>
      <c r="AI958" s="25">
        <v>0</v>
      </c>
      <c r="AJ958" s="25">
        <v>0</v>
      </c>
      <c r="AK958" s="25">
        <v>0</v>
      </c>
      <c r="AL958" s="25">
        <v>0</v>
      </c>
      <c r="AM958" s="25">
        <v>0</v>
      </c>
      <c r="AN958" s="25">
        <v>0</v>
      </c>
      <c r="AP958" s="22"/>
    </row>
    <row r="959" spans="2:43" s="74" customFormat="1" x14ac:dyDescent="0.25">
      <c r="B959" s="99" t="s">
        <v>9</v>
      </c>
      <c r="C959" s="41" t="s">
        <v>847</v>
      </c>
      <c r="D959" s="42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  <c r="AC959" s="105"/>
      <c r="AD959" s="105"/>
      <c r="AE959" s="105"/>
      <c r="AF959" s="105"/>
      <c r="AG959" s="105"/>
      <c r="AH959" s="105"/>
      <c r="AI959" s="105"/>
      <c r="AJ959" s="105"/>
      <c r="AK959" s="105"/>
      <c r="AL959" s="105"/>
      <c r="AM959" s="105"/>
      <c r="AN959" s="105"/>
      <c r="AP959" s="105"/>
    </row>
    <row r="960" spans="2:43" x14ac:dyDescent="0.25">
      <c r="C960" s="20" t="s">
        <v>857</v>
      </c>
      <c r="D960" s="34" t="s">
        <v>831</v>
      </c>
      <c r="E960" s="556">
        <v>1000</v>
      </c>
      <c r="F960" s="556">
        <v>1000</v>
      </c>
      <c r="G960" s="556">
        <v>1000</v>
      </c>
      <c r="H960" s="556">
        <v>1000</v>
      </c>
      <c r="I960" s="556">
        <v>1000</v>
      </c>
      <c r="J960" s="556">
        <v>1000</v>
      </c>
      <c r="K960" s="556">
        <v>1000</v>
      </c>
      <c r="L960" s="556">
        <v>1000</v>
      </c>
      <c r="M960" s="556">
        <v>1000</v>
      </c>
      <c r="N960" s="556">
        <v>1000</v>
      </c>
      <c r="O960" s="556">
        <v>1000</v>
      </c>
      <c r="P960" s="556">
        <v>1000</v>
      </c>
      <c r="Q960" s="556">
        <v>1000</v>
      </c>
      <c r="R960" s="556">
        <v>1000</v>
      </c>
      <c r="S960" s="556">
        <v>1000</v>
      </c>
      <c r="T960" s="556">
        <v>1000</v>
      </c>
      <c r="U960" s="556">
        <v>1000</v>
      </c>
      <c r="V960" s="556">
        <v>1000</v>
      </c>
      <c r="W960" s="556">
        <v>1000</v>
      </c>
      <c r="X960" s="556">
        <v>1000</v>
      </c>
      <c r="Y960" s="556">
        <v>1000</v>
      </c>
      <c r="Z960" s="556">
        <v>1000</v>
      </c>
      <c r="AA960" s="556">
        <v>1000</v>
      </c>
      <c r="AB960" s="556">
        <v>1000</v>
      </c>
      <c r="AC960" s="556">
        <v>1000</v>
      </c>
      <c r="AD960" s="556">
        <v>1000</v>
      </c>
      <c r="AE960" s="556">
        <v>1000</v>
      </c>
      <c r="AF960" s="556">
        <v>1000</v>
      </c>
      <c r="AG960" s="556">
        <v>1000</v>
      </c>
      <c r="AH960" s="556">
        <v>1000</v>
      </c>
      <c r="AI960" s="556">
        <v>1000</v>
      </c>
      <c r="AJ960" s="556">
        <v>1000</v>
      </c>
      <c r="AK960" s="556">
        <v>1000</v>
      </c>
      <c r="AL960" s="556">
        <v>1000</v>
      </c>
      <c r="AM960" s="556">
        <v>1000</v>
      </c>
      <c r="AN960" s="556">
        <v>1000</v>
      </c>
      <c r="AP960" s="20"/>
    </row>
    <row r="961" spans="2:42" x14ac:dyDescent="0.25">
      <c r="C961" s="22" t="s">
        <v>861</v>
      </c>
      <c r="D961" s="96" t="s">
        <v>831</v>
      </c>
      <c r="E961" s="543">
        <f>500</f>
        <v>500</v>
      </c>
      <c r="F961" s="543">
        <f>500</f>
        <v>500</v>
      </c>
      <c r="G961" s="543">
        <f>500</f>
        <v>500</v>
      </c>
      <c r="H961" s="543">
        <f>500</f>
        <v>500</v>
      </c>
      <c r="I961" s="543">
        <f>500</f>
        <v>500</v>
      </c>
      <c r="J961" s="543">
        <f>500</f>
        <v>500</v>
      </c>
      <c r="K961" s="543">
        <f>500</f>
        <v>500</v>
      </c>
      <c r="L961" s="543">
        <f>500</f>
        <v>500</v>
      </c>
      <c r="M961" s="543">
        <f>500</f>
        <v>500</v>
      </c>
      <c r="N961" s="543">
        <f>500</f>
        <v>500</v>
      </c>
      <c r="O961" s="543">
        <f>500</f>
        <v>500</v>
      </c>
      <c r="P961" s="543">
        <f>500</f>
        <v>500</v>
      </c>
      <c r="Q961" s="543">
        <f>500</f>
        <v>500</v>
      </c>
      <c r="R961" s="543">
        <f>500</f>
        <v>500</v>
      </c>
      <c r="S961" s="543">
        <f>500</f>
        <v>500</v>
      </c>
      <c r="T961" s="543">
        <f>500</f>
        <v>500</v>
      </c>
      <c r="U961" s="543">
        <f>500</f>
        <v>500</v>
      </c>
      <c r="V961" s="543">
        <f>500</f>
        <v>500</v>
      </c>
      <c r="W961" s="543">
        <f>500</f>
        <v>500</v>
      </c>
      <c r="X961" s="543">
        <f>500</f>
        <v>500</v>
      </c>
      <c r="Y961" s="543">
        <f>500</f>
        <v>500</v>
      </c>
      <c r="Z961" s="543">
        <f>500</f>
        <v>500</v>
      </c>
      <c r="AA961" s="543">
        <f>500</f>
        <v>500</v>
      </c>
      <c r="AB961" s="543">
        <f>500</f>
        <v>500</v>
      </c>
      <c r="AC961" s="543">
        <f>500</f>
        <v>500</v>
      </c>
      <c r="AD961" s="543">
        <f>500</f>
        <v>500</v>
      </c>
      <c r="AE961" s="543">
        <f>500</f>
        <v>500</v>
      </c>
      <c r="AF961" s="543">
        <f>500</f>
        <v>500</v>
      </c>
      <c r="AG961" s="543">
        <f>500</f>
        <v>500</v>
      </c>
      <c r="AH961" s="543">
        <f>500</f>
        <v>500</v>
      </c>
      <c r="AI961" s="543">
        <f>500</f>
        <v>500</v>
      </c>
      <c r="AJ961" s="543">
        <f>500</f>
        <v>500</v>
      </c>
      <c r="AK961" s="543">
        <f>500</f>
        <v>500</v>
      </c>
      <c r="AL961" s="543">
        <f>500</f>
        <v>500</v>
      </c>
      <c r="AM961" s="543">
        <f>500</f>
        <v>500</v>
      </c>
      <c r="AN961" s="543">
        <f>500</f>
        <v>500</v>
      </c>
      <c r="AP961" s="22"/>
    </row>
    <row r="962" spans="2:42" s="74" customFormat="1" x14ac:dyDescent="0.25">
      <c r="B962" s="99" t="s">
        <v>9</v>
      </c>
      <c r="C962" s="41" t="s">
        <v>849</v>
      </c>
      <c r="D962" s="42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  <c r="AC962" s="105"/>
      <c r="AD962" s="105"/>
      <c r="AE962" s="105"/>
      <c r="AF962" s="105"/>
      <c r="AG962" s="105"/>
      <c r="AH962" s="105"/>
      <c r="AI962" s="105"/>
      <c r="AJ962" s="105"/>
      <c r="AK962" s="105"/>
      <c r="AL962" s="105"/>
      <c r="AM962" s="105"/>
      <c r="AN962" s="105"/>
      <c r="AP962" s="105"/>
    </row>
    <row r="963" spans="2:42" x14ac:dyDescent="0.25">
      <c r="C963" s="3" t="s">
        <v>859</v>
      </c>
      <c r="D963" s="236" t="s">
        <v>29</v>
      </c>
      <c r="E963" s="405">
        <v>0.05</v>
      </c>
      <c r="F963" s="405">
        <v>0.05</v>
      </c>
      <c r="G963" s="405">
        <v>0.05</v>
      </c>
      <c r="H963" s="405">
        <v>0.05</v>
      </c>
      <c r="I963" s="405">
        <v>0.05</v>
      </c>
      <c r="J963" s="405">
        <v>0.05</v>
      </c>
      <c r="K963" s="405">
        <v>0.05</v>
      </c>
      <c r="L963" s="405">
        <v>0.05</v>
      </c>
      <c r="M963" s="405">
        <v>0.05</v>
      </c>
      <c r="N963" s="405">
        <v>0.05</v>
      </c>
      <c r="O963" s="405">
        <v>0.05</v>
      </c>
      <c r="P963" s="405">
        <v>0.05</v>
      </c>
      <c r="Q963" s="405">
        <v>0.05</v>
      </c>
      <c r="R963" s="405">
        <v>0.05</v>
      </c>
      <c r="S963" s="405">
        <v>0.05</v>
      </c>
      <c r="T963" s="405">
        <v>0.05</v>
      </c>
      <c r="U963" s="405">
        <v>0.05</v>
      </c>
      <c r="V963" s="405">
        <v>0.05</v>
      </c>
      <c r="W963" s="405">
        <v>0.05</v>
      </c>
      <c r="X963" s="405">
        <v>0.05</v>
      </c>
      <c r="Y963" s="405">
        <v>0.05</v>
      </c>
      <c r="Z963" s="405">
        <v>0.05</v>
      </c>
      <c r="AA963" s="405">
        <v>0.05</v>
      </c>
      <c r="AB963" s="405">
        <v>0.05</v>
      </c>
      <c r="AC963" s="405">
        <v>0.05</v>
      </c>
      <c r="AD963" s="405">
        <v>0.05</v>
      </c>
      <c r="AE963" s="405">
        <v>0.05</v>
      </c>
      <c r="AF963" s="405">
        <v>0.05</v>
      </c>
      <c r="AG963" s="405">
        <v>0.05</v>
      </c>
      <c r="AH963" s="405">
        <v>0.05</v>
      </c>
      <c r="AI963" s="405">
        <v>0.05</v>
      </c>
      <c r="AJ963" s="405">
        <v>0.05</v>
      </c>
      <c r="AK963" s="405">
        <v>0.05</v>
      </c>
      <c r="AL963" s="405">
        <v>0.05</v>
      </c>
      <c r="AM963" s="405">
        <v>0.05</v>
      </c>
      <c r="AN963" s="405">
        <v>0.05</v>
      </c>
    </row>
    <row r="964" spans="2:42" s="74" customFormat="1" x14ac:dyDescent="0.25">
      <c r="B964" s="225">
        <v>3.7</v>
      </c>
      <c r="C964" s="176" t="s">
        <v>30</v>
      </c>
      <c r="D964" s="314"/>
      <c r="E964" s="177"/>
      <c r="F964" s="177"/>
      <c r="G964" s="177"/>
      <c r="H964" s="177"/>
      <c r="I964" s="177"/>
      <c r="J964" s="177"/>
      <c r="K964" s="177"/>
      <c r="L964" s="177"/>
      <c r="M964" s="177"/>
      <c r="N964" s="177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77"/>
      <c r="Z964" s="177"/>
      <c r="AA964" s="177"/>
      <c r="AB964" s="177"/>
      <c r="AC964" s="177"/>
      <c r="AD964" s="177"/>
      <c r="AE964" s="177"/>
      <c r="AF964" s="177"/>
      <c r="AG964" s="177"/>
      <c r="AH964" s="177"/>
      <c r="AI964" s="177"/>
      <c r="AJ964" s="177"/>
      <c r="AK964" s="177"/>
      <c r="AL964" s="177"/>
      <c r="AM964" s="177"/>
      <c r="AN964" s="177"/>
      <c r="AP964" s="177"/>
    </row>
    <row r="965" spans="2:42" s="44" customFormat="1" x14ac:dyDescent="0.25">
      <c r="B965" s="617"/>
      <c r="C965" s="94" t="s">
        <v>867</v>
      </c>
      <c r="D965" s="95" t="s">
        <v>29</v>
      </c>
      <c r="E965" s="335">
        <v>0.5</v>
      </c>
      <c r="F965" s="243"/>
      <c r="G965" s="243"/>
      <c r="H965" s="243"/>
      <c r="I965" s="243"/>
      <c r="J965" s="243"/>
      <c r="K965" s="243"/>
      <c r="L965" s="243"/>
      <c r="M965" s="243"/>
      <c r="N965" s="243"/>
      <c r="O965" s="243"/>
      <c r="P965" s="243"/>
      <c r="Q965" s="243"/>
      <c r="R965" s="243"/>
      <c r="S965" s="243"/>
      <c r="T965" s="243"/>
      <c r="U965" s="243"/>
      <c r="V965" s="243"/>
      <c r="W965" s="243"/>
      <c r="X965" s="243"/>
      <c r="Y965" s="243"/>
      <c r="Z965" s="243"/>
      <c r="AA965" s="243"/>
      <c r="AB965" s="243"/>
      <c r="AC965" s="243"/>
      <c r="AD965" s="243"/>
      <c r="AE965" s="243"/>
      <c r="AF965" s="243"/>
      <c r="AG965" s="243"/>
      <c r="AH965" s="243"/>
      <c r="AI965" s="243"/>
      <c r="AJ965" s="243"/>
      <c r="AK965" s="243"/>
      <c r="AL965" s="243"/>
      <c r="AM965" s="243"/>
      <c r="AN965" s="243"/>
      <c r="AP965" s="243"/>
    </row>
    <row r="966" spans="2:42" x14ac:dyDescent="0.25">
      <c r="C966" s="21" t="s">
        <v>850</v>
      </c>
      <c r="D966" s="38" t="s">
        <v>162</v>
      </c>
      <c r="E966" s="400">
        <v>20</v>
      </c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P966" s="21"/>
    </row>
    <row r="967" spans="2:42" x14ac:dyDescent="0.25">
      <c r="C967" s="21" t="s">
        <v>851</v>
      </c>
      <c r="D967" s="38" t="s">
        <v>162</v>
      </c>
      <c r="E967" s="400">
        <v>20</v>
      </c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P967" s="21"/>
    </row>
    <row r="968" spans="2:42" x14ac:dyDescent="0.25">
      <c r="C968" s="21" t="s">
        <v>852</v>
      </c>
      <c r="D968" s="38" t="s">
        <v>162</v>
      </c>
      <c r="E968" s="400">
        <v>20</v>
      </c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P968" s="21"/>
    </row>
    <row r="969" spans="2:42" x14ac:dyDescent="0.25">
      <c r="C969" s="21" t="s">
        <v>854</v>
      </c>
      <c r="D969" s="38" t="s">
        <v>162</v>
      </c>
      <c r="E969" s="400">
        <v>20</v>
      </c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P969" s="21"/>
    </row>
    <row r="970" spans="2:42" x14ac:dyDescent="0.25">
      <c r="C970" s="21" t="s">
        <v>853</v>
      </c>
      <c r="D970" s="38" t="s">
        <v>162</v>
      </c>
      <c r="E970" s="400">
        <v>20</v>
      </c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P970" s="21"/>
    </row>
    <row r="971" spans="2:42" x14ac:dyDescent="0.25">
      <c r="C971" s="21" t="s">
        <v>855</v>
      </c>
      <c r="D971" s="38" t="s">
        <v>162</v>
      </c>
      <c r="E971" s="400">
        <v>20</v>
      </c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P971" s="21"/>
    </row>
    <row r="972" spans="2:42" x14ac:dyDescent="0.25">
      <c r="C972" s="21" t="s">
        <v>856</v>
      </c>
      <c r="D972" s="38" t="s">
        <v>162</v>
      </c>
      <c r="E972" s="400">
        <v>20</v>
      </c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P972" s="21"/>
    </row>
    <row r="973" spans="2:42" x14ac:dyDescent="0.25">
      <c r="C973" s="21" t="s">
        <v>857</v>
      </c>
      <c r="D973" s="38" t="s">
        <v>162</v>
      </c>
      <c r="E973" s="400">
        <v>20</v>
      </c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P973" s="21"/>
    </row>
    <row r="974" spans="2:42" x14ac:dyDescent="0.25">
      <c r="C974" s="21" t="s">
        <v>858</v>
      </c>
      <c r="D974" s="38" t="s">
        <v>162</v>
      </c>
      <c r="E974" s="400">
        <v>1</v>
      </c>
      <c r="F974" s="603"/>
      <c r="G974" s="603"/>
      <c r="H974" s="603"/>
      <c r="I974" s="603"/>
      <c r="J974" s="603"/>
      <c r="K974" s="603"/>
      <c r="L974" s="603"/>
      <c r="M974" s="603"/>
      <c r="N974" s="603"/>
      <c r="O974" s="603"/>
      <c r="P974" s="603"/>
      <c r="Q974" s="603"/>
      <c r="R974" s="603"/>
      <c r="S974" s="603"/>
      <c r="T974" s="603"/>
      <c r="U974" s="603"/>
      <c r="V974" s="603"/>
      <c r="W974" s="603"/>
      <c r="X974" s="603"/>
      <c r="Y974" s="603"/>
      <c r="Z974" s="603"/>
      <c r="AA974" s="603"/>
      <c r="AB974" s="603"/>
      <c r="AC974" s="603"/>
      <c r="AD974" s="603"/>
      <c r="AE974" s="603"/>
      <c r="AF974" s="603"/>
      <c r="AG974" s="603"/>
      <c r="AH974" s="603"/>
      <c r="AI974" s="603"/>
      <c r="AJ974" s="603"/>
      <c r="AK974" s="603"/>
      <c r="AL974" s="603"/>
      <c r="AM974" s="603"/>
      <c r="AN974" s="603"/>
      <c r="AP974" s="21"/>
    </row>
    <row r="975" spans="2:42" x14ac:dyDescent="0.25">
      <c r="C975" s="26" t="s">
        <v>849</v>
      </c>
      <c r="D975" s="319" t="s">
        <v>162</v>
      </c>
      <c r="E975" s="401">
        <v>20</v>
      </c>
      <c r="F975" s="26"/>
      <c r="G975" s="26"/>
      <c r="H975" s="26"/>
      <c r="I975" s="26"/>
      <c r="J975" s="26"/>
      <c r="K975" s="26"/>
      <c r="L975" s="26"/>
      <c r="M975" s="26"/>
      <c r="N975" s="26"/>
      <c r="O975" s="26"/>
      <c r="P975" s="26"/>
      <c r="Q975" s="26"/>
      <c r="R975" s="26"/>
      <c r="S975" s="26"/>
      <c r="T975" s="26"/>
      <c r="U975" s="26"/>
      <c r="V975" s="26"/>
      <c r="W975" s="26"/>
      <c r="X975" s="26"/>
      <c r="Y975" s="26"/>
      <c r="Z975" s="26"/>
      <c r="AA975" s="26"/>
      <c r="AB975" s="26"/>
      <c r="AC975" s="26"/>
      <c r="AD975" s="26"/>
      <c r="AE975" s="26"/>
      <c r="AF975" s="26"/>
      <c r="AG975" s="26"/>
      <c r="AH975" s="26"/>
      <c r="AI975" s="26"/>
      <c r="AJ975" s="26"/>
      <c r="AK975" s="26"/>
      <c r="AL975" s="26"/>
      <c r="AM975" s="26"/>
      <c r="AN975" s="26"/>
      <c r="AP975" s="26"/>
    </row>
    <row r="976" spans="2:42" x14ac:dyDescent="0.25">
      <c r="B976" s="225" t="str">
        <f>"3.10"</f>
        <v>3.10</v>
      </c>
      <c r="C976" s="176" t="s">
        <v>402</v>
      </c>
      <c r="D976" s="314"/>
      <c r="E976" s="177"/>
      <c r="F976" s="177"/>
      <c r="G976" s="177"/>
      <c r="H976" s="177"/>
      <c r="I976" s="177"/>
      <c r="J976" s="177"/>
      <c r="K976" s="177"/>
      <c r="L976" s="177"/>
      <c r="M976" s="177"/>
      <c r="N976" s="177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77"/>
      <c r="Z976" s="177"/>
      <c r="AA976" s="177"/>
      <c r="AB976" s="177"/>
      <c r="AC976" s="177"/>
      <c r="AD976" s="177"/>
      <c r="AE976" s="177"/>
      <c r="AF976" s="177"/>
      <c r="AG976" s="177"/>
      <c r="AH976" s="177"/>
      <c r="AI976" s="177"/>
      <c r="AJ976" s="177"/>
      <c r="AK976" s="177"/>
      <c r="AL976" s="177"/>
      <c r="AM976" s="177"/>
      <c r="AN976" s="177"/>
      <c r="AO976" s="74"/>
      <c r="AP976" s="177"/>
    </row>
    <row r="977" spans="2:42" s="12" customFormat="1" x14ac:dyDescent="0.25">
      <c r="B977" s="726" t="s">
        <v>10</v>
      </c>
      <c r="C977" s="721" t="s">
        <v>950</v>
      </c>
      <c r="D977" s="720"/>
      <c r="E977" s="312"/>
      <c r="F977" s="312"/>
      <c r="G977" s="312"/>
      <c r="H977" s="312"/>
      <c r="I977" s="312"/>
      <c r="J977" s="312"/>
      <c r="K977" s="312"/>
      <c r="L977" s="312"/>
      <c r="M977" s="312"/>
      <c r="N977" s="312"/>
      <c r="O977" s="312"/>
      <c r="P977" s="312"/>
      <c r="Q977" s="312"/>
      <c r="R977" s="312"/>
      <c r="S977" s="312"/>
      <c r="T977" s="312"/>
      <c r="U977" s="312"/>
      <c r="V977" s="312"/>
      <c r="W977" s="312"/>
      <c r="X977" s="312"/>
      <c r="Y977" s="312"/>
      <c r="Z977" s="312"/>
      <c r="AA977" s="312"/>
      <c r="AB977" s="312"/>
      <c r="AC977" s="312"/>
      <c r="AD977" s="312"/>
      <c r="AE977" s="312"/>
      <c r="AF977" s="312"/>
      <c r="AG977" s="312"/>
      <c r="AH977" s="312"/>
      <c r="AI977" s="312"/>
      <c r="AJ977" s="312"/>
      <c r="AK977" s="312"/>
      <c r="AL977" s="312"/>
      <c r="AM977" s="312"/>
      <c r="AN977" s="312"/>
      <c r="AO977" s="74"/>
      <c r="AP977" s="312"/>
    </row>
    <row r="978" spans="2:42" x14ac:dyDescent="0.25">
      <c r="C978" s="20" t="s">
        <v>941</v>
      </c>
      <c r="D978" s="34" t="s">
        <v>72</v>
      </c>
      <c r="E978" s="556">
        <v>25000</v>
      </c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P978" s="20"/>
    </row>
    <row r="979" spans="2:42" x14ac:dyDescent="0.25">
      <c r="C979" s="22" t="s">
        <v>942</v>
      </c>
      <c r="D979" s="96" t="s">
        <v>72</v>
      </c>
      <c r="E979" s="543">
        <v>175000</v>
      </c>
      <c r="F979" s="355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P979" s="22"/>
    </row>
    <row r="980" spans="2:42" x14ac:dyDescent="0.25">
      <c r="C980" s="22" t="s">
        <v>943</v>
      </c>
      <c r="D980" s="96" t="s">
        <v>72</v>
      </c>
      <c r="E980" s="543">
        <v>1000000</v>
      </c>
      <c r="F980" s="355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P980" s="22"/>
    </row>
    <row r="981" spans="2:42" x14ac:dyDescent="0.25">
      <c r="C981" s="22" t="s">
        <v>944</v>
      </c>
      <c r="D981" s="96" t="s">
        <v>72</v>
      </c>
      <c r="E981" s="543">
        <v>5000000</v>
      </c>
      <c r="F981" s="355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P981" s="22"/>
    </row>
    <row r="982" spans="2:42" x14ac:dyDescent="0.25">
      <c r="C982" s="22" t="s">
        <v>945</v>
      </c>
      <c r="D982" s="96" t="s">
        <v>72</v>
      </c>
      <c r="E982" s="543">
        <v>15000000</v>
      </c>
      <c r="F982" s="355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P982" s="22"/>
    </row>
    <row r="983" spans="2:42" x14ac:dyDescent="0.25">
      <c r="C983" s="22" t="s">
        <v>946</v>
      </c>
      <c r="D983" s="96" t="s">
        <v>72</v>
      </c>
      <c r="E983" s="543">
        <v>35000000</v>
      </c>
      <c r="F983" s="355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P983" s="22"/>
    </row>
    <row r="984" spans="2:42" x14ac:dyDescent="0.25">
      <c r="C984" s="22" t="s">
        <v>947</v>
      </c>
      <c r="D984" s="96" t="s">
        <v>72</v>
      </c>
      <c r="E984" s="543">
        <v>70000000</v>
      </c>
      <c r="F984" s="355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P984" s="22"/>
    </row>
    <row r="985" spans="2:42" x14ac:dyDescent="0.25">
      <c r="C985" s="22" t="s">
        <v>948</v>
      </c>
      <c r="D985" s="96" t="s">
        <v>72</v>
      </c>
      <c r="E985" s="543">
        <f>E984*1.75</f>
        <v>122500000</v>
      </c>
      <c r="F985" s="355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P985" s="22"/>
    </row>
    <row r="986" spans="2:42" x14ac:dyDescent="0.25">
      <c r="B986" s="726" t="s">
        <v>10</v>
      </c>
      <c r="C986" s="721" t="s">
        <v>951</v>
      </c>
      <c r="D986" s="720"/>
      <c r="E986" s="312"/>
      <c r="F986" s="312"/>
      <c r="G986" s="312"/>
      <c r="H986" s="312"/>
      <c r="I986" s="312"/>
      <c r="J986" s="312"/>
      <c r="K986" s="312"/>
      <c r="L986" s="312"/>
      <c r="M986" s="312"/>
      <c r="N986" s="312"/>
      <c r="O986" s="312"/>
      <c r="P986" s="312"/>
      <c r="Q986" s="312"/>
      <c r="R986" s="312"/>
      <c r="S986" s="312"/>
      <c r="T986" s="312"/>
      <c r="U986" s="312"/>
      <c r="V986" s="312"/>
      <c r="W986" s="312"/>
      <c r="X986" s="312"/>
      <c r="Y986" s="312"/>
      <c r="Z986" s="312"/>
      <c r="AA986" s="312"/>
      <c r="AB986" s="312"/>
      <c r="AC986" s="312"/>
      <c r="AD986" s="312"/>
      <c r="AE986" s="312"/>
      <c r="AF986" s="312"/>
      <c r="AG986" s="312"/>
      <c r="AH986" s="312"/>
      <c r="AI986" s="312"/>
      <c r="AJ986" s="312"/>
      <c r="AK986" s="312"/>
      <c r="AL986" s="312"/>
      <c r="AM986" s="312"/>
      <c r="AN986" s="312"/>
      <c r="AO986" s="74"/>
      <c r="AP986" s="312"/>
    </row>
    <row r="987" spans="2:42" x14ac:dyDescent="0.25">
      <c r="C987" s="20" t="s">
        <v>941</v>
      </c>
      <c r="D987" s="34" t="s">
        <v>29</v>
      </c>
      <c r="E987" s="336">
        <f>IF(D6=Bootstrapped,0%,0%)</f>
        <v>0</v>
      </c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P987" s="20"/>
    </row>
    <row r="988" spans="2:42" x14ac:dyDescent="0.25">
      <c r="C988" s="22" t="s">
        <v>942</v>
      </c>
      <c r="D988" s="96" t="s">
        <v>29</v>
      </c>
      <c r="E988" s="425">
        <f>IF(D6=Bootstrapped,0%,15%)</f>
        <v>0.15</v>
      </c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P988" s="22"/>
    </row>
    <row r="989" spans="2:42" x14ac:dyDescent="0.25">
      <c r="C989" s="22" t="s">
        <v>943</v>
      </c>
      <c r="D989" s="96" t="s">
        <v>29</v>
      </c>
      <c r="E989" s="425">
        <f>IF(D6=Bootstrapped,0%,20%)</f>
        <v>0.2</v>
      </c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P989" s="22"/>
    </row>
    <row r="990" spans="2:42" x14ac:dyDescent="0.25">
      <c r="C990" s="22" t="s">
        <v>944</v>
      </c>
      <c r="D990" s="96" t="s">
        <v>29</v>
      </c>
      <c r="E990" s="425">
        <f>IF(D6=Bootstrapped,0%,10%)</f>
        <v>0.1</v>
      </c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P990" s="22"/>
    </row>
    <row r="991" spans="2:42" x14ac:dyDescent="0.25">
      <c r="C991" s="22" t="s">
        <v>945</v>
      </c>
      <c r="D991" s="96" t="s">
        <v>29</v>
      </c>
      <c r="E991" s="425">
        <f>IF(D6=Bootstrapped,0%,7%)</f>
        <v>7.0000000000000007E-2</v>
      </c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P991" s="22"/>
    </row>
    <row r="992" spans="2:42" x14ac:dyDescent="0.25">
      <c r="C992" s="22" t="s">
        <v>946</v>
      </c>
      <c r="D992" s="96" t="s">
        <v>29</v>
      </c>
      <c r="E992" s="425">
        <f>IF(D6=Bootstrapped,0%,5%)</f>
        <v>0.05</v>
      </c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P992" s="22"/>
    </row>
    <row r="993" spans="2:42" x14ac:dyDescent="0.25">
      <c r="C993" s="22" t="s">
        <v>947</v>
      </c>
      <c r="D993" s="96" t="s">
        <v>29</v>
      </c>
      <c r="E993" s="425">
        <f>IF(D6=Bootstrapped,0%,5%)</f>
        <v>0.05</v>
      </c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P993" s="22"/>
    </row>
    <row r="994" spans="2:42" x14ac:dyDescent="0.25">
      <c r="C994" s="22" t="s">
        <v>948</v>
      </c>
      <c r="D994" s="96" t="s">
        <v>29</v>
      </c>
      <c r="E994" s="425">
        <f>IF(D6=Bootstrapped,0%,5%)</f>
        <v>0.05</v>
      </c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P994" s="22"/>
    </row>
    <row r="995" spans="2:42" x14ac:dyDescent="0.25">
      <c r="B995" s="729" t="s">
        <v>10</v>
      </c>
      <c r="C995" s="721" t="s">
        <v>952</v>
      </c>
      <c r="D995" s="720"/>
      <c r="E995" s="312"/>
      <c r="F995" s="312"/>
      <c r="G995" s="312"/>
      <c r="H995" s="312"/>
      <c r="I995" s="312"/>
      <c r="J995" s="312"/>
      <c r="K995" s="312"/>
      <c r="L995" s="312"/>
      <c r="M995" s="312"/>
      <c r="N995" s="312"/>
      <c r="O995" s="312"/>
      <c r="P995" s="312"/>
      <c r="Q995" s="312"/>
      <c r="R995" s="312"/>
      <c r="S995" s="312"/>
      <c r="T995" s="312"/>
      <c r="U995" s="312"/>
      <c r="V995" s="312"/>
      <c r="W995" s="312"/>
      <c r="X995" s="312"/>
      <c r="Y995" s="312"/>
      <c r="Z995" s="312"/>
      <c r="AA995" s="312"/>
      <c r="AB995" s="312"/>
      <c r="AC995" s="312"/>
      <c r="AD995" s="312"/>
      <c r="AE995" s="312"/>
      <c r="AF995" s="312"/>
      <c r="AG995" s="312"/>
      <c r="AH995" s="312"/>
      <c r="AI995" s="312"/>
      <c r="AJ995" s="312"/>
      <c r="AK995" s="312"/>
      <c r="AL995" s="312"/>
      <c r="AM995" s="312"/>
      <c r="AN995" s="312"/>
      <c r="AO995" s="74"/>
      <c r="AP995" s="312"/>
    </row>
    <row r="996" spans="2:42" x14ac:dyDescent="0.25">
      <c r="B996" s="136"/>
      <c r="C996" s="20" t="s">
        <v>941</v>
      </c>
      <c r="D996" s="34" t="s">
        <v>46</v>
      </c>
      <c r="E996" s="556">
        <f>E987*F996</f>
        <v>0</v>
      </c>
      <c r="F996" s="722">
        <f>E978*15</f>
        <v>375000</v>
      </c>
      <c r="G996" s="94"/>
      <c r="H996" s="94"/>
      <c r="I996" s="94"/>
      <c r="J996" s="94"/>
      <c r="K996" s="94"/>
      <c r="L996" s="94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P996" s="94"/>
    </row>
    <row r="997" spans="2:42" x14ac:dyDescent="0.25">
      <c r="B997" s="136"/>
      <c r="C997" s="22" t="s">
        <v>942</v>
      </c>
      <c r="D997" s="96" t="s">
        <v>46</v>
      </c>
      <c r="E997" s="543">
        <f t="shared" ref="E997:E1003" si="533">E988*F997</f>
        <v>393750</v>
      </c>
      <c r="F997" s="723">
        <f t="shared" ref="F997:F1003" si="534">E979*15</f>
        <v>2625000</v>
      </c>
      <c r="G997" s="376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P997" s="21"/>
    </row>
    <row r="998" spans="2:42" x14ac:dyDescent="0.25">
      <c r="B998" s="136"/>
      <c r="C998" s="22" t="s">
        <v>943</v>
      </c>
      <c r="D998" s="96" t="s">
        <v>46</v>
      </c>
      <c r="E998" s="543">
        <f t="shared" si="533"/>
        <v>3000000</v>
      </c>
      <c r="F998" s="723">
        <f t="shared" si="534"/>
        <v>15000000</v>
      </c>
      <c r="G998" s="376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P998" s="21"/>
    </row>
    <row r="999" spans="2:42" x14ac:dyDescent="0.25">
      <c r="B999" s="136"/>
      <c r="C999" s="22" t="s">
        <v>944</v>
      </c>
      <c r="D999" s="96" t="s">
        <v>46</v>
      </c>
      <c r="E999" s="543">
        <f t="shared" si="533"/>
        <v>7500000</v>
      </c>
      <c r="F999" s="723">
        <f t="shared" si="534"/>
        <v>75000000</v>
      </c>
      <c r="G999" s="376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P999" s="21"/>
    </row>
    <row r="1000" spans="2:42" x14ac:dyDescent="0.25">
      <c r="B1000" s="136"/>
      <c r="C1000" s="22" t="s">
        <v>945</v>
      </c>
      <c r="D1000" s="96" t="s">
        <v>46</v>
      </c>
      <c r="E1000" s="543">
        <f t="shared" si="533"/>
        <v>15750000.000000002</v>
      </c>
      <c r="F1000" s="723">
        <f t="shared" si="534"/>
        <v>225000000</v>
      </c>
      <c r="G1000" s="376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P1000" s="21"/>
    </row>
    <row r="1001" spans="2:42" x14ac:dyDescent="0.25">
      <c r="B1001" s="136"/>
      <c r="C1001" s="22" t="s">
        <v>946</v>
      </c>
      <c r="D1001" s="96" t="s">
        <v>46</v>
      </c>
      <c r="E1001" s="543">
        <f t="shared" si="533"/>
        <v>26250000</v>
      </c>
      <c r="F1001" s="723">
        <f t="shared" si="534"/>
        <v>525000000</v>
      </c>
      <c r="G1001" s="376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P1001" s="21"/>
    </row>
    <row r="1002" spans="2:42" x14ac:dyDescent="0.25">
      <c r="B1002" s="136"/>
      <c r="C1002" s="22" t="s">
        <v>947</v>
      </c>
      <c r="D1002" s="96" t="s">
        <v>46</v>
      </c>
      <c r="E1002" s="543">
        <f t="shared" si="533"/>
        <v>52500000</v>
      </c>
      <c r="F1002" s="723">
        <f t="shared" si="534"/>
        <v>1050000000</v>
      </c>
      <c r="G1002" s="376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P1002" s="21"/>
    </row>
    <row r="1003" spans="2:42" x14ac:dyDescent="0.25">
      <c r="B1003" s="729" t="s">
        <v>10</v>
      </c>
      <c r="C1003" s="27" t="s">
        <v>948</v>
      </c>
      <c r="D1003" s="40" t="s">
        <v>46</v>
      </c>
      <c r="E1003" s="724">
        <f t="shared" si="533"/>
        <v>91875000</v>
      </c>
      <c r="F1003" s="725">
        <f t="shared" si="534"/>
        <v>1837500000</v>
      </c>
      <c r="G1003" s="37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P1003" s="27"/>
    </row>
    <row r="1004" spans="2:42" x14ac:dyDescent="0.25"/>
    <row r="1005" spans="2:42" x14ac:dyDescent="0.25"/>
    <row r="1006" spans="2:42" x14ac:dyDescent="0.25"/>
    <row r="1007" spans="2:42" x14ac:dyDescent="0.25"/>
    <row r="1008" spans="2:42" x14ac:dyDescent="0.25"/>
    <row r="1009" x14ac:dyDescent="0.25"/>
    <row r="1010" x14ac:dyDescent="0.25"/>
    <row r="1011" x14ac:dyDescent="0.25"/>
    <row r="1012" x14ac:dyDescent="0.25"/>
    <row r="1013" x14ac:dyDescent="0.25"/>
    <row r="1014" x14ac:dyDescent="0.25"/>
    <row r="1015" x14ac:dyDescent="0.25"/>
    <row r="1016" x14ac:dyDescent="0.25"/>
    <row r="1017" x14ac:dyDescent="0.25"/>
    <row r="1018" x14ac:dyDescent="0.25"/>
    <row r="1019" x14ac:dyDescent="0.25"/>
    <row r="1020" x14ac:dyDescent="0.25"/>
    <row r="1021" x14ac:dyDescent="0.25"/>
    <row r="1022" x14ac:dyDescent="0.25"/>
    <row r="1023" x14ac:dyDescent="0.25"/>
    <row r="1024" x14ac:dyDescent="0.25"/>
    <row r="1025" x14ac:dyDescent="0.25"/>
    <row r="1026" x14ac:dyDescent="0.25"/>
    <row r="1027" x14ac:dyDescent="0.25"/>
    <row r="1028" x14ac:dyDescent="0.25"/>
    <row r="1029" x14ac:dyDescent="0.25"/>
    <row r="1030" x14ac:dyDescent="0.25"/>
    <row r="1031" x14ac:dyDescent="0.25"/>
    <row r="1032" x14ac:dyDescent="0.25"/>
    <row r="1033" x14ac:dyDescent="0.25"/>
    <row r="1034" x14ac:dyDescent="0.25"/>
    <row r="1035" x14ac:dyDescent="0.25"/>
    <row r="1036" x14ac:dyDescent="0.25"/>
    <row r="1037" x14ac:dyDescent="0.25"/>
    <row r="1038" x14ac:dyDescent="0.25"/>
    <row r="1039" x14ac:dyDescent="0.25"/>
    <row r="1040" x14ac:dyDescent="0.25"/>
  </sheetData>
  <dataValidations count="3">
    <dataValidation type="list" allowBlank="1" showInputMessage="1" showErrorMessage="1" sqref="D5" xr:uid="{BEA4FBF4-607D-4709-8CE1-91DFAB6BE822}">
      <formula1>"Conservative, Base, Aggressive"</formula1>
    </dataValidation>
    <dataValidation type="list" allowBlank="1" showInputMessage="1" showErrorMessage="1" sqref="D7" xr:uid="{1F495B35-8576-4128-BF5E-526527F256CA}">
      <formula1>"EBITDAR, EBITDA, EBIT, NOPLAT"</formula1>
    </dataValidation>
    <dataValidation type="list" allowBlank="1" showInputMessage="1" showErrorMessage="1" sqref="D9" xr:uid="{EF991076-2AF0-4210-AA37-A5196A966382}">
      <formula1>"UAE, USA, KSA, Qatar"</formula1>
    </dataValidation>
  </dataValidations>
  <pageMargins left="0.7" right="0.7" top="0.75" bottom="0.75" header="0.3" footer="0.3"/>
  <ignoredErrors>
    <ignoredError sqref="E738:AN738 E743:AN743 E748:AN748 E753:AN753" formulaRange="1"/>
    <ignoredError sqref="E63 N352 J352" formula="1"/>
  </ignoredError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5E0C332-C8C3-4B23-A04F-A047D5A7011D}">
          <x14:formula1>
            <xm:f>'Name File'!$B$40:$B$75</xm:f>
          </x14:formula1>
          <xm:sqref>E944:E955</xm:sqref>
        </x14:dataValidation>
        <x14:dataValidation type="list" allowBlank="1" showInputMessage="1" showErrorMessage="1" xr:uid="{9F0CEB40-7694-40D7-BCFC-B5E1F7769A3F}">
          <x14:formula1>
            <xm:f>'Name File'!$B$78:$B$113</xm:f>
          </x14:formula1>
          <xm:sqref>D8</xm:sqref>
        </x14:dataValidation>
        <x14:dataValidation type="list" allowBlank="1" showInputMessage="1" showErrorMessage="1" xr:uid="{8988A6D7-300F-4A7A-9B50-75AF4B44DA7F}">
          <x14:formula1>
            <xm:f>'Name File'!$B$10:$B$11</xm:f>
          </x14:formula1>
          <xm:sqref>D6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59368-CDC8-47B2-B50F-B2C8F9FA0FAE}">
  <dimension ref="A1:AQ45"/>
  <sheetViews>
    <sheetView showGridLines="0" zoomScale="70" zoomScaleNormal="70" workbookViewId="0">
      <selection activeCell="C9" sqref="C9"/>
    </sheetView>
  </sheetViews>
  <sheetFormatPr defaultColWidth="0" defaultRowHeight="11.5" zeroHeight="1" x14ac:dyDescent="0.25"/>
  <cols>
    <col min="1" max="2" width="3.6328125" style="3" customWidth="1"/>
    <col min="3" max="3" width="50.6328125" style="3" customWidth="1"/>
    <col min="4" max="4" width="8.7265625" style="3" customWidth="1"/>
    <col min="5" max="40" width="15.6328125" style="3" customWidth="1"/>
    <col min="41" max="41" width="0.453125" style="3" customWidth="1"/>
    <col min="42" max="42" width="50.6328125" style="3" customWidth="1"/>
    <col min="43" max="43" width="3.6328125" style="3" customWidth="1"/>
    <col min="44" max="16384" width="8.7265625" style="3" hidden="1"/>
  </cols>
  <sheetData>
    <row r="1" spans="1:43" s="73" customFormat="1" ht="14.5" customHeight="1" x14ac:dyDescent="0.35">
      <c r="A1" s="103" t="str">
        <f ca="1">MID(CELL("filename",A1),FIND("]",CELL("filename",A1))+1,255)</f>
        <v>2.1 PnL</v>
      </c>
      <c r="B1" s="100"/>
      <c r="C1" s="100"/>
      <c r="AO1" s="113"/>
    </row>
    <row r="2" spans="1:43" s="5" customFormat="1" x14ac:dyDescent="0.25">
      <c r="A2" s="7" t="s">
        <v>970</v>
      </c>
    </row>
    <row r="3" spans="1:43" x14ac:dyDescent="0.25"/>
    <row r="4" spans="1:43" s="12" customFormat="1" x14ac:dyDescent="0.25">
      <c r="B4" s="13" t="s">
        <v>0</v>
      </c>
      <c r="C4" s="255" t="s">
        <v>26</v>
      </c>
      <c r="D4" s="256" t="s">
        <v>14</v>
      </c>
      <c r="E4" s="252">
        <v>45688</v>
      </c>
      <c r="F4" s="252">
        <v>45716</v>
      </c>
      <c r="G4" s="252">
        <v>45747</v>
      </c>
      <c r="H4" s="252">
        <v>45777</v>
      </c>
      <c r="I4" s="252">
        <v>45808</v>
      </c>
      <c r="J4" s="252">
        <v>45838</v>
      </c>
      <c r="K4" s="252">
        <v>45869</v>
      </c>
      <c r="L4" s="252">
        <v>45900</v>
      </c>
      <c r="M4" s="252">
        <v>45930</v>
      </c>
      <c r="N4" s="252">
        <v>45961</v>
      </c>
      <c r="O4" s="252">
        <v>45991</v>
      </c>
      <c r="P4" s="252">
        <v>46022</v>
      </c>
      <c r="Q4" s="252">
        <f t="shared" ref="Q4:AB4" si="0">E4+365.25</f>
        <v>46053.25</v>
      </c>
      <c r="R4" s="252">
        <f t="shared" si="0"/>
        <v>46081.25</v>
      </c>
      <c r="S4" s="252">
        <f t="shared" si="0"/>
        <v>46112.25</v>
      </c>
      <c r="T4" s="252">
        <f t="shared" si="0"/>
        <v>46142.25</v>
      </c>
      <c r="U4" s="252">
        <f t="shared" si="0"/>
        <v>46173.25</v>
      </c>
      <c r="V4" s="252">
        <f t="shared" si="0"/>
        <v>46203.25</v>
      </c>
      <c r="W4" s="252">
        <f t="shared" si="0"/>
        <v>46234.25</v>
      </c>
      <c r="X4" s="252">
        <f t="shared" si="0"/>
        <v>46265.25</v>
      </c>
      <c r="Y4" s="252">
        <f t="shared" si="0"/>
        <v>46295.25</v>
      </c>
      <c r="Z4" s="252">
        <f t="shared" si="0"/>
        <v>46326.25</v>
      </c>
      <c r="AA4" s="252">
        <f t="shared" si="0"/>
        <v>46356.25</v>
      </c>
      <c r="AB4" s="252">
        <f t="shared" si="0"/>
        <v>46387.25</v>
      </c>
      <c r="AC4" s="252">
        <f t="shared" ref="AC4:AN4" si="1">Q4+365.25</f>
        <v>46418.5</v>
      </c>
      <c r="AD4" s="252">
        <f t="shared" si="1"/>
        <v>46446.5</v>
      </c>
      <c r="AE4" s="252">
        <f t="shared" si="1"/>
        <v>46477.5</v>
      </c>
      <c r="AF4" s="252">
        <f t="shared" si="1"/>
        <v>46507.5</v>
      </c>
      <c r="AG4" s="252">
        <f t="shared" si="1"/>
        <v>46538.5</v>
      </c>
      <c r="AH4" s="252">
        <f t="shared" si="1"/>
        <v>46568.5</v>
      </c>
      <c r="AI4" s="252">
        <f t="shared" si="1"/>
        <v>46599.5</v>
      </c>
      <c r="AJ4" s="252">
        <f t="shared" si="1"/>
        <v>46630.5</v>
      </c>
      <c r="AK4" s="252">
        <f t="shared" si="1"/>
        <v>46660.5</v>
      </c>
      <c r="AL4" s="252">
        <f t="shared" si="1"/>
        <v>46691.5</v>
      </c>
      <c r="AM4" s="252">
        <f t="shared" si="1"/>
        <v>46721.5</v>
      </c>
      <c r="AN4" s="252">
        <f t="shared" si="1"/>
        <v>46752.5</v>
      </c>
      <c r="AO4" s="257"/>
      <c r="AP4" s="258" t="s">
        <v>45</v>
      </c>
    </row>
    <row r="5" spans="1:43" x14ac:dyDescent="0.25">
      <c r="B5" s="46"/>
      <c r="C5" s="47" t="s">
        <v>13</v>
      </c>
      <c r="D5" s="48" t="s">
        <v>46</v>
      </c>
      <c r="E5" s="88">
        <f>E22</f>
        <v>377514.28</v>
      </c>
      <c r="F5" s="88">
        <f t="shared" ref="F5:AB5" ca="1" si="2">F22</f>
        <v>663179.93999999994</v>
      </c>
      <c r="G5" s="261">
        <f t="shared" ca="1" si="2"/>
        <v>928249.58</v>
      </c>
      <c r="H5" s="88">
        <f t="shared" ca="1" si="2"/>
        <v>1167513.04</v>
      </c>
      <c r="I5" s="88">
        <f t="shared" ref="I5:P5" ca="1" si="3">I22</f>
        <v>1615095.06</v>
      </c>
      <c r="J5" s="88">
        <f t="shared" ca="1" si="3"/>
        <v>2803440.28</v>
      </c>
      <c r="K5" s="88">
        <f t="shared" ca="1" si="3"/>
        <v>4129993</v>
      </c>
      <c r="L5" s="88">
        <f t="shared" ca="1" si="3"/>
        <v>5332811.32</v>
      </c>
      <c r="M5" s="88">
        <f t="shared" ca="1" si="3"/>
        <v>6679867.2800000003</v>
      </c>
      <c r="N5" s="88">
        <f t="shared" ca="1" si="3"/>
        <v>8228788.9400000004</v>
      </c>
      <c r="O5" s="88">
        <f t="shared" ca="1" si="3"/>
        <v>10280200.66</v>
      </c>
      <c r="P5" s="88">
        <f t="shared" ca="1" si="3"/>
        <v>12275043.66</v>
      </c>
      <c r="Q5" s="88">
        <f t="shared" ca="1" si="2"/>
        <v>15394615.74</v>
      </c>
      <c r="R5" s="88">
        <f t="shared" ca="1" si="2"/>
        <v>17710274.010000002</v>
      </c>
      <c r="S5" s="88">
        <f t="shared" ca="1" si="2"/>
        <v>19973300.504999999</v>
      </c>
      <c r="T5" s="88">
        <f t="shared" ca="1" si="2"/>
        <v>22043684.684999999</v>
      </c>
      <c r="U5" s="88">
        <f t="shared" ref="U5:X5" ca="1" si="4">U22</f>
        <v>25108864.065000001</v>
      </c>
      <c r="V5" s="88">
        <f t="shared" ca="1" si="4"/>
        <v>27951882.149999999</v>
      </c>
      <c r="W5" s="88">
        <f t="shared" ca="1" si="4"/>
        <v>31199360.370000001</v>
      </c>
      <c r="X5" s="88">
        <f t="shared" ca="1" si="4"/>
        <v>33902414.009999998</v>
      </c>
      <c r="Y5" s="88">
        <f t="shared" ca="1" si="2"/>
        <v>36384042.960000001</v>
      </c>
      <c r="Z5" s="88">
        <f t="shared" ca="1" si="2"/>
        <v>39879502.905000001</v>
      </c>
      <c r="AA5" s="88">
        <f t="shared" ca="1" si="2"/>
        <v>43238066.895000003</v>
      </c>
      <c r="AB5" s="88">
        <f t="shared" ca="1" si="2"/>
        <v>46227233.579999998</v>
      </c>
      <c r="AC5" s="88">
        <f t="shared" ref="AC5:AN5" ca="1" si="5">AC22</f>
        <v>53698885.706249997</v>
      </c>
      <c r="AD5" s="88">
        <f t="shared" ca="1" si="5"/>
        <v>57585325.173749998</v>
      </c>
      <c r="AE5" s="88">
        <f t="shared" ca="1" si="5"/>
        <v>61136355.213749997</v>
      </c>
      <c r="AF5" s="88">
        <f t="shared" ca="1" si="5"/>
        <v>64137437.159999996</v>
      </c>
      <c r="AG5" s="88">
        <f t="shared" ca="1" si="5"/>
        <v>69224899.436250001</v>
      </c>
      <c r="AH5" s="88">
        <f t="shared" ca="1" si="5"/>
        <v>75580558.754999995</v>
      </c>
      <c r="AI5" s="88">
        <f t="shared" ref="AI5:AM5" ca="1" si="6">AI22</f>
        <v>83837636.366249993</v>
      </c>
      <c r="AJ5" s="88">
        <f t="shared" ca="1" si="6"/>
        <v>90940787.962500006</v>
      </c>
      <c r="AK5" s="88">
        <f t="shared" ca="1" si="6"/>
        <v>99375568.844999999</v>
      </c>
      <c r="AL5" s="88">
        <f t="shared" ca="1" si="6"/>
        <v>108443806.63875</v>
      </c>
      <c r="AM5" s="88">
        <f t="shared" ca="1" si="6"/>
        <v>119118562.21875</v>
      </c>
      <c r="AN5" s="88">
        <f t="shared" ca="1" si="5"/>
        <v>128283447.78749999</v>
      </c>
      <c r="AO5" s="44"/>
      <c r="AP5" s="48"/>
    </row>
    <row r="6" spans="1:43" x14ac:dyDescent="0.25">
      <c r="B6" s="46"/>
      <c r="C6" s="47" t="s">
        <v>17</v>
      </c>
      <c r="D6" s="48" t="s">
        <v>46</v>
      </c>
      <c r="E6" s="88">
        <f>E28</f>
        <v>465259.22522164736</v>
      </c>
      <c r="F6" s="88">
        <f t="shared" ref="F6:AB6" ca="1" si="7">F28</f>
        <v>299397.88769999996</v>
      </c>
      <c r="G6" s="88">
        <f t="shared" ca="1" si="7"/>
        <v>363338.76389999996</v>
      </c>
      <c r="H6" s="88">
        <f t="shared" ca="1" si="7"/>
        <v>412651.6532</v>
      </c>
      <c r="I6" s="88">
        <f t="shared" ref="I6:P6" ca="1" si="8">I28</f>
        <v>638521.75130000012</v>
      </c>
      <c r="J6" s="88">
        <f t="shared" ca="1" si="8"/>
        <v>967025.14059999993</v>
      </c>
      <c r="K6" s="88">
        <f t="shared" ca="1" si="8"/>
        <v>1097708.6715600002</v>
      </c>
      <c r="L6" s="88">
        <f t="shared" ca="1" si="8"/>
        <v>1304987.0058480001</v>
      </c>
      <c r="M6" s="88">
        <f t="shared" ca="1" si="8"/>
        <v>1731677.6813646357</v>
      </c>
      <c r="N6" s="88">
        <f t="shared" ca="1" si="8"/>
        <v>1945530.1879627202</v>
      </c>
      <c r="O6" s="88">
        <f t="shared" ca="1" si="8"/>
        <v>2304610.2878027842</v>
      </c>
      <c r="P6" s="88">
        <f t="shared" ca="1" si="8"/>
        <v>2674329.0629363139</v>
      </c>
      <c r="Q6" s="88">
        <f t="shared" ca="1" si="7"/>
        <v>3899812.9952289993</v>
      </c>
      <c r="R6" s="88">
        <f t="shared" ca="1" si="7"/>
        <v>3961384.7507942347</v>
      </c>
      <c r="S6" s="88">
        <f t="shared" ca="1" si="7"/>
        <v>4332202.1665203869</v>
      </c>
      <c r="T6" s="88">
        <f t="shared" ca="1" si="7"/>
        <v>4681648.3108213097</v>
      </c>
      <c r="U6" s="88">
        <f t="shared" ref="U6:X6" ca="1" si="9">U28</f>
        <v>5998274.4441062491</v>
      </c>
      <c r="V6" s="88">
        <f t="shared" ca="1" si="9"/>
        <v>6094911.9319890225</v>
      </c>
      <c r="W6" s="88">
        <f t="shared" ca="1" si="9"/>
        <v>6627342.9488412188</v>
      </c>
      <c r="X6" s="88">
        <f t="shared" ca="1" si="9"/>
        <v>7070207.7304429756</v>
      </c>
      <c r="Y6" s="88">
        <f t="shared" ca="1" si="7"/>
        <v>7784369.5256393272</v>
      </c>
      <c r="Z6" s="88">
        <f t="shared" ca="1" si="7"/>
        <v>8234972.8132104855</v>
      </c>
      <c r="AA6" s="88">
        <f t="shared" ca="1" si="7"/>
        <v>8787524.1876233891</v>
      </c>
      <c r="AB6" s="88">
        <f t="shared" ca="1" si="7"/>
        <v>9299307.6632187106</v>
      </c>
      <c r="AC6" s="88">
        <f t="shared" ref="AC6:AN6" ca="1" si="10">AC28</f>
        <v>12425159.420732042</v>
      </c>
      <c r="AD6" s="88">
        <f t="shared" ca="1" si="10"/>
        <v>12117752.934657123</v>
      </c>
      <c r="AE6" s="88">
        <f t="shared" ca="1" si="10"/>
        <v>12695787.66304945</v>
      </c>
      <c r="AF6" s="88">
        <f t="shared" ca="1" si="10"/>
        <v>13183958.193184558</v>
      </c>
      <c r="AG6" s="88">
        <f t="shared" ca="1" si="10"/>
        <v>16222620.375998214</v>
      </c>
      <c r="AH6" s="88">
        <f t="shared" ca="1" si="10"/>
        <v>16228853.908484666</v>
      </c>
      <c r="AI6" s="88">
        <f t="shared" ref="AI6:AM6" ca="1" si="11">AI28</f>
        <v>17581716.821048982</v>
      </c>
      <c r="AJ6" s="88">
        <f t="shared" ca="1" si="11"/>
        <v>18745431.875086688</v>
      </c>
      <c r="AK6" s="88">
        <f t="shared" ca="1" si="11"/>
        <v>21753766.410342634</v>
      </c>
      <c r="AL6" s="88">
        <f t="shared" ca="1" si="11"/>
        <v>22432665.351479925</v>
      </c>
      <c r="AM6" s="88">
        <f t="shared" ca="1" si="11"/>
        <v>24184403.972272694</v>
      </c>
      <c r="AN6" s="88">
        <f t="shared" ca="1" si="10"/>
        <v>25708634.120380655</v>
      </c>
      <c r="AO6" s="44"/>
      <c r="AP6" s="48"/>
    </row>
    <row r="7" spans="1:43" ht="12" thickBot="1" x14ac:dyDescent="0.3">
      <c r="B7" s="49" t="s">
        <v>10</v>
      </c>
      <c r="C7" s="50" t="s">
        <v>27</v>
      </c>
      <c r="D7" s="51" t="s">
        <v>46</v>
      </c>
      <c r="E7" s="89">
        <f>E5-E6</f>
        <v>-87744.945221647329</v>
      </c>
      <c r="F7" s="89">
        <f t="shared" ref="F7:AB7" ca="1" si="12">F5-F6</f>
        <v>363782.05229999998</v>
      </c>
      <c r="G7" s="89">
        <f t="shared" ca="1" si="12"/>
        <v>564910.81609999994</v>
      </c>
      <c r="H7" s="89">
        <f t="shared" ca="1" si="12"/>
        <v>754861.38679999998</v>
      </c>
      <c r="I7" s="89">
        <f t="shared" ref="I7:P7" ca="1" si="13">I5-I6</f>
        <v>976573.30869999994</v>
      </c>
      <c r="J7" s="89">
        <f t="shared" ca="1" si="13"/>
        <v>1836415.1393999998</v>
      </c>
      <c r="K7" s="89">
        <f t="shared" ca="1" si="13"/>
        <v>3032284.3284399998</v>
      </c>
      <c r="L7" s="89">
        <f t="shared" ca="1" si="13"/>
        <v>4027824.3141520005</v>
      </c>
      <c r="M7" s="89">
        <f t="shared" ca="1" si="13"/>
        <v>4948189.5986353643</v>
      </c>
      <c r="N7" s="89">
        <f t="shared" ca="1" si="13"/>
        <v>6283258.7520372802</v>
      </c>
      <c r="O7" s="89">
        <f t="shared" ca="1" si="13"/>
        <v>7975590.3721972164</v>
      </c>
      <c r="P7" s="89">
        <f t="shared" ca="1" si="13"/>
        <v>9600714.5970636867</v>
      </c>
      <c r="Q7" s="89">
        <f t="shared" ca="1" si="12"/>
        <v>11494802.744771</v>
      </c>
      <c r="R7" s="89">
        <f t="shared" ca="1" si="12"/>
        <v>13748889.259205766</v>
      </c>
      <c r="S7" s="89">
        <f t="shared" ca="1" si="12"/>
        <v>15641098.338479612</v>
      </c>
      <c r="T7" s="89">
        <f t="shared" ca="1" si="12"/>
        <v>17362036.374178689</v>
      </c>
      <c r="U7" s="89">
        <f t="shared" ref="U7:X7" ca="1" si="14">U5-U6</f>
        <v>19110589.620893754</v>
      </c>
      <c r="V7" s="89">
        <f t="shared" ca="1" si="14"/>
        <v>21856970.218010977</v>
      </c>
      <c r="W7" s="89">
        <f t="shared" ca="1" si="14"/>
        <v>24572017.421158783</v>
      </c>
      <c r="X7" s="89">
        <f t="shared" ca="1" si="14"/>
        <v>26832206.279557023</v>
      </c>
      <c r="Y7" s="89">
        <f t="shared" ca="1" si="12"/>
        <v>28599673.434360676</v>
      </c>
      <c r="Z7" s="89">
        <f t="shared" ca="1" si="12"/>
        <v>31644530.091789514</v>
      </c>
      <c r="AA7" s="89">
        <f t="shared" ca="1" si="12"/>
        <v>34450542.707376614</v>
      </c>
      <c r="AB7" s="89">
        <f t="shared" ca="1" si="12"/>
        <v>36927925.916781291</v>
      </c>
      <c r="AC7" s="89">
        <f t="shared" ref="AC7:AN7" ca="1" si="15">AC5-AC6</f>
        <v>41273726.285517953</v>
      </c>
      <c r="AD7" s="89">
        <f t="shared" ca="1" si="15"/>
        <v>45467572.239092872</v>
      </c>
      <c r="AE7" s="89">
        <f t="shared" ca="1" si="15"/>
        <v>48440567.550700545</v>
      </c>
      <c r="AF7" s="89">
        <f t="shared" ca="1" si="15"/>
        <v>50953478.966815442</v>
      </c>
      <c r="AG7" s="89">
        <f t="shared" ca="1" si="15"/>
        <v>53002279.060251787</v>
      </c>
      <c r="AH7" s="89">
        <f t="shared" ca="1" si="15"/>
        <v>59351704.846515328</v>
      </c>
      <c r="AI7" s="89">
        <f t="shared" ref="AI7:AM7" ca="1" si="16">AI5-AI6</f>
        <v>66255919.545201011</v>
      </c>
      <c r="AJ7" s="89">
        <f t="shared" ca="1" si="16"/>
        <v>72195356.087413311</v>
      </c>
      <c r="AK7" s="89">
        <f t="shared" ca="1" si="16"/>
        <v>77621802.434657365</v>
      </c>
      <c r="AL7" s="89">
        <f t="shared" ca="1" si="16"/>
        <v>86011141.287270069</v>
      </c>
      <c r="AM7" s="89">
        <f t="shared" ca="1" si="16"/>
        <v>94934158.246477306</v>
      </c>
      <c r="AN7" s="89">
        <f t="shared" ca="1" si="15"/>
        <v>102574813.66711934</v>
      </c>
      <c r="AO7" s="44"/>
      <c r="AP7" s="51"/>
    </row>
    <row r="8" spans="1:43" x14ac:dyDescent="0.25">
      <c r="B8" s="46"/>
      <c r="C8" s="52" t="s">
        <v>28</v>
      </c>
      <c r="D8" s="53" t="s">
        <v>29</v>
      </c>
      <c r="E8" s="510">
        <f>IFERROR(E7/E5,"N/A")</f>
        <v>-0.23242814873558512</v>
      </c>
      <c r="F8" s="510">
        <f t="shared" ref="F8:AB8" ca="1" si="17">IFERROR(F7/F5,"N/A")</f>
        <v>0.5485420024918124</v>
      </c>
      <c r="G8" s="510">
        <f t="shared" ca="1" si="17"/>
        <v>0.60857643059746924</v>
      </c>
      <c r="H8" s="510">
        <f t="shared" ca="1" si="17"/>
        <v>0.64655499419518259</v>
      </c>
      <c r="I8" s="510">
        <f t="shared" ref="I8:P8" ca="1" si="18">IFERROR(I7/I5,"N/A")</f>
        <v>0.60465376489975764</v>
      </c>
      <c r="J8" s="510">
        <f t="shared" ca="1" si="18"/>
        <v>0.65505769910675604</v>
      </c>
      <c r="K8" s="510">
        <f t="shared" ca="1" si="18"/>
        <v>0.7342105249185652</v>
      </c>
      <c r="L8" s="510">
        <f t="shared" ca="1" si="18"/>
        <v>0.7552909848968743</v>
      </c>
      <c r="M8" s="510">
        <f t="shared" ca="1" si="18"/>
        <v>0.74076166355139983</v>
      </c>
      <c r="N8" s="510">
        <f t="shared" ca="1" si="18"/>
        <v>0.76357028936475313</v>
      </c>
      <c r="O8" s="510">
        <f t="shared" ca="1" si="18"/>
        <v>0.77582049572534473</v>
      </c>
      <c r="P8" s="510">
        <f t="shared" ca="1" si="18"/>
        <v>0.78213282681421326</v>
      </c>
      <c r="Q8" s="510">
        <f t="shared" ca="1" si="17"/>
        <v>0.74667682122808221</v>
      </c>
      <c r="R8" s="510">
        <f t="shared" ca="1" si="17"/>
        <v>0.77632278594010107</v>
      </c>
      <c r="S8" s="510">
        <f t="shared" ca="1" si="17"/>
        <v>0.78310033609938989</v>
      </c>
      <c r="T8" s="510">
        <f t="shared" ca="1" si="17"/>
        <v>0.78761952106822608</v>
      </c>
      <c r="U8" s="510">
        <f t="shared" ref="U8:X8" ca="1" si="19">IFERROR(U7/U5,"N/A")</f>
        <v>0.76110928680093415</v>
      </c>
      <c r="V8" s="510">
        <f t="shared" ca="1" si="19"/>
        <v>0.78194985585294396</v>
      </c>
      <c r="W8" s="510">
        <f t="shared" ca="1" si="19"/>
        <v>0.78758080709841116</v>
      </c>
      <c r="X8" s="510">
        <f t="shared" ca="1" si="19"/>
        <v>0.79145415048151091</v>
      </c>
      <c r="Y8" s="510">
        <f t="shared" ca="1" si="17"/>
        <v>0.78604990285996179</v>
      </c>
      <c r="Z8" s="510">
        <f t="shared" ca="1" si="17"/>
        <v>0.79350362433484578</v>
      </c>
      <c r="AA8" s="510">
        <f t="shared" ca="1" si="17"/>
        <v>0.79676417521247767</v>
      </c>
      <c r="AB8" s="510">
        <f t="shared" ca="1" si="17"/>
        <v>0.79883486544516025</v>
      </c>
      <c r="AC8" s="510">
        <f t="shared" ref="AC8:AN8" ca="1" si="20">IFERROR(AC7/AC5,"N/A")</f>
        <v>0.76861420386445967</v>
      </c>
      <c r="AD8" s="510">
        <f t="shared" ca="1" si="20"/>
        <v>0.78956873303928221</v>
      </c>
      <c r="AE8" s="510">
        <f t="shared" ca="1" si="20"/>
        <v>0.79233653006200011</v>
      </c>
      <c r="AF8" s="510">
        <f t="shared" ca="1" si="20"/>
        <v>0.79444207974360925</v>
      </c>
      <c r="AG8" s="510">
        <f t="shared" ca="1" si="20"/>
        <v>0.76565339194262305</v>
      </c>
      <c r="AH8" s="510">
        <f t="shared" ca="1" si="20"/>
        <v>0.7852774023397775</v>
      </c>
      <c r="AI8" s="510">
        <f t="shared" ref="AI8:AM8" ca="1" si="21">IFERROR(AI7/AI5,"N/A")</f>
        <v>0.79028849591796524</v>
      </c>
      <c r="AJ8" s="510">
        <f t="shared" ca="1" si="21"/>
        <v>0.79387211948486203</v>
      </c>
      <c r="AK8" s="510">
        <f t="shared" ca="1" si="21"/>
        <v>0.78109542754645422</v>
      </c>
      <c r="AL8" s="510">
        <f t="shared" ca="1" si="21"/>
        <v>0.79314018894404881</v>
      </c>
      <c r="AM8" s="510">
        <f t="shared" ca="1" si="21"/>
        <v>0.79697199561676779</v>
      </c>
      <c r="AN8" s="510">
        <f t="shared" ca="1" si="20"/>
        <v>0.79959507977235922</v>
      </c>
      <c r="AO8" s="44"/>
      <c r="AP8" s="53"/>
    </row>
    <row r="9" spans="1:43" x14ac:dyDescent="0.25">
      <c r="B9" s="49"/>
      <c r="C9" s="47" t="s">
        <v>30</v>
      </c>
      <c r="D9" s="48" t="s">
        <v>46</v>
      </c>
      <c r="E9" s="261">
        <f>E37</f>
        <v>868.25616929392163</v>
      </c>
      <c r="F9" s="88">
        <f t="shared" ref="F9:AN9" ca="1" si="22">F37</f>
        <v>2019.7829518899266</v>
      </c>
      <c r="G9" s="88">
        <f t="shared" ca="1" si="22"/>
        <v>3113.8180197649262</v>
      </c>
      <c r="H9" s="88">
        <f t="shared" ca="1" si="22"/>
        <v>5261.317021546176</v>
      </c>
      <c r="I9" s="88">
        <f t="shared" ca="1" si="22"/>
        <v>7437.4809178482601</v>
      </c>
      <c r="J9" s="88">
        <f t="shared" ca="1" si="22"/>
        <v>9150.5587190878432</v>
      </c>
      <c r="K9" s="88">
        <f t="shared" ca="1" si="22"/>
        <v>10911.468491187845</v>
      </c>
      <c r="L9" s="88">
        <f t="shared" ca="1" si="22"/>
        <v>13228.415957584508</v>
      </c>
      <c r="M9" s="88">
        <f t="shared" ca="1" si="22"/>
        <v>15319.735195835825</v>
      </c>
      <c r="N9" s="88">
        <f t="shared" ca="1" si="22"/>
        <v>17165.277682224092</v>
      </c>
      <c r="O9" s="88">
        <f t="shared" ca="1" si="22"/>
        <v>19049.667315116334</v>
      </c>
      <c r="P9" s="88">
        <f t="shared" ca="1" si="22"/>
        <v>20489.140164151657</v>
      </c>
      <c r="Q9" s="88">
        <f t="shared" ca="1" si="22"/>
        <v>22307.279961877211</v>
      </c>
      <c r="R9" s="88">
        <f t="shared" ca="1" si="22"/>
        <v>25926.154727087964</v>
      </c>
      <c r="S9" s="88">
        <f t="shared" ca="1" si="22"/>
        <v>29502.570030974905</v>
      </c>
      <c r="T9" s="88">
        <f t="shared" ca="1" si="22"/>
        <v>32112.346122364663</v>
      </c>
      <c r="U9" s="88">
        <f t="shared" ca="1" si="22"/>
        <v>35354.004742669611</v>
      </c>
      <c r="V9" s="88">
        <f t="shared" ca="1" si="22"/>
        <v>39159.544990179536</v>
      </c>
      <c r="W9" s="88">
        <f t="shared" ca="1" si="22"/>
        <v>42988.946540266013</v>
      </c>
      <c r="X9" s="88">
        <f t="shared" ca="1" si="22"/>
        <v>46919.94140269146</v>
      </c>
      <c r="Y9" s="88">
        <f t="shared" ca="1" si="22"/>
        <v>51033.959866866702</v>
      </c>
      <c r="Z9" s="88">
        <f t="shared" ca="1" si="22"/>
        <v>55685.97469383022</v>
      </c>
      <c r="AA9" s="88">
        <f t="shared" ca="1" si="22"/>
        <v>60379.984798083751</v>
      </c>
      <c r="AB9" s="88">
        <f t="shared" ca="1" si="22"/>
        <v>65184.863115879809</v>
      </c>
      <c r="AC9" s="88">
        <f t="shared" ca="1" si="22"/>
        <v>70351.995103791342</v>
      </c>
      <c r="AD9" s="88">
        <f t="shared" ca="1" si="22"/>
        <v>76854.381807477708</v>
      </c>
      <c r="AE9" s="88">
        <f t="shared" ca="1" si="22"/>
        <v>83133.080335531282</v>
      </c>
      <c r="AF9" s="88">
        <f t="shared" ca="1" si="22"/>
        <v>89643.265813096514</v>
      </c>
      <c r="AG9" s="88">
        <f t="shared" ca="1" si="22"/>
        <v>97502.284414053051</v>
      </c>
      <c r="AH9" s="88">
        <f t="shared" ca="1" si="22"/>
        <v>107345.14631868669</v>
      </c>
      <c r="AI9" s="88">
        <f t="shared" ca="1" si="22"/>
        <v>117121.24743634644</v>
      </c>
      <c r="AJ9" s="88">
        <f t="shared" ca="1" si="22"/>
        <v>127159.49209219392</v>
      </c>
      <c r="AK9" s="88">
        <f t="shared" ca="1" si="22"/>
        <v>138007.32524692614</v>
      </c>
      <c r="AL9" s="88">
        <f t="shared" ca="1" si="22"/>
        <v>150280.91188878266</v>
      </c>
      <c r="AM9" s="88">
        <f t="shared" ca="1" si="22"/>
        <v>162641.02327667354</v>
      </c>
      <c r="AN9" s="88">
        <f t="shared" ca="1" si="22"/>
        <v>183689.11413219792</v>
      </c>
      <c r="AO9" s="44"/>
      <c r="AP9" s="48"/>
    </row>
    <row r="10" spans="1:43" ht="12" thickBot="1" x14ac:dyDescent="0.3">
      <c r="B10" s="49" t="s">
        <v>10</v>
      </c>
      <c r="C10" s="50" t="s">
        <v>31</v>
      </c>
      <c r="D10" s="51" t="s">
        <v>46</v>
      </c>
      <c r="E10" s="89">
        <f>E7-E9</f>
        <v>-88613.201390941249</v>
      </c>
      <c r="F10" s="89">
        <f t="shared" ref="F10:AB10" ca="1" si="23">F7-F9</f>
        <v>361762.26934811007</v>
      </c>
      <c r="G10" s="89">
        <f t="shared" ca="1" si="23"/>
        <v>561796.99808023497</v>
      </c>
      <c r="H10" s="89">
        <f t="shared" ca="1" si="23"/>
        <v>749600.06977845379</v>
      </c>
      <c r="I10" s="89">
        <f t="shared" ref="I10:P10" ca="1" si="24">I7-I9</f>
        <v>969135.82778215164</v>
      </c>
      <c r="J10" s="89">
        <f t="shared" ca="1" si="24"/>
        <v>1827264.5806809119</v>
      </c>
      <c r="K10" s="89">
        <f t="shared" ca="1" si="24"/>
        <v>3021372.8599488121</v>
      </c>
      <c r="L10" s="89">
        <f t="shared" ca="1" si="24"/>
        <v>4014595.898194416</v>
      </c>
      <c r="M10" s="89">
        <f t="shared" ca="1" si="24"/>
        <v>4932869.8634395283</v>
      </c>
      <c r="N10" s="89">
        <f t="shared" ca="1" si="24"/>
        <v>6266093.474355056</v>
      </c>
      <c r="O10" s="89">
        <f t="shared" ca="1" si="24"/>
        <v>7956540.7048821002</v>
      </c>
      <c r="P10" s="89">
        <f t="shared" ca="1" si="24"/>
        <v>9580225.4568995349</v>
      </c>
      <c r="Q10" s="89">
        <f t="shared" ca="1" si="23"/>
        <v>11472495.464809123</v>
      </c>
      <c r="R10" s="89">
        <f t="shared" ca="1" si="23"/>
        <v>13722963.104478678</v>
      </c>
      <c r="S10" s="89">
        <f t="shared" ca="1" si="23"/>
        <v>15611595.768448638</v>
      </c>
      <c r="T10" s="89">
        <f t="shared" ca="1" si="23"/>
        <v>17329924.028056324</v>
      </c>
      <c r="U10" s="89">
        <f t="shared" ref="U10:X10" ca="1" si="25">U7-U9</f>
        <v>19075235.616151083</v>
      </c>
      <c r="V10" s="89">
        <f t="shared" ca="1" si="25"/>
        <v>21817810.673020799</v>
      </c>
      <c r="W10" s="89">
        <f t="shared" ca="1" si="25"/>
        <v>24529028.474618517</v>
      </c>
      <c r="X10" s="89">
        <f t="shared" ca="1" si="25"/>
        <v>26785286.338154331</v>
      </c>
      <c r="Y10" s="89">
        <f t="shared" ca="1" si="23"/>
        <v>28548639.474493809</v>
      </c>
      <c r="Z10" s="89">
        <f t="shared" ca="1" si="23"/>
        <v>31588844.117095683</v>
      </c>
      <c r="AA10" s="89">
        <f t="shared" ca="1" si="23"/>
        <v>34390162.722578533</v>
      </c>
      <c r="AB10" s="89">
        <f t="shared" ca="1" si="23"/>
        <v>36862741.053665414</v>
      </c>
      <c r="AC10" s="89">
        <f t="shared" ref="AC10:AN10" ca="1" si="26">AC7-AC9</f>
        <v>41203374.290414162</v>
      </c>
      <c r="AD10" s="89">
        <f t="shared" ca="1" si="26"/>
        <v>45390717.857285395</v>
      </c>
      <c r="AE10" s="89">
        <f t="shared" ca="1" si="26"/>
        <v>48357434.470365018</v>
      </c>
      <c r="AF10" s="89">
        <f t="shared" ca="1" si="26"/>
        <v>50863835.701002344</v>
      </c>
      <c r="AG10" s="89">
        <f t="shared" ca="1" si="26"/>
        <v>52904776.775837734</v>
      </c>
      <c r="AH10" s="89">
        <f t="shared" ca="1" si="26"/>
        <v>59244359.700196639</v>
      </c>
      <c r="AI10" s="89">
        <f t="shared" ref="AI10:AM10" ca="1" si="27">AI7-AI9</f>
        <v>66138798.297764666</v>
      </c>
      <c r="AJ10" s="89">
        <f t="shared" ca="1" si="27"/>
        <v>72068196.595321119</v>
      </c>
      <c r="AK10" s="89">
        <f t="shared" ca="1" si="27"/>
        <v>77483795.109410435</v>
      </c>
      <c r="AL10" s="89">
        <f t="shared" ca="1" si="27"/>
        <v>85860860.375381291</v>
      </c>
      <c r="AM10" s="89">
        <f t="shared" ca="1" si="27"/>
        <v>94771517.223200634</v>
      </c>
      <c r="AN10" s="89">
        <f t="shared" ca="1" si="26"/>
        <v>102391124.55298714</v>
      </c>
      <c r="AO10" s="44"/>
      <c r="AP10" s="51"/>
    </row>
    <row r="11" spans="1:43" x14ac:dyDescent="0.25">
      <c r="B11" s="46"/>
      <c r="C11" s="52" t="s">
        <v>32</v>
      </c>
      <c r="D11" s="53" t="s">
        <v>29</v>
      </c>
      <c r="E11" s="510">
        <f>IFERROR(E10/E5,"N/A")</f>
        <v>-0.23472807807678492</v>
      </c>
      <c r="F11" s="510">
        <f t="shared" ref="F11:AB11" ca="1" si="28">IFERROR(F10/F5,"N/A")</f>
        <v>0.54549639928510218</v>
      </c>
      <c r="G11" s="510">
        <f t="shared" ca="1" si="28"/>
        <v>0.60522192542250863</v>
      </c>
      <c r="H11" s="510">
        <f t="shared" ca="1" si="28"/>
        <v>0.64204856313934944</v>
      </c>
      <c r="I11" s="510">
        <f t="shared" ref="I11:P11" ca="1" si="29">IFERROR(I10/I5,"N/A")</f>
        <v>0.60004878460971312</v>
      </c>
      <c r="J11" s="510">
        <f t="shared" ca="1" si="29"/>
        <v>0.6517936528617303</v>
      </c>
      <c r="K11" s="510">
        <f t="shared" ca="1" si="29"/>
        <v>0.73156851838461034</v>
      </c>
      <c r="L11" s="510">
        <f t="shared" ca="1" si="29"/>
        <v>0.75281041411276028</v>
      </c>
      <c r="M11" s="510">
        <f t="shared" ca="1" si="29"/>
        <v>0.7384682444528341</v>
      </c>
      <c r="N11" s="510">
        <f t="shared" ca="1" si="29"/>
        <v>0.76148428645382849</v>
      </c>
      <c r="O11" s="510">
        <f t="shared" ca="1" si="29"/>
        <v>0.77396745141763601</v>
      </c>
      <c r="P11" s="510">
        <f t="shared" ca="1" si="29"/>
        <v>0.78046365636303849</v>
      </c>
      <c r="Q11" s="510">
        <f t="shared" ca="1" si="28"/>
        <v>0.74522778993437377</v>
      </c>
      <c r="R11" s="510">
        <f t="shared" ca="1" si="28"/>
        <v>0.77485888116299539</v>
      </c>
      <c r="S11" s="510">
        <f t="shared" ca="1" si="28"/>
        <v>0.78162323570611292</v>
      </c>
      <c r="T11" s="510">
        <f t="shared" ca="1" si="28"/>
        <v>0.7861627616116631</v>
      </c>
      <c r="U11" s="510">
        <f t="shared" ref="U11:X11" ca="1" si="30">IFERROR(U10/U5,"N/A")</f>
        <v>0.75970125796095356</v>
      </c>
      <c r="V11" s="510">
        <f t="shared" ca="1" si="30"/>
        <v>0.7805488931277853</v>
      </c>
      <c r="W11" s="510">
        <f t="shared" ca="1" si="30"/>
        <v>0.7862029279999152</v>
      </c>
      <c r="X11" s="510">
        <f t="shared" ca="1" si="30"/>
        <v>0.7900701799657579</v>
      </c>
      <c r="Y11" s="510">
        <f t="shared" ca="1" si="28"/>
        <v>0.78464725610289376</v>
      </c>
      <c r="Z11" s="510">
        <f t="shared" ca="1" si="28"/>
        <v>0.79210726854709979</v>
      </c>
      <c r="AA11" s="510">
        <f t="shared" ca="1" si="28"/>
        <v>0.79536772090417784</v>
      </c>
      <c r="AB11" s="510">
        <f t="shared" ca="1" si="28"/>
        <v>0.79742476888372382</v>
      </c>
      <c r="AC11" s="510">
        <f t="shared" ref="AC11:AN11" ca="1" si="31">IFERROR(AC10/AC5,"N/A")</f>
        <v>0.76730408366031544</v>
      </c>
      <c r="AD11" s="510">
        <f t="shared" ca="1" si="31"/>
        <v>0.78823411555513001</v>
      </c>
      <c r="AE11" s="510">
        <f t="shared" ca="1" si="31"/>
        <v>0.79097673227809773</v>
      </c>
      <c r="AF11" s="510">
        <f t="shared" ca="1" si="31"/>
        <v>0.79304440515942731</v>
      </c>
      <c r="AG11" s="510">
        <f t="shared" ca="1" si="31"/>
        <v>0.76424490619243657</v>
      </c>
      <c r="AH11" s="510">
        <f t="shared" ca="1" si="31"/>
        <v>0.78385712776008498</v>
      </c>
      <c r="AI11" s="510">
        <f t="shared" ref="AI11:AM11" ca="1" si="32">IFERROR(AI10/AI5,"N/A")</f>
        <v>0.78889149508978473</v>
      </c>
      <c r="AJ11" s="510">
        <f t="shared" ca="1" si="32"/>
        <v>0.79247385260218861</v>
      </c>
      <c r="AK11" s="510">
        <f t="shared" ca="1" si="32"/>
        <v>0.77970668253748532</v>
      </c>
      <c r="AL11" s="510">
        <f t="shared" ca="1" si="32"/>
        <v>0.79175439369629064</v>
      </c>
      <c r="AM11" s="510">
        <f t="shared" ca="1" si="32"/>
        <v>0.79560662467669552</v>
      </c>
      <c r="AN11" s="510">
        <f t="shared" ca="1" si="31"/>
        <v>0.79816317941966153</v>
      </c>
      <c r="AO11" s="44"/>
      <c r="AP11" s="53"/>
    </row>
    <row r="12" spans="1:43" x14ac:dyDescent="0.25">
      <c r="B12" s="46"/>
      <c r="C12" s="47" t="s">
        <v>33</v>
      </c>
      <c r="D12" s="48" t="s">
        <v>46</v>
      </c>
      <c r="E12" s="261">
        <f ca="1">E39</f>
        <v>447.03495518787878</v>
      </c>
      <c r="F12" s="261">
        <f t="shared" ref="F12:AB12" ca="1" si="33">F39</f>
        <v>436.33568589987505</v>
      </c>
      <c r="G12" s="88">
        <f t="shared" ca="1" si="33"/>
        <v>425.54725603447133</v>
      </c>
      <c r="H12" s="88">
        <f t="shared" ca="1" si="33"/>
        <v>414.66892258685584</v>
      </c>
      <c r="I12" s="88">
        <f t="shared" ref="I12:P12" ca="1" si="34">I39</f>
        <v>403.69993636051026</v>
      </c>
      <c r="J12" s="88">
        <f t="shared" ca="1" si="34"/>
        <v>392.6395419156118</v>
      </c>
      <c r="K12" s="88">
        <f t="shared" ca="1" si="34"/>
        <v>381.48697751700593</v>
      </c>
      <c r="L12" s="88">
        <f t="shared" ca="1" si="34"/>
        <v>370.24147508174491</v>
      </c>
      <c r="M12" s="88">
        <f t="shared" ca="1" si="34"/>
        <v>358.90226012619013</v>
      </c>
      <c r="N12" s="88">
        <f t="shared" ca="1" si="34"/>
        <v>347.46855171267231</v>
      </c>
      <c r="O12" s="88">
        <f t="shared" ca="1" si="34"/>
        <v>335.93956239570855</v>
      </c>
      <c r="P12" s="88">
        <f t="shared" ca="1" si="34"/>
        <v>324.31449816777013</v>
      </c>
      <c r="Q12" s="88">
        <f t="shared" ca="1" si="33"/>
        <v>312.59255840459883</v>
      </c>
      <c r="R12" s="88">
        <f t="shared" ca="1" si="33"/>
        <v>300.77293581006774</v>
      </c>
      <c r="S12" s="88">
        <f t="shared" ca="1" si="33"/>
        <v>288.85481636058222</v>
      </c>
      <c r="T12" s="88">
        <f t="shared" ca="1" si="33"/>
        <v>276.83737924901772</v>
      </c>
      <c r="U12" s="88">
        <f t="shared" ref="U12:X12" ca="1" si="35">U39</f>
        <v>264.71979682819023</v>
      </c>
      <c r="V12" s="88">
        <f t="shared" ca="1" si="35"/>
        <v>252.50123455385577</v>
      </c>
      <c r="W12" s="88">
        <f t="shared" ca="1" si="35"/>
        <v>240.18085092723518</v>
      </c>
      <c r="X12" s="88">
        <f t="shared" ca="1" si="35"/>
        <v>227.75779743705948</v>
      </c>
      <c r="Y12" s="88">
        <f t="shared" ca="1" si="33"/>
        <v>215.23121850113228</v>
      </c>
      <c r="Z12" s="88">
        <f t="shared" ca="1" si="33"/>
        <v>202.60025140740569</v>
      </c>
      <c r="AA12" s="88">
        <f t="shared" ca="1" si="33"/>
        <v>189.86402625456469</v>
      </c>
      <c r="AB12" s="88">
        <f t="shared" ca="1" si="33"/>
        <v>177.02166589211672</v>
      </c>
      <c r="AC12" s="88">
        <f t="shared" ref="AC12:AN12" ca="1" si="36">AC39</f>
        <v>164.07228585998163</v>
      </c>
      <c r="AD12" s="88">
        <f t="shared" ca="1" si="36"/>
        <v>151.01499432757876</v>
      </c>
      <c r="AE12" s="88">
        <f t="shared" ca="1" si="36"/>
        <v>137.84889203240587</v>
      </c>
      <c r="AF12" s="88">
        <f t="shared" ca="1" si="36"/>
        <v>124.57307221810656</v>
      </c>
      <c r="AG12" s="88">
        <f t="shared" ca="1" si="36"/>
        <v>111.18662057202141</v>
      </c>
      <c r="AH12" s="88">
        <f t="shared" ca="1" si="36"/>
        <v>97.688615162218909</v>
      </c>
      <c r="AI12" s="88">
        <f t="shared" ref="AI12:AM12" ca="1" si="37">AI39</f>
        <v>84.078126374001357</v>
      </c>
      <c r="AJ12" s="88">
        <f t="shared" ca="1" si="37"/>
        <v>70.354216845882007</v>
      </c>
      <c r="AK12" s="88">
        <f t="shared" ca="1" si="37"/>
        <v>56.515941405028336</v>
      </c>
      <c r="AL12" s="88">
        <f t="shared" ca="1" si="37"/>
        <v>42.562347002167556</v>
      </c>
      <c r="AM12" s="88">
        <f t="shared" ca="1" si="37"/>
        <v>28.492472645949604</v>
      </c>
      <c r="AN12" s="88">
        <f t="shared" ca="1" si="36"/>
        <v>14.305349336763177</v>
      </c>
      <c r="AO12" s="87"/>
      <c r="AP12" s="83"/>
      <c r="AQ12" s="85"/>
    </row>
    <row r="13" spans="1:43" x14ac:dyDescent="0.25">
      <c r="B13" s="46"/>
      <c r="C13" s="47" t="s">
        <v>34</v>
      </c>
      <c r="D13" s="48" t="s">
        <v>46</v>
      </c>
      <c r="E13" s="88">
        <f ca="1">E40</f>
        <v>0</v>
      </c>
      <c r="F13" s="88">
        <f t="shared" ref="F13:AB13" ca="1" si="38">F40</f>
        <v>32558.604241329904</v>
      </c>
      <c r="G13" s="88">
        <f t="shared" ca="1" si="38"/>
        <v>50561.729827221148</v>
      </c>
      <c r="H13" s="88">
        <f t="shared" ca="1" si="38"/>
        <v>67464.006280060843</v>
      </c>
      <c r="I13" s="88">
        <f t="shared" ref="I13:P13" ca="1" si="39">I40</f>
        <v>87222.22450039364</v>
      </c>
      <c r="J13" s="88">
        <f t="shared" ca="1" si="39"/>
        <v>164453.81226128206</v>
      </c>
      <c r="K13" s="88">
        <f t="shared" ca="1" si="39"/>
        <v>271923.55739539309</v>
      </c>
      <c r="L13" s="88">
        <f t="shared" ca="1" si="39"/>
        <v>361313.63083749742</v>
      </c>
      <c r="M13" s="88">
        <f t="shared" ca="1" si="39"/>
        <v>443958.28770955751</v>
      </c>
      <c r="N13" s="88">
        <f t="shared" ca="1" si="39"/>
        <v>563948.41269195499</v>
      </c>
      <c r="O13" s="88">
        <f t="shared" ca="1" si="39"/>
        <v>716088.66343938897</v>
      </c>
      <c r="P13" s="88">
        <f t="shared" ca="1" si="39"/>
        <v>862220.29112095817</v>
      </c>
      <c r="Q13" s="88">
        <f t="shared" ca="1" si="38"/>
        <v>1032524.591832821</v>
      </c>
      <c r="R13" s="88">
        <f t="shared" ca="1" si="38"/>
        <v>1235066.6794030808</v>
      </c>
      <c r="S13" s="88">
        <f t="shared" ca="1" si="38"/>
        <v>1405043.6191603774</v>
      </c>
      <c r="T13" s="88">
        <f t="shared" ca="1" si="38"/>
        <v>1559693.162525069</v>
      </c>
      <c r="U13" s="88">
        <f t="shared" ref="U13:X13" ca="1" si="40">U40</f>
        <v>1716771.2054535975</v>
      </c>
      <c r="V13" s="88">
        <f t="shared" ca="1" si="40"/>
        <v>1963602.9605718718</v>
      </c>
      <c r="W13" s="88">
        <f t="shared" ca="1" si="40"/>
        <v>2207612.5627156664</v>
      </c>
      <c r="X13" s="88">
        <f t="shared" ca="1" si="40"/>
        <v>2410675.7704338897</v>
      </c>
      <c r="Y13" s="88">
        <f t="shared" ca="1" si="38"/>
        <v>2569377.5527044428</v>
      </c>
      <c r="Z13" s="88">
        <f t="shared" ca="1" si="38"/>
        <v>2842995.9705386115</v>
      </c>
      <c r="AA13" s="88">
        <f t="shared" ca="1" si="38"/>
        <v>3095114.6450320678</v>
      </c>
      <c r="AB13" s="88">
        <f t="shared" ca="1" si="38"/>
        <v>3317646.6948298872</v>
      </c>
      <c r="AC13" s="88">
        <f t="shared" ref="AC13:AN13" ca="1" si="41">AC40</f>
        <v>3708303.6861372744</v>
      </c>
      <c r="AD13" s="88">
        <f t="shared" ca="1" si="41"/>
        <v>4085164.6071556853</v>
      </c>
      <c r="AE13" s="88">
        <f t="shared" ca="1" si="41"/>
        <v>4352169.1023328518</v>
      </c>
      <c r="AF13" s="88">
        <f t="shared" ca="1" si="41"/>
        <v>4577745.2130902112</v>
      </c>
      <c r="AG13" s="88">
        <f t="shared" ca="1" si="41"/>
        <v>4761429.9098253958</v>
      </c>
      <c r="AH13" s="88">
        <f t="shared" ca="1" si="41"/>
        <v>5331992.3730176976</v>
      </c>
      <c r="AI13" s="88">
        <f t="shared" ref="AI13:AM13" ca="1" si="42">AI40</f>
        <v>5952491.8467988195</v>
      </c>
      <c r="AJ13" s="88">
        <f t="shared" ca="1" si="42"/>
        <v>6486137.6935789008</v>
      </c>
      <c r="AK13" s="88">
        <f t="shared" ca="1" si="42"/>
        <v>6973541.5598469386</v>
      </c>
      <c r="AL13" s="88">
        <f t="shared" ca="1" si="42"/>
        <v>7727477.4337843163</v>
      </c>
      <c r="AM13" s="88">
        <f t="shared" ca="1" si="42"/>
        <v>8529436.5500880573</v>
      </c>
      <c r="AN13" s="88">
        <f t="shared" ca="1" si="41"/>
        <v>9215201.2097688429</v>
      </c>
      <c r="AO13" s="44"/>
      <c r="AP13" s="48"/>
    </row>
    <row r="14" spans="1:43" x14ac:dyDescent="0.25">
      <c r="B14" s="49" t="s">
        <v>10</v>
      </c>
      <c r="C14" s="54" t="s">
        <v>35</v>
      </c>
      <c r="D14" s="55" t="s">
        <v>46</v>
      </c>
      <c r="E14" s="678">
        <f ca="1">E10-E12-E13</f>
        <v>-89060.236346129124</v>
      </c>
      <c r="F14" s="90">
        <f t="shared" ref="F14:AN14" ca="1" si="43">F10-F12-F13</f>
        <v>328767.3294208803</v>
      </c>
      <c r="G14" s="90">
        <f t="shared" ca="1" si="43"/>
        <v>510809.72099697939</v>
      </c>
      <c r="H14" s="90">
        <f t="shared" ca="1" si="43"/>
        <v>681721.3945758061</v>
      </c>
      <c r="I14" s="90">
        <f t="shared" ca="1" si="43"/>
        <v>881509.90334539756</v>
      </c>
      <c r="J14" s="90">
        <f t="shared" ca="1" si="43"/>
        <v>1662418.1288777143</v>
      </c>
      <c r="K14" s="90">
        <f t="shared" ca="1" si="43"/>
        <v>2749067.8155759019</v>
      </c>
      <c r="L14" s="90">
        <f t="shared" ca="1" si="43"/>
        <v>3652912.0258818371</v>
      </c>
      <c r="M14" s="90">
        <f t="shared" ca="1" si="43"/>
        <v>4488552.6734698443</v>
      </c>
      <c r="N14" s="90">
        <f t="shared" ca="1" si="43"/>
        <v>5701797.5931113884</v>
      </c>
      <c r="O14" s="90">
        <f t="shared" ca="1" si="43"/>
        <v>7240116.1018803148</v>
      </c>
      <c r="P14" s="90">
        <f t="shared" ca="1" si="43"/>
        <v>8717680.8512804098</v>
      </c>
      <c r="Q14" s="90">
        <f t="shared" ca="1" si="43"/>
        <v>10439658.280417899</v>
      </c>
      <c r="R14" s="90">
        <f t="shared" ca="1" si="43"/>
        <v>12487595.652139787</v>
      </c>
      <c r="S14" s="90">
        <f t="shared" ca="1" si="43"/>
        <v>14206263.294471901</v>
      </c>
      <c r="T14" s="90">
        <f t="shared" ca="1" si="43"/>
        <v>15769954.028152004</v>
      </c>
      <c r="U14" s="90">
        <f t="shared" ca="1" si="43"/>
        <v>17358199.690900657</v>
      </c>
      <c r="V14" s="90">
        <f t="shared" ca="1" si="43"/>
        <v>19853955.211214375</v>
      </c>
      <c r="W14" s="90">
        <f t="shared" ca="1" si="43"/>
        <v>22321175.731051922</v>
      </c>
      <c r="X14" s="90">
        <f t="shared" ca="1" si="43"/>
        <v>24374382.809923001</v>
      </c>
      <c r="Y14" s="90">
        <f t="shared" ca="1" si="43"/>
        <v>25979046.690570865</v>
      </c>
      <c r="Z14" s="90">
        <f t="shared" ca="1" si="43"/>
        <v>28745645.546305664</v>
      </c>
      <c r="AA14" s="90">
        <f t="shared" ca="1" si="43"/>
        <v>31294858.21352021</v>
      </c>
      <c r="AB14" s="90">
        <f t="shared" ca="1" si="43"/>
        <v>33544917.337169632</v>
      </c>
      <c r="AC14" s="90">
        <f t="shared" ca="1" si="43"/>
        <v>37494906.531991027</v>
      </c>
      <c r="AD14" s="90">
        <f t="shared" ca="1" si="43"/>
        <v>41305402.235135376</v>
      </c>
      <c r="AE14" s="90">
        <f t="shared" ca="1" si="43"/>
        <v>44005127.519140132</v>
      </c>
      <c r="AF14" s="90">
        <f t="shared" ca="1" si="43"/>
        <v>46285965.914839916</v>
      </c>
      <c r="AG14" s="90">
        <f t="shared" ca="1" si="43"/>
        <v>48143235.679391772</v>
      </c>
      <c r="AH14" s="90">
        <f t="shared" ca="1" si="43"/>
        <v>53912269.638563775</v>
      </c>
      <c r="AI14" s="90">
        <f t="shared" ca="1" si="43"/>
        <v>60186222.372839473</v>
      </c>
      <c r="AJ14" s="90">
        <f t="shared" ca="1" si="43"/>
        <v>65581988.547525376</v>
      </c>
      <c r="AK14" s="90">
        <f t="shared" ca="1" si="43"/>
        <v>70510197.033622086</v>
      </c>
      <c r="AL14" s="90">
        <f t="shared" ca="1" si="43"/>
        <v>78133340.379249975</v>
      </c>
      <c r="AM14" s="90">
        <f t="shared" ca="1" si="43"/>
        <v>86242052.180639923</v>
      </c>
      <c r="AN14" s="90">
        <f t="shared" ca="1" si="43"/>
        <v>93175909.037868962</v>
      </c>
      <c r="AO14" s="44"/>
      <c r="AP14" s="55"/>
    </row>
    <row r="15" spans="1:43" x14ac:dyDescent="0.25">
      <c r="B15" s="46"/>
      <c r="C15" s="56" t="s">
        <v>36</v>
      </c>
      <c r="D15" s="57" t="s">
        <v>29</v>
      </c>
      <c r="E15" s="509">
        <f ca="1">IFERROR(E14/E5,"N/A")</f>
        <v>-0.23591223183962504</v>
      </c>
      <c r="F15" s="509">
        <f t="shared" ref="F15:AB15" ca="1" si="44">IFERROR(F14/F5,"N/A")</f>
        <v>0.49574377871091868</v>
      </c>
      <c r="G15" s="509">
        <f t="shared" ca="1" si="44"/>
        <v>0.55029351157581929</v>
      </c>
      <c r="H15" s="509">
        <f t="shared" ca="1" si="44"/>
        <v>0.58390901961643704</v>
      </c>
      <c r="I15" s="509">
        <f t="shared" ref="I15:P15" ca="1" si="45">IFERROR(I14/I5,"N/A")</f>
        <v>0.54579443970647623</v>
      </c>
      <c r="J15" s="509">
        <f t="shared" ca="1" si="45"/>
        <v>0.5929921677795521</v>
      </c>
      <c r="K15" s="509">
        <f t="shared" ca="1" si="45"/>
        <v>0.66563498184522396</v>
      </c>
      <c r="L15" s="509">
        <f t="shared" ca="1" si="45"/>
        <v>0.68498804977068584</v>
      </c>
      <c r="M15" s="509">
        <f t="shared" ca="1" si="45"/>
        <v>0.67195237350132564</v>
      </c>
      <c r="N15" s="509">
        <f t="shared" ca="1" si="45"/>
        <v>0.69290847470823425</v>
      </c>
      <c r="O15" s="509">
        <f t="shared" ca="1" si="45"/>
        <v>0.70427770248215316</v>
      </c>
      <c r="P15" s="509">
        <f t="shared" ca="1" si="45"/>
        <v>0.71019550665129039</v>
      </c>
      <c r="Q15" s="509">
        <f t="shared" ca="1" si="44"/>
        <v>0.67813698352290919</v>
      </c>
      <c r="R15" s="509">
        <f t="shared" ca="1" si="44"/>
        <v>0.70510459889489796</v>
      </c>
      <c r="S15" s="509">
        <f t="shared" ca="1" si="44"/>
        <v>0.71126268244527679</v>
      </c>
      <c r="T15" s="509">
        <f t="shared" ca="1" si="44"/>
        <v>0.71539555448653913</v>
      </c>
      <c r="U15" s="509">
        <f t="shared" ref="U15:X15" ca="1" si="46">IFERROR(U14/U5,"N/A")</f>
        <v>0.69131760186223523</v>
      </c>
      <c r="V15" s="509">
        <f t="shared" ca="1" si="46"/>
        <v>0.71029045932115797</v>
      </c>
      <c r="W15" s="509">
        <f t="shared" ca="1" si="46"/>
        <v>0.71543696621790454</v>
      </c>
      <c r="X15" s="509">
        <f t="shared" ca="1" si="46"/>
        <v>0.71895714572813108</v>
      </c>
      <c r="Y15" s="509">
        <f t="shared" ca="1" si="44"/>
        <v>0.71402308751481491</v>
      </c>
      <c r="Z15" s="509">
        <f t="shared" ca="1" si="44"/>
        <v>0.72081253406750967</v>
      </c>
      <c r="AA15" s="509">
        <f t="shared" ca="1" si="44"/>
        <v>0.72378023489156285</v>
      </c>
      <c r="AB15" s="509">
        <f t="shared" ca="1" si="44"/>
        <v>0.72565271030370915</v>
      </c>
      <c r="AC15" s="509">
        <f t="shared" ref="AC15:AN15" ca="1" si="47">IFERROR(AC14/AC5,"N/A")</f>
        <v>0.69824366071765631</v>
      </c>
      <c r="AD15" s="509">
        <f t="shared" ca="1" si="47"/>
        <v>0.71729042269894572</v>
      </c>
      <c r="AE15" s="509">
        <f t="shared" ca="1" si="47"/>
        <v>0.7197865715953421</v>
      </c>
      <c r="AF15" s="509">
        <f t="shared" ca="1" si="47"/>
        <v>0.72166846641179261</v>
      </c>
      <c r="AG15" s="509">
        <f t="shared" ca="1" si="47"/>
        <v>0.69546125846997331</v>
      </c>
      <c r="AH15" s="509">
        <f t="shared" ca="1" si="47"/>
        <v>0.71330869375184702</v>
      </c>
      <c r="AI15" s="509">
        <f t="shared" ref="AI15:AM15" ca="1" si="48">IFERROR(AI14/AI5,"N/A")</f>
        <v>0.71789025766318326</v>
      </c>
      <c r="AJ15" s="509">
        <f t="shared" ca="1" si="48"/>
        <v>0.7211504322413449</v>
      </c>
      <c r="AK15" s="509">
        <f t="shared" ca="1" si="48"/>
        <v>0.70953251239849124</v>
      </c>
      <c r="AL15" s="509">
        <f t="shared" ca="1" si="48"/>
        <v>0.72049610578065737</v>
      </c>
      <c r="AM15" s="509">
        <f t="shared" ca="1" si="48"/>
        <v>0.72400178926156389</v>
      </c>
      <c r="AN15" s="509">
        <f t="shared" ca="1" si="47"/>
        <v>0.72632838175829006</v>
      </c>
      <c r="AO15" s="44"/>
      <c r="AP15" s="57"/>
    </row>
    <row r="16" spans="1:43" x14ac:dyDescent="0.25">
      <c r="B16" s="49" t="s">
        <v>10</v>
      </c>
      <c r="C16" s="58" t="s">
        <v>37</v>
      </c>
      <c r="D16" s="59" t="s">
        <v>46</v>
      </c>
      <c r="E16" s="91">
        <f>E42</f>
        <v>0</v>
      </c>
      <c r="F16" s="91">
        <f t="shared" ref="F16:AB16" ca="1" si="49">F42</f>
        <v>0</v>
      </c>
      <c r="G16" s="91">
        <f t="shared" ca="1" si="49"/>
        <v>0</v>
      </c>
      <c r="H16" s="91">
        <f t="shared" ca="1" si="49"/>
        <v>0</v>
      </c>
      <c r="I16" s="91">
        <f t="shared" ref="I16:P16" ca="1" si="50">I42</f>
        <v>0</v>
      </c>
      <c r="J16" s="91">
        <f t="shared" ca="1" si="50"/>
        <v>0</v>
      </c>
      <c r="K16" s="91">
        <f t="shared" ca="1" si="50"/>
        <v>0</v>
      </c>
      <c r="L16" s="91">
        <f t="shared" ca="1" si="50"/>
        <v>0</v>
      </c>
      <c r="M16" s="91">
        <f t="shared" ca="1" si="50"/>
        <v>0</v>
      </c>
      <c r="N16" s="91">
        <f t="shared" ca="1" si="50"/>
        <v>0</v>
      </c>
      <c r="O16" s="91">
        <f t="shared" ca="1" si="50"/>
        <v>0</v>
      </c>
      <c r="P16" s="91">
        <f t="shared" ca="1" si="50"/>
        <v>0</v>
      </c>
      <c r="Q16" s="91">
        <f t="shared" ca="1" si="49"/>
        <v>0</v>
      </c>
      <c r="R16" s="91">
        <f t="shared" ca="1" si="49"/>
        <v>0</v>
      </c>
      <c r="S16" s="91">
        <f t="shared" ca="1" si="49"/>
        <v>0</v>
      </c>
      <c r="T16" s="91">
        <f t="shared" ca="1" si="49"/>
        <v>0</v>
      </c>
      <c r="U16" s="91">
        <f t="shared" ref="U16:X16" ca="1" si="51">U42</f>
        <v>0</v>
      </c>
      <c r="V16" s="91">
        <f t="shared" ca="1" si="51"/>
        <v>0</v>
      </c>
      <c r="W16" s="91">
        <f t="shared" ca="1" si="51"/>
        <v>0</v>
      </c>
      <c r="X16" s="91">
        <f t="shared" ca="1" si="51"/>
        <v>0</v>
      </c>
      <c r="Y16" s="91">
        <f t="shared" ca="1" si="49"/>
        <v>0</v>
      </c>
      <c r="Z16" s="91">
        <f t="shared" ca="1" si="49"/>
        <v>0</v>
      </c>
      <c r="AA16" s="91">
        <f t="shared" ca="1" si="49"/>
        <v>0</v>
      </c>
      <c r="AB16" s="91">
        <f t="shared" ca="1" si="49"/>
        <v>0</v>
      </c>
      <c r="AC16" s="91">
        <f t="shared" ref="AC16:AN16" ca="1" si="52">AC42</f>
        <v>0</v>
      </c>
      <c r="AD16" s="91">
        <f t="shared" ca="1" si="52"/>
        <v>0</v>
      </c>
      <c r="AE16" s="91">
        <f t="shared" ca="1" si="52"/>
        <v>0</v>
      </c>
      <c r="AF16" s="91">
        <f t="shared" ca="1" si="52"/>
        <v>0</v>
      </c>
      <c r="AG16" s="91">
        <f t="shared" ca="1" si="52"/>
        <v>0</v>
      </c>
      <c r="AH16" s="91">
        <f t="shared" ca="1" si="52"/>
        <v>0</v>
      </c>
      <c r="AI16" s="91">
        <f t="shared" ref="AI16:AM16" ca="1" si="53">AI42</f>
        <v>0</v>
      </c>
      <c r="AJ16" s="91">
        <f t="shared" ca="1" si="53"/>
        <v>0</v>
      </c>
      <c r="AK16" s="91">
        <f t="shared" ca="1" si="53"/>
        <v>0</v>
      </c>
      <c r="AL16" s="91">
        <f t="shared" ca="1" si="53"/>
        <v>0</v>
      </c>
      <c r="AM16" s="91">
        <f t="shared" ca="1" si="53"/>
        <v>0</v>
      </c>
      <c r="AN16" s="91">
        <f t="shared" ca="1" si="52"/>
        <v>0</v>
      </c>
      <c r="AO16" s="44"/>
      <c r="AP16" s="59"/>
    </row>
    <row r="17" spans="2:42" x14ac:dyDescent="0.25">
      <c r="B17" s="46"/>
      <c r="C17" s="60" t="s">
        <v>38</v>
      </c>
      <c r="D17" s="61" t="s">
        <v>46</v>
      </c>
      <c r="E17" s="92">
        <f>E43</f>
        <v>3775.1428000000005</v>
      </c>
      <c r="F17" s="92">
        <f t="shared" ref="F17:AB17" ca="1" si="54">F43</f>
        <v>6631.7993999999999</v>
      </c>
      <c r="G17" s="92">
        <f t="shared" ca="1" si="54"/>
        <v>9282.4958000000006</v>
      </c>
      <c r="H17" s="92">
        <f t="shared" ca="1" si="54"/>
        <v>11675.1304</v>
      </c>
      <c r="I17" s="92">
        <f t="shared" ref="I17:P17" ca="1" si="55">I43</f>
        <v>16150.9506</v>
      </c>
      <c r="J17" s="92">
        <f t="shared" ca="1" si="55"/>
        <v>28034.4028</v>
      </c>
      <c r="K17" s="92">
        <f t="shared" ca="1" si="55"/>
        <v>41299.93</v>
      </c>
      <c r="L17" s="92">
        <f t="shared" ca="1" si="55"/>
        <v>53328.113200000007</v>
      </c>
      <c r="M17" s="92">
        <f t="shared" ca="1" si="55"/>
        <v>66798.6728</v>
      </c>
      <c r="N17" s="92">
        <f t="shared" ca="1" si="55"/>
        <v>82287.8894</v>
      </c>
      <c r="O17" s="92">
        <f t="shared" ca="1" si="55"/>
        <v>102802.00660000001</v>
      </c>
      <c r="P17" s="92">
        <f t="shared" ca="1" si="55"/>
        <v>129083.76993333333</v>
      </c>
      <c r="Q17" s="92">
        <f t="shared" ca="1" si="54"/>
        <v>153946.1574</v>
      </c>
      <c r="R17" s="92">
        <f t="shared" ca="1" si="54"/>
        <v>177102.74010000002</v>
      </c>
      <c r="S17" s="92">
        <f t="shared" ca="1" si="54"/>
        <v>199733.00505000001</v>
      </c>
      <c r="T17" s="92">
        <f t="shared" ca="1" si="54"/>
        <v>220436.84685</v>
      </c>
      <c r="U17" s="92">
        <f t="shared" ref="U17:X17" ca="1" si="56">U43</f>
        <v>251088.64065000002</v>
      </c>
      <c r="V17" s="92">
        <f t="shared" ca="1" si="56"/>
        <v>279518.82149999996</v>
      </c>
      <c r="W17" s="92">
        <f t="shared" ca="1" si="56"/>
        <v>311993.60370000004</v>
      </c>
      <c r="X17" s="92">
        <f t="shared" ca="1" si="56"/>
        <v>339024.14009999996</v>
      </c>
      <c r="Y17" s="92">
        <f t="shared" ca="1" si="54"/>
        <v>363840.42960000003</v>
      </c>
      <c r="Z17" s="92">
        <f t="shared" ca="1" si="54"/>
        <v>398795.02905000001</v>
      </c>
      <c r="AA17" s="92">
        <f t="shared" ca="1" si="54"/>
        <v>432380.66895000002</v>
      </c>
      <c r="AB17" s="92">
        <f t="shared" ca="1" si="54"/>
        <v>486605.66913333331</v>
      </c>
      <c r="AC17" s="92">
        <f t="shared" ref="AC17:AN17" ca="1" si="57">AC43</f>
        <v>536988.85706249997</v>
      </c>
      <c r="AD17" s="92">
        <f t="shared" ca="1" si="57"/>
        <v>575853.25173749996</v>
      </c>
      <c r="AE17" s="92">
        <f t="shared" ca="1" si="57"/>
        <v>611363.55213750002</v>
      </c>
      <c r="AF17" s="92">
        <f t="shared" ca="1" si="57"/>
        <v>641374.37159999995</v>
      </c>
      <c r="AG17" s="92">
        <f t="shared" ca="1" si="57"/>
        <v>692248.99436250003</v>
      </c>
      <c r="AH17" s="92">
        <f t="shared" ca="1" si="57"/>
        <v>755805.58754999994</v>
      </c>
      <c r="AI17" s="92">
        <f t="shared" ref="AI17:AM17" ca="1" si="58">AI43</f>
        <v>838376.36366249993</v>
      </c>
      <c r="AJ17" s="92">
        <f t="shared" ca="1" si="58"/>
        <v>909407.87962500006</v>
      </c>
      <c r="AK17" s="92">
        <f t="shared" ca="1" si="58"/>
        <v>993755.68845000002</v>
      </c>
      <c r="AL17" s="92">
        <f t="shared" ca="1" si="58"/>
        <v>1084438.0663875001</v>
      </c>
      <c r="AM17" s="92">
        <f t="shared" ca="1" si="58"/>
        <v>1191185.6221875001</v>
      </c>
      <c r="AN17" s="92">
        <f t="shared" ca="1" si="57"/>
        <v>1355501.1445416666</v>
      </c>
      <c r="AO17" s="44"/>
      <c r="AP17" s="61"/>
    </row>
    <row r="18" spans="2:42" x14ac:dyDescent="0.25">
      <c r="B18" s="46"/>
      <c r="C18" s="75" t="s">
        <v>39</v>
      </c>
      <c r="D18" s="84" t="s">
        <v>46</v>
      </c>
      <c r="E18" s="679">
        <f ca="1">E14-E16-E17</f>
        <v>-92835.379146129126</v>
      </c>
      <c r="F18" s="93">
        <f t="shared" ref="F18:AB18" ca="1" si="59">F14-F16-F17</f>
        <v>322135.53002088028</v>
      </c>
      <c r="G18" s="93">
        <f t="shared" ca="1" si="59"/>
        <v>501527.22519697942</v>
      </c>
      <c r="H18" s="93">
        <f t="shared" ca="1" si="59"/>
        <v>670046.26417580608</v>
      </c>
      <c r="I18" s="679">
        <f t="shared" ref="I18:P18" ca="1" si="60">I14-I16-I17</f>
        <v>865358.95274539758</v>
      </c>
      <c r="J18" s="93">
        <f t="shared" ca="1" si="60"/>
        <v>1634383.7260777142</v>
      </c>
      <c r="K18" s="93">
        <f t="shared" ca="1" si="60"/>
        <v>2707767.8855759017</v>
      </c>
      <c r="L18" s="93">
        <f t="shared" ca="1" si="60"/>
        <v>3599583.9126818371</v>
      </c>
      <c r="M18" s="93">
        <f t="shared" ca="1" si="60"/>
        <v>4421754.0006698444</v>
      </c>
      <c r="N18" s="93">
        <f t="shared" ca="1" si="60"/>
        <v>5619509.7037113886</v>
      </c>
      <c r="O18" s="93">
        <f t="shared" ca="1" si="60"/>
        <v>7137314.0952803148</v>
      </c>
      <c r="P18" s="93">
        <f t="shared" ca="1" si="60"/>
        <v>8588597.0813470762</v>
      </c>
      <c r="Q18" s="679">
        <f t="shared" ca="1" si="59"/>
        <v>10285712.123017898</v>
      </c>
      <c r="R18" s="93">
        <f t="shared" ca="1" si="59"/>
        <v>12310492.912039787</v>
      </c>
      <c r="S18" s="93">
        <f t="shared" ca="1" si="59"/>
        <v>14006530.289421901</v>
      </c>
      <c r="T18" s="93">
        <f t="shared" ca="1" si="59"/>
        <v>15549517.181302004</v>
      </c>
      <c r="U18" s="93">
        <f t="shared" ref="U18:X18" ca="1" si="61">U14-U16-U17</f>
        <v>17107111.050250657</v>
      </c>
      <c r="V18" s="93">
        <f t="shared" ca="1" si="61"/>
        <v>19574436.389714375</v>
      </c>
      <c r="W18" s="93">
        <f t="shared" ca="1" si="61"/>
        <v>22009182.127351921</v>
      </c>
      <c r="X18" s="93">
        <f t="shared" ca="1" si="61"/>
        <v>24035358.669823002</v>
      </c>
      <c r="Y18" s="93">
        <f t="shared" ca="1" si="59"/>
        <v>25615206.260970864</v>
      </c>
      <c r="Z18" s="93">
        <f t="shared" ca="1" si="59"/>
        <v>28346850.517255664</v>
      </c>
      <c r="AA18" s="93">
        <f t="shared" ca="1" si="59"/>
        <v>30862477.544570211</v>
      </c>
      <c r="AB18" s="93">
        <f t="shared" ca="1" si="59"/>
        <v>33058311.668036301</v>
      </c>
      <c r="AC18" s="93">
        <f t="shared" ref="AC18:AN18" ca="1" si="62">AC14-AC16-AC17</f>
        <v>36957917.674928531</v>
      </c>
      <c r="AD18" s="93">
        <f t="shared" ca="1" si="62"/>
        <v>40729548.983397879</v>
      </c>
      <c r="AE18" s="93">
        <f t="shared" ca="1" si="62"/>
        <v>43393763.96700263</v>
      </c>
      <c r="AF18" s="93">
        <f t="shared" ca="1" si="62"/>
        <v>45644591.543239914</v>
      </c>
      <c r="AG18" s="93">
        <f t="shared" ca="1" si="62"/>
        <v>47450986.685029268</v>
      </c>
      <c r="AH18" s="93">
        <f t="shared" ca="1" si="62"/>
        <v>53156464.051013775</v>
      </c>
      <c r="AI18" s="93">
        <f t="shared" ref="AI18:AM18" ca="1" si="63">AI14-AI16-AI17</f>
        <v>59347846.00917697</v>
      </c>
      <c r="AJ18" s="93">
        <f t="shared" ca="1" si="63"/>
        <v>64672580.667900376</v>
      </c>
      <c r="AK18" s="93">
        <f t="shared" ca="1" si="63"/>
        <v>69516441.345172092</v>
      </c>
      <c r="AL18" s="93">
        <f t="shared" ca="1" si="63"/>
        <v>77048902.312862471</v>
      </c>
      <c r="AM18" s="93">
        <f t="shared" ca="1" si="63"/>
        <v>85050866.558452427</v>
      </c>
      <c r="AN18" s="679">
        <f t="shared" ca="1" si="62"/>
        <v>91820407.893327296</v>
      </c>
      <c r="AO18" s="44"/>
      <c r="AP18" s="76"/>
    </row>
    <row r="19" spans="2:42" x14ac:dyDescent="0.25">
      <c r="B19" s="62" t="s">
        <v>9</v>
      </c>
      <c r="C19" s="77" t="s">
        <v>40</v>
      </c>
      <c r="D19" s="78" t="s">
        <v>29</v>
      </c>
      <c r="E19" s="508">
        <f ca="1">IFERROR(E18/E5,"N/A")</f>
        <v>-0.24591223183962502</v>
      </c>
      <c r="F19" s="508">
        <f t="shared" ref="F19:AB19" ca="1" si="64">IFERROR(F18/F5,"N/A")</f>
        <v>0.48574377871091867</v>
      </c>
      <c r="G19" s="508">
        <f t="shared" ca="1" si="64"/>
        <v>0.54029351157581929</v>
      </c>
      <c r="H19" s="508">
        <f t="shared" ca="1" si="64"/>
        <v>0.57390901961643703</v>
      </c>
      <c r="I19" s="508">
        <f t="shared" ref="I19:P19" ca="1" si="65">IFERROR(I18/I5,"N/A")</f>
        <v>0.53579443970647622</v>
      </c>
      <c r="J19" s="508">
        <f t="shared" ca="1" si="65"/>
        <v>0.5829921677795521</v>
      </c>
      <c r="K19" s="508">
        <f t="shared" ca="1" si="65"/>
        <v>0.65563498184522384</v>
      </c>
      <c r="L19" s="508">
        <f t="shared" ca="1" si="65"/>
        <v>0.67498804977068583</v>
      </c>
      <c r="M19" s="508">
        <f t="shared" ca="1" si="65"/>
        <v>0.66195237350132563</v>
      </c>
      <c r="N19" s="508">
        <f t="shared" ca="1" si="65"/>
        <v>0.68290847470823435</v>
      </c>
      <c r="O19" s="508">
        <f t="shared" ca="1" si="65"/>
        <v>0.69427770248215315</v>
      </c>
      <c r="P19" s="508">
        <f t="shared" ca="1" si="65"/>
        <v>0.69967955465073073</v>
      </c>
      <c r="Q19" s="508">
        <f t="shared" ca="1" si="64"/>
        <v>0.66813698352290918</v>
      </c>
      <c r="R19" s="508">
        <f t="shared" ca="1" si="64"/>
        <v>0.69510459889489795</v>
      </c>
      <c r="S19" s="508">
        <f t="shared" ca="1" si="64"/>
        <v>0.70126268244527679</v>
      </c>
      <c r="T19" s="508">
        <f t="shared" ca="1" si="64"/>
        <v>0.70539555448653912</v>
      </c>
      <c r="U19" s="508">
        <f t="shared" ref="U19:X19" ca="1" si="66">IFERROR(U18/U5,"N/A")</f>
        <v>0.68131760186223522</v>
      </c>
      <c r="V19" s="508">
        <f t="shared" ca="1" si="66"/>
        <v>0.70029045932115797</v>
      </c>
      <c r="W19" s="508">
        <f t="shared" ca="1" si="66"/>
        <v>0.70543696621790453</v>
      </c>
      <c r="X19" s="508">
        <f t="shared" ca="1" si="66"/>
        <v>0.70895714572813107</v>
      </c>
      <c r="Y19" s="508">
        <f t="shared" ca="1" si="64"/>
        <v>0.7040230875148149</v>
      </c>
      <c r="Z19" s="508">
        <f t="shared" ca="1" si="64"/>
        <v>0.71081253406750966</v>
      </c>
      <c r="AA19" s="508">
        <f t="shared" ca="1" si="64"/>
        <v>0.71378023489156284</v>
      </c>
      <c r="AB19" s="508">
        <f t="shared" ca="1" si="64"/>
        <v>0.71512632506607166</v>
      </c>
      <c r="AC19" s="508">
        <f t="shared" ref="AC19:AN19" ca="1" si="67">IFERROR(AC18/AC5,"N/A")</f>
        <v>0.68824366071765641</v>
      </c>
      <c r="AD19" s="508">
        <f t="shared" ca="1" si="67"/>
        <v>0.70729042269894582</v>
      </c>
      <c r="AE19" s="508">
        <f t="shared" ca="1" si="67"/>
        <v>0.70978657159534209</v>
      </c>
      <c r="AF19" s="508">
        <f t="shared" ca="1" si="67"/>
        <v>0.7116684664117926</v>
      </c>
      <c r="AG19" s="508">
        <f t="shared" ca="1" si="67"/>
        <v>0.6854612584699733</v>
      </c>
      <c r="AH19" s="508">
        <f t="shared" ca="1" si="67"/>
        <v>0.70330869375184701</v>
      </c>
      <c r="AI19" s="508">
        <f t="shared" ref="AI19:AM19" ca="1" si="68">IFERROR(AI18/AI5,"N/A")</f>
        <v>0.70789025766318325</v>
      </c>
      <c r="AJ19" s="508">
        <f t="shared" ca="1" si="68"/>
        <v>0.71115043224134489</v>
      </c>
      <c r="AK19" s="508">
        <f t="shared" ca="1" si="68"/>
        <v>0.69953251239849135</v>
      </c>
      <c r="AL19" s="508">
        <f t="shared" ca="1" si="68"/>
        <v>0.71049610578065736</v>
      </c>
      <c r="AM19" s="508">
        <f t="shared" ca="1" si="68"/>
        <v>0.71400178926156388</v>
      </c>
      <c r="AN19" s="508">
        <f t="shared" ca="1" si="67"/>
        <v>0.71576192780090153</v>
      </c>
      <c r="AO19" s="44"/>
      <c r="AP19" s="78"/>
    </row>
    <row r="20" spans="2:42" ht="3" customHeight="1" x14ac:dyDescent="0.25">
      <c r="AO20" s="44"/>
    </row>
    <row r="21" spans="2:42" s="12" customFormat="1" x14ac:dyDescent="0.25">
      <c r="B21" s="13" t="s">
        <v>0</v>
      </c>
      <c r="C21" s="259" t="s">
        <v>41</v>
      </c>
      <c r="D21" s="256" t="s">
        <v>14</v>
      </c>
      <c r="E21" s="254">
        <v>45688</v>
      </c>
      <c r="F21" s="254">
        <v>45716</v>
      </c>
      <c r="G21" s="254">
        <v>45747</v>
      </c>
      <c r="H21" s="254">
        <v>45777</v>
      </c>
      <c r="I21" s="254">
        <v>45808</v>
      </c>
      <c r="J21" s="254">
        <v>45838</v>
      </c>
      <c r="K21" s="254">
        <v>45869</v>
      </c>
      <c r="L21" s="254">
        <v>45900</v>
      </c>
      <c r="M21" s="254">
        <v>45930</v>
      </c>
      <c r="N21" s="254">
        <v>45961</v>
      </c>
      <c r="O21" s="254">
        <v>45991</v>
      </c>
      <c r="P21" s="254">
        <v>46022</v>
      </c>
      <c r="Q21" s="254">
        <f t="shared" ref="Q21:AB21" si="69">E21+365.25</f>
        <v>46053.25</v>
      </c>
      <c r="R21" s="254">
        <f t="shared" si="69"/>
        <v>46081.25</v>
      </c>
      <c r="S21" s="254">
        <f t="shared" si="69"/>
        <v>46112.25</v>
      </c>
      <c r="T21" s="254">
        <f t="shared" si="69"/>
        <v>46142.25</v>
      </c>
      <c r="U21" s="254">
        <f t="shared" si="69"/>
        <v>46173.25</v>
      </c>
      <c r="V21" s="254">
        <f t="shared" si="69"/>
        <v>46203.25</v>
      </c>
      <c r="W21" s="254">
        <f t="shared" si="69"/>
        <v>46234.25</v>
      </c>
      <c r="X21" s="254">
        <f t="shared" si="69"/>
        <v>46265.25</v>
      </c>
      <c r="Y21" s="254">
        <f t="shared" si="69"/>
        <v>46295.25</v>
      </c>
      <c r="Z21" s="254">
        <f t="shared" si="69"/>
        <v>46326.25</v>
      </c>
      <c r="AA21" s="254">
        <f t="shared" si="69"/>
        <v>46356.25</v>
      </c>
      <c r="AB21" s="254">
        <f t="shared" si="69"/>
        <v>46387.25</v>
      </c>
      <c r="AC21" s="254">
        <f t="shared" ref="AC21" si="70">Q21+365.25</f>
        <v>46418.5</v>
      </c>
      <c r="AD21" s="254">
        <f t="shared" ref="AD21" si="71">R21+365.25</f>
        <v>46446.5</v>
      </c>
      <c r="AE21" s="254">
        <f t="shared" ref="AE21" si="72">S21+365.25</f>
        <v>46477.5</v>
      </c>
      <c r="AF21" s="254">
        <f t="shared" ref="AF21" si="73">T21+365.25</f>
        <v>46507.5</v>
      </c>
      <c r="AG21" s="254">
        <f t="shared" ref="AG21" si="74">U21+365.25</f>
        <v>46538.5</v>
      </c>
      <c r="AH21" s="254">
        <f t="shared" ref="AH21" si="75">V21+365.25</f>
        <v>46568.5</v>
      </c>
      <c r="AI21" s="254">
        <f t="shared" ref="AI21" si="76">W21+365.25</f>
        <v>46599.5</v>
      </c>
      <c r="AJ21" s="254">
        <f t="shared" ref="AJ21" si="77">X21+365.25</f>
        <v>46630.5</v>
      </c>
      <c r="AK21" s="254">
        <f t="shared" ref="AK21" si="78">Y21+365.25</f>
        <v>46660.5</v>
      </c>
      <c r="AL21" s="254">
        <f t="shared" ref="AL21" si="79">Z21+365.25</f>
        <v>46691.5</v>
      </c>
      <c r="AM21" s="254">
        <f t="shared" ref="AM21" si="80">AA21+365.25</f>
        <v>46721.5</v>
      </c>
      <c r="AN21" s="254">
        <f t="shared" ref="AN21" si="81">AB21+365.25</f>
        <v>46752.5</v>
      </c>
      <c r="AO21" s="257"/>
      <c r="AP21" s="258" t="s">
        <v>45</v>
      </c>
    </row>
    <row r="22" spans="2:42" s="74" customFormat="1" x14ac:dyDescent="0.25">
      <c r="B22" s="72" t="s">
        <v>10</v>
      </c>
      <c r="C22" s="82" t="s">
        <v>4</v>
      </c>
      <c r="D22" s="81" t="s">
        <v>46</v>
      </c>
      <c r="E22" s="507">
        <f>SUM(E23:E27)</f>
        <v>377514.28</v>
      </c>
      <c r="F22" s="507">
        <f t="shared" ref="F22:AN22" ca="1" si="82">SUM(F23:F27)</f>
        <v>663179.93999999994</v>
      </c>
      <c r="G22" s="507">
        <f t="shared" ca="1" si="82"/>
        <v>928249.58</v>
      </c>
      <c r="H22" s="507">
        <f t="shared" ca="1" si="82"/>
        <v>1167513.04</v>
      </c>
      <c r="I22" s="507">
        <f t="shared" ca="1" si="82"/>
        <v>1615095.06</v>
      </c>
      <c r="J22" s="507">
        <f t="shared" ca="1" si="82"/>
        <v>2803440.28</v>
      </c>
      <c r="K22" s="507">
        <f t="shared" ca="1" si="82"/>
        <v>4129993</v>
      </c>
      <c r="L22" s="507">
        <f t="shared" ca="1" si="82"/>
        <v>5332811.32</v>
      </c>
      <c r="M22" s="507">
        <f t="shared" ca="1" si="82"/>
        <v>6679867.2800000003</v>
      </c>
      <c r="N22" s="507">
        <f t="shared" ca="1" si="82"/>
        <v>8228788.9400000004</v>
      </c>
      <c r="O22" s="507">
        <f t="shared" ca="1" si="82"/>
        <v>10280200.66</v>
      </c>
      <c r="P22" s="507">
        <f t="shared" ca="1" si="82"/>
        <v>12275043.66</v>
      </c>
      <c r="Q22" s="507">
        <f t="shared" ca="1" si="82"/>
        <v>15394615.74</v>
      </c>
      <c r="R22" s="507">
        <f t="shared" ca="1" si="82"/>
        <v>17710274.010000002</v>
      </c>
      <c r="S22" s="507">
        <f t="shared" ca="1" si="82"/>
        <v>19973300.504999999</v>
      </c>
      <c r="T22" s="507">
        <f t="shared" ca="1" si="82"/>
        <v>22043684.684999999</v>
      </c>
      <c r="U22" s="507">
        <f t="shared" ca="1" si="82"/>
        <v>25108864.065000001</v>
      </c>
      <c r="V22" s="507">
        <f t="shared" ca="1" si="82"/>
        <v>27951882.149999999</v>
      </c>
      <c r="W22" s="507">
        <f t="shared" ca="1" si="82"/>
        <v>31199360.370000001</v>
      </c>
      <c r="X22" s="507">
        <f t="shared" ca="1" si="82"/>
        <v>33902414.009999998</v>
      </c>
      <c r="Y22" s="507">
        <f t="shared" ca="1" si="82"/>
        <v>36384042.960000001</v>
      </c>
      <c r="Z22" s="507">
        <f t="shared" ca="1" si="82"/>
        <v>39879502.905000001</v>
      </c>
      <c r="AA22" s="507">
        <f t="shared" ca="1" si="82"/>
        <v>43238066.895000003</v>
      </c>
      <c r="AB22" s="507">
        <f t="shared" ca="1" si="82"/>
        <v>46227233.579999998</v>
      </c>
      <c r="AC22" s="507">
        <f t="shared" ca="1" si="82"/>
        <v>53698885.706249997</v>
      </c>
      <c r="AD22" s="507">
        <f t="shared" ca="1" si="82"/>
        <v>57585325.173749998</v>
      </c>
      <c r="AE22" s="507">
        <f t="shared" ca="1" si="82"/>
        <v>61136355.213749997</v>
      </c>
      <c r="AF22" s="507">
        <f t="shared" ca="1" si="82"/>
        <v>64137437.159999996</v>
      </c>
      <c r="AG22" s="507">
        <f t="shared" ca="1" si="82"/>
        <v>69224899.436250001</v>
      </c>
      <c r="AH22" s="507">
        <f t="shared" ca="1" si="82"/>
        <v>75580558.754999995</v>
      </c>
      <c r="AI22" s="507">
        <f t="shared" ca="1" si="82"/>
        <v>83837636.366249993</v>
      </c>
      <c r="AJ22" s="507">
        <f t="shared" ca="1" si="82"/>
        <v>90940787.962500006</v>
      </c>
      <c r="AK22" s="507">
        <f t="shared" ca="1" si="82"/>
        <v>99375568.844999999</v>
      </c>
      <c r="AL22" s="507">
        <f t="shared" ca="1" si="82"/>
        <v>108443806.63875</v>
      </c>
      <c r="AM22" s="507">
        <f t="shared" ca="1" si="82"/>
        <v>119118562.21875</v>
      </c>
      <c r="AN22" s="507">
        <f t="shared" ca="1" si="82"/>
        <v>128283447.78749999</v>
      </c>
      <c r="AO22" s="86"/>
      <c r="AP22" s="81"/>
    </row>
    <row r="23" spans="2:42" x14ac:dyDescent="0.25">
      <c r="B23" s="49"/>
      <c r="C23" s="28" t="s">
        <v>682</v>
      </c>
      <c r="D23" s="63" t="s">
        <v>46</v>
      </c>
      <c r="E23" s="501">
        <f>'3.3 Revenue'!E5</f>
        <v>0</v>
      </c>
      <c r="F23" s="502">
        <f>'3.3 Revenue'!F5</f>
        <v>0</v>
      </c>
      <c r="G23" s="502">
        <f>'3.3 Revenue'!G5</f>
        <v>0</v>
      </c>
      <c r="H23" s="502">
        <f>'3.3 Revenue'!H5</f>
        <v>0</v>
      </c>
      <c r="I23" s="502">
        <f>'3.3 Revenue'!I5</f>
        <v>0</v>
      </c>
      <c r="J23" s="502">
        <f>'3.3 Revenue'!J5</f>
        <v>0</v>
      </c>
      <c r="K23" s="502">
        <f>'3.3 Revenue'!K5</f>
        <v>0</v>
      </c>
      <c r="L23" s="502">
        <f>'3.3 Revenue'!L5</f>
        <v>0</v>
      </c>
      <c r="M23" s="502">
        <f>'3.3 Revenue'!M5</f>
        <v>0</v>
      </c>
      <c r="N23" s="502">
        <f>'3.3 Revenue'!N5</f>
        <v>0</v>
      </c>
      <c r="O23" s="502">
        <f>'3.3 Revenue'!O5</f>
        <v>0</v>
      </c>
      <c r="P23" s="502">
        <f>'3.3 Revenue'!P5</f>
        <v>0</v>
      </c>
      <c r="Q23" s="502">
        <f>'3.3 Revenue'!Q5</f>
        <v>0</v>
      </c>
      <c r="R23" s="502">
        <f>'3.3 Revenue'!R5</f>
        <v>0</v>
      </c>
      <c r="S23" s="502">
        <f>'3.3 Revenue'!S5</f>
        <v>0</v>
      </c>
      <c r="T23" s="502">
        <f>'3.3 Revenue'!T5</f>
        <v>0</v>
      </c>
      <c r="U23" s="502">
        <f>'3.3 Revenue'!U5</f>
        <v>0</v>
      </c>
      <c r="V23" s="502">
        <f>'3.3 Revenue'!V5</f>
        <v>0</v>
      </c>
      <c r="W23" s="502">
        <f>'3.3 Revenue'!W5</f>
        <v>0</v>
      </c>
      <c r="X23" s="502">
        <f>'3.3 Revenue'!X5</f>
        <v>0</v>
      </c>
      <c r="Y23" s="502">
        <f>'3.3 Revenue'!Y5</f>
        <v>0</v>
      </c>
      <c r="Z23" s="502">
        <f>'3.3 Revenue'!Z5</f>
        <v>0</v>
      </c>
      <c r="AA23" s="502">
        <f>'3.3 Revenue'!AA5</f>
        <v>0</v>
      </c>
      <c r="AB23" s="502">
        <f>'3.3 Revenue'!AB5</f>
        <v>0</v>
      </c>
      <c r="AC23" s="502">
        <f>'3.3 Revenue'!AC5</f>
        <v>0</v>
      </c>
      <c r="AD23" s="502">
        <f>'3.3 Revenue'!AD5</f>
        <v>0</v>
      </c>
      <c r="AE23" s="502">
        <f>'3.3 Revenue'!AE5</f>
        <v>0</v>
      </c>
      <c r="AF23" s="502">
        <f>'3.3 Revenue'!AF5</f>
        <v>0</v>
      </c>
      <c r="AG23" s="502">
        <f>'3.3 Revenue'!AG5</f>
        <v>0</v>
      </c>
      <c r="AH23" s="502">
        <f>'3.3 Revenue'!AH5</f>
        <v>0</v>
      </c>
      <c r="AI23" s="502">
        <f>'3.3 Revenue'!AI5</f>
        <v>0</v>
      </c>
      <c r="AJ23" s="502">
        <f>'3.3 Revenue'!AJ5</f>
        <v>0</v>
      </c>
      <c r="AK23" s="502">
        <f>'3.3 Revenue'!AK5</f>
        <v>0</v>
      </c>
      <c r="AL23" s="502">
        <f>'3.3 Revenue'!AL5</f>
        <v>0</v>
      </c>
      <c r="AM23" s="502">
        <f>'3.3 Revenue'!AM5</f>
        <v>0</v>
      </c>
      <c r="AN23" s="502">
        <f>'3.3 Revenue'!AN5</f>
        <v>0</v>
      </c>
      <c r="AO23" s="44"/>
      <c r="AP23" s="63"/>
    </row>
    <row r="24" spans="2:42" x14ac:dyDescent="0.25">
      <c r="B24" s="49"/>
      <c r="C24" s="21" t="s">
        <v>659</v>
      </c>
      <c r="D24" s="64" t="s">
        <v>46</v>
      </c>
      <c r="E24" s="503">
        <f>'3.3 Revenue'!E6</f>
        <v>81261</v>
      </c>
      <c r="F24" s="504">
        <f>'3.3 Revenue'!F6</f>
        <v>79613</v>
      </c>
      <c r="G24" s="504">
        <f>'3.3 Revenue'!G6</f>
        <v>76408</v>
      </c>
      <c r="H24" s="504">
        <f>'3.3 Revenue'!H6</f>
        <v>71076</v>
      </c>
      <c r="I24" s="504">
        <f>'3.3 Revenue'!I6</f>
        <v>113244</v>
      </c>
      <c r="J24" s="504">
        <f>'3.3 Revenue'!J6</f>
        <v>161633</v>
      </c>
      <c r="K24" s="504">
        <f>'3.3 Revenue'!K6</f>
        <v>138986</v>
      </c>
      <c r="L24" s="504">
        <f>'3.3 Revenue'!L6</f>
        <v>118556</v>
      </c>
      <c r="M24" s="504">
        <f>'3.3 Revenue'!M6</f>
        <v>153753</v>
      </c>
      <c r="N24" s="504">
        <f>'3.3 Revenue'!N6</f>
        <v>144694</v>
      </c>
      <c r="O24" s="504">
        <f>'3.3 Revenue'!O6</f>
        <v>136325</v>
      </c>
      <c r="P24" s="504">
        <f>'3.3 Revenue'!P6</f>
        <v>128895</v>
      </c>
      <c r="Q24" s="504">
        <f>'3.3 Revenue'!Q6</f>
        <v>329660</v>
      </c>
      <c r="R24" s="504">
        <f>'3.3 Revenue'!R6</f>
        <v>283389</v>
      </c>
      <c r="S24" s="504">
        <f>'3.3 Revenue'!S6</f>
        <v>245446</v>
      </c>
      <c r="T24" s="504">
        <f>'3.3 Revenue'!T6</f>
        <v>212724</v>
      </c>
      <c r="U24" s="504">
        <f>'3.3 Revenue'!U6</f>
        <v>453183</v>
      </c>
      <c r="V24" s="504">
        <f>'3.3 Revenue'!V6</f>
        <v>397817</v>
      </c>
      <c r="W24" s="504">
        <f>'3.3 Revenue'!W6</f>
        <v>347882</v>
      </c>
      <c r="X24" s="504">
        <f>'3.3 Revenue'!X6</f>
        <v>302610</v>
      </c>
      <c r="Y24" s="504">
        <f>'3.3 Revenue'!Y6</f>
        <v>336794</v>
      </c>
      <c r="Z24" s="504">
        <f>'3.3 Revenue'!Z6</f>
        <v>299430</v>
      </c>
      <c r="AA24" s="504">
        <f>'3.3 Revenue'!AA6</f>
        <v>268167</v>
      </c>
      <c r="AB24" s="504">
        <f>'3.3 Revenue'!AB6</f>
        <v>240288</v>
      </c>
      <c r="AC24" s="504">
        <f>'3.3 Revenue'!AC6</f>
        <v>860581</v>
      </c>
      <c r="AD24" s="504">
        <f>'3.3 Revenue'!AD6</f>
        <v>745318</v>
      </c>
      <c r="AE24" s="504">
        <f>'3.3 Revenue'!AE6</f>
        <v>646390</v>
      </c>
      <c r="AF24" s="504">
        <f>'3.3 Revenue'!AF6</f>
        <v>559453</v>
      </c>
      <c r="AG24" s="504">
        <f>'3.3 Revenue'!AG6</f>
        <v>1184120</v>
      </c>
      <c r="AH24" s="504">
        <f>'3.3 Revenue'!AH6</f>
        <v>1027532</v>
      </c>
      <c r="AI24" s="504">
        <f>'3.3 Revenue'!AI6</f>
        <v>892001</v>
      </c>
      <c r="AJ24" s="504">
        <f>'3.3 Revenue'!AJ6</f>
        <v>773953</v>
      </c>
      <c r="AK24" s="504">
        <f>'3.3 Revenue'!AK6</f>
        <v>1177061</v>
      </c>
      <c r="AL24" s="504">
        <f>'3.3 Revenue'!AL6</f>
        <v>1001263</v>
      </c>
      <c r="AM24" s="504">
        <f>'3.3 Revenue'!AM6</f>
        <v>854959</v>
      </c>
      <c r="AN24" s="504">
        <f>'3.3 Revenue'!AN6</f>
        <v>732239</v>
      </c>
      <c r="AO24" s="44"/>
      <c r="AP24" s="64"/>
    </row>
    <row r="25" spans="2:42" x14ac:dyDescent="0.25">
      <c r="B25" s="49"/>
      <c r="C25" s="21" t="s">
        <v>681</v>
      </c>
      <c r="D25" s="65" t="s">
        <v>46</v>
      </c>
      <c r="E25" s="505">
        <f>'3.3 Revenue'!E7</f>
        <v>109378</v>
      </c>
      <c r="F25" s="506">
        <f>'3.3 Revenue'!F7</f>
        <v>106409</v>
      </c>
      <c r="G25" s="506">
        <f>'3.3 Revenue'!G7</f>
        <v>103371</v>
      </c>
      <c r="H25" s="506">
        <f>'3.3 Revenue'!H7</f>
        <v>95726</v>
      </c>
      <c r="I25" s="506">
        <f>'3.3 Revenue'!I7</f>
        <v>151984</v>
      </c>
      <c r="J25" s="506">
        <f>'3.3 Revenue'!J7</f>
        <v>216556</v>
      </c>
      <c r="K25" s="506">
        <f>'3.3 Revenue'!K7</f>
        <v>184414</v>
      </c>
      <c r="L25" s="506">
        <f>'3.3 Revenue'!L7</f>
        <v>158710</v>
      </c>
      <c r="M25" s="506">
        <f>'3.3 Revenue'!M7</f>
        <v>206411</v>
      </c>
      <c r="N25" s="506">
        <f>'3.3 Revenue'!N7</f>
        <v>193028</v>
      </c>
      <c r="O25" s="506">
        <f>'3.3 Revenue'!O7</f>
        <v>182683</v>
      </c>
      <c r="P25" s="506">
        <f>'3.3 Revenue'!P7</f>
        <v>171638</v>
      </c>
      <c r="Q25" s="506">
        <f>'3.3 Revenue'!Q7</f>
        <v>441152</v>
      </c>
      <c r="R25" s="506">
        <f>'3.3 Revenue'!R7</f>
        <v>379349</v>
      </c>
      <c r="S25" s="506">
        <f>'3.3 Revenue'!S7</f>
        <v>329098</v>
      </c>
      <c r="T25" s="506">
        <f>'3.3 Revenue'!T7</f>
        <v>286204</v>
      </c>
      <c r="U25" s="506">
        <f>'3.3 Revenue'!U7</f>
        <v>607514</v>
      </c>
      <c r="V25" s="506">
        <f>'3.3 Revenue'!V7</f>
        <v>532478</v>
      </c>
      <c r="W25" s="506">
        <f>'3.3 Revenue'!W7</f>
        <v>465149</v>
      </c>
      <c r="X25" s="506">
        <f>'3.3 Revenue'!X7</f>
        <v>405253</v>
      </c>
      <c r="Y25" s="506">
        <f>'3.3 Revenue'!Y7</f>
        <v>451704</v>
      </c>
      <c r="Z25" s="506">
        <f>'3.3 Revenue'!Z7</f>
        <v>400484</v>
      </c>
      <c r="AA25" s="506">
        <f>'3.3 Revenue'!AA7</f>
        <v>358409</v>
      </c>
      <c r="AB25" s="506">
        <f>'3.3 Revenue'!AB7</f>
        <v>321191</v>
      </c>
      <c r="AC25" s="506">
        <f>'3.3 Revenue'!AC7</f>
        <v>1151384</v>
      </c>
      <c r="AD25" s="506">
        <f>'3.3 Revenue'!AD7</f>
        <v>996686</v>
      </c>
      <c r="AE25" s="506">
        <f>'3.3 Revenue'!AE7</f>
        <v>865266</v>
      </c>
      <c r="AF25" s="506">
        <f>'3.3 Revenue'!AF7</f>
        <v>749005</v>
      </c>
      <c r="AG25" s="506">
        <f>'3.3 Revenue'!AG7</f>
        <v>1584519</v>
      </c>
      <c r="AH25" s="506">
        <f>'3.3 Revenue'!AH7</f>
        <v>1374237</v>
      </c>
      <c r="AI25" s="506">
        <f>'3.3 Revenue'!AI7</f>
        <v>1192097</v>
      </c>
      <c r="AJ25" s="506">
        <f>'3.3 Revenue'!AJ7</f>
        <v>1034742</v>
      </c>
      <c r="AK25" s="506">
        <f>'3.3 Revenue'!AK7</f>
        <v>1573050</v>
      </c>
      <c r="AL25" s="506">
        <f>'3.3 Revenue'!AL7</f>
        <v>1339433</v>
      </c>
      <c r="AM25" s="506">
        <f>'3.3 Revenue'!AM7</f>
        <v>1143441</v>
      </c>
      <c r="AN25" s="506">
        <f>'3.3 Revenue'!AN7</f>
        <v>978791</v>
      </c>
      <c r="AO25" s="44"/>
      <c r="AP25" s="65"/>
    </row>
    <row r="26" spans="2:42" x14ac:dyDescent="0.25">
      <c r="B26" s="49"/>
      <c r="C26" s="22" t="s">
        <v>680</v>
      </c>
      <c r="D26" s="65" t="s">
        <v>46</v>
      </c>
      <c r="E26" s="505">
        <f>'3.3 Revenue'!E8</f>
        <v>181250</v>
      </c>
      <c r="F26" s="506">
        <f>'3.3 Revenue'!F8</f>
        <v>468750</v>
      </c>
      <c r="G26" s="506">
        <f>'3.3 Revenue'!G8</f>
        <v>737500</v>
      </c>
      <c r="H26" s="506">
        <f>'3.3 Revenue'!H8</f>
        <v>987500</v>
      </c>
      <c r="I26" s="506">
        <f>'3.3 Revenue'!I8</f>
        <v>1331250</v>
      </c>
      <c r="J26" s="506">
        <f>'3.3 Revenue'!J8</f>
        <v>2393750</v>
      </c>
      <c r="K26" s="506">
        <f>'3.3 Revenue'!K8</f>
        <v>3762500</v>
      </c>
      <c r="L26" s="506">
        <f>'3.3 Revenue'!L8</f>
        <v>5000000</v>
      </c>
      <c r="M26" s="506">
        <f>'3.3 Revenue'!M8</f>
        <v>6250000</v>
      </c>
      <c r="N26" s="506">
        <f>'3.3 Revenue'!N8</f>
        <v>7806250</v>
      </c>
      <c r="O26" s="506">
        <f>'3.3 Revenue'!O8</f>
        <v>9856250</v>
      </c>
      <c r="P26" s="506">
        <f>'3.3 Revenue'!P8</f>
        <v>11850000</v>
      </c>
      <c r="Q26" s="506">
        <f>'3.3 Revenue'!Q8</f>
        <v>14463750</v>
      </c>
      <c r="R26" s="506">
        <f>'3.3 Revenue'!R8</f>
        <v>16865625</v>
      </c>
      <c r="S26" s="506">
        <f>'3.3 Revenue'!S8</f>
        <v>19195312.5</v>
      </c>
      <c r="T26" s="506">
        <f>'3.3 Revenue'!T8</f>
        <v>21321562.5</v>
      </c>
      <c r="U26" s="506">
        <f>'3.3 Revenue'!U8</f>
        <v>23789062.5</v>
      </c>
      <c r="V26" s="506">
        <f>'3.3 Revenue'!V8</f>
        <v>26735625</v>
      </c>
      <c r="W26" s="506">
        <f>'3.3 Revenue'!W8</f>
        <v>30069375</v>
      </c>
      <c r="X26" s="506">
        <f>'3.3 Revenue'!X8</f>
        <v>32851875</v>
      </c>
      <c r="Y26" s="506">
        <f>'3.3 Revenue'!Y8</f>
        <v>35227500</v>
      </c>
      <c r="Z26" s="506">
        <f>'3.3 Revenue'!Z8</f>
        <v>38777812.5</v>
      </c>
      <c r="AA26" s="506">
        <f>'3.3 Revenue'!AA8</f>
        <v>42177187.5</v>
      </c>
      <c r="AB26" s="506">
        <f>'3.3 Revenue'!AB8</f>
        <v>45202500</v>
      </c>
      <c r="AC26" s="506">
        <f>'3.3 Revenue'!AC8</f>
        <v>51135328.125</v>
      </c>
      <c r="AD26" s="506">
        <f>'3.3 Revenue'!AD8</f>
        <v>55255921.875</v>
      </c>
      <c r="AE26" s="506">
        <f>'3.3 Revenue'!AE8</f>
        <v>59004421.875</v>
      </c>
      <c r="AF26" s="506">
        <f>'3.3 Revenue'!AF8</f>
        <v>62181000</v>
      </c>
      <c r="AG26" s="506">
        <f>'3.3 Revenue'!AG8</f>
        <v>65743453.125</v>
      </c>
      <c r="AH26" s="506">
        <f>'3.3 Revenue'!AH8</f>
        <v>72406687.5</v>
      </c>
      <c r="AI26" s="506">
        <f>'3.3 Revenue'!AI8</f>
        <v>80902828.125</v>
      </c>
      <c r="AJ26" s="506">
        <f>'3.3 Revenue'!AJ8</f>
        <v>88213781.25</v>
      </c>
      <c r="AK26" s="506">
        <f>'3.3 Revenue'!AK8</f>
        <v>95614312.5</v>
      </c>
      <c r="AL26" s="506">
        <f>'3.3 Revenue'!AL8</f>
        <v>105006234.375</v>
      </c>
      <c r="AM26" s="506">
        <f>'3.3 Revenue'!AM8</f>
        <v>115920984.375</v>
      </c>
      <c r="AN26" s="506">
        <f>'3.3 Revenue'!AN8</f>
        <v>125285343.75</v>
      </c>
      <c r="AO26" s="44"/>
      <c r="AP26" s="65"/>
    </row>
    <row r="27" spans="2:42" x14ac:dyDescent="0.25">
      <c r="B27" s="49"/>
      <c r="C27" s="22" t="s">
        <v>688</v>
      </c>
      <c r="D27" s="65" t="s">
        <v>46</v>
      </c>
      <c r="E27" s="505">
        <f>'3.3 Revenue'!E9</f>
        <v>5625.28</v>
      </c>
      <c r="F27" s="506">
        <f ca="1">'3.3 Revenue'!F9</f>
        <v>8407.94</v>
      </c>
      <c r="G27" s="506">
        <f ca="1">'3.3 Revenue'!G9</f>
        <v>10970.580000000002</v>
      </c>
      <c r="H27" s="506">
        <f ca="1">'3.3 Revenue'!H9</f>
        <v>13211.04</v>
      </c>
      <c r="I27" s="506">
        <f ca="1">'3.3 Revenue'!I9</f>
        <v>18617.060000000001</v>
      </c>
      <c r="J27" s="506">
        <f ca="1">'3.3 Revenue'!J9</f>
        <v>31501.279999999999</v>
      </c>
      <c r="K27" s="506">
        <f ca="1">'3.3 Revenue'!K9</f>
        <v>44093</v>
      </c>
      <c r="L27" s="506">
        <f ca="1">'3.3 Revenue'!L9</f>
        <v>55545.320000000007</v>
      </c>
      <c r="M27" s="506">
        <f ca="1">'3.3 Revenue'!M9</f>
        <v>69703.28</v>
      </c>
      <c r="N27" s="506">
        <f ca="1">'3.3 Revenue'!N9</f>
        <v>84816.94</v>
      </c>
      <c r="O27" s="506">
        <f ca="1">'3.3 Revenue'!O9</f>
        <v>104942.66</v>
      </c>
      <c r="P27" s="506">
        <f ca="1">'3.3 Revenue'!P9</f>
        <v>124510.66</v>
      </c>
      <c r="Q27" s="506">
        <f ca="1">'3.3 Revenue'!Q9</f>
        <v>160053.74</v>
      </c>
      <c r="R27" s="506">
        <f ca="1">'3.3 Revenue'!R9</f>
        <v>181911.01</v>
      </c>
      <c r="S27" s="506">
        <f ca="1">'3.3 Revenue'!S9</f>
        <v>203444.005</v>
      </c>
      <c r="T27" s="506">
        <f ca="1">'3.3 Revenue'!T9</f>
        <v>223194.185</v>
      </c>
      <c r="U27" s="506">
        <f ca="1">'3.3 Revenue'!U9</f>
        <v>259104.565</v>
      </c>
      <c r="V27" s="506">
        <f ca="1">'3.3 Revenue'!V9</f>
        <v>285962.15000000002</v>
      </c>
      <c r="W27" s="506">
        <f ca="1">'3.3 Revenue'!W9</f>
        <v>316954.37</v>
      </c>
      <c r="X27" s="506">
        <f ca="1">'3.3 Revenue'!X9</f>
        <v>342676.01</v>
      </c>
      <c r="Y27" s="506">
        <f ca="1">'3.3 Revenue'!Y9</f>
        <v>368044.95999999996</v>
      </c>
      <c r="Z27" s="506">
        <f ca="1">'3.3 Revenue'!Z9</f>
        <v>401776.40500000003</v>
      </c>
      <c r="AA27" s="506">
        <f ca="1">'3.3 Revenue'!AA9</f>
        <v>434303.39500000002</v>
      </c>
      <c r="AB27" s="506">
        <f ca="1">'3.3 Revenue'!AB9</f>
        <v>463254.58</v>
      </c>
      <c r="AC27" s="506">
        <f ca="1">'3.3 Revenue'!AC9</f>
        <v>551592.58125000005</v>
      </c>
      <c r="AD27" s="506">
        <f ca="1">'3.3 Revenue'!AD9</f>
        <v>587399.29875000007</v>
      </c>
      <c r="AE27" s="506">
        <f ca="1">'3.3 Revenue'!AE9</f>
        <v>620277.33875000011</v>
      </c>
      <c r="AF27" s="506">
        <f ca="1">'3.3 Revenue'!AF9</f>
        <v>647979.15999999992</v>
      </c>
      <c r="AG27" s="506">
        <f ca="1">'3.3 Revenue'!AG9</f>
        <v>712807.31125000003</v>
      </c>
      <c r="AH27" s="506">
        <f ca="1">'3.3 Revenue'!AH9</f>
        <v>772102.255</v>
      </c>
      <c r="AI27" s="506">
        <f ca="1">'3.3 Revenue'!AI9</f>
        <v>850710.24124999996</v>
      </c>
      <c r="AJ27" s="506">
        <f ca="1">'3.3 Revenue'!AJ9</f>
        <v>918311.71250000002</v>
      </c>
      <c r="AK27" s="506">
        <f ca="1">'3.3 Revenue'!AK9</f>
        <v>1011145.345</v>
      </c>
      <c r="AL27" s="506">
        <f ca="1">'3.3 Revenue'!AL9</f>
        <v>1096876.2637499999</v>
      </c>
      <c r="AM27" s="506">
        <f ca="1">'3.3 Revenue'!AM9</f>
        <v>1199177.84375</v>
      </c>
      <c r="AN27" s="506">
        <f ca="1">'3.3 Revenue'!AN9</f>
        <v>1287074.0375000001</v>
      </c>
      <c r="AO27" s="44"/>
      <c r="AP27" s="65"/>
    </row>
    <row r="28" spans="2:42" s="74" customFormat="1" x14ac:dyDescent="0.25">
      <c r="B28" s="72" t="s">
        <v>10</v>
      </c>
      <c r="C28" s="82" t="s">
        <v>42</v>
      </c>
      <c r="D28" s="81" t="s">
        <v>46</v>
      </c>
      <c r="E28" s="507">
        <f t="shared" ref="E28:AN28" si="83">SUM(E29:E35)</f>
        <v>465259.22522164736</v>
      </c>
      <c r="F28" s="548">
        <f t="shared" ca="1" si="83"/>
        <v>299397.88769999996</v>
      </c>
      <c r="G28" s="507">
        <f t="shared" ca="1" si="83"/>
        <v>363338.76389999996</v>
      </c>
      <c r="H28" s="548">
        <f t="shared" ca="1" si="83"/>
        <v>412651.6532</v>
      </c>
      <c r="I28" s="548">
        <f t="shared" ca="1" si="83"/>
        <v>638521.75130000012</v>
      </c>
      <c r="J28" s="548">
        <f t="shared" ca="1" si="83"/>
        <v>967025.14059999993</v>
      </c>
      <c r="K28" s="548">
        <f t="shared" ca="1" si="83"/>
        <v>1097708.6715600002</v>
      </c>
      <c r="L28" s="548">
        <f t="shared" ca="1" si="83"/>
        <v>1304987.0058480001</v>
      </c>
      <c r="M28" s="548">
        <f t="shared" ca="1" si="83"/>
        <v>1731677.6813646357</v>
      </c>
      <c r="N28" s="548">
        <f t="shared" ca="1" si="83"/>
        <v>1945530.1879627202</v>
      </c>
      <c r="O28" s="548">
        <f t="shared" ca="1" si="83"/>
        <v>2304610.2878027842</v>
      </c>
      <c r="P28" s="548">
        <f t="shared" ca="1" si="83"/>
        <v>2674329.0629363139</v>
      </c>
      <c r="Q28" s="548">
        <f t="shared" ca="1" si="83"/>
        <v>3899812.9952289993</v>
      </c>
      <c r="R28" s="548">
        <f t="shared" ca="1" si="83"/>
        <v>3961384.7507942347</v>
      </c>
      <c r="S28" s="548">
        <f t="shared" ca="1" si="83"/>
        <v>4332202.1665203869</v>
      </c>
      <c r="T28" s="548">
        <f t="shared" ca="1" si="83"/>
        <v>4681648.3108213097</v>
      </c>
      <c r="U28" s="548">
        <f t="shared" ca="1" si="83"/>
        <v>5998274.4441062491</v>
      </c>
      <c r="V28" s="548">
        <f t="shared" ca="1" si="83"/>
        <v>6094911.9319890225</v>
      </c>
      <c r="W28" s="548">
        <f t="shared" ca="1" si="83"/>
        <v>6627342.9488412188</v>
      </c>
      <c r="X28" s="548">
        <f t="shared" ca="1" si="83"/>
        <v>7070207.7304429756</v>
      </c>
      <c r="Y28" s="548">
        <f t="shared" ca="1" si="83"/>
        <v>7784369.5256393272</v>
      </c>
      <c r="Z28" s="548">
        <f t="shared" ca="1" si="83"/>
        <v>8234972.8132104855</v>
      </c>
      <c r="AA28" s="548">
        <f t="shared" ca="1" si="83"/>
        <v>8787524.1876233891</v>
      </c>
      <c r="AB28" s="548">
        <f t="shared" ca="1" si="83"/>
        <v>9299307.6632187106</v>
      </c>
      <c r="AC28" s="548">
        <f t="shared" ca="1" si="83"/>
        <v>12425159.420732042</v>
      </c>
      <c r="AD28" s="548">
        <f t="shared" ca="1" si="83"/>
        <v>12117752.934657123</v>
      </c>
      <c r="AE28" s="548">
        <f t="shared" ca="1" si="83"/>
        <v>12695787.66304945</v>
      </c>
      <c r="AF28" s="548">
        <f t="shared" ca="1" si="83"/>
        <v>13183958.193184558</v>
      </c>
      <c r="AG28" s="548">
        <f t="shared" ca="1" si="83"/>
        <v>16222620.375998214</v>
      </c>
      <c r="AH28" s="548">
        <f t="shared" ca="1" si="83"/>
        <v>16228853.908484666</v>
      </c>
      <c r="AI28" s="548">
        <f t="shared" ca="1" si="83"/>
        <v>17581716.821048982</v>
      </c>
      <c r="AJ28" s="548">
        <f t="shared" ca="1" si="83"/>
        <v>18745431.875086688</v>
      </c>
      <c r="AK28" s="548">
        <f t="shared" ca="1" si="83"/>
        <v>21753766.410342634</v>
      </c>
      <c r="AL28" s="548">
        <f t="shared" ca="1" si="83"/>
        <v>22432665.351479925</v>
      </c>
      <c r="AM28" s="548">
        <f t="shared" ca="1" si="83"/>
        <v>24184403.972272694</v>
      </c>
      <c r="AN28" s="548">
        <f t="shared" ca="1" si="83"/>
        <v>25708634.120380655</v>
      </c>
      <c r="AO28" s="86"/>
      <c r="AP28" s="81"/>
    </row>
    <row r="29" spans="2:42" x14ac:dyDescent="0.25">
      <c r="B29" s="49"/>
      <c r="C29" s="28" t="str">
        <f>'3.4 OpEx'!C5</f>
        <v>Personnel</v>
      </c>
      <c r="D29" s="63" t="s">
        <v>46</v>
      </c>
      <c r="E29" s="501">
        <f>'3.4 OpEx'!E5</f>
        <v>219000</v>
      </c>
      <c r="F29" s="502">
        <f>'3.4 OpEx'!F5</f>
        <v>27000</v>
      </c>
      <c r="G29" s="502">
        <f>'3.4 OpEx'!G5</f>
        <v>27000</v>
      </c>
      <c r="H29" s="502">
        <f>'3.4 OpEx'!H5</f>
        <v>27000</v>
      </c>
      <c r="I29" s="502">
        <f>'3.4 OpEx'!I5</f>
        <v>99000</v>
      </c>
      <c r="J29" s="502">
        <f>'3.4 OpEx'!J5</f>
        <v>123000</v>
      </c>
      <c r="K29" s="502">
        <f>'3.4 OpEx'!K5</f>
        <v>27000</v>
      </c>
      <c r="L29" s="502">
        <f>'3.4 OpEx'!L5</f>
        <v>27000</v>
      </c>
      <c r="M29" s="502">
        <f>'3.4 OpEx'!M5</f>
        <v>124000</v>
      </c>
      <c r="N29" s="502">
        <f>'3.4 OpEx'!N5</f>
        <v>76000</v>
      </c>
      <c r="O29" s="502">
        <f>'3.4 OpEx'!O5</f>
        <v>76000</v>
      </c>
      <c r="P29" s="501">
        <f>'3.4 OpEx'!P5</f>
        <v>76000</v>
      </c>
      <c r="Q29" s="502">
        <f>'3.4 OpEx'!Q5</f>
        <v>408500</v>
      </c>
      <c r="R29" s="502">
        <f>'3.4 OpEx'!R5</f>
        <v>144500</v>
      </c>
      <c r="S29" s="502">
        <f>'3.4 OpEx'!S5</f>
        <v>144500</v>
      </c>
      <c r="T29" s="502">
        <f>'3.4 OpEx'!T5</f>
        <v>144500</v>
      </c>
      <c r="U29" s="502">
        <f>'3.4 OpEx'!U5</f>
        <v>548000</v>
      </c>
      <c r="V29" s="502">
        <f>'3.4 OpEx'!V5</f>
        <v>212000</v>
      </c>
      <c r="W29" s="502">
        <f>'3.4 OpEx'!W5</f>
        <v>212000</v>
      </c>
      <c r="X29" s="502">
        <f>'3.4 OpEx'!X5</f>
        <v>212000</v>
      </c>
      <c r="Y29" s="502">
        <f>'3.4 OpEx'!Y5</f>
        <v>388000</v>
      </c>
      <c r="Z29" s="502">
        <f>'3.4 OpEx'!Z5</f>
        <v>292000</v>
      </c>
      <c r="AA29" s="502">
        <f>'3.4 OpEx'!AA5</f>
        <v>292000</v>
      </c>
      <c r="AB29" s="501">
        <f>'3.4 OpEx'!AB5</f>
        <v>292000</v>
      </c>
      <c r="AC29" s="502">
        <f>'3.4 OpEx'!AC5</f>
        <v>1250500</v>
      </c>
      <c r="AD29" s="502">
        <f>'3.4 OpEx'!AD5</f>
        <v>434500</v>
      </c>
      <c r="AE29" s="502">
        <f>'3.4 OpEx'!AE5</f>
        <v>434500</v>
      </c>
      <c r="AF29" s="502">
        <f>'3.4 OpEx'!AF5</f>
        <v>434500</v>
      </c>
      <c r="AG29" s="502">
        <f>'3.4 OpEx'!AG5</f>
        <v>1587500</v>
      </c>
      <c r="AH29" s="502">
        <f>'3.4 OpEx'!AH5</f>
        <v>699500</v>
      </c>
      <c r="AI29" s="502">
        <f>'3.4 OpEx'!AI5</f>
        <v>699500</v>
      </c>
      <c r="AJ29" s="502">
        <f>'3.4 OpEx'!AJ5</f>
        <v>699500</v>
      </c>
      <c r="AK29" s="502">
        <f>'3.4 OpEx'!AK5</f>
        <v>1568000</v>
      </c>
      <c r="AL29" s="502">
        <f>'3.4 OpEx'!AL5</f>
        <v>872000</v>
      </c>
      <c r="AM29" s="502">
        <f>'3.4 OpEx'!AM5</f>
        <v>872000</v>
      </c>
      <c r="AN29" s="502">
        <f>'3.4 OpEx'!AN5</f>
        <v>872000</v>
      </c>
      <c r="AO29" s="44"/>
      <c r="AP29" s="63"/>
    </row>
    <row r="30" spans="2:42" x14ac:dyDescent="0.25">
      <c r="B30" s="49"/>
      <c r="C30" s="21" t="str">
        <f>'3.4 OpEx'!C6</f>
        <v>Software and Integrations</v>
      </c>
      <c r="D30" s="64" t="s">
        <v>46</v>
      </c>
      <c r="E30" s="504">
        <f>'3.4 OpEx'!E6</f>
        <v>2800</v>
      </c>
      <c r="F30" s="504">
        <f>'3.4 OpEx'!F6</f>
        <v>2800</v>
      </c>
      <c r="G30" s="504">
        <f>'3.4 OpEx'!G6</f>
        <v>2800</v>
      </c>
      <c r="H30" s="504">
        <f>'3.4 OpEx'!H6</f>
        <v>2800</v>
      </c>
      <c r="I30" s="504">
        <f>'3.4 OpEx'!I6</f>
        <v>2800</v>
      </c>
      <c r="J30" s="504">
        <f>'3.4 OpEx'!J6</f>
        <v>2800</v>
      </c>
      <c r="K30" s="504">
        <f>'3.4 OpEx'!K6</f>
        <v>2800</v>
      </c>
      <c r="L30" s="504">
        <f>'3.4 OpEx'!L6</f>
        <v>2800</v>
      </c>
      <c r="M30" s="504">
        <f>'3.4 OpEx'!M6</f>
        <v>2800</v>
      </c>
      <c r="N30" s="504">
        <f>'3.4 OpEx'!N6</f>
        <v>2800</v>
      </c>
      <c r="O30" s="504">
        <f>'3.4 OpEx'!O6</f>
        <v>2800</v>
      </c>
      <c r="P30" s="504">
        <f>'3.4 OpEx'!P6</f>
        <v>2800</v>
      </c>
      <c r="Q30" s="504">
        <f>'3.4 OpEx'!Q6</f>
        <v>2800</v>
      </c>
      <c r="R30" s="504">
        <f>'3.4 OpEx'!R6</f>
        <v>2800</v>
      </c>
      <c r="S30" s="504">
        <f>'3.4 OpEx'!S6</f>
        <v>2800</v>
      </c>
      <c r="T30" s="504">
        <f>'3.4 OpEx'!T6</f>
        <v>2800</v>
      </c>
      <c r="U30" s="504">
        <f>'3.4 OpEx'!U6</f>
        <v>2800</v>
      </c>
      <c r="V30" s="504">
        <f>'3.4 OpEx'!V6</f>
        <v>2800</v>
      </c>
      <c r="W30" s="504">
        <f>'3.4 OpEx'!W6</f>
        <v>2800</v>
      </c>
      <c r="X30" s="504">
        <f>'3.4 OpEx'!X6</f>
        <v>2800</v>
      </c>
      <c r="Y30" s="504">
        <f>'3.4 OpEx'!Y6</f>
        <v>2800</v>
      </c>
      <c r="Z30" s="504">
        <f>'3.4 OpEx'!Z6</f>
        <v>2800</v>
      </c>
      <c r="AA30" s="504">
        <f>'3.4 OpEx'!AA6</f>
        <v>2800</v>
      </c>
      <c r="AB30" s="504">
        <f>'3.4 OpEx'!AB6</f>
        <v>2800</v>
      </c>
      <c r="AC30" s="504">
        <f>'3.4 OpEx'!AC6</f>
        <v>2800</v>
      </c>
      <c r="AD30" s="504">
        <f>'3.4 OpEx'!AD6</f>
        <v>2800</v>
      </c>
      <c r="AE30" s="504">
        <f>'3.4 OpEx'!AE6</f>
        <v>2800</v>
      </c>
      <c r="AF30" s="504">
        <f>'3.4 OpEx'!AF6</f>
        <v>2800</v>
      </c>
      <c r="AG30" s="504">
        <f>'3.4 OpEx'!AG6</f>
        <v>2800</v>
      </c>
      <c r="AH30" s="504">
        <f>'3.4 OpEx'!AH6</f>
        <v>2800</v>
      </c>
      <c r="AI30" s="504">
        <f>'3.4 OpEx'!AI6</f>
        <v>2800</v>
      </c>
      <c r="AJ30" s="504">
        <f>'3.4 OpEx'!AJ6</f>
        <v>2800</v>
      </c>
      <c r="AK30" s="504">
        <f>'3.4 OpEx'!AK6</f>
        <v>2800</v>
      </c>
      <c r="AL30" s="504">
        <f>'3.4 OpEx'!AL6</f>
        <v>2800</v>
      </c>
      <c r="AM30" s="504">
        <f>'3.4 OpEx'!AM6</f>
        <v>2800</v>
      </c>
      <c r="AN30" s="504">
        <f>'3.4 OpEx'!AN6</f>
        <v>2800</v>
      </c>
      <c r="AO30" s="44"/>
      <c r="AP30" s="64"/>
    </row>
    <row r="31" spans="2:42" x14ac:dyDescent="0.25">
      <c r="B31" s="49"/>
      <c r="C31" s="21" t="str">
        <f>'3.4 OpEx'!C7</f>
        <v>Other third-party costs</v>
      </c>
      <c r="D31" s="64" t="s">
        <v>46</v>
      </c>
      <c r="E31" s="504">
        <f>'3.4 OpEx'!E7</f>
        <v>2366</v>
      </c>
      <c r="F31" s="504">
        <f>'3.4 OpEx'!F7</f>
        <v>2776</v>
      </c>
      <c r="G31" s="504">
        <f>'3.4 OpEx'!G7</f>
        <v>3127.6000000000004</v>
      </c>
      <c r="H31" s="504">
        <f>'3.4 OpEx'!H7</f>
        <v>3391.48</v>
      </c>
      <c r="I31" s="504">
        <f>'3.4 OpEx'!I7</f>
        <v>4937.2640000000001</v>
      </c>
      <c r="J31" s="504">
        <f>'3.4 OpEx'!J7</f>
        <v>6889.883200000002</v>
      </c>
      <c r="K31" s="504">
        <f>'3.4 OpEx'!K7</f>
        <v>7140.1065600000002</v>
      </c>
      <c r="L31" s="504">
        <f>'3.4 OpEx'!L7</f>
        <v>7340.6852480000016</v>
      </c>
      <c r="M31" s="504">
        <f>'3.4 OpEx'!M7</f>
        <v>8955.2905984000026</v>
      </c>
      <c r="N31" s="504">
        <f>'3.4 OpEx'!N7</f>
        <v>9518.4552627200028</v>
      </c>
      <c r="O31" s="504">
        <f>'3.4 OpEx'!O7</f>
        <v>10059.152502784002</v>
      </c>
      <c r="P31" s="504">
        <f>'3.4 OpEx'!P7</f>
        <v>10585.112636313601</v>
      </c>
      <c r="Q31" s="504">
        <f>'3.4 OpEx'!Q7</f>
        <v>16327.973430292481</v>
      </c>
      <c r="R31" s="504">
        <f>'3.4 OpEx'!R7</f>
        <v>16433.578744233986</v>
      </c>
      <c r="S31" s="504">
        <f>'3.4 OpEx'!S7</f>
        <v>16518.06299538719</v>
      </c>
      <c r="T31" s="504">
        <f>'3.4 OpEx'!T7</f>
        <v>16585.450396309752</v>
      </c>
      <c r="U31" s="504">
        <f>'3.4 OpEx'!U7</f>
        <v>23620.614048778421</v>
      </c>
      <c r="V31" s="504">
        <f>'3.4 OpEx'!V7</f>
        <v>23681.091239022739</v>
      </c>
      <c r="W31" s="504">
        <f>'3.4 OpEx'!W7</f>
        <v>23729.072991218192</v>
      </c>
      <c r="X31" s="504">
        <f>'3.4 OpEx'!X7</f>
        <v>23767.858392974551</v>
      </c>
      <c r="Y31" s="504">
        <f>'3.4 OpEx'!Y7</f>
        <v>25441.52210685661</v>
      </c>
      <c r="Z31" s="504">
        <f>'3.4 OpEx'!Z7</f>
        <v>25467.217685485288</v>
      </c>
      <c r="AA31" s="504">
        <f>'3.4 OpEx'!AA7</f>
        <v>25487.974148388232</v>
      </c>
      <c r="AB31" s="504">
        <f>'3.4 OpEx'!AB7</f>
        <v>25504.779318710585</v>
      </c>
      <c r="AC31" s="504">
        <f>'3.4 OpEx'!AC7</f>
        <v>41610.186297967666</v>
      </c>
      <c r="AD31" s="504">
        <f>'3.4 OpEx'!AD7</f>
        <v>41628.149038374133</v>
      </c>
      <c r="AE31" s="504">
        <f>'3.4 OpEx'!AE7</f>
        <v>41641.719230699309</v>
      </c>
      <c r="AF31" s="504">
        <f>'3.4 OpEx'!AF7</f>
        <v>41653.575384559459</v>
      </c>
      <c r="AG31" s="504">
        <f>'3.4 OpEx'!AG7</f>
        <v>58827.329637080969</v>
      </c>
      <c r="AH31" s="504">
        <f>'3.4 OpEx'!AH7</f>
        <v>58836.863709664758</v>
      </c>
      <c r="AI31" s="504">
        <f>'3.4 OpEx'!AI7</f>
        <v>58844.490967731814</v>
      </c>
      <c r="AJ31" s="504">
        <f>'3.4 OpEx'!AJ7</f>
        <v>58851.592774185468</v>
      </c>
      <c r="AK31" s="504">
        <f>'3.4 OpEx'!AK7</f>
        <v>71809.706920220808</v>
      </c>
      <c r="AL31" s="504">
        <f>'3.4 OpEx'!AL7</f>
        <v>71814.365536176658</v>
      </c>
      <c r="AM31" s="504">
        <f>'3.4 OpEx'!AM7</f>
        <v>71818.092428941323</v>
      </c>
      <c r="AN31" s="504">
        <f>'3.4 OpEx'!AN7</f>
        <v>71821.073943153067</v>
      </c>
      <c r="AO31" s="44"/>
      <c r="AP31" s="64"/>
    </row>
    <row r="32" spans="2:42" x14ac:dyDescent="0.25">
      <c r="B32" s="49"/>
      <c r="C32" s="21" t="str">
        <f>'3.4 OpEx'!C8</f>
        <v>Payment Processing Costs</v>
      </c>
      <c r="D32" s="64" t="s">
        <v>46</v>
      </c>
      <c r="E32" s="504">
        <f>'3.4 OpEx'!E8</f>
        <v>13513.285400000002</v>
      </c>
      <c r="F32" s="504">
        <f ca="1">'3.4 OpEx'!F8</f>
        <v>17724.896699999998</v>
      </c>
      <c r="G32" s="504">
        <f ca="1">'3.4 OpEx'!G8</f>
        <v>21553.726900000001</v>
      </c>
      <c r="H32" s="504">
        <f ca="1">'3.4 OpEx'!H8</f>
        <v>24713.217199999999</v>
      </c>
      <c r="I32" s="504">
        <f ca="1">'3.4 OpEx'!I8</f>
        <v>35580.228300000002</v>
      </c>
      <c r="J32" s="504">
        <f ca="1">'3.4 OpEx'!J8</f>
        <v>58439.215400000001</v>
      </c>
      <c r="K32" s="504">
        <f ca="1">'3.4 OpEx'!K8</f>
        <v>76649.615000000005</v>
      </c>
      <c r="L32" s="504">
        <f ca="1">'3.4 OpEx'!L8</f>
        <v>93304.622600000002</v>
      </c>
      <c r="M32" s="504">
        <f ca="1">'3.4 OpEx'!M8</f>
        <v>117392.7004</v>
      </c>
      <c r="N32" s="504">
        <f ca="1">'3.4 OpEx'!N8</f>
        <v>140333.39170000001</v>
      </c>
      <c r="O32" s="504">
        <f ca="1">'3.4 OpEx'!O8</f>
        <v>171161.03630000001</v>
      </c>
      <c r="P32" s="504">
        <f ca="1">'3.4 OpEx'!P8</f>
        <v>201127.4013</v>
      </c>
      <c r="Q32" s="504">
        <f ca="1">'3.4 OpEx'!Q8</f>
        <v>268153.86570000002</v>
      </c>
      <c r="R32" s="504">
        <f ca="1">'3.4 OpEx'!R8</f>
        <v>299440.07055</v>
      </c>
      <c r="S32" s="504">
        <f ca="1">'3.4 OpEx'!S8</f>
        <v>330719.02777499997</v>
      </c>
      <c r="T32" s="504">
        <f ca="1">'3.4 OpEx'!T8</f>
        <v>359540.15767500002</v>
      </c>
      <c r="U32" s="504">
        <f ca="1">'3.4 OpEx'!U8</f>
        <v>429425.023575</v>
      </c>
      <c r="V32" s="504">
        <f ca="1">'3.4 OpEx'!V8</f>
        <v>467928.51824999996</v>
      </c>
      <c r="W32" s="504">
        <f ca="1">'3.4 OpEx'!W8</f>
        <v>513189.82034999999</v>
      </c>
      <c r="X32" s="504">
        <f ca="1">'3.4 OpEx'!X8</f>
        <v>550557.77055000002</v>
      </c>
      <c r="Y32" s="504">
        <f ca="1">'3.4 OpEx'!Y8</f>
        <v>592022.3628</v>
      </c>
      <c r="Z32" s="504">
        <f ca="1">'3.4 OpEx'!Z8</f>
        <v>642260.15977499995</v>
      </c>
      <c r="AA32" s="504">
        <f ca="1">'3.4 OpEx'!AA8</f>
        <v>691006.17922499997</v>
      </c>
      <c r="AB32" s="504">
        <f ca="1">'3.4 OpEx'!AB8</f>
        <v>734397.8469</v>
      </c>
      <c r="AC32" s="504">
        <f ca="1">'3.4 OpEx'!AC8</f>
        <v>908025.58884374995</v>
      </c>
      <c r="AD32" s="504">
        <f ca="1">'3.4 OpEx'!AD8</f>
        <v>956956.00955624995</v>
      </c>
      <c r="AE32" s="504">
        <f ca="1">'3.4 OpEx'!AE8</f>
        <v>1002322.66175625</v>
      </c>
      <c r="AF32" s="504">
        <f ca="1">'3.4 OpEx'!AF8</f>
        <v>1040319.0438</v>
      </c>
      <c r="AG32" s="504">
        <f ca="1">'3.4 OpEx'!AG8</f>
        <v>1177631.3439937499</v>
      </c>
      <c r="AH32" s="504">
        <f ca="1">'3.4 OpEx'!AH8</f>
        <v>1260663.231525</v>
      </c>
      <c r="AI32" s="504">
        <f ca="1">'3.4 OpEx'!AI8</f>
        <v>1374956.8751437501</v>
      </c>
      <c r="AJ32" s="504">
        <f ca="1">'3.4 OpEx'!AJ8</f>
        <v>1473192.0879375001</v>
      </c>
      <c r="AK32" s="504">
        <f ca="1">'3.4 OpEx'!AK8</f>
        <v>1641083.786475</v>
      </c>
      <c r="AL32" s="504">
        <f ca="1">'3.4 OpEx'!AL8</f>
        <v>1764159.9901312501</v>
      </c>
      <c r="AM32" s="504">
        <f ca="1">'3.4 OpEx'!AM8</f>
        <v>1914681.5470312501</v>
      </c>
      <c r="AN32" s="504">
        <f ca="1">'3.4 OpEx'!AN8</f>
        <v>2044175.8783125</v>
      </c>
      <c r="AO32" s="44"/>
      <c r="AP32" s="64"/>
    </row>
    <row r="33" spans="2:42" x14ac:dyDescent="0.25">
      <c r="B33" s="49"/>
      <c r="C33" s="22" t="str">
        <f>'3.4 OpEx'!C9</f>
        <v>Sales and Marketing Costs</v>
      </c>
      <c r="D33" s="64" t="s">
        <v>46</v>
      </c>
      <c r="E33" s="504">
        <f>'3.4 OpEx'!E9</f>
        <v>147751.42800000001</v>
      </c>
      <c r="F33" s="504">
        <f ca="1">'3.4 OpEx'!F9</f>
        <v>196317.99400000001</v>
      </c>
      <c r="G33" s="504">
        <f ca="1">'3.4 OpEx'!G9</f>
        <v>242824.95799999998</v>
      </c>
      <c r="H33" s="504">
        <f ca="1">'3.4 OpEx'!H9</f>
        <v>276751.304</v>
      </c>
      <c r="I33" s="504">
        <f ca="1">'3.4 OpEx'!I9</f>
        <v>391509.50600000005</v>
      </c>
      <c r="J33" s="504">
        <f ca="1">'3.4 OpEx'!J9</f>
        <v>610344.02799999993</v>
      </c>
      <c r="K33" s="504">
        <f ca="1">'3.4 OpEx'!K9</f>
        <v>752999.3</v>
      </c>
      <c r="L33" s="504">
        <f ca="1">'3.4 OpEx'!L9</f>
        <v>883281.1320000001</v>
      </c>
      <c r="M33" s="504">
        <f ca="1">'3.4 OpEx'!M9</f>
        <v>1087986.7280000001</v>
      </c>
      <c r="N33" s="504">
        <f ca="1">'3.4 OpEx'!N9</f>
        <v>1262878.8940000001</v>
      </c>
      <c r="O33" s="504">
        <f ca="1">'3.4 OpEx'!O9</f>
        <v>1488020.0660000001</v>
      </c>
      <c r="P33" s="504">
        <f ca="1">'3.4 OpEx'!P9</f>
        <v>1707504.3660000002</v>
      </c>
      <c r="Q33" s="504">
        <f ca="1">'3.4 OpEx'!Q9</f>
        <v>2289461.574</v>
      </c>
      <c r="R33" s="504">
        <f ca="1">'3.4 OpEx'!R9</f>
        <v>2521027.4010000005</v>
      </c>
      <c r="S33" s="504">
        <f ca="1">'3.4 OpEx'!S9</f>
        <v>2747330.0504999999</v>
      </c>
      <c r="T33" s="504">
        <f ca="1">'3.4 OpEx'!T9</f>
        <v>2964368.4685</v>
      </c>
      <c r="U33" s="504">
        <f ca="1">'3.4 OpEx'!U9</f>
        <v>3570886.4065</v>
      </c>
      <c r="V33" s="504">
        <f ca="1">'3.4 OpEx'!V9</f>
        <v>3865188.2149999999</v>
      </c>
      <c r="W33" s="504">
        <f ca="1">'3.4 OpEx'!W9</f>
        <v>4189936.0370000005</v>
      </c>
      <c r="X33" s="504">
        <f ca="1">'3.4 OpEx'!X9</f>
        <v>4460241.4010000005</v>
      </c>
      <c r="Y33" s="504">
        <f ca="1">'3.4 OpEx'!Y9</f>
        <v>4768404.2960000001</v>
      </c>
      <c r="Z33" s="504">
        <f ca="1">'3.4 OpEx'!Z9</f>
        <v>5117950.2905000001</v>
      </c>
      <c r="AA33" s="504">
        <f ca="1">'3.4 OpEx'!AA9</f>
        <v>5453806.6895000003</v>
      </c>
      <c r="AB33" s="504">
        <f ca="1">'3.4 OpEx'!AB9</f>
        <v>5752723.358</v>
      </c>
      <c r="AC33" s="504">
        <f ca="1">'3.4 OpEx'!AC9</f>
        <v>7169888.5706249997</v>
      </c>
      <c r="AD33" s="504">
        <f ca="1">'3.4 OpEx'!AD9</f>
        <v>7558532.5173749998</v>
      </c>
      <c r="AE33" s="504">
        <f ca="1">'3.4 OpEx'!AE9</f>
        <v>7913635.5213750005</v>
      </c>
      <c r="AF33" s="504">
        <f ca="1">'3.4 OpEx'!AF9</f>
        <v>8213743.716</v>
      </c>
      <c r="AG33" s="504">
        <f ca="1">'3.4 OpEx'!AG9</f>
        <v>9412489.9436249994</v>
      </c>
      <c r="AH33" s="504">
        <f ca="1">'3.4 OpEx'!AH9</f>
        <v>10048055.875500001</v>
      </c>
      <c r="AI33" s="504">
        <f ca="1">'3.4 OpEx'!AI9</f>
        <v>10873763.636624999</v>
      </c>
      <c r="AJ33" s="504">
        <f ca="1">'3.4 OpEx'!AJ9</f>
        <v>11584078.796250001</v>
      </c>
      <c r="AK33" s="504">
        <f ca="1">'3.4 OpEx'!AK9</f>
        <v>12927556.884500001</v>
      </c>
      <c r="AL33" s="504">
        <f ca="1">'3.4 OpEx'!AL9</f>
        <v>13834380.663875001</v>
      </c>
      <c r="AM33" s="504">
        <f ca="1">'3.4 OpEx'!AM9</f>
        <v>14901856.221875001</v>
      </c>
      <c r="AN33" s="504">
        <f ca="1">'3.4 OpEx'!AN9</f>
        <v>15818344.778750001</v>
      </c>
      <c r="AO33" s="44"/>
      <c r="AP33" s="64"/>
    </row>
    <row r="34" spans="2:42" x14ac:dyDescent="0.25">
      <c r="B34" s="49"/>
      <c r="C34" s="22" t="str">
        <f>'3.4 OpEx'!C10</f>
        <v>General and Administrative Costs</v>
      </c>
      <c r="D34" s="64" t="s">
        <v>46</v>
      </c>
      <c r="E34" s="504">
        <f>'3.4 OpEx'!E10</f>
        <v>60952.797821647378</v>
      </c>
      <c r="F34" s="504">
        <f>'3.4 OpEx'!F10</f>
        <v>19620</v>
      </c>
      <c r="G34" s="504">
        <f>'3.4 OpEx'!G10</f>
        <v>19620</v>
      </c>
      <c r="H34" s="504">
        <f>'3.4 OpEx'!H10</f>
        <v>19620</v>
      </c>
      <c r="I34" s="504">
        <f>'3.4 OpEx'!I10</f>
        <v>23940</v>
      </c>
      <c r="J34" s="504">
        <f>'3.4 OpEx'!J10</f>
        <v>25380</v>
      </c>
      <c r="K34" s="504">
        <f>'3.4 OpEx'!K10</f>
        <v>24620</v>
      </c>
      <c r="L34" s="504">
        <f>'3.4 OpEx'!L10</f>
        <v>24620</v>
      </c>
      <c r="M34" s="504">
        <f>'3.4 OpEx'!M10</f>
        <v>56549.598366235536</v>
      </c>
      <c r="N34" s="504">
        <f>'3.4 OpEx'!N10</f>
        <v>42560</v>
      </c>
      <c r="O34" s="504">
        <f>'3.4 OpEx'!O10</f>
        <v>42560</v>
      </c>
      <c r="P34" s="504">
        <f>'3.4 OpEx'!P10</f>
        <v>62560</v>
      </c>
      <c r="Q34" s="504">
        <f>'3.4 OpEx'!Q10</f>
        <v>144838.79509870661</v>
      </c>
      <c r="R34" s="504">
        <f>'3.4 OpEx'!R10</f>
        <v>91670</v>
      </c>
      <c r="S34" s="504">
        <f>'3.4 OpEx'!S10</f>
        <v>91670</v>
      </c>
      <c r="T34" s="504">
        <f>'3.4 OpEx'!T10</f>
        <v>91670</v>
      </c>
      <c r="U34" s="504">
        <f>'3.4 OpEx'!U10</f>
        <v>168099.19673247106</v>
      </c>
      <c r="V34" s="504">
        <f>'3.4 OpEx'!V10</f>
        <v>125720</v>
      </c>
      <c r="W34" s="504">
        <f>'3.4 OpEx'!W10</f>
        <v>125720</v>
      </c>
      <c r="X34" s="504">
        <f>'3.4 OpEx'!X10</f>
        <v>125720</v>
      </c>
      <c r="Y34" s="504">
        <f>'3.4 OpEx'!Y10</f>
        <v>188499.19673247106</v>
      </c>
      <c r="Z34" s="504">
        <f>'3.4 OpEx'!Z10</f>
        <v>160520</v>
      </c>
      <c r="AA34" s="504">
        <f>'3.4 OpEx'!AA10</f>
        <v>160520</v>
      </c>
      <c r="AB34" s="504">
        <f>'3.4 OpEx'!AB10</f>
        <v>180520</v>
      </c>
      <c r="AC34" s="504">
        <f>'3.4 OpEx'!AC10</f>
        <v>367390.78965282504</v>
      </c>
      <c r="AD34" s="504">
        <f>'3.4 OpEx'!AD10</f>
        <v>244070</v>
      </c>
      <c r="AE34" s="504">
        <f>'3.4 OpEx'!AE10</f>
        <v>244070</v>
      </c>
      <c r="AF34" s="504">
        <f>'3.4 OpEx'!AF10</f>
        <v>244070</v>
      </c>
      <c r="AG34" s="504">
        <f>'3.4 OpEx'!AG10</f>
        <v>522126.78692988429</v>
      </c>
      <c r="AH34" s="504">
        <f>'3.4 OpEx'!AH10</f>
        <v>379970</v>
      </c>
      <c r="AI34" s="504">
        <f>'3.4 OpEx'!AI10</f>
        <v>379970</v>
      </c>
      <c r="AJ34" s="504">
        <f>'3.4 OpEx'!AJ10</f>
        <v>379970</v>
      </c>
      <c r="AK34" s="504">
        <f>'3.4 OpEx'!AK10</f>
        <v>573737.59019741323</v>
      </c>
      <c r="AL34" s="504">
        <f>'3.4 OpEx'!AL10</f>
        <v>465320</v>
      </c>
      <c r="AM34" s="504">
        <f>'3.4 OpEx'!AM10</f>
        <v>465320</v>
      </c>
      <c r="AN34" s="504">
        <f>'3.4 OpEx'!AN10</f>
        <v>485320</v>
      </c>
      <c r="AO34" s="44"/>
      <c r="AP34" s="64"/>
    </row>
    <row r="35" spans="2:42" x14ac:dyDescent="0.25">
      <c r="B35" s="49"/>
      <c r="C35" s="66" t="str">
        <f>'3.4 OpEx'!C11</f>
        <v>Other Costs</v>
      </c>
      <c r="D35" s="67" t="s">
        <v>46</v>
      </c>
      <c r="E35" s="589">
        <f>'3.4 OpEx'!E11</f>
        <v>18875.714000000004</v>
      </c>
      <c r="F35" s="547">
        <f ca="1">'3.4 OpEx'!F11</f>
        <v>33158.996999999996</v>
      </c>
      <c r="G35" s="547">
        <f ca="1">'3.4 OpEx'!G11</f>
        <v>46412.478999999999</v>
      </c>
      <c r="H35" s="547">
        <f ca="1">'3.4 OpEx'!H11</f>
        <v>58375.652000000002</v>
      </c>
      <c r="I35" s="547">
        <f ca="1">'3.4 OpEx'!I11</f>
        <v>80754.753000000012</v>
      </c>
      <c r="J35" s="547">
        <f ca="1">'3.4 OpEx'!J11</f>
        <v>140172.014</v>
      </c>
      <c r="K35" s="547">
        <f ca="1">'3.4 OpEx'!K11</f>
        <v>206499.65000000002</v>
      </c>
      <c r="L35" s="547">
        <f ca="1">'3.4 OpEx'!L11</f>
        <v>266640.56600000005</v>
      </c>
      <c r="M35" s="547">
        <f ca="1">'3.4 OpEx'!M11</f>
        <v>333993.36400000006</v>
      </c>
      <c r="N35" s="547">
        <f ca="1">'3.4 OpEx'!N11</f>
        <v>411439.44700000004</v>
      </c>
      <c r="O35" s="547">
        <f ca="1">'3.4 OpEx'!O11</f>
        <v>514010.03300000005</v>
      </c>
      <c r="P35" s="547">
        <f ca="1">'3.4 OpEx'!P11</f>
        <v>613752.18300000008</v>
      </c>
      <c r="Q35" s="547">
        <f ca="1">'3.4 OpEx'!Q11</f>
        <v>769730.78700000001</v>
      </c>
      <c r="R35" s="547">
        <f ca="1">'3.4 OpEx'!R11</f>
        <v>885513.70050000015</v>
      </c>
      <c r="S35" s="547">
        <f ca="1">'3.4 OpEx'!S11</f>
        <v>998665.02524999995</v>
      </c>
      <c r="T35" s="547">
        <f ca="1">'3.4 OpEx'!T11</f>
        <v>1102184.23425</v>
      </c>
      <c r="U35" s="547">
        <f ca="1">'3.4 OpEx'!U11</f>
        <v>1255443.20325</v>
      </c>
      <c r="V35" s="547">
        <f ca="1">'3.4 OpEx'!V11</f>
        <v>1397594.1074999999</v>
      </c>
      <c r="W35" s="547">
        <f ca="1">'3.4 OpEx'!W11</f>
        <v>1559968.0185000002</v>
      </c>
      <c r="X35" s="547">
        <f ca="1">'3.4 OpEx'!X11</f>
        <v>1695120.7005</v>
      </c>
      <c r="Y35" s="547">
        <f ca="1">'3.4 OpEx'!Y11</f>
        <v>1819202.148</v>
      </c>
      <c r="Z35" s="547">
        <f ca="1">'3.4 OpEx'!Z11</f>
        <v>1993975.1452500001</v>
      </c>
      <c r="AA35" s="547">
        <f ca="1">'3.4 OpEx'!AA11</f>
        <v>2161903.3447500002</v>
      </c>
      <c r="AB35" s="547">
        <f ca="1">'3.4 OpEx'!AB11</f>
        <v>2311361.679</v>
      </c>
      <c r="AC35" s="547">
        <f ca="1">'3.4 OpEx'!AC11</f>
        <v>2684944.2853124999</v>
      </c>
      <c r="AD35" s="547">
        <f ca="1">'3.4 OpEx'!AD11</f>
        <v>2879266.2586874999</v>
      </c>
      <c r="AE35" s="547">
        <f ca="1">'3.4 OpEx'!AE11</f>
        <v>3056817.7606875002</v>
      </c>
      <c r="AF35" s="547">
        <f ca="1">'3.4 OpEx'!AF11</f>
        <v>3206871.858</v>
      </c>
      <c r="AG35" s="547">
        <f ca="1">'3.4 OpEx'!AG11</f>
        <v>3461244.9718125002</v>
      </c>
      <c r="AH35" s="547">
        <f ca="1">'3.4 OpEx'!AH11</f>
        <v>3779027.93775</v>
      </c>
      <c r="AI35" s="547">
        <f ca="1">'3.4 OpEx'!AI11</f>
        <v>4191881.8183124997</v>
      </c>
      <c r="AJ35" s="547">
        <f ca="1">'3.4 OpEx'!AJ11</f>
        <v>4547039.3981250003</v>
      </c>
      <c r="AK35" s="547">
        <f ca="1">'3.4 OpEx'!AK11</f>
        <v>4968778.4422500003</v>
      </c>
      <c r="AL35" s="547">
        <f ca="1">'3.4 OpEx'!AL11</f>
        <v>5422190.3319375003</v>
      </c>
      <c r="AM35" s="547">
        <f ca="1">'3.4 OpEx'!AM11</f>
        <v>5955928.1109375004</v>
      </c>
      <c r="AN35" s="547">
        <f ca="1">'3.4 OpEx'!AN11</f>
        <v>6414172.3893750003</v>
      </c>
      <c r="AO35" s="44"/>
      <c r="AP35" s="67"/>
    </row>
    <row r="36" spans="2:42" x14ac:dyDescent="0.25">
      <c r="B36" s="49" t="s">
        <v>10</v>
      </c>
      <c r="C36" s="79" t="s">
        <v>27</v>
      </c>
      <c r="D36" s="80" t="s">
        <v>46</v>
      </c>
      <c r="E36" s="518">
        <f t="shared" ref="E36:AN36" si="84">E22-E28</f>
        <v>-87744.945221647329</v>
      </c>
      <c r="F36" s="518">
        <f t="shared" ca="1" si="84"/>
        <v>363782.05229999998</v>
      </c>
      <c r="G36" s="518">
        <f t="shared" ca="1" si="84"/>
        <v>564910.81609999994</v>
      </c>
      <c r="H36" s="518">
        <f t="shared" ca="1" si="84"/>
        <v>754861.38679999998</v>
      </c>
      <c r="I36" s="518">
        <f t="shared" ca="1" si="84"/>
        <v>976573.30869999994</v>
      </c>
      <c r="J36" s="518">
        <f t="shared" ca="1" si="84"/>
        <v>1836415.1393999998</v>
      </c>
      <c r="K36" s="518">
        <f t="shared" ca="1" si="84"/>
        <v>3032284.3284399998</v>
      </c>
      <c r="L36" s="518">
        <f t="shared" ca="1" si="84"/>
        <v>4027824.3141520005</v>
      </c>
      <c r="M36" s="518">
        <f t="shared" ca="1" si="84"/>
        <v>4948189.5986353643</v>
      </c>
      <c r="N36" s="518">
        <f t="shared" ca="1" si="84"/>
        <v>6283258.7520372802</v>
      </c>
      <c r="O36" s="518">
        <f t="shared" ca="1" si="84"/>
        <v>7975590.3721972164</v>
      </c>
      <c r="P36" s="518">
        <f t="shared" ca="1" si="84"/>
        <v>9600714.5970636867</v>
      </c>
      <c r="Q36" s="518">
        <f t="shared" ca="1" si="84"/>
        <v>11494802.744771</v>
      </c>
      <c r="R36" s="518">
        <f t="shared" ca="1" si="84"/>
        <v>13748889.259205766</v>
      </c>
      <c r="S36" s="518">
        <f t="shared" ca="1" si="84"/>
        <v>15641098.338479612</v>
      </c>
      <c r="T36" s="518">
        <f t="shared" ca="1" si="84"/>
        <v>17362036.374178689</v>
      </c>
      <c r="U36" s="518">
        <f t="shared" ca="1" si="84"/>
        <v>19110589.620893754</v>
      </c>
      <c r="V36" s="518">
        <f t="shared" ca="1" si="84"/>
        <v>21856970.218010977</v>
      </c>
      <c r="W36" s="518">
        <f t="shared" ca="1" si="84"/>
        <v>24572017.421158783</v>
      </c>
      <c r="X36" s="518">
        <f t="shared" ca="1" si="84"/>
        <v>26832206.279557023</v>
      </c>
      <c r="Y36" s="518">
        <f t="shared" ca="1" si="84"/>
        <v>28599673.434360676</v>
      </c>
      <c r="Z36" s="518">
        <f t="shared" ca="1" si="84"/>
        <v>31644530.091789514</v>
      </c>
      <c r="AA36" s="518">
        <f t="shared" ca="1" si="84"/>
        <v>34450542.707376614</v>
      </c>
      <c r="AB36" s="518">
        <f t="shared" ca="1" si="84"/>
        <v>36927925.916781291</v>
      </c>
      <c r="AC36" s="518">
        <f t="shared" ca="1" si="84"/>
        <v>41273726.285517953</v>
      </c>
      <c r="AD36" s="518">
        <f t="shared" ca="1" si="84"/>
        <v>45467572.239092872</v>
      </c>
      <c r="AE36" s="518">
        <f t="shared" ca="1" si="84"/>
        <v>48440567.550700545</v>
      </c>
      <c r="AF36" s="518">
        <f t="shared" ca="1" si="84"/>
        <v>50953478.966815442</v>
      </c>
      <c r="AG36" s="518">
        <f t="shared" ca="1" si="84"/>
        <v>53002279.060251787</v>
      </c>
      <c r="AH36" s="518">
        <f t="shared" ca="1" si="84"/>
        <v>59351704.846515328</v>
      </c>
      <c r="AI36" s="518">
        <f t="shared" ca="1" si="84"/>
        <v>66255919.545201011</v>
      </c>
      <c r="AJ36" s="518">
        <f t="shared" ca="1" si="84"/>
        <v>72195356.087413311</v>
      </c>
      <c r="AK36" s="518">
        <f t="shared" ca="1" si="84"/>
        <v>77621802.434657365</v>
      </c>
      <c r="AL36" s="518">
        <f t="shared" ca="1" si="84"/>
        <v>86011141.287270069</v>
      </c>
      <c r="AM36" s="518">
        <f t="shared" ca="1" si="84"/>
        <v>94934158.246477306</v>
      </c>
      <c r="AN36" s="518">
        <f t="shared" ca="1" si="84"/>
        <v>102574813.66711934</v>
      </c>
      <c r="AO36" s="44"/>
      <c r="AP36" s="80"/>
    </row>
    <row r="37" spans="2:42" x14ac:dyDescent="0.25">
      <c r="B37" s="46"/>
      <c r="C37" s="513" t="s">
        <v>43</v>
      </c>
      <c r="D37" s="514" t="s">
        <v>46</v>
      </c>
      <c r="E37" s="623">
        <f>'3.7 D&amp;A'!E10</f>
        <v>868.25616929392163</v>
      </c>
      <c r="F37" s="623">
        <f ca="1">'3.7 D&amp;A'!F10</f>
        <v>2019.7829518899266</v>
      </c>
      <c r="G37" s="623">
        <f ca="1">'3.7 D&amp;A'!G10</f>
        <v>3113.8180197649262</v>
      </c>
      <c r="H37" s="623">
        <f ca="1">'3.7 D&amp;A'!H10</f>
        <v>5261.317021546176</v>
      </c>
      <c r="I37" s="623">
        <f ca="1">'3.7 D&amp;A'!I10</f>
        <v>7437.4809178482601</v>
      </c>
      <c r="J37" s="623">
        <f ca="1">'3.7 D&amp;A'!J10</f>
        <v>9150.5587190878432</v>
      </c>
      <c r="K37" s="623">
        <f ca="1">'3.7 D&amp;A'!K10</f>
        <v>10911.468491187845</v>
      </c>
      <c r="L37" s="623">
        <f ca="1">'3.7 D&amp;A'!L10</f>
        <v>13228.415957584508</v>
      </c>
      <c r="M37" s="623">
        <f ca="1">'3.7 D&amp;A'!M10</f>
        <v>15319.735195835825</v>
      </c>
      <c r="N37" s="623">
        <f ca="1">'3.7 D&amp;A'!N10</f>
        <v>17165.277682224092</v>
      </c>
      <c r="O37" s="623">
        <f ca="1">'3.7 D&amp;A'!O10</f>
        <v>19049.667315116334</v>
      </c>
      <c r="P37" s="623">
        <f ca="1">'3.7 D&amp;A'!P10</f>
        <v>20489.140164151657</v>
      </c>
      <c r="Q37" s="624">
        <f ca="1">'3.7 D&amp;A'!Q10</f>
        <v>22307.279961877211</v>
      </c>
      <c r="R37" s="623">
        <f ca="1">'3.7 D&amp;A'!R10</f>
        <v>25926.154727087964</v>
      </c>
      <c r="S37" s="623">
        <f ca="1">'3.7 D&amp;A'!S10</f>
        <v>29502.570030974905</v>
      </c>
      <c r="T37" s="623">
        <f ca="1">'3.7 D&amp;A'!T10</f>
        <v>32112.346122364663</v>
      </c>
      <c r="U37" s="623">
        <f ca="1">'3.7 D&amp;A'!U10</f>
        <v>35354.004742669611</v>
      </c>
      <c r="V37" s="623">
        <f ca="1">'3.7 D&amp;A'!V10</f>
        <v>39159.544990179536</v>
      </c>
      <c r="W37" s="623">
        <f ca="1">'3.7 D&amp;A'!W10</f>
        <v>42988.946540266013</v>
      </c>
      <c r="X37" s="623">
        <f ca="1">'3.7 D&amp;A'!X10</f>
        <v>46919.94140269146</v>
      </c>
      <c r="Y37" s="623">
        <f ca="1">'3.7 D&amp;A'!Y10</f>
        <v>51033.959866866702</v>
      </c>
      <c r="Z37" s="623">
        <f ca="1">'3.7 D&amp;A'!Z10</f>
        <v>55685.97469383022</v>
      </c>
      <c r="AA37" s="623">
        <f ca="1">'3.7 D&amp;A'!AA10</f>
        <v>60379.984798083751</v>
      </c>
      <c r="AB37" s="623">
        <f ca="1">'3.7 D&amp;A'!AB10</f>
        <v>65184.863115879809</v>
      </c>
      <c r="AC37" s="623">
        <f ca="1">'3.7 D&amp;A'!AC10</f>
        <v>70351.995103791342</v>
      </c>
      <c r="AD37" s="623">
        <f ca="1">'3.7 D&amp;A'!AD10</f>
        <v>76854.381807477708</v>
      </c>
      <c r="AE37" s="623">
        <f ca="1">'3.7 D&amp;A'!AE10</f>
        <v>83133.080335531282</v>
      </c>
      <c r="AF37" s="623">
        <f ca="1">'3.7 D&amp;A'!AF10</f>
        <v>89643.265813096514</v>
      </c>
      <c r="AG37" s="623">
        <f ca="1">'3.7 D&amp;A'!AG10</f>
        <v>97502.284414053051</v>
      </c>
      <c r="AH37" s="623">
        <f ca="1">'3.7 D&amp;A'!AH10</f>
        <v>107345.14631868669</v>
      </c>
      <c r="AI37" s="623">
        <f ca="1">'3.7 D&amp;A'!AI10</f>
        <v>117121.24743634644</v>
      </c>
      <c r="AJ37" s="623">
        <f ca="1">'3.7 D&amp;A'!AJ10</f>
        <v>127159.49209219392</v>
      </c>
      <c r="AK37" s="623">
        <f ca="1">'3.7 D&amp;A'!AK10</f>
        <v>138007.32524692614</v>
      </c>
      <c r="AL37" s="623">
        <f ca="1">'3.7 D&amp;A'!AL10</f>
        <v>150280.91188878266</v>
      </c>
      <c r="AM37" s="623">
        <f ca="1">'3.7 D&amp;A'!AM10</f>
        <v>162641.02327667354</v>
      </c>
      <c r="AN37" s="623">
        <f ca="1">'3.7 D&amp;A'!AN10</f>
        <v>183689.11413219792</v>
      </c>
      <c r="AO37" s="44"/>
      <c r="AP37" s="514"/>
    </row>
    <row r="38" spans="2:42" x14ac:dyDescent="0.25">
      <c r="B38" s="49" t="s">
        <v>10</v>
      </c>
      <c r="C38" s="511" t="s">
        <v>31</v>
      </c>
      <c r="D38" s="512" t="s">
        <v>46</v>
      </c>
      <c r="E38" s="650">
        <f t="shared" ref="E38:P38" si="85">E36-E37</f>
        <v>-88613.201390941249</v>
      </c>
      <c r="F38" s="519">
        <f t="shared" ca="1" si="85"/>
        <v>361762.26934811007</v>
      </c>
      <c r="G38" s="519">
        <f t="shared" ca="1" si="85"/>
        <v>561796.99808023497</v>
      </c>
      <c r="H38" s="519">
        <f t="shared" ca="1" si="85"/>
        <v>749600.06977845379</v>
      </c>
      <c r="I38" s="519">
        <f t="shared" ca="1" si="85"/>
        <v>969135.82778215164</v>
      </c>
      <c r="J38" s="519">
        <f t="shared" ca="1" si="85"/>
        <v>1827264.5806809119</v>
      </c>
      <c r="K38" s="519">
        <f t="shared" ca="1" si="85"/>
        <v>3021372.8599488121</v>
      </c>
      <c r="L38" s="519">
        <f t="shared" ca="1" si="85"/>
        <v>4014595.898194416</v>
      </c>
      <c r="M38" s="519">
        <f t="shared" ca="1" si="85"/>
        <v>4932869.8634395283</v>
      </c>
      <c r="N38" s="519">
        <f t="shared" ca="1" si="85"/>
        <v>6266093.474355056</v>
      </c>
      <c r="O38" s="519">
        <f t="shared" ca="1" si="85"/>
        <v>7956540.7048821002</v>
      </c>
      <c r="P38" s="519">
        <f t="shared" ca="1" si="85"/>
        <v>9580225.4568995349</v>
      </c>
      <c r="Q38" s="519">
        <f t="shared" ref="Q38:AN38" ca="1" si="86">Q36-Q37</f>
        <v>11472495.464809123</v>
      </c>
      <c r="R38" s="519">
        <f t="shared" ca="1" si="86"/>
        <v>13722963.104478678</v>
      </c>
      <c r="S38" s="519">
        <f t="shared" ca="1" si="86"/>
        <v>15611595.768448638</v>
      </c>
      <c r="T38" s="519">
        <f t="shared" ca="1" si="86"/>
        <v>17329924.028056324</v>
      </c>
      <c r="U38" s="519">
        <f t="shared" ca="1" si="86"/>
        <v>19075235.616151083</v>
      </c>
      <c r="V38" s="519">
        <f t="shared" ca="1" si="86"/>
        <v>21817810.673020799</v>
      </c>
      <c r="W38" s="519">
        <f t="shared" ca="1" si="86"/>
        <v>24529028.474618517</v>
      </c>
      <c r="X38" s="519">
        <f t="shared" ca="1" si="86"/>
        <v>26785286.338154331</v>
      </c>
      <c r="Y38" s="519">
        <f t="shared" ca="1" si="86"/>
        <v>28548639.474493809</v>
      </c>
      <c r="Z38" s="519">
        <f t="shared" ca="1" si="86"/>
        <v>31588844.117095683</v>
      </c>
      <c r="AA38" s="519">
        <f t="shared" ca="1" si="86"/>
        <v>34390162.722578533</v>
      </c>
      <c r="AB38" s="519">
        <f t="shared" ca="1" si="86"/>
        <v>36862741.053665414</v>
      </c>
      <c r="AC38" s="519">
        <f t="shared" ca="1" si="86"/>
        <v>41203374.290414162</v>
      </c>
      <c r="AD38" s="519">
        <f t="shared" ca="1" si="86"/>
        <v>45390717.857285395</v>
      </c>
      <c r="AE38" s="519">
        <f t="shared" ca="1" si="86"/>
        <v>48357434.470365018</v>
      </c>
      <c r="AF38" s="519">
        <f t="shared" ca="1" si="86"/>
        <v>50863835.701002344</v>
      </c>
      <c r="AG38" s="519">
        <f t="shared" ca="1" si="86"/>
        <v>52904776.775837734</v>
      </c>
      <c r="AH38" s="519">
        <f t="shared" ca="1" si="86"/>
        <v>59244359.700196639</v>
      </c>
      <c r="AI38" s="519">
        <f t="shared" ca="1" si="86"/>
        <v>66138798.297764666</v>
      </c>
      <c r="AJ38" s="519">
        <f t="shared" ca="1" si="86"/>
        <v>72068196.595321119</v>
      </c>
      <c r="AK38" s="519">
        <f t="shared" ca="1" si="86"/>
        <v>77483795.109410435</v>
      </c>
      <c r="AL38" s="519">
        <f t="shared" ca="1" si="86"/>
        <v>85860860.375381291</v>
      </c>
      <c r="AM38" s="519">
        <f t="shared" ca="1" si="86"/>
        <v>94771517.223200634</v>
      </c>
      <c r="AN38" s="519">
        <f t="shared" ca="1" si="86"/>
        <v>102391124.55298714</v>
      </c>
      <c r="AO38" s="44"/>
      <c r="AP38" s="512"/>
    </row>
    <row r="39" spans="2:42" x14ac:dyDescent="0.25">
      <c r="B39" s="46"/>
      <c r="C39" s="68" t="s">
        <v>47</v>
      </c>
      <c r="D39" s="69" t="s">
        <v>46</v>
      </c>
      <c r="E39" s="676">
        <f ca="1">-'2.3 CF'!E32</f>
        <v>447.03495518787878</v>
      </c>
      <c r="F39" s="675">
        <f ca="1">-'2.3 CF'!F32</f>
        <v>436.33568589987505</v>
      </c>
      <c r="G39" s="675">
        <f ca="1">-'2.3 CF'!G32</f>
        <v>425.54725603447133</v>
      </c>
      <c r="H39" s="675">
        <f ca="1">-'2.3 CF'!H32</f>
        <v>414.66892258685584</v>
      </c>
      <c r="I39" s="675">
        <f ca="1">-'2.3 CF'!I32</f>
        <v>403.69993636051026</v>
      </c>
      <c r="J39" s="675">
        <f ca="1">-'2.3 CF'!J32</f>
        <v>392.6395419156118</v>
      </c>
      <c r="K39" s="675">
        <f ca="1">-'2.3 CF'!K32</f>
        <v>381.48697751700593</v>
      </c>
      <c r="L39" s="675">
        <f ca="1">-'2.3 CF'!L32</f>
        <v>370.24147508174491</v>
      </c>
      <c r="M39" s="675">
        <f ca="1">-'2.3 CF'!M32</f>
        <v>358.90226012619013</v>
      </c>
      <c r="N39" s="675">
        <f ca="1">-'2.3 CF'!N32</f>
        <v>347.46855171267231</v>
      </c>
      <c r="O39" s="675">
        <f ca="1">-'2.3 CF'!O32</f>
        <v>335.93956239570855</v>
      </c>
      <c r="P39" s="675">
        <f ca="1">-'2.3 CF'!P32</f>
        <v>324.31449816777013</v>
      </c>
      <c r="Q39" s="675">
        <f ca="1">-'2.3 CF'!Q32</f>
        <v>312.59255840459883</v>
      </c>
      <c r="R39" s="675">
        <f ca="1">-'2.3 CF'!R32</f>
        <v>300.77293581006774</v>
      </c>
      <c r="S39" s="675">
        <f ca="1">-'2.3 CF'!S32</f>
        <v>288.85481636058222</v>
      </c>
      <c r="T39" s="675">
        <f ca="1">-'2.3 CF'!T32</f>
        <v>276.83737924901772</v>
      </c>
      <c r="U39" s="675">
        <f ca="1">-'2.3 CF'!U32</f>
        <v>264.71979682819023</v>
      </c>
      <c r="V39" s="675">
        <f ca="1">-'2.3 CF'!V32</f>
        <v>252.50123455385577</v>
      </c>
      <c r="W39" s="675">
        <f ca="1">-'2.3 CF'!W32</f>
        <v>240.18085092723518</v>
      </c>
      <c r="X39" s="675">
        <f ca="1">-'2.3 CF'!X32</f>
        <v>227.75779743705948</v>
      </c>
      <c r="Y39" s="675">
        <f ca="1">-'2.3 CF'!Y32</f>
        <v>215.23121850113228</v>
      </c>
      <c r="Z39" s="675">
        <f ca="1">-'2.3 CF'!Z32</f>
        <v>202.60025140740569</v>
      </c>
      <c r="AA39" s="675">
        <f ca="1">-'2.3 CF'!AA32</f>
        <v>189.86402625456469</v>
      </c>
      <c r="AB39" s="675">
        <f ca="1">-'2.3 CF'!AB32</f>
        <v>177.02166589211672</v>
      </c>
      <c r="AC39" s="675">
        <f ca="1">-'2.3 CF'!AC32</f>
        <v>164.07228585998163</v>
      </c>
      <c r="AD39" s="675">
        <f ca="1">-'2.3 CF'!AD32</f>
        <v>151.01499432757876</v>
      </c>
      <c r="AE39" s="675">
        <f ca="1">-'2.3 CF'!AE32</f>
        <v>137.84889203240587</v>
      </c>
      <c r="AF39" s="675">
        <f ca="1">-'2.3 CF'!AF32</f>
        <v>124.57307221810656</v>
      </c>
      <c r="AG39" s="675">
        <f ca="1">-'2.3 CF'!AG32</f>
        <v>111.18662057202141</v>
      </c>
      <c r="AH39" s="675">
        <f ca="1">-'2.3 CF'!AH32</f>
        <v>97.688615162218909</v>
      </c>
      <c r="AI39" s="675">
        <f ca="1">-'2.3 CF'!AI32</f>
        <v>84.078126374001357</v>
      </c>
      <c r="AJ39" s="675">
        <f ca="1">-'2.3 CF'!AJ32</f>
        <v>70.354216845882007</v>
      </c>
      <c r="AK39" s="675">
        <f ca="1">-'2.3 CF'!AK32</f>
        <v>56.515941405028336</v>
      </c>
      <c r="AL39" s="675">
        <f ca="1">-'2.3 CF'!AL32</f>
        <v>42.562347002167556</v>
      </c>
      <c r="AM39" s="675">
        <f ca="1">-'2.3 CF'!AM32</f>
        <v>28.492472645949604</v>
      </c>
      <c r="AN39" s="675">
        <f ca="1">-'2.3 CF'!AN32</f>
        <v>14.305349336763177</v>
      </c>
      <c r="AO39" s="44"/>
      <c r="AP39" s="69"/>
    </row>
    <row r="40" spans="2:42" x14ac:dyDescent="0.25">
      <c r="B40" s="46"/>
      <c r="C40" s="70" t="s">
        <v>34</v>
      </c>
      <c r="D40" s="71" t="s">
        <v>46</v>
      </c>
      <c r="E40" s="651">
        <f ca="1">IF(E38-E39&gt;0,E38*'1.1 Control Panel'!E27,0)</f>
        <v>0</v>
      </c>
      <c r="F40" s="594">
        <f ca="1">IF(F38-F39&gt;0,F38*'1.1 Control Panel'!F27,0)</f>
        <v>32558.604241329904</v>
      </c>
      <c r="G40" s="594">
        <f ca="1">IF(G38-G39&gt;0,G38*'1.1 Control Panel'!G27,0)</f>
        <v>50561.729827221148</v>
      </c>
      <c r="H40" s="594">
        <f ca="1">IF(H38-H39&gt;0,H38*'1.1 Control Panel'!H27,0)</f>
        <v>67464.006280060843</v>
      </c>
      <c r="I40" s="594">
        <f ca="1">IF(I38-I39&gt;0,I38*'1.1 Control Panel'!I27,0)</f>
        <v>87222.22450039364</v>
      </c>
      <c r="J40" s="594">
        <f ca="1">IF(J38-J39&gt;0,J38*'1.1 Control Panel'!J27,0)</f>
        <v>164453.81226128206</v>
      </c>
      <c r="K40" s="594">
        <f ca="1">IF(K38-K39&gt;0,K38*'1.1 Control Panel'!K27,0)</f>
        <v>271923.55739539309</v>
      </c>
      <c r="L40" s="594">
        <f ca="1">IF(L38-L39&gt;0,L38*'1.1 Control Panel'!L27,0)</f>
        <v>361313.63083749742</v>
      </c>
      <c r="M40" s="594">
        <f ca="1">IF(M38-M39&gt;0,M38*'1.1 Control Panel'!M27,0)</f>
        <v>443958.28770955751</v>
      </c>
      <c r="N40" s="594">
        <f ca="1">IF(N38-N39&gt;0,N38*'1.1 Control Panel'!N27,0)</f>
        <v>563948.41269195499</v>
      </c>
      <c r="O40" s="594">
        <f ca="1">IF(O38-O39&gt;0,O38*'1.1 Control Panel'!O27,0)</f>
        <v>716088.66343938897</v>
      </c>
      <c r="P40" s="594">
        <f ca="1">IF(P38-P39&gt;0,P38*'1.1 Control Panel'!P27,0)</f>
        <v>862220.29112095817</v>
      </c>
      <c r="Q40" s="594">
        <f ca="1">IF(Q38-Q39&gt;0,Q38*'1.1 Control Panel'!Q27,0)</f>
        <v>1032524.591832821</v>
      </c>
      <c r="R40" s="594">
        <f ca="1">IF(R38-R39&gt;0,R38*'1.1 Control Panel'!R27,0)</f>
        <v>1235066.6794030808</v>
      </c>
      <c r="S40" s="594">
        <f ca="1">IF(S38-S39&gt;0,S38*'1.1 Control Panel'!S27,0)</f>
        <v>1405043.6191603774</v>
      </c>
      <c r="T40" s="594">
        <f ca="1">IF(T38-T39&gt;0,T38*'1.1 Control Panel'!T27,0)</f>
        <v>1559693.162525069</v>
      </c>
      <c r="U40" s="594">
        <f ca="1">IF(U38-U39&gt;0,U38*'1.1 Control Panel'!U27,0)</f>
        <v>1716771.2054535975</v>
      </c>
      <c r="V40" s="594">
        <f ca="1">IF(V38-V39&gt;0,V38*'1.1 Control Panel'!V27,0)</f>
        <v>1963602.9605718718</v>
      </c>
      <c r="W40" s="594">
        <f ca="1">IF(W38-W39&gt;0,W38*'1.1 Control Panel'!W27,0)</f>
        <v>2207612.5627156664</v>
      </c>
      <c r="X40" s="594">
        <f ca="1">IF(X38-X39&gt;0,X38*'1.1 Control Panel'!X27,0)</f>
        <v>2410675.7704338897</v>
      </c>
      <c r="Y40" s="594">
        <f ca="1">IF(Y38-Y39&gt;0,Y38*'1.1 Control Panel'!Y27,0)</f>
        <v>2569377.5527044428</v>
      </c>
      <c r="Z40" s="594">
        <f ca="1">IF(Z38-Z39&gt;0,Z38*'1.1 Control Panel'!Z27,0)</f>
        <v>2842995.9705386115</v>
      </c>
      <c r="AA40" s="594">
        <f ca="1">IF(AA38-AA39&gt;0,AA38*'1.1 Control Panel'!AA27,0)</f>
        <v>3095114.6450320678</v>
      </c>
      <c r="AB40" s="594">
        <f ca="1">IF(AB38-AB39&gt;0,AB38*'1.1 Control Panel'!AB27,0)</f>
        <v>3317646.6948298872</v>
      </c>
      <c r="AC40" s="594">
        <f ca="1">IF(AC38-AC39&gt;0,AC38*'1.1 Control Panel'!AC27,0)</f>
        <v>3708303.6861372744</v>
      </c>
      <c r="AD40" s="594">
        <f ca="1">IF(AD38-AD39&gt;0,AD38*'1.1 Control Panel'!AD27,0)</f>
        <v>4085164.6071556853</v>
      </c>
      <c r="AE40" s="594">
        <f ca="1">IF(AE38-AE39&gt;0,AE38*'1.1 Control Panel'!AE27,0)</f>
        <v>4352169.1023328518</v>
      </c>
      <c r="AF40" s="594">
        <f ca="1">IF(AF38-AF39&gt;0,AF38*'1.1 Control Panel'!AF27,0)</f>
        <v>4577745.2130902112</v>
      </c>
      <c r="AG40" s="594">
        <f ca="1">IF(AG38-AG39&gt;0,AG38*'1.1 Control Panel'!AG27,0)</f>
        <v>4761429.9098253958</v>
      </c>
      <c r="AH40" s="594">
        <f ca="1">IF(AH38-AH39&gt;0,AH38*'1.1 Control Panel'!AH27,0)</f>
        <v>5331992.3730176976</v>
      </c>
      <c r="AI40" s="594">
        <f ca="1">IF(AI38-AI39&gt;0,AI38*'1.1 Control Panel'!AI27,0)</f>
        <v>5952491.8467988195</v>
      </c>
      <c r="AJ40" s="594">
        <f ca="1">IF(AJ38-AJ39&gt;0,AJ38*'1.1 Control Panel'!AJ27,0)</f>
        <v>6486137.6935789008</v>
      </c>
      <c r="AK40" s="594">
        <f ca="1">IF(AK38-AK39&gt;0,AK38*'1.1 Control Panel'!AK27,0)</f>
        <v>6973541.5598469386</v>
      </c>
      <c r="AL40" s="594">
        <f ca="1">IF(AL38-AL39&gt;0,AL38*'1.1 Control Panel'!AL27,0)</f>
        <v>7727477.4337843163</v>
      </c>
      <c r="AM40" s="594">
        <f ca="1">IF(AM38-AM39&gt;0,AM38*'1.1 Control Panel'!AM27,0)</f>
        <v>8529436.5500880573</v>
      </c>
      <c r="AN40" s="594">
        <f ca="1">IF(AN38-AN39&gt;0,AN38*'1.1 Control Panel'!AN27,0)</f>
        <v>9215201.2097688429</v>
      </c>
      <c r="AO40" s="44"/>
      <c r="AP40" s="71"/>
    </row>
    <row r="41" spans="2:42" x14ac:dyDescent="0.25">
      <c r="B41" s="49" t="s">
        <v>10</v>
      </c>
      <c r="C41" s="79" t="s">
        <v>44</v>
      </c>
      <c r="D41" s="80" t="s">
        <v>46</v>
      </c>
      <c r="E41" s="518">
        <f t="shared" ref="E41:P41" ca="1" si="87">E38-SUM(E39:E40)</f>
        <v>-89060.236346129124</v>
      </c>
      <c r="F41" s="518">
        <f t="shared" ca="1" si="87"/>
        <v>328767.3294208803</v>
      </c>
      <c r="G41" s="518">
        <f t="shared" ca="1" si="87"/>
        <v>510809.72099697933</v>
      </c>
      <c r="H41" s="518">
        <f t="shared" ca="1" si="87"/>
        <v>681721.3945758061</v>
      </c>
      <c r="I41" s="518">
        <f t="shared" ca="1" si="87"/>
        <v>881509.90334539744</v>
      </c>
      <c r="J41" s="518">
        <f t="shared" ca="1" si="87"/>
        <v>1662418.1288777143</v>
      </c>
      <c r="K41" s="518">
        <f t="shared" ca="1" si="87"/>
        <v>2749067.8155759019</v>
      </c>
      <c r="L41" s="518">
        <f t="shared" ca="1" si="87"/>
        <v>3652912.0258818367</v>
      </c>
      <c r="M41" s="518">
        <f t="shared" ca="1" si="87"/>
        <v>4488552.6734698443</v>
      </c>
      <c r="N41" s="518">
        <f t="shared" ca="1" si="87"/>
        <v>5701797.5931113884</v>
      </c>
      <c r="O41" s="518">
        <f t="shared" ca="1" si="87"/>
        <v>7240116.1018803157</v>
      </c>
      <c r="P41" s="518">
        <f t="shared" ca="1" si="87"/>
        <v>8717680.8512804098</v>
      </c>
      <c r="Q41" s="518">
        <f t="shared" ref="Q41:AN41" ca="1" si="88">Q38-SUM(Q39:Q40)</f>
        <v>10439658.280417899</v>
      </c>
      <c r="R41" s="518">
        <f t="shared" ca="1" si="88"/>
        <v>12487595.652139787</v>
      </c>
      <c r="S41" s="518">
        <f t="shared" ca="1" si="88"/>
        <v>14206263.294471899</v>
      </c>
      <c r="T41" s="518">
        <f t="shared" ca="1" si="88"/>
        <v>15769954.028152006</v>
      </c>
      <c r="U41" s="518">
        <f t="shared" ca="1" si="88"/>
        <v>17358199.690900657</v>
      </c>
      <c r="V41" s="518">
        <f t="shared" ca="1" si="88"/>
        <v>19853955.211214375</v>
      </c>
      <c r="W41" s="518">
        <f t="shared" ca="1" si="88"/>
        <v>22321175.731051922</v>
      </c>
      <c r="X41" s="518">
        <f t="shared" ca="1" si="88"/>
        <v>24374382.809923004</v>
      </c>
      <c r="Y41" s="518">
        <f t="shared" ca="1" si="88"/>
        <v>25979046.690570865</v>
      </c>
      <c r="Z41" s="518">
        <f t="shared" ca="1" si="88"/>
        <v>28745645.546305664</v>
      </c>
      <c r="AA41" s="518">
        <f t="shared" ca="1" si="88"/>
        <v>31294858.21352021</v>
      </c>
      <c r="AB41" s="518">
        <f t="shared" ca="1" si="88"/>
        <v>33544917.337169636</v>
      </c>
      <c r="AC41" s="518">
        <f t="shared" ca="1" si="88"/>
        <v>37494906.531991027</v>
      </c>
      <c r="AD41" s="518">
        <f t="shared" ca="1" si="88"/>
        <v>41305402.235135384</v>
      </c>
      <c r="AE41" s="518">
        <f t="shared" ca="1" si="88"/>
        <v>44005127.519140132</v>
      </c>
      <c r="AF41" s="518">
        <f t="shared" ca="1" si="88"/>
        <v>46285965.914839916</v>
      </c>
      <c r="AG41" s="518">
        <f t="shared" ca="1" si="88"/>
        <v>48143235.679391764</v>
      </c>
      <c r="AH41" s="518">
        <f t="shared" ca="1" si="88"/>
        <v>53912269.638563782</v>
      </c>
      <c r="AI41" s="518">
        <f t="shared" ca="1" si="88"/>
        <v>60186222.372839473</v>
      </c>
      <c r="AJ41" s="518">
        <f t="shared" ca="1" si="88"/>
        <v>65581988.547525376</v>
      </c>
      <c r="AK41" s="518">
        <f t="shared" ca="1" si="88"/>
        <v>70510197.033622086</v>
      </c>
      <c r="AL41" s="518">
        <f t="shared" ca="1" si="88"/>
        <v>78133340.379249975</v>
      </c>
      <c r="AM41" s="518">
        <f t="shared" ca="1" si="88"/>
        <v>86242052.180639923</v>
      </c>
      <c r="AN41" s="518">
        <f t="shared" ca="1" si="88"/>
        <v>93175909.037868962</v>
      </c>
      <c r="AO41" s="44"/>
      <c r="AP41" s="80"/>
    </row>
    <row r="42" spans="2:42" x14ac:dyDescent="0.25">
      <c r="B42" s="49"/>
      <c r="C42" s="515" t="s">
        <v>37</v>
      </c>
      <c r="D42" s="516" t="s">
        <v>46</v>
      </c>
      <c r="E42" s="591">
        <f>E22*'1.1 Control Panel'!E28</f>
        <v>0</v>
      </c>
      <c r="F42" s="591">
        <f ca="1">F22*'1.1 Control Panel'!F28</f>
        <v>0</v>
      </c>
      <c r="G42" s="591">
        <f ca="1">G22*'1.1 Control Panel'!G28</f>
        <v>0</v>
      </c>
      <c r="H42" s="591">
        <f ca="1">H22*'1.1 Control Panel'!H28</f>
        <v>0</v>
      </c>
      <c r="I42" s="591">
        <f ca="1">I22*'1.1 Control Panel'!I28</f>
        <v>0</v>
      </c>
      <c r="J42" s="591">
        <f ca="1">J22*'1.1 Control Panel'!J28</f>
        <v>0</v>
      </c>
      <c r="K42" s="591">
        <f ca="1">K22*'1.1 Control Panel'!K28</f>
        <v>0</v>
      </c>
      <c r="L42" s="591">
        <f ca="1">L22*'1.1 Control Panel'!L28</f>
        <v>0</v>
      </c>
      <c r="M42" s="591">
        <f ca="1">M22*'1.1 Control Panel'!M28</f>
        <v>0</v>
      </c>
      <c r="N42" s="591">
        <f ca="1">N22*'1.1 Control Panel'!N28</f>
        <v>0</v>
      </c>
      <c r="O42" s="591">
        <f ca="1">O22*'1.1 Control Panel'!O28</f>
        <v>0</v>
      </c>
      <c r="P42" s="591">
        <f ca="1">P22*'1.1 Control Panel'!P28</f>
        <v>0</v>
      </c>
      <c r="Q42" s="591">
        <f ca="1">Q22*'1.1 Control Panel'!Q28</f>
        <v>0</v>
      </c>
      <c r="R42" s="591">
        <f ca="1">R22*'1.1 Control Panel'!R28</f>
        <v>0</v>
      </c>
      <c r="S42" s="591">
        <f ca="1">S22*'1.1 Control Panel'!S28</f>
        <v>0</v>
      </c>
      <c r="T42" s="591">
        <f ca="1">T22*'1.1 Control Panel'!T28</f>
        <v>0</v>
      </c>
      <c r="U42" s="591">
        <f ca="1">U22*'1.1 Control Panel'!U28</f>
        <v>0</v>
      </c>
      <c r="V42" s="591">
        <f ca="1">V22*'1.1 Control Panel'!V28</f>
        <v>0</v>
      </c>
      <c r="W42" s="591">
        <f ca="1">W22*'1.1 Control Panel'!W28</f>
        <v>0</v>
      </c>
      <c r="X42" s="591">
        <f ca="1">X22*'1.1 Control Panel'!X28</f>
        <v>0</v>
      </c>
      <c r="Y42" s="591">
        <f ca="1">Y22*'1.1 Control Panel'!Y28</f>
        <v>0</v>
      </c>
      <c r="Z42" s="591">
        <f ca="1">Z22*'1.1 Control Panel'!Z28</f>
        <v>0</v>
      </c>
      <c r="AA42" s="591">
        <f ca="1">AA22*'1.1 Control Panel'!AA28</f>
        <v>0</v>
      </c>
      <c r="AB42" s="591">
        <f ca="1">AB22*'1.1 Control Panel'!AB28</f>
        <v>0</v>
      </c>
      <c r="AC42" s="591">
        <f ca="1">AC22*'1.1 Control Panel'!AC28</f>
        <v>0</v>
      </c>
      <c r="AD42" s="591">
        <f ca="1">AD22*'1.1 Control Panel'!AD28</f>
        <v>0</v>
      </c>
      <c r="AE42" s="591">
        <f ca="1">AE22*'1.1 Control Panel'!AE28</f>
        <v>0</v>
      </c>
      <c r="AF42" s="591">
        <f ca="1">AF22*'1.1 Control Panel'!AF28</f>
        <v>0</v>
      </c>
      <c r="AG42" s="591">
        <f ca="1">AG22*'1.1 Control Panel'!AG28</f>
        <v>0</v>
      </c>
      <c r="AH42" s="591">
        <f ca="1">AH22*'1.1 Control Panel'!AH28</f>
        <v>0</v>
      </c>
      <c r="AI42" s="591">
        <f ca="1">AI22*'1.1 Control Panel'!AI28</f>
        <v>0</v>
      </c>
      <c r="AJ42" s="591">
        <f ca="1">AJ22*'1.1 Control Panel'!AJ28</f>
        <v>0</v>
      </c>
      <c r="AK42" s="591">
        <f ca="1">AK22*'1.1 Control Panel'!AK28</f>
        <v>0</v>
      </c>
      <c r="AL42" s="591">
        <f ca="1">AL22*'1.1 Control Panel'!AL28</f>
        <v>0</v>
      </c>
      <c r="AM42" s="591">
        <f ca="1">AM22*'1.1 Control Panel'!AM28</f>
        <v>0</v>
      </c>
      <c r="AN42" s="591">
        <f ca="1">AN22*'1.1 Control Panel'!AN28</f>
        <v>0</v>
      </c>
      <c r="AO42" s="44"/>
      <c r="AP42" s="516"/>
    </row>
    <row r="43" spans="2:42" x14ac:dyDescent="0.25">
      <c r="B43" s="49"/>
      <c r="C43" s="70" t="s">
        <v>38</v>
      </c>
      <c r="D43" s="71" t="s">
        <v>46</v>
      </c>
      <c r="E43" s="712">
        <f>'1.1 Control Panel'!E29*E22</f>
        <v>3775.1428000000005</v>
      </c>
      <c r="F43" s="713">
        <f ca="1">'1.1 Control Panel'!F29*F22</f>
        <v>6631.7993999999999</v>
      </c>
      <c r="G43" s="713">
        <f ca="1">'1.1 Control Panel'!G29*G22</f>
        <v>9282.4958000000006</v>
      </c>
      <c r="H43" s="713">
        <f ca="1">'1.1 Control Panel'!H29*H22</f>
        <v>11675.1304</v>
      </c>
      <c r="I43" s="713">
        <f ca="1">'1.1 Control Panel'!I29*I22</f>
        <v>16150.9506</v>
      </c>
      <c r="J43" s="713">
        <f ca="1">'1.1 Control Panel'!J29*J22</f>
        <v>28034.4028</v>
      </c>
      <c r="K43" s="713">
        <f ca="1">'1.1 Control Panel'!K29*K22</f>
        <v>41299.93</v>
      </c>
      <c r="L43" s="713">
        <f ca="1">'1.1 Control Panel'!L29*L22</f>
        <v>53328.113200000007</v>
      </c>
      <c r="M43" s="713">
        <f ca="1">'1.1 Control Panel'!M29*M22</f>
        <v>66798.6728</v>
      </c>
      <c r="N43" s="713">
        <f ca="1">'1.1 Control Panel'!N29*N22</f>
        <v>82287.8894</v>
      </c>
      <c r="O43" s="713">
        <f ca="1">'1.1 Control Panel'!O29*O22</f>
        <v>102802.00660000001</v>
      </c>
      <c r="P43" s="712">
        <f ca="1">'1.1 Control Panel'!P29*P22+'1.1 Control Panel'!E44*P29</f>
        <v>129083.76993333333</v>
      </c>
      <c r="Q43" s="713">
        <f ca="1">'1.1 Control Panel'!Q29*Q22</f>
        <v>153946.1574</v>
      </c>
      <c r="R43" s="713">
        <f ca="1">'1.1 Control Panel'!R29*R22</f>
        <v>177102.74010000002</v>
      </c>
      <c r="S43" s="713">
        <f ca="1">'1.1 Control Panel'!S29*S22</f>
        <v>199733.00505000001</v>
      </c>
      <c r="T43" s="713">
        <f ca="1">'1.1 Control Panel'!T29*T22</f>
        <v>220436.84685</v>
      </c>
      <c r="U43" s="713">
        <f ca="1">'1.1 Control Panel'!U29*U22</f>
        <v>251088.64065000002</v>
      </c>
      <c r="V43" s="713">
        <f ca="1">'1.1 Control Panel'!V29*V22</f>
        <v>279518.82149999996</v>
      </c>
      <c r="W43" s="713">
        <f ca="1">'1.1 Control Panel'!W29*W22</f>
        <v>311993.60370000004</v>
      </c>
      <c r="X43" s="713">
        <f ca="1">'1.1 Control Panel'!X29*X22</f>
        <v>339024.14009999996</v>
      </c>
      <c r="Y43" s="713">
        <f ca="1">'1.1 Control Panel'!Y29*Y22</f>
        <v>363840.42960000003</v>
      </c>
      <c r="Z43" s="713">
        <f ca="1">'1.1 Control Panel'!Z29*Z22</f>
        <v>398795.02905000001</v>
      </c>
      <c r="AA43" s="713">
        <f ca="1">'1.1 Control Panel'!AA29*AA22</f>
        <v>432380.66895000002</v>
      </c>
      <c r="AB43" s="713">
        <f ca="1">'1.1 Control Panel'!AB29*AB22+'1.1 Control Panel'!E44*(AB29)</f>
        <v>486605.66913333331</v>
      </c>
      <c r="AC43" s="713">
        <f ca="1">'1.1 Control Panel'!AC29*AC22</f>
        <v>536988.85706249997</v>
      </c>
      <c r="AD43" s="713">
        <f ca="1">'1.1 Control Panel'!AD29*AD22</f>
        <v>575853.25173749996</v>
      </c>
      <c r="AE43" s="713">
        <f ca="1">'1.1 Control Panel'!AE29*AE22</f>
        <v>611363.55213750002</v>
      </c>
      <c r="AF43" s="713">
        <f ca="1">'1.1 Control Panel'!AF29*AF22</f>
        <v>641374.37159999995</v>
      </c>
      <c r="AG43" s="713">
        <f ca="1">'1.1 Control Panel'!AG29*AG22</f>
        <v>692248.99436250003</v>
      </c>
      <c r="AH43" s="713">
        <f ca="1">'1.1 Control Panel'!AH29*AH22</f>
        <v>755805.58754999994</v>
      </c>
      <c r="AI43" s="713">
        <f ca="1">'1.1 Control Panel'!AI29*AI22</f>
        <v>838376.36366249993</v>
      </c>
      <c r="AJ43" s="713">
        <f ca="1">'1.1 Control Panel'!AJ29*AJ22</f>
        <v>909407.87962500006</v>
      </c>
      <c r="AK43" s="713">
        <f ca="1">'1.1 Control Panel'!AK29*AK22</f>
        <v>993755.68845000002</v>
      </c>
      <c r="AL43" s="713">
        <f ca="1">'1.1 Control Panel'!AL29*AL22</f>
        <v>1084438.0663875001</v>
      </c>
      <c r="AM43" s="713">
        <f ca="1">'1.1 Control Panel'!AM29*AM22</f>
        <v>1191185.6221875001</v>
      </c>
      <c r="AN43" s="713">
        <f ca="1">'1.1 Control Panel'!AN29*AN22+'1.1 Control Panel'!E44*(AN29)</f>
        <v>1355501.1445416666</v>
      </c>
      <c r="AO43" s="44"/>
      <c r="AP43" s="71"/>
    </row>
    <row r="44" spans="2:42" x14ac:dyDescent="0.25">
      <c r="B44" s="49"/>
      <c r="C44" s="517" t="s">
        <v>39</v>
      </c>
      <c r="D44" s="80" t="s">
        <v>46</v>
      </c>
      <c r="E44" s="518">
        <f t="shared" ref="E44:P44" ca="1" si="89">E41-SUM(E42:E43)</f>
        <v>-92835.379146129126</v>
      </c>
      <c r="F44" s="518">
        <f t="shared" ca="1" si="89"/>
        <v>322135.53002088028</v>
      </c>
      <c r="G44" s="518">
        <f t="shared" ca="1" si="89"/>
        <v>501527.22519697936</v>
      </c>
      <c r="H44" s="518">
        <f t="shared" ca="1" si="89"/>
        <v>670046.26417580608</v>
      </c>
      <c r="I44" s="518">
        <f t="shared" ca="1" si="89"/>
        <v>865358.95274539746</v>
      </c>
      <c r="J44" s="518">
        <f t="shared" ca="1" si="89"/>
        <v>1634383.7260777142</v>
      </c>
      <c r="K44" s="518">
        <f t="shared" ca="1" si="89"/>
        <v>2707767.8855759017</v>
      </c>
      <c r="L44" s="518">
        <f t="shared" ca="1" si="89"/>
        <v>3599583.9126818366</v>
      </c>
      <c r="M44" s="518">
        <f t="shared" ca="1" si="89"/>
        <v>4421754.0006698444</v>
      </c>
      <c r="N44" s="518">
        <f t="shared" ca="1" si="89"/>
        <v>5619509.7037113886</v>
      </c>
      <c r="O44" s="518">
        <f t="shared" ca="1" si="89"/>
        <v>7137314.0952803157</v>
      </c>
      <c r="P44" s="518">
        <f t="shared" ca="1" si="89"/>
        <v>8588597.0813470762</v>
      </c>
      <c r="Q44" s="518">
        <f t="shared" ref="Q44:AN44" ca="1" si="90">Q41-SUM(Q42:Q43)</f>
        <v>10285712.123017898</v>
      </c>
      <c r="R44" s="518">
        <f t="shared" ca="1" si="90"/>
        <v>12310492.912039787</v>
      </c>
      <c r="S44" s="518">
        <f t="shared" ca="1" si="90"/>
        <v>14006530.289421899</v>
      </c>
      <c r="T44" s="518">
        <f t="shared" ca="1" si="90"/>
        <v>15549517.181302005</v>
      </c>
      <c r="U44" s="518">
        <f t="shared" ca="1" si="90"/>
        <v>17107111.050250657</v>
      </c>
      <c r="V44" s="518">
        <f t="shared" ca="1" si="90"/>
        <v>19574436.389714375</v>
      </c>
      <c r="W44" s="518">
        <f t="shared" ca="1" si="90"/>
        <v>22009182.127351921</v>
      </c>
      <c r="X44" s="518">
        <f t="shared" ca="1" si="90"/>
        <v>24035358.669823006</v>
      </c>
      <c r="Y44" s="518">
        <f t="shared" ca="1" si="90"/>
        <v>25615206.260970864</v>
      </c>
      <c r="Z44" s="518">
        <f t="shared" ca="1" si="90"/>
        <v>28346850.517255664</v>
      </c>
      <c r="AA44" s="518">
        <f t="shared" ca="1" si="90"/>
        <v>30862477.544570211</v>
      </c>
      <c r="AB44" s="518">
        <f t="shared" ca="1" si="90"/>
        <v>33058311.668036304</v>
      </c>
      <c r="AC44" s="518">
        <f t="shared" ca="1" si="90"/>
        <v>36957917.674928531</v>
      </c>
      <c r="AD44" s="518">
        <f t="shared" ca="1" si="90"/>
        <v>40729548.983397886</v>
      </c>
      <c r="AE44" s="518">
        <f t="shared" ca="1" si="90"/>
        <v>43393763.96700263</v>
      </c>
      <c r="AF44" s="518">
        <f t="shared" ca="1" si="90"/>
        <v>45644591.543239914</v>
      </c>
      <c r="AG44" s="518">
        <f t="shared" ca="1" si="90"/>
        <v>47450986.685029261</v>
      </c>
      <c r="AH44" s="518">
        <f t="shared" ca="1" si="90"/>
        <v>53156464.051013783</v>
      </c>
      <c r="AI44" s="518">
        <f t="shared" ca="1" si="90"/>
        <v>59347846.00917697</v>
      </c>
      <c r="AJ44" s="518">
        <f t="shared" ca="1" si="90"/>
        <v>64672580.667900376</v>
      </c>
      <c r="AK44" s="518">
        <f t="shared" ca="1" si="90"/>
        <v>69516441.345172092</v>
      </c>
      <c r="AL44" s="518">
        <f t="shared" ca="1" si="90"/>
        <v>77048902.312862471</v>
      </c>
      <c r="AM44" s="518">
        <f t="shared" ca="1" si="90"/>
        <v>85050866.558452427</v>
      </c>
      <c r="AN44" s="518">
        <f t="shared" ca="1" si="90"/>
        <v>91820407.893327296</v>
      </c>
      <c r="AO44" s="44"/>
      <c r="AP44" s="80"/>
    </row>
    <row r="45" spans="2:42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1CA33-DD0F-48D7-885A-7D3FD83ECF5C}">
  <dimension ref="A1:BB33"/>
  <sheetViews>
    <sheetView showGridLines="0" topLeftCell="B1" zoomScale="70" zoomScaleNormal="70" workbookViewId="0">
      <selection activeCell="J5" sqref="J5"/>
    </sheetView>
  </sheetViews>
  <sheetFormatPr defaultColWidth="0" defaultRowHeight="0" customHeight="1" zeroHeight="1" x14ac:dyDescent="0.3"/>
  <cols>
    <col min="1" max="2" width="3.6328125" style="1" customWidth="1"/>
    <col min="3" max="3" width="43.6328125" style="145" bestFit="1" customWidth="1"/>
    <col min="4" max="4" width="8.7265625" style="145" customWidth="1"/>
    <col min="5" max="40" width="15.6328125" style="145" customWidth="1"/>
    <col min="41" max="41" width="0.453125" style="1" customWidth="1"/>
    <col min="42" max="42" width="50.6328125" style="141" customWidth="1"/>
    <col min="43" max="43" width="3.6328125" style="1" customWidth="1"/>
    <col min="44" max="50" width="8.7265625" style="1" hidden="1" customWidth="1"/>
    <col min="51" max="51" width="0.453125" style="1" hidden="1" customWidth="1"/>
    <col min="52" max="52" width="50.6328125" style="1" hidden="1" customWidth="1"/>
    <col min="53" max="53" width="3.6328125" style="1" hidden="1" customWidth="1"/>
    <col min="54" max="54" width="3.6328125" style="1" hidden="1"/>
    <col min="55" max="16384" width="8.7265625" style="1" hidden="1"/>
  </cols>
  <sheetData>
    <row r="1" spans="1:52" s="73" customFormat="1" ht="14.5" customHeight="1" x14ac:dyDescent="0.35">
      <c r="A1" s="103" t="str">
        <f ca="1">MID(CELL("filename",A1),FIND("]",CELL("filename",A1))+1,255)</f>
        <v>2.2 BS</v>
      </c>
      <c r="B1" s="100"/>
      <c r="C1" s="100"/>
      <c r="E1" s="677"/>
      <c r="F1" s="677"/>
      <c r="G1" s="677"/>
      <c r="H1" s="677"/>
      <c r="I1" s="677"/>
      <c r="J1" s="677"/>
      <c r="K1" s="677"/>
      <c r="L1" s="677"/>
      <c r="M1" s="677"/>
      <c r="N1" s="677"/>
      <c r="O1" s="677"/>
      <c r="P1" s="677"/>
      <c r="Q1" s="677"/>
      <c r="R1" s="677"/>
      <c r="S1" s="677"/>
      <c r="T1" s="677"/>
      <c r="U1" s="677"/>
      <c r="V1" s="677"/>
      <c r="W1" s="677"/>
      <c r="X1" s="677"/>
      <c r="Y1" s="677"/>
      <c r="Z1" s="677"/>
      <c r="AA1" s="677"/>
      <c r="AB1" s="677"/>
      <c r="AC1" s="677"/>
      <c r="AD1" s="677"/>
      <c r="AE1" s="677"/>
      <c r="AF1" s="677"/>
      <c r="AG1" s="677"/>
      <c r="AH1" s="677"/>
      <c r="AI1" s="677"/>
      <c r="AJ1" s="677"/>
      <c r="AK1" s="677"/>
      <c r="AL1" s="677"/>
      <c r="AM1" s="677"/>
      <c r="AN1" s="677"/>
      <c r="AO1" s="113"/>
      <c r="AP1" s="677"/>
    </row>
    <row r="2" spans="1:52" s="5" customFormat="1" ht="11.5" x14ac:dyDescent="0.25">
      <c r="A2" s="7" t="s">
        <v>970</v>
      </c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</row>
    <row r="3" spans="1:52" s="3" customFormat="1" ht="11.5" customHeight="1" x14ac:dyDescent="0.25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718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</row>
    <row r="4" spans="1:52" s="142" customFormat="1" ht="11.5" customHeight="1" x14ac:dyDescent="0.3">
      <c r="B4" s="13" t="s">
        <v>0</v>
      </c>
      <c r="C4" s="255" t="s">
        <v>7</v>
      </c>
      <c r="D4" s="256" t="s">
        <v>14</v>
      </c>
      <c r="E4" s="260">
        <v>45688</v>
      </c>
      <c r="F4" s="260">
        <v>45716</v>
      </c>
      <c r="G4" s="260">
        <v>45747</v>
      </c>
      <c r="H4" s="260">
        <v>45777</v>
      </c>
      <c r="I4" s="260">
        <v>45808</v>
      </c>
      <c r="J4" s="260">
        <v>45838</v>
      </c>
      <c r="K4" s="260">
        <v>45869</v>
      </c>
      <c r="L4" s="260">
        <v>45900</v>
      </c>
      <c r="M4" s="260">
        <v>45930</v>
      </c>
      <c r="N4" s="260">
        <v>45961</v>
      </c>
      <c r="O4" s="260">
        <v>45991</v>
      </c>
      <c r="P4" s="260">
        <v>46022</v>
      </c>
      <c r="Q4" s="260">
        <f>E4+365.25</f>
        <v>46053.25</v>
      </c>
      <c r="R4" s="260">
        <f t="shared" ref="R4:AN4" si="0">F4+365.25</f>
        <v>46081.25</v>
      </c>
      <c r="S4" s="260">
        <f t="shared" si="0"/>
        <v>46112.25</v>
      </c>
      <c r="T4" s="260">
        <f t="shared" si="0"/>
        <v>46142.25</v>
      </c>
      <c r="U4" s="260">
        <f t="shared" si="0"/>
        <v>46173.25</v>
      </c>
      <c r="V4" s="260">
        <f t="shared" si="0"/>
        <v>46203.25</v>
      </c>
      <c r="W4" s="260">
        <f t="shared" si="0"/>
        <v>46234.25</v>
      </c>
      <c r="X4" s="260">
        <f t="shared" si="0"/>
        <v>46265.25</v>
      </c>
      <c r="Y4" s="260">
        <f t="shared" si="0"/>
        <v>46295.25</v>
      </c>
      <c r="Z4" s="260">
        <f t="shared" si="0"/>
        <v>46326.25</v>
      </c>
      <c r="AA4" s="260">
        <f t="shared" si="0"/>
        <v>46356.25</v>
      </c>
      <c r="AB4" s="260">
        <f t="shared" si="0"/>
        <v>46387.25</v>
      </c>
      <c r="AC4" s="260">
        <f t="shared" si="0"/>
        <v>46418.5</v>
      </c>
      <c r="AD4" s="260">
        <f t="shared" si="0"/>
        <v>46446.5</v>
      </c>
      <c r="AE4" s="260">
        <f t="shared" si="0"/>
        <v>46477.5</v>
      </c>
      <c r="AF4" s="260">
        <f t="shared" si="0"/>
        <v>46507.5</v>
      </c>
      <c r="AG4" s="260">
        <f t="shared" si="0"/>
        <v>46538.5</v>
      </c>
      <c r="AH4" s="260">
        <f t="shared" si="0"/>
        <v>46568.5</v>
      </c>
      <c r="AI4" s="260">
        <f t="shared" si="0"/>
        <v>46599.5</v>
      </c>
      <c r="AJ4" s="260">
        <f t="shared" si="0"/>
        <v>46630.5</v>
      </c>
      <c r="AK4" s="260">
        <f t="shared" si="0"/>
        <v>46660.5</v>
      </c>
      <c r="AL4" s="260">
        <f t="shared" si="0"/>
        <v>46691.5</v>
      </c>
      <c r="AM4" s="260">
        <f t="shared" si="0"/>
        <v>46721.5</v>
      </c>
      <c r="AN4" s="260">
        <f t="shared" si="0"/>
        <v>46752.5</v>
      </c>
      <c r="AO4" s="109"/>
      <c r="AP4" s="255" t="s">
        <v>45</v>
      </c>
      <c r="AQ4" s="109"/>
      <c r="AR4" s="109"/>
      <c r="AS4" s="109"/>
      <c r="AT4" s="109"/>
      <c r="AU4" s="109"/>
      <c r="AV4" s="109"/>
      <c r="AW4" s="109"/>
      <c r="AX4" s="109"/>
      <c r="AZ4" s="110"/>
    </row>
    <row r="5" spans="1:52" s="142" customFormat="1" ht="11.5" customHeight="1" x14ac:dyDescent="0.3">
      <c r="B5" s="3"/>
      <c r="C5" s="146" t="s">
        <v>69</v>
      </c>
      <c r="D5" s="152" t="s">
        <v>46</v>
      </c>
      <c r="E5" s="631">
        <f ca="1">E10</f>
        <v>389809.49542667001</v>
      </c>
      <c r="F5" s="631">
        <f t="shared" ref="F5:P5" ca="1" si="1">F10</f>
        <v>707333.18711326888</v>
      </c>
      <c r="G5" s="631">
        <f t="shared" ca="1" si="1"/>
        <v>1208833.8298205344</v>
      </c>
      <c r="H5" s="631">
        <f t="shared" ca="1" si="1"/>
        <v>4878550.073435179</v>
      </c>
      <c r="I5" s="631">
        <f t="shared" ca="1" si="1"/>
        <v>5747099.1808091886</v>
      </c>
      <c r="J5" s="631">
        <f t="shared" ca="1" si="1"/>
        <v>7386714.66694507</v>
      </c>
      <c r="K5" s="631">
        <f t="shared" ca="1" si="1"/>
        <v>10095746.762847941</v>
      </c>
      <c r="L5" s="631">
        <f t="shared" ca="1" si="1"/>
        <v>21198115.536420874</v>
      </c>
      <c r="M5" s="631">
        <f t="shared" ca="1" si="1"/>
        <v>25627031.305591427</v>
      </c>
      <c r="N5" s="631">
        <f t="shared" ca="1" si="1"/>
        <v>31249434.58071674</v>
      </c>
      <c r="O5" s="631">
        <f t="shared" ca="1" si="1"/>
        <v>38392535.270286508</v>
      </c>
      <c r="P5" s="631">
        <f t="shared" ca="1" si="1"/>
        <v>46993453.427698009</v>
      </c>
      <c r="Q5" s="631">
        <f ca="1">Q10</f>
        <v>57302256.874650419</v>
      </c>
      <c r="R5" s="631">
        <f t="shared" ref="R5:AB5" ca="1" si="2">R10</f>
        <v>69612551.04746756</v>
      </c>
      <c r="S5" s="631">
        <f t="shared" ca="1" si="2"/>
        <v>83625055.592750579</v>
      </c>
      <c r="T5" s="631">
        <f t="shared" ca="1" si="2"/>
        <v>99180107.587048113</v>
      </c>
      <c r="U5" s="631">
        <f t="shared" ca="1" si="2"/>
        <v>116312084.93249156</v>
      </c>
      <c r="V5" s="631">
        <f t="shared" ca="1" si="2"/>
        <v>135886975.62592837</v>
      </c>
      <c r="W5" s="631">
        <f t="shared" ca="1" si="2"/>
        <v>157905315.60719854</v>
      </c>
      <c r="X5" s="631">
        <f t="shared" ca="1" si="2"/>
        <v>181948028.38318124</v>
      </c>
      <c r="Y5" s="631">
        <f t="shared" ca="1" si="2"/>
        <v>233826002.16400483</v>
      </c>
      <c r="Z5" s="631">
        <f t="shared" ca="1" si="2"/>
        <v>262180336.39999357</v>
      </c>
      <c r="AA5" s="631">
        <f t="shared" ca="1" si="2"/>
        <v>293052323.88880855</v>
      </c>
      <c r="AB5" s="631">
        <f t="shared" ca="1" si="2"/>
        <v>326143650.63408625</v>
      </c>
      <c r="AC5" s="631">
        <f ca="1">AC10</f>
        <v>363162518.46918124</v>
      </c>
      <c r="AD5" s="631">
        <f t="shared" ref="AD5:AN5" ca="1" si="3">AD10</f>
        <v>403884339.39058214</v>
      </c>
      <c r="AE5" s="631">
        <f t="shared" ca="1" si="3"/>
        <v>447288070.95377481</v>
      </c>
      <c r="AF5" s="631">
        <f t="shared" ca="1" si="3"/>
        <v>492940819.53341991</v>
      </c>
      <c r="AG5" s="631">
        <f t="shared" ca="1" si="3"/>
        <v>540450959.70145631</v>
      </c>
      <c r="AH5" s="631">
        <f t="shared" ca="1" si="3"/>
        <v>646105915.16446519</v>
      </c>
      <c r="AI5" s="631">
        <f t="shared" ca="1" si="3"/>
        <v>705479171.56274998</v>
      </c>
      <c r="AJ5" s="631">
        <f t="shared" ca="1" si="3"/>
        <v>770173365.93867815</v>
      </c>
      <c r="AK5" s="631">
        <f t="shared" ca="1" si="3"/>
        <v>839748299.54322708</v>
      </c>
      <c r="AL5" s="631">
        <f t="shared" ca="1" si="3"/>
        <v>916809091.44998944</v>
      </c>
      <c r="AM5" s="631">
        <f t="shared" ca="1" si="3"/>
        <v>1001893290.3260607</v>
      </c>
      <c r="AN5" s="631">
        <f t="shared" ca="1" si="3"/>
        <v>1185690132.8470964</v>
      </c>
      <c r="AO5" s="111"/>
      <c r="AP5" s="114"/>
      <c r="AQ5" s="111"/>
      <c r="AR5" s="111"/>
      <c r="AS5" s="111"/>
      <c r="AT5" s="111"/>
      <c r="AU5" s="111"/>
      <c r="AV5" s="111"/>
      <c r="AW5" s="111"/>
      <c r="AX5" s="111"/>
      <c r="AZ5" s="111"/>
    </row>
    <row r="6" spans="1:52" s="142" customFormat="1" ht="11.5" customHeight="1" x14ac:dyDescent="0.3">
      <c r="B6" s="3"/>
      <c r="C6" s="134" t="s">
        <v>70</v>
      </c>
      <c r="D6" s="153" t="s">
        <v>46</v>
      </c>
      <c r="E6" s="632">
        <f ca="1">E19</f>
        <v>389809.49542667007</v>
      </c>
      <c r="F6" s="632">
        <f t="shared" ref="F6:P6" ca="1" si="4">F19</f>
        <v>707333.187113269</v>
      </c>
      <c r="G6" s="632">
        <f t="shared" ca="1" si="4"/>
        <v>1208833.8298205347</v>
      </c>
      <c r="H6" s="632">
        <f t="shared" ca="1" si="4"/>
        <v>4878550.0734351799</v>
      </c>
      <c r="I6" s="632">
        <f t="shared" ca="1" si="4"/>
        <v>5747099.1808091886</v>
      </c>
      <c r="J6" s="632">
        <f t="shared" ca="1" si="4"/>
        <v>7386714.666945071</v>
      </c>
      <c r="K6" s="632">
        <f t="shared" ca="1" si="4"/>
        <v>10095746.762847941</v>
      </c>
      <c r="L6" s="632">
        <f t="shared" ca="1" si="4"/>
        <v>21198115.536420871</v>
      </c>
      <c r="M6" s="632">
        <f t="shared" ca="1" si="4"/>
        <v>25627031.305591427</v>
      </c>
      <c r="N6" s="632">
        <f t="shared" ca="1" si="4"/>
        <v>31249434.58071674</v>
      </c>
      <c r="O6" s="632">
        <f t="shared" ca="1" si="4"/>
        <v>38392535.270286508</v>
      </c>
      <c r="P6" s="632">
        <f t="shared" ca="1" si="4"/>
        <v>46993453.427698001</v>
      </c>
      <c r="Q6" s="632">
        <f ca="1">Q19</f>
        <v>57302256.874650411</v>
      </c>
      <c r="R6" s="632">
        <f t="shared" ref="R6:AB6" ca="1" si="5">R19</f>
        <v>69612551.04746756</v>
      </c>
      <c r="S6" s="632">
        <f t="shared" ca="1" si="5"/>
        <v>83625055.592750594</v>
      </c>
      <c r="T6" s="632">
        <f t="shared" ca="1" si="5"/>
        <v>99180107.587048113</v>
      </c>
      <c r="U6" s="632">
        <f t="shared" ca="1" si="5"/>
        <v>116312084.93249154</v>
      </c>
      <c r="V6" s="632">
        <f t="shared" ca="1" si="5"/>
        <v>135886975.6259284</v>
      </c>
      <c r="W6" s="632">
        <f t="shared" ca="1" si="5"/>
        <v>157905315.60719854</v>
      </c>
      <c r="X6" s="632">
        <f t="shared" ca="1" si="5"/>
        <v>181948028.38318124</v>
      </c>
      <c r="Y6" s="632">
        <f t="shared" ca="1" si="5"/>
        <v>233826002.16400477</v>
      </c>
      <c r="Z6" s="632">
        <f t="shared" ca="1" si="5"/>
        <v>262180336.39999354</v>
      </c>
      <c r="AA6" s="632">
        <f t="shared" ca="1" si="5"/>
        <v>293052323.88880849</v>
      </c>
      <c r="AB6" s="632">
        <f t="shared" ca="1" si="5"/>
        <v>326143650.63408619</v>
      </c>
      <c r="AC6" s="632">
        <f ca="1">AC19</f>
        <v>363162518.46918112</v>
      </c>
      <c r="AD6" s="632">
        <f t="shared" ref="AD6:AN6" ca="1" si="6">AD19</f>
        <v>403884339.39058208</v>
      </c>
      <c r="AE6" s="632">
        <f t="shared" ca="1" si="6"/>
        <v>447288070.95377481</v>
      </c>
      <c r="AF6" s="632">
        <f t="shared" ca="1" si="6"/>
        <v>492940819.53341991</v>
      </c>
      <c r="AG6" s="632">
        <f t="shared" ca="1" si="6"/>
        <v>540450959.70145631</v>
      </c>
      <c r="AH6" s="632">
        <f t="shared" ca="1" si="6"/>
        <v>646105915.16446519</v>
      </c>
      <c r="AI6" s="632">
        <f t="shared" ca="1" si="6"/>
        <v>705479171.5627501</v>
      </c>
      <c r="AJ6" s="632">
        <f t="shared" ca="1" si="6"/>
        <v>770173365.93867826</v>
      </c>
      <c r="AK6" s="632">
        <f t="shared" ca="1" si="6"/>
        <v>839748299.54322708</v>
      </c>
      <c r="AL6" s="632">
        <f t="shared" ca="1" si="6"/>
        <v>916809091.44998968</v>
      </c>
      <c r="AM6" s="632">
        <f t="shared" ca="1" si="6"/>
        <v>1001893290.3260609</v>
      </c>
      <c r="AN6" s="632">
        <f t="shared" ca="1" si="6"/>
        <v>1185690132.8470964</v>
      </c>
      <c r="AO6" s="111"/>
      <c r="AP6" s="115"/>
      <c r="AQ6" s="111"/>
      <c r="AR6" s="111"/>
      <c r="AS6" s="111"/>
      <c r="AT6" s="111"/>
      <c r="AU6" s="111"/>
      <c r="AV6" s="111"/>
      <c r="AW6" s="111"/>
      <c r="AX6" s="111"/>
      <c r="AZ6" s="111"/>
    </row>
    <row r="7" spans="1:52" s="142" customFormat="1" ht="11.5" customHeight="1" x14ac:dyDescent="0.3">
      <c r="B7" s="3"/>
      <c r="C7" s="135" t="s">
        <v>71</v>
      </c>
      <c r="D7" s="154" t="s">
        <v>72</v>
      </c>
      <c r="E7" s="179" t="b">
        <f ca="1">IF(ABS(E5-E6)&lt;0.01,TRUE,FALSE)</f>
        <v>1</v>
      </c>
      <c r="F7" s="179" t="b">
        <f t="shared" ref="F7:P7" ca="1" si="7">IF(ABS(F5-F6)&lt;0.01,TRUE,FALSE)</f>
        <v>1</v>
      </c>
      <c r="G7" s="179" t="b">
        <f t="shared" ca="1" si="7"/>
        <v>1</v>
      </c>
      <c r="H7" s="179" t="b">
        <f t="shared" ca="1" si="7"/>
        <v>1</v>
      </c>
      <c r="I7" s="179" t="b">
        <f t="shared" ca="1" si="7"/>
        <v>1</v>
      </c>
      <c r="J7" s="179" t="b">
        <f t="shared" ca="1" si="7"/>
        <v>1</v>
      </c>
      <c r="K7" s="179" t="b">
        <f t="shared" ca="1" si="7"/>
        <v>1</v>
      </c>
      <c r="L7" s="179" t="b">
        <f t="shared" ca="1" si="7"/>
        <v>1</v>
      </c>
      <c r="M7" s="179" t="b">
        <f t="shared" ca="1" si="7"/>
        <v>1</v>
      </c>
      <c r="N7" s="179" t="b">
        <f t="shared" ca="1" si="7"/>
        <v>1</v>
      </c>
      <c r="O7" s="179" t="b">
        <f t="shared" ca="1" si="7"/>
        <v>1</v>
      </c>
      <c r="P7" s="179" t="b">
        <f t="shared" ca="1" si="7"/>
        <v>1</v>
      </c>
      <c r="Q7" s="179" t="b">
        <f ca="1">IF(ABS(Q5-Q6)&lt;0.01,TRUE,FALSE)</f>
        <v>1</v>
      </c>
      <c r="R7" s="179" t="b">
        <f t="shared" ref="R7:AB7" ca="1" si="8">IF(ABS(R5-R6)&lt;0.01,TRUE,FALSE)</f>
        <v>1</v>
      </c>
      <c r="S7" s="179" t="b">
        <f t="shared" ca="1" si="8"/>
        <v>1</v>
      </c>
      <c r="T7" s="179" t="b">
        <f t="shared" ca="1" si="8"/>
        <v>1</v>
      </c>
      <c r="U7" s="179" t="b">
        <f t="shared" ca="1" si="8"/>
        <v>1</v>
      </c>
      <c r="V7" s="179" t="b">
        <f t="shared" ca="1" si="8"/>
        <v>1</v>
      </c>
      <c r="W7" s="179" t="b">
        <f t="shared" ca="1" si="8"/>
        <v>1</v>
      </c>
      <c r="X7" s="179" t="b">
        <f t="shared" ca="1" si="8"/>
        <v>1</v>
      </c>
      <c r="Y7" s="179" t="b">
        <f t="shared" ca="1" si="8"/>
        <v>1</v>
      </c>
      <c r="Z7" s="179" t="b">
        <f t="shared" ca="1" si="8"/>
        <v>1</v>
      </c>
      <c r="AA7" s="179" t="b">
        <f t="shared" ca="1" si="8"/>
        <v>1</v>
      </c>
      <c r="AB7" s="179" t="b">
        <f t="shared" ca="1" si="8"/>
        <v>1</v>
      </c>
      <c r="AC7" s="179" t="b">
        <f ca="1">IF(ABS(AC5-AC6)&lt;0.01,TRUE,FALSE)</f>
        <v>1</v>
      </c>
      <c r="AD7" s="179" t="b">
        <f t="shared" ref="AD7:AN7" ca="1" si="9">IF(ABS(AD5-AD6)&lt;0.01,TRUE,FALSE)</f>
        <v>1</v>
      </c>
      <c r="AE7" s="179" t="b">
        <f t="shared" ca="1" si="9"/>
        <v>1</v>
      </c>
      <c r="AF7" s="179" t="b">
        <f t="shared" ca="1" si="9"/>
        <v>1</v>
      </c>
      <c r="AG7" s="179" t="b">
        <f t="shared" ca="1" si="9"/>
        <v>1</v>
      </c>
      <c r="AH7" s="179" t="b">
        <f t="shared" ca="1" si="9"/>
        <v>1</v>
      </c>
      <c r="AI7" s="179" t="b">
        <f t="shared" ca="1" si="9"/>
        <v>1</v>
      </c>
      <c r="AJ7" s="179" t="b">
        <f t="shared" ca="1" si="9"/>
        <v>1</v>
      </c>
      <c r="AK7" s="179" t="b">
        <f t="shared" ca="1" si="9"/>
        <v>1</v>
      </c>
      <c r="AL7" s="179" t="b">
        <f t="shared" ca="1" si="9"/>
        <v>1</v>
      </c>
      <c r="AM7" s="179" t="b">
        <f t="shared" ca="1" si="9"/>
        <v>1</v>
      </c>
      <c r="AN7" s="179" t="b">
        <f t="shared" ca="1" si="9"/>
        <v>1</v>
      </c>
      <c r="AO7" s="111"/>
      <c r="AP7" s="116"/>
      <c r="AQ7" s="111"/>
      <c r="AR7" s="111"/>
      <c r="AS7" s="111"/>
      <c r="AT7" s="111"/>
      <c r="AU7" s="111"/>
      <c r="AV7" s="111"/>
      <c r="AW7" s="111"/>
      <c r="AX7" s="111"/>
      <c r="AZ7" s="111"/>
    </row>
    <row r="8" spans="1:52" s="142" customFormat="1" ht="3" customHeight="1" x14ac:dyDescent="0.3">
      <c r="B8" s="3"/>
      <c r="C8" s="136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  <c r="AA8" s="136"/>
      <c r="AB8" s="136"/>
      <c r="AC8" s="136"/>
      <c r="AD8" s="136"/>
      <c r="AE8" s="136"/>
      <c r="AF8" s="136"/>
      <c r="AG8" s="136"/>
      <c r="AH8" s="136"/>
      <c r="AI8" s="136"/>
      <c r="AJ8" s="136"/>
      <c r="AK8" s="136"/>
      <c r="AL8" s="136"/>
      <c r="AM8" s="136"/>
      <c r="AN8" s="136"/>
      <c r="AO8" s="111"/>
      <c r="AP8" s="117"/>
      <c r="AQ8" s="111"/>
      <c r="AR8" s="111"/>
      <c r="AS8" s="111"/>
      <c r="AT8" s="111"/>
      <c r="AU8" s="111"/>
      <c r="AV8" s="111"/>
      <c r="AW8" s="111"/>
      <c r="AX8" s="111"/>
      <c r="AZ8" s="111"/>
    </row>
    <row r="9" spans="1:52" s="142" customFormat="1" ht="11.5" customHeight="1" x14ac:dyDescent="0.3">
      <c r="B9" s="13" t="s">
        <v>0</v>
      </c>
      <c r="C9" s="255" t="s">
        <v>7</v>
      </c>
      <c r="D9" s="256" t="s">
        <v>14</v>
      </c>
      <c r="E9" s="260">
        <v>45688</v>
      </c>
      <c r="F9" s="260">
        <v>45716</v>
      </c>
      <c r="G9" s="260">
        <v>45747</v>
      </c>
      <c r="H9" s="260">
        <v>45777</v>
      </c>
      <c r="I9" s="260">
        <v>45808</v>
      </c>
      <c r="J9" s="260">
        <v>45838</v>
      </c>
      <c r="K9" s="260">
        <v>45869</v>
      </c>
      <c r="L9" s="260">
        <v>45900</v>
      </c>
      <c r="M9" s="260">
        <v>45930</v>
      </c>
      <c r="N9" s="260">
        <v>45961</v>
      </c>
      <c r="O9" s="260">
        <v>45991</v>
      </c>
      <c r="P9" s="260">
        <v>46022</v>
      </c>
      <c r="Q9" s="260">
        <f>E9+365.25</f>
        <v>46053.25</v>
      </c>
      <c r="R9" s="260">
        <f t="shared" ref="R9" si="10">F9+365.25</f>
        <v>46081.25</v>
      </c>
      <c r="S9" s="260">
        <f t="shared" ref="S9" si="11">G9+365.25</f>
        <v>46112.25</v>
      </c>
      <c r="T9" s="260">
        <f t="shared" ref="T9" si="12">H9+365.25</f>
        <v>46142.25</v>
      </c>
      <c r="U9" s="260">
        <f t="shared" ref="U9" si="13">I9+365.25</f>
        <v>46173.25</v>
      </c>
      <c r="V9" s="260">
        <f t="shared" ref="V9" si="14">J9+365.25</f>
        <v>46203.25</v>
      </c>
      <c r="W9" s="260">
        <f t="shared" ref="W9" si="15">K9+365.25</f>
        <v>46234.25</v>
      </c>
      <c r="X9" s="260">
        <f t="shared" ref="X9" si="16">L9+365.25</f>
        <v>46265.25</v>
      </c>
      <c r="Y9" s="260">
        <f t="shared" ref="Y9" si="17">M9+365.25</f>
        <v>46295.25</v>
      </c>
      <c r="Z9" s="260">
        <f t="shared" ref="Z9" si="18">N9+365.25</f>
        <v>46326.25</v>
      </c>
      <c r="AA9" s="260">
        <f t="shared" ref="AA9" si="19">O9+365.25</f>
        <v>46356.25</v>
      </c>
      <c r="AB9" s="260">
        <f t="shared" ref="AB9" si="20">P9+365.25</f>
        <v>46387.25</v>
      </c>
      <c r="AC9" s="260">
        <f t="shared" ref="AC9" si="21">Q9+365.25</f>
        <v>46418.5</v>
      </c>
      <c r="AD9" s="260">
        <f t="shared" ref="AD9" si="22">R9+365.25</f>
        <v>46446.5</v>
      </c>
      <c r="AE9" s="260">
        <f t="shared" ref="AE9" si="23">S9+365.25</f>
        <v>46477.5</v>
      </c>
      <c r="AF9" s="260">
        <f t="shared" ref="AF9" si="24">T9+365.25</f>
        <v>46507.5</v>
      </c>
      <c r="AG9" s="260">
        <f t="shared" ref="AG9" si="25">U9+365.25</f>
        <v>46538.5</v>
      </c>
      <c r="AH9" s="260">
        <f t="shared" ref="AH9" si="26">V9+365.25</f>
        <v>46568.5</v>
      </c>
      <c r="AI9" s="260">
        <f t="shared" ref="AI9" si="27">W9+365.25</f>
        <v>46599.5</v>
      </c>
      <c r="AJ9" s="260">
        <f t="shared" ref="AJ9" si="28">X9+365.25</f>
        <v>46630.5</v>
      </c>
      <c r="AK9" s="260">
        <f t="shared" ref="AK9" si="29">Y9+365.25</f>
        <v>46660.5</v>
      </c>
      <c r="AL9" s="260">
        <f t="shared" ref="AL9" si="30">Z9+365.25</f>
        <v>46691.5</v>
      </c>
      <c r="AM9" s="260">
        <f t="shared" ref="AM9" si="31">AA9+365.25</f>
        <v>46721.5</v>
      </c>
      <c r="AN9" s="260">
        <f t="shared" ref="AN9" si="32">AB9+365.25</f>
        <v>46752.5</v>
      </c>
      <c r="AO9" s="44"/>
      <c r="AP9" s="255" t="s">
        <v>45</v>
      </c>
      <c r="AQ9" s="44"/>
      <c r="AR9" s="44"/>
      <c r="AS9" s="44"/>
      <c r="AT9" s="44"/>
      <c r="AU9" s="44"/>
      <c r="AV9" s="44"/>
      <c r="AW9" s="44"/>
      <c r="AX9" s="44"/>
      <c r="AZ9" s="44"/>
    </row>
    <row r="10" spans="1:52" s="142" customFormat="1" ht="11.5" customHeight="1" x14ac:dyDescent="0.3">
      <c r="B10" s="33" t="s">
        <v>10</v>
      </c>
      <c r="C10" s="147" t="s">
        <v>69</v>
      </c>
      <c r="D10" s="155" t="s">
        <v>46</v>
      </c>
      <c r="E10" s="633">
        <f ca="1">E11+E16</f>
        <v>389809.49542667001</v>
      </c>
      <c r="F10" s="633">
        <f t="shared" ref="F10:P10" ca="1" si="33">F11+F16</f>
        <v>707333.18711326888</v>
      </c>
      <c r="G10" s="633">
        <f t="shared" ca="1" si="33"/>
        <v>1208833.8298205344</v>
      </c>
      <c r="H10" s="633">
        <f t="shared" ca="1" si="33"/>
        <v>4878550.073435179</v>
      </c>
      <c r="I10" s="633">
        <f t="shared" ca="1" si="33"/>
        <v>5747099.1808091886</v>
      </c>
      <c r="J10" s="633">
        <f t="shared" ca="1" si="33"/>
        <v>7386714.66694507</v>
      </c>
      <c r="K10" s="633">
        <f t="shared" ca="1" si="33"/>
        <v>10095746.762847941</v>
      </c>
      <c r="L10" s="633">
        <f t="shared" ca="1" si="33"/>
        <v>21198115.536420874</v>
      </c>
      <c r="M10" s="633">
        <f t="shared" ca="1" si="33"/>
        <v>25627031.305591427</v>
      </c>
      <c r="N10" s="633">
        <f t="shared" ca="1" si="33"/>
        <v>31249434.58071674</v>
      </c>
      <c r="O10" s="633">
        <f t="shared" ca="1" si="33"/>
        <v>38392535.270286508</v>
      </c>
      <c r="P10" s="633">
        <f t="shared" ca="1" si="33"/>
        <v>46993453.427698009</v>
      </c>
      <c r="Q10" s="633">
        <f ca="1">Q11+Q16</f>
        <v>57302256.874650419</v>
      </c>
      <c r="R10" s="633">
        <f t="shared" ref="R10:AB10" ca="1" si="34">R11+R16</f>
        <v>69612551.04746756</v>
      </c>
      <c r="S10" s="633">
        <f t="shared" ca="1" si="34"/>
        <v>83625055.592750579</v>
      </c>
      <c r="T10" s="633">
        <f t="shared" ca="1" si="34"/>
        <v>99180107.587048113</v>
      </c>
      <c r="U10" s="633">
        <f t="shared" ca="1" si="34"/>
        <v>116312084.93249156</v>
      </c>
      <c r="V10" s="633">
        <f t="shared" ca="1" si="34"/>
        <v>135886975.62592837</v>
      </c>
      <c r="W10" s="633">
        <f t="shared" ca="1" si="34"/>
        <v>157905315.60719854</v>
      </c>
      <c r="X10" s="633">
        <f t="shared" ca="1" si="34"/>
        <v>181948028.38318124</v>
      </c>
      <c r="Y10" s="633">
        <f t="shared" ca="1" si="34"/>
        <v>233826002.16400483</v>
      </c>
      <c r="Z10" s="633">
        <f t="shared" ca="1" si="34"/>
        <v>262180336.39999357</v>
      </c>
      <c r="AA10" s="633">
        <f t="shared" ca="1" si="34"/>
        <v>293052323.88880855</v>
      </c>
      <c r="AB10" s="633">
        <f t="shared" ca="1" si="34"/>
        <v>326143650.63408625</v>
      </c>
      <c r="AC10" s="633">
        <f ca="1">AC11+AC16</f>
        <v>363162518.46918124</v>
      </c>
      <c r="AD10" s="633">
        <f t="shared" ref="AD10:AN10" ca="1" si="35">AD11+AD16</f>
        <v>403884339.39058214</v>
      </c>
      <c r="AE10" s="633">
        <f t="shared" ca="1" si="35"/>
        <v>447288070.95377481</v>
      </c>
      <c r="AF10" s="633">
        <f t="shared" ca="1" si="35"/>
        <v>492940819.53341991</v>
      </c>
      <c r="AG10" s="633">
        <f t="shared" ca="1" si="35"/>
        <v>540450959.70145631</v>
      </c>
      <c r="AH10" s="633">
        <f t="shared" ca="1" si="35"/>
        <v>646105915.16446519</v>
      </c>
      <c r="AI10" s="633">
        <f t="shared" ca="1" si="35"/>
        <v>705479171.56274998</v>
      </c>
      <c r="AJ10" s="633">
        <f t="shared" ca="1" si="35"/>
        <v>770173365.93867815</v>
      </c>
      <c r="AK10" s="633">
        <f t="shared" ca="1" si="35"/>
        <v>839748299.54322708</v>
      </c>
      <c r="AL10" s="633">
        <f t="shared" ca="1" si="35"/>
        <v>916809091.44998944</v>
      </c>
      <c r="AM10" s="633">
        <f t="shared" ca="1" si="35"/>
        <v>1001893290.3260607</v>
      </c>
      <c r="AN10" s="633">
        <f t="shared" ca="1" si="35"/>
        <v>1185690132.8470964</v>
      </c>
      <c r="AO10" s="111"/>
      <c r="AP10" s="118"/>
      <c r="AQ10" s="111"/>
      <c r="AR10" s="111"/>
      <c r="AS10" s="111"/>
      <c r="AT10" s="111"/>
      <c r="AU10" s="111"/>
      <c r="AV10" s="111"/>
      <c r="AW10" s="111"/>
      <c r="AX10" s="111"/>
      <c r="AZ10" s="111"/>
    </row>
    <row r="11" spans="1:52" s="142" customFormat="1" ht="11.5" customHeight="1" x14ac:dyDescent="0.3">
      <c r="B11" s="33" t="s">
        <v>10</v>
      </c>
      <c r="C11" s="140" t="s">
        <v>73</v>
      </c>
      <c r="D11" s="156" t="s">
        <v>46</v>
      </c>
      <c r="E11" s="645">
        <f ca="1">SUM(E12:E15)</f>
        <v>87914.790334881589</v>
      </c>
      <c r="F11" s="645">
        <f t="shared" ref="F11:P11" ca="1" si="36">SUM(F12:F15)</f>
        <v>385488.37058837037</v>
      </c>
      <c r="G11" s="645">
        <f t="shared" ca="1" si="36"/>
        <v>614935.89312040084</v>
      </c>
      <c r="H11" s="645">
        <f t="shared" ca="1" si="36"/>
        <v>3762280.8710965915</v>
      </c>
      <c r="I11" s="645">
        <f t="shared" ca="1" si="36"/>
        <v>4349341.3718234496</v>
      </c>
      <c r="J11" s="645">
        <f t="shared" ca="1" si="36"/>
        <v>5692756.1596484184</v>
      </c>
      <c r="K11" s="645">
        <f t="shared" ca="1" si="36"/>
        <v>8100814.2904644776</v>
      </c>
      <c r="L11" s="645">
        <f t="shared" ca="1" si="36"/>
        <v>18644162.129702594</v>
      </c>
      <c r="M11" s="645">
        <f t="shared" ca="1" si="36"/>
        <v>22979813.750000753</v>
      </c>
      <c r="N11" s="645">
        <f t="shared" ca="1" si="36"/>
        <v>28260105.793410156</v>
      </c>
      <c r="O11" s="645">
        <f t="shared" ca="1" si="36"/>
        <v>35295025.635904901</v>
      </c>
      <c r="P11" s="645">
        <f t="shared" ca="1" si="36"/>
        <v>43770716.480333738</v>
      </c>
      <c r="Q11" s="645">
        <f ca="1">SUM(Q12:Q15)</f>
        <v>53837836.557486571</v>
      </c>
      <c r="R11" s="645">
        <f t="shared" ref="R11:AB11" ca="1" si="37">SUM(R12:R15)</f>
        <v>65448987.64749109</v>
      </c>
      <c r="S11" s="645">
        <f t="shared" ca="1" si="37"/>
        <v>79247384.654479071</v>
      </c>
      <c r="T11" s="645">
        <f t="shared" ca="1" si="37"/>
        <v>94573466.579357892</v>
      </c>
      <c r="U11" s="645">
        <f t="shared" ca="1" si="37"/>
        <v>111383884.20733869</v>
      </c>
      <c r="V11" s="645">
        <f t="shared" ca="1" si="37"/>
        <v>130656188.84916624</v>
      </c>
      <c r="W11" s="645">
        <f t="shared" ca="1" si="37"/>
        <v>152349150.6295346</v>
      </c>
      <c r="X11" s="645">
        <f t="shared" ca="1" si="37"/>
        <v>176048272.96039787</v>
      </c>
      <c r="Y11" s="645">
        <f t="shared" ca="1" si="37"/>
        <v>227511062.22480634</v>
      </c>
      <c r="Z11" s="645">
        <f t="shared" ca="1" si="37"/>
        <v>255462333.79482839</v>
      </c>
      <c r="AA11" s="645">
        <f t="shared" ca="1" si="37"/>
        <v>285908325.05906028</v>
      </c>
      <c r="AB11" s="645">
        <f t="shared" ca="1" si="37"/>
        <v>318552871.28429294</v>
      </c>
      <c r="AC11" s="645">
        <f ca="1">SUM(AC12:AC15)</f>
        <v>354856833.14345509</v>
      </c>
      <c r="AD11" s="645">
        <f t="shared" ref="AD11:AN11" ca="1" si="38">SUM(AD12:AD15)</f>
        <v>394977620.79993063</v>
      </c>
      <c r="AE11" s="645">
        <f t="shared" ca="1" si="38"/>
        <v>437757696.06030637</v>
      </c>
      <c r="AF11" s="645">
        <f t="shared" ca="1" si="38"/>
        <v>482768889.99610531</v>
      </c>
      <c r="AG11" s="645">
        <f t="shared" ca="1" si="38"/>
        <v>529353401.42975587</v>
      </c>
      <c r="AH11" s="645">
        <f t="shared" ca="1" si="38"/>
        <v>634192259.34365916</v>
      </c>
      <c r="AI11" s="645">
        <f t="shared" ca="1" si="38"/>
        <v>692691551.14832795</v>
      </c>
      <c r="AJ11" s="645">
        <f t="shared" ca="1" si="38"/>
        <v>756463633.42259395</v>
      </c>
      <c r="AK11" s="645">
        <f t="shared" ca="1" si="38"/>
        <v>824871886.03187263</v>
      </c>
      <c r="AL11" s="645">
        <f t="shared" ca="1" si="38"/>
        <v>900824325.58294976</v>
      </c>
      <c r="AM11" s="645">
        <f t="shared" ca="1" si="38"/>
        <v>984724945.28368402</v>
      </c>
      <c r="AN11" s="645">
        <f t="shared" ca="1" si="38"/>
        <v>1167283045.2128329</v>
      </c>
      <c r="AO11" s="44"/>
      <c r="AP11" s="119"/>
      <c r="AQ11" s="44"/>
      <c r="AR11" s="44"/>
      <c r="AS11" s="44"/>
      <c r="AT11" s="44"/>
      <c r="AU11" s="44"/>
      <c r="AV11" s="44"/>
      <c r="AW11" s="44"/>
      <c r="AX11" s="44"/>
      <c r="AZ11" s="44"/>
    </row>
    <row r="12" spans="1:52" s="142" customFormat="1" ht="11.5" customHeight="1" x14ac:dyDescent="0.3">
      <c r="B12" s="3"/>
      <c r="C12" s="137" t="s">
        <v>74</v>
      </c>
      <c r="D12" s="157" t="s">
        <v>46</v>
      </c>
      <c r="E12" s="630">
        <f ca="1">'2.3 CF'!E10</f>
        <v>52229.407760381233</v>
      </c>
      <c r="F12" s="630">
        <f ca="1">'2.3 CF'!F10</f>
        <v>362524.55260178039</v>
      </c>
      <c r="G12" s="630">
        <f ca="1">'2.3 CF'!G10</f>
        <v>587067.80992927088</v>
      </c>
      <c r="H12" s="630">
        <f ca="1">'2.3 CF'!H10</f>
        <v>3730630.4892961513</v>
      </c>
      <c r="I12" s="630">
        <f ca="1">'2.3 CF'!I10</f>
        <v>4300366.7534987396</v>
      </c>
      <c r="J12" s="630">
        <f ca="1">'2.3 CF'!J10</f>
        <v>5618585.3313643988</v>
      </c>
      <c r="K12" s="630">
        <f ca="1">'2.3 CF'!K10</f>
        <v>8016620.035355825</v>
      </c>
      <c r="L12" s="630">
        <f ca="1">'2.3 CF'!L10</f>
        <v>18565830.284676567</v>
      </c>
      <c r="M12" s="630">
        <f ca="1">'2.3 CF'!M10</f>
        <v>22875869.797176842</v>
      </c>
      <c r="N12" s="630">
        <f ca="1">'2.3 CF'!N10</f>
        <v>28143325.343877696</v>
      </c>
      <c r="O12" s="630">
        <f ca="1">'2.3 CF'!O10</f>
        <v>35156691.403379537</v>
      </c>
      <c r="P12" s="630">
        <f ca="1">'2.3 CF'!P10</f>
        <v>43610189.878330983</v>
      </c>
      <c r="Q12" s="630">
        <f ca="1">'2.3 CF'!Q10</f>
        <v>53603750.282447949</v>
      </c>
      <c r="R12" s="630">
        <f ca="1">'2.3 CF'!R10</f>
        <v>65211205.52782467</v>
      </c>
      <c r="S12" s="630">
        <f ca="1">'2.3 CF'!S10</f>
        <v>78987344.219433695</v>
      </c>
      <c r="T12" s="630">
        <f ca="1">'2.3 CF'!T10</f>
        <v>94339290.530850619</v>
      </c>
      <c r="U12" s="630">
        <f ca="1">'2.3 CF'!U10</f>
        <v>111083850.5196445</v>
      </c>
      <c r="V12" s="630">
        <f ca="1">'2.3 CF'!V10</f>
        <v>130351321.35432816</v>
      </c>
      <c r="W12" s="630">
        <f ca="1">'2.3 CF'!W10</f>
        <v>152017650.93523356</v>
      </c>
      <c r="X12" s="630">
        <f ca="1">'2.3 CF'!X10</f>
        <v>175694621.16972113</v>
      </c>
      <c r="Y12" s="630">
        <f ca="1">'2.3 CF'!Y10</f>
        <v>227121688.06113386</v>
      </c>
      <c r="Z12" s="630">
        <f ca="1">'2.3 CF'!Z10</f>
        <v>255050420.45471162</v>
      </c>
      <c r="AA12" s="630">
        <f ca="1">'2.3 CF'!AA10</f>
        <v>285468773.09919536</v>
      </c>
      <c r="AB12" s="630">
        <f ca="1">'2.3 CF'!AB10</f>
        <v>318087719.91497874</v>
      </c>
      <c r="AC12" s="630">
        <f ca="1">'2.3 CF'!AC10</f>
        <v>354334777.64523357</v>
      </c>
      <c r="AD12" s="630">
        <f ca="1">'2.3 CF'!AD10</f>
        <v>394468481.29262805</v>
      </c>
      <c r="AE12" s="630">
        <f ca="1">'2.3 CF'!AE10</f>
        <v>437224269.84585571</v>
      </c>
      <c r="AF12" s="630">
        <f ca="1">'2.3 CF'!AF10</f>
        <v>482214952.80866051</v>
      </c>
      <c r="AG12" s="630">
        <f ca="1">'2.3 CF'!AG10</f>
        <v>528671791.81203794</v>
      </c>
      <c r="AH12" s="630">
        <f ca="1">'2.3 CF'!AH10</f>
        <v>633510387.81784034</v>
      </c>
      <c r="AI12" s="630">
        <f ca="1">'2.3 CF'!AI10</f>
        <v>691952837.73437476</v>
      </c>
      <c r="AJ12" s="630">
        <f ca="1">'2.3 CF'!AJ10</f>
        <v>755676025.35693038</v>
      </c>
      <c r="AK12" s="630">
        <f ca="1">'2.3 CF'!AK10</f>
        <v>823957879.78237569</v>
      </c>
      <c r="AL12" s="630">
        <f ca="1">'2.3 CF'!AL10</f>
        <v>899881794.71554208</v>
      </c>
      <c r="AM12" s="630">
        <f ca="1">'2.3 CF'!AM10</f>
        <v>983708813.3663851</v>
      </c>
      <c r="AN12" s="630">
        <f ca="1">'2.3 CF'!AN10</f>
        <v>1166202871.241631</v>
      </c>
      <c r="AO12" s="109"/>
      <c r="AP12" s="120"/>
      <c r="AQ12" s="109"/>
      <c r="AR12" s="109"/>
      <c r="AS12" s="109"/>
      <c r="AT12" s="109"/>
      <c r="AU12" s="109"/>
      <c r="AV12" s="109"/>
      <c r="AW12" s="109"/>
      <c r="AX12" s="109"/>
      <c r="AZ12" s="110"/>
    </row>
    <row r="13" spans="1:52" s="142" customFormat="1" ht="11.5" customHeight="1" x14ac:dyDescent="0.3">
      <c r="B13" s="3"/>
      <c r="C13" s="132" t="s">
        <v>75</v>
      </c>
      <c r="D13" s="158" t="s">
        <v>46</v>
      </c>
      <c r="E13" s="779">
        <f>'1.1 Control Panel'!E32*'2.1 PnL'!E22</f>
        <v>0</v>
      </c>
      <c r="F13" s="360">
        <f ca="1">'1.1 Control Panel'!F32*'2.1 PnL'!F22</f>
        <v>0</v>
      </c>
      <c r="G13" s="360">
        <f ca="1">'1.1 Control Panel'!G32*'2.1 PnL'!G22</f>
        <v>0</v>
      </c>
      <c r="H13" s="360">
        <f ca="1">'1.1 Control Panel'!H32*'2.1 PnL'!H22</f>
        <v>0</v>
      </c>
      <c r="I13" s="360">
        <f ca="1">'1.1 Control Panel'!I32*'2.1 PnL'!I22</f>
        <v>0</v>
      </c>
      <c r="J13" s="360">
        <f ca="1">'1.1 Control Panel'!J32*'2.1 PnL'!J22</f>
        <v>0</v>
      </c>
      <c r="K13" s="360">
        <f ca="1">'1.1 Control Panel'!K32*'2.1 PnL'!K22</f>
        <v>0</v>
      </c>
      <c r="L13" s="360">
        <f ca="1">'1.1 Control Panel'!L32*'2.1 PnL'!L22</f>
        <v>0</v>
      </c>
      <c r="M13" s="360">
        <f ca="1">'1.1 Control Panel'!M32*'2.1 PnL'!M22</f>
        <v>0</v>
      </c>
      <c r="N13" s="360">
        <f ca="1">'1.1 Control Panel'!N32*'2.1 PnL'!N22</f>
        <v>0</v>
      </c>
      <c r="O13" s="360">
        <f ca="1">'1.1 Control Panel'!O32*'2.1 PnL'!O22</f>
        <v>0</v>
      </c>
      <c r="P13" s="360">
        <f ca="1">'1.1 Control Panel'!P32*'2.1 PnL'!P22</f>
        <v>0</v>
      </c>
      <c r="Q13" s="360">
        <f ca="1">'1.1 Control Panel'!Q32*'2.1 PnL'!Q22</f>
        <v>0</v>
      </c>
      <c r="R13" s="360">
        <f ca="1">'1.1 Control Panel'!R32*'2.1 PnL'!R22</f>
        <v>0</v>
      </c>
      <c r="S13" s="360">
        <f ca="1">'1.1 Control Panel'!S32*'2.1 PnL'!S22</f>
        <v>0</v>
      </c>
      <c r="T13" s="360">
        <f ca="1">'1.1 Control Panel'!T32*'2.1 PnL'!T22</f>
        <v>0</v>
      </c>
      <c r="U13" s="360">
        <f ca="1">'1.1 Control Panel'!U32*'2.1 PnL'!U22</f>
        <v>0</v>
      </c>
      <c r="V13" s="360">
        <f ca="1">'1.1 Control Panel'!V32*'2.1 PnL'!V22</f>
        <v>0</v>
      </c>
      <c r="W13" s="360">
        <f ca="1">'1.1 Control Panel'!W32*'2.1 PnL'!W22</f>
        <v>0</v>
      </c>
      <c r="X13" s="360">
        <f ca="1">'1.1 Control Panel'!X32*'2.1 PnL'!X22</f>
        <v>0</v>
      </c>
      <c r="Y13" s="360">
        <f ca="1">'1.1 Control Panel'!Y32*'2.1 PnL'!Y22</f>
        <v>0</v>
      </c>
      <c r="Z13" s="360">
        <f ca="1">'1.1 Control Panel'!Z32*'2.1 PnL'!Z22</f>
        <v>0</v>
      </c>
      <c r="AA13" s="360">
        <f ca="1">'1.1 Control Panel'!AA32*'2.1 PnL'!AA22</f>
        <v>0</v>
      </c>
      <c r="AB13" s="360">
        <f ca="1">'1.1 Control Panel'!AB32*'2.1 PnL'!AB22</f>
        <v>0</v>
      </c>
      <c r="AC13" s="360">
        <f ca="1">'1.1 Control Panel'!AC32*'2.1 PnL'!AC22</f>
        <v>0</v>
      </c>
      <c r="AD13" s="360">
        <f ca="1">'1.1 Control Panel'!AD32*'2.1 PnL'!AD22</f>
        <v>0</v>
      </c>
      <c r="AE13" s="360">
        <f ca="1">'1.1 Control Panel'!AE32*'2.1 PnL'!AE22</f>
        <v>0</v>
      </c>
      <c r="AF13" s="360">
        <f ca="1">'1.1 Control Panel'!AF32*'2.1 PnL'!AF22</f>
        <v>0</v>
      </c>
      <c r="AG13" s="360">
        <f ca="1">'1.1 Control Panel'!AG32*'2.1 PnL'!AG22</f>
        <v>0</v>
      </c>
      <c r="AH13" s="360">
        <f ca="1">'1.1 Control Panel'!AH32*'2.1 PnL'!AH22</f>
        <v>0</v>
      </c>
      <c r="AI13" s="360">
        <f ca="1">'1.1 Control Panel'!AI32*'2.1 PnL'!AI22</f>
        <v>0</v>
      </c>
      <c r="AJ13" s="360">
        <f ca="1">'1.1 Control Panel'!AJ32*'2.1 PnL'!AJ22</f>
        <v>0</v>
      </c>
      <c r="AK13" s="360">
        <f ca="1">'1.1 Control Panel'!AK32*'2.1 PnL'!AK22</f>
        <v>0</v>
      </c>
      <c r="AL13" s="360">
        <f ca="1">'1.1 Control Panel'!AL32*'2.1 PnL'!AL22</f>
        <v>0</v>
      </c>
      <c r="AM13" s="360">
        <f ca="1">'1.1 Control Panel'!AM32*'2.1 PnL'!AM22</f>
        <v>0</v>
      </c>
      <c r="AN13" s="360">
        <f ca="1">'1.1 Control Panel'!AN32*'2.1 PnL'!AN22</f>
        <v>0</v>
      </c>
      <c r="AO13" s="108"/>
      <c r="AP13" s="121"/>
      <c r="AQ13" s="108"/>
      <c r="AR13" s="108"/>
      <c r="AS13" s="108"/>
      <c r="AT13" s="108"/>
      <c r="AU13" s="108"/>
      <c r="AV13" s="108"/>
      <c r="AW13" s="108"/>
      <c r="AX13" s="108"/>
      <c r="AZ13" s="108"/>
    </row>
    <row r="14" spans="1:52" s="142" customFormat="1" ht="11.5" customHeight="1" x14ac:dyDescent="0.3">
      <c r="B14" s="3"/>
      <c r="C14" s="133" t="s">
        <v>76</v>
      </c>
      <c r="D14" s="158" t="s">
        <v>46</v>
      </c>
      <c r="E14" s="779">
        <f>'1.1 Control Panel'!E33*'2.1 PnL'!E28</f>
        <v>31032.790322283876</v>
      </c>
      <c r="F14" s="360">
        <f ca="1">'1.1 Control Panel'!F33*'2.1 PnL'!F28</f>
        <v>19969.839109589997</v>
      </c>
      <c r="G14" s="360">
        <f ca="1">'1.1 Control Panel'!G33*'2.1 PnL'!G28</f>
        <v>24234.695552129997</v>
      </c>
      <c r="H14" s="360">
        <f ca="1">'1.1 Control Panel'!H33*'2.1 PnL'!H28</f>
        <v>27523.865268439997</v>
      </c>
      <c r="I14" s="360">
        <f ca="1">'1.1 Control Panel'!I33*'2.1 PnL'!I28</f>
        <v>42589.400811710002</v>
      </c>
      <c r="J14" s="360">
        <f ca="1">'1.1 Control Panel'!J33*'2.1 PnL'!J28</f>
        <v>64500.576878019994</v>
      </c>
      <c r="K14" s="360">
        <f ca="1">'1.1 Control Panel'!K33*'2.1 PnL'!K28</f>
        <v>73217.168393052008</v>
      </c>
      <c r="L14" s="360">
        <f ca="1">'1.1 Control Panel'!L33*'2.1 PnL'!L28</f>
        <v>65281.974967546201</v>
      </c>
      <c r="M14" s="360">
        <f ca="1">'1.1 Control Panel'!M33*'2.1 PnL'!M28</f>
        <v>86627.176010265903</v>
      </c>
      <c r="N14" s="360">
        <f ca="1">'1.1 Control Panel'!N33*'2.1 PnL'!N28</f>
        <v>97325.147652835076</v>
      </c>
      <c r="O14" s="360">
        <f ca="1">'1.1 Control Panel'!O33*'2.1 PnL'!O28</f>
        <v>115288.12964733428</v>
      </c>
      <c r="P14" s="360">
        <f ca="1">'1.1 Control Panel'!P33*'2.1 PnL'!P28</f>
        <v>133783.31137338909</v>
      </c>
      <c r="Q14" s="360">
        <f ca="1">'1.1 Control Panel'!Q33*'2.1 PnL'!Q28</f>
        <v>195088.14508633068</v>
      </c>
      <c r="R14" s="360">
        <f ca="1">'1.1 Control Panel'!R33*'2.1 PnL'!R28</f>
        <v>198168.27215848159</v>
      </c>
      <c r="S14" s="360">
        <f ca="1">'1.1 Control Panel'!S33*'2.1 PnL'!S28</f>
        <v>216718.41338018235</v>
      </c>
      <c r="T14" s="360">
        <f ca="1">'1.1 Control Panel'!T33*'2.1 PnL'!T28</f>
        <v>187359.56539906882</v>
      </c>
      <c r="U14" s="360">
        <f ca="1">'1.1 Control Panel'!U33*'2.1 PnL'!U28</f>
        <v>240050.94325313208</v>
      </c>
      <c r="V14" s="360">
        <f ca="1">'1.1 Control Panel'!V33*'2.1 PnL'!V28</f>
        <v>243918.37551820069</v>
      </c>
      <c r="W14" s="360">
        <f ca="1">'1.1 Control Panel'!W33*'2.1 PnL'!W28</f>
        <v>265226.2648126256</v>
      </c>
      <c r="X14" s="360">
        <f ca="1">'1.1 Control Panel'!X33*'2.1 PnL'!X28</f>
        <v>282949.71337232791</v>
      </c>
      <c r="Y14" s="360">
        <f ca="1">'1.1 Control Panel'!Y33*'2.1 PnL'!Y28</f>
        <v>311530.46841608587</v>
      </c>
      <c r="Z14" s="360">
        <f ca="1">'1.1 Control Panel'!Z33*'2.1 PnL'!Z28</f>
        <v>329563.61198468361</v>
      </c>
      <c r="AA14" s="360">
        <f ca="1">'1.1 Control Panel'!AA33*'2.1 PnL'!AA28</f>
        <v>351676.71798868803</v>
      </c>
      <c r="AB14" s="360">
        <f ca="1">'1.1 Control Panel'!AB33*'2.1 PnL'!AB28</f>
        <v>372158.29268201278</v>
      </c>
      <c r="AC14" s="360">
        <f ca="1">'1.1 Control Panel'!AC33*'2.1 PnL'!AC28</f>
        <v>397803.90401415707</v>
      </c>
      <c r="AD14" s="360">
        <f ca="1">'1.1 Control Panel'!AD33*'2.1 PnL'!AD28</f>
        <v>387961.9779559825</v>
      </c>
      <c r="AE14" s="360">
        <f ca="1">'1.1 Control Panel'!AE33*'2.1 PnL'!AE28</f>
        <v>406468.33782019123</v>
      </c>
      <c r="AF14" s="360">
        <f ca="1">'1.1 Control Panel'!AF33*'2.1 PnL'!AF28</f>
        <v>422097.60551299684</v>
      </c>
      <c r="AG14" s="360">
        <f ca="1">'1.1 Control Panel'!AG33*'2.1 PnL'!AG28</f>
        <v>519383.41395795887</v>
      </c>
      <c r="AH14" s="360">
        <f ca="1">'1.1 Control Panel'!AH33*'2.1 PnL'!AH28</f>
        <v>519582.98673404509</v>
      </c>
      <c r="AI14" s="360">
        <f ca="1">'1.1 Control Panel'!AI33*'2.1 PnL'!AI28</f>
        <v>562896.24574270425</v>
      </c>
      <c r="AJ14" s="360">
        <f ca="1">'1.1 Control Panel'!AJ33*'2.1 PnL'!AJ28</f>
        <v>600153.74691277544</v>
      </c>
      <c r="AK14" s="360">
        <f ca="1">'1.1 Control Panel'!AK33*'2.1 PnL'!AK28</f>
        <v>696468.58539352985</v>
      </c>
      <c r="AL14" s="360">
        <f ca="1">'1.1 Control Panel'!AL33*'2.1 PnL'!AL28</f>
        <v>718204.21389298129</v>
      </c>
      <c r="AM14" s="360">
        <f ca="1">'1.1 Control Panel'!AM33*'2.1 PnL'!AM28</f>
        <v>774287.8775762826</v>
      </c>
      <c r="AN14" s="360">
        <f ca="1">'1.1 Control Panel'!AN33*'2.1 PnL'!AN28</f>
        <v>823087.62999810709</v>
      </c>
      <c r="AO14" s="111"/>
      <c r="AP14" s="121"/>
      <c r="AQ14" s="111"/>
      <c r="AR14" s="111"/>
      <c r="AS14" s="111"/>
      <c r="AT14" s="111"/>
      <c r="AU14" s="111"/>
      <c r="AV14" s="111"/>
      <c r="AW14" s="111"/>
      <c r="AX14" s="111"/>
      <c r="AZ14" s="111"/>
    </row>
    <row r="15" spans="1:52" s="142" customFormat="1" ht="11.5" customHeight="1" x14ac:dyDescent="0.3">
      <c r="B15" s="3"/>
      <c r="C15" s="133" t="s">
        <v>77</v>
      </c>
      <c r="D15" s="159" t="s">
        <v>46</v>
      </c>
      <c r="E15" s="767">
        <f>'1.1 Control Panel'!E34*'2.1 PnL'!E28</f>
        <v>4652.5922522164738</v>
      </c>
      <c r="F15" s="639">
        <f ca="1">'1.1 Control Panel'!F34*'2.1 PnL'!F28</f>
        <v>2993.9788769999996</v>
      </c>
      <c r="G15" s="767">
        <f ca="1">'1.1 Control Panel'!G34*'2.1 PnL'!G28</f>
        <v>3633.3876389999996</v>
      </c>
      <c r="H15" s="639">
        <f ca="1">'1.1 Control Panel'!H34*'2.1 PnL'!H28</f>
        <v>4126.5165319999996</v>
      </c>
      <c r="I15" s="639">
        <f ca="1">'1.1 Control Panel'!I34*'2.1 PnL'!I28</f>
        <v>6385.2175130000014</v>
      </c>
      <c r="J15" s="639">
        <f ca="1">'1.1 Control Panel'!J34*'2.1 PnL'!J28</f>
        <v>9670.2514059999994</v>
      </c>
      <c r="K15" s="639">
        <f ca="1">'1.1 Control Panel'!K34*'2.1 PnL'!K28</f>
        <v>10977.086715600002</v>
      </c>
      <c r="L15" s="639">
        <f ca="1">'1.1 Control Panel'!L34*'2.1 PnL'!L28</f>
        <v>13049.870058480001</v>
      </c>
      <c r="M15" s="639">
        <f ca="1">'1.1 Control Panel'!M34*'2.1 PnL'!M28</f>
        <v>17316.776813646356</v>
      </c>
      <c r="N15" s="639">
        <f ca="1">'1.1 Control Panel'!N34*'2.1 PnL'!N28</f>
        <v>19455.301879627201</v>
      </c>
      <c r="O15" s="639">
        <f ca="1">'1.1 Control Panel'!O34*'2.1 PnL'!O28</f>
        <v>23046.102878027843</v>
      </c>
      <c r="P15" s="639">
        <f ca="1">'1.1 Control Panel'!P34*'2.1 PnL'!P28</f>
        <v>26743.290629363139</v>
      </c>
      <c r="Q15" s="639">
        <f ca="1">'1.1 Control Panel'!Q34*'2.1 PnL'!Q28</f>
        <v>38998.129952289994</v>
      </c>
      <c r="R15" s="639">
        <f ca="1">'1.1 Control Panel'!R34*'2.1 PnL'!R28</f>
        <v>39613.847507942344</v>
      </c>
      <c r="S15" s="639">
        <f ca="1">'1.1 Control Panel'!S34*'2.1 PnL'!S28</f>
        <v>43322.021665203873</v>
      </c>
      <c r="T15" s="639">
        <f ca="1">'1.1 Control Panel'!T34*'2.1 PnL'!T28</f>
        <v>46816.483108213099</v>
      </c>
      <c r="U15" s="639">
        <f ca="1">'1.1 Control Panel'!U34*'2.1 PnL'!U28</f>
        <v>59982.744441062496</v>
      </c>
      <c r="V15" s="639">
        <f ca="1">'1.1 Control Panel'!V34*'2.1 PnL'!V28</f>
        <v>60949.119319890226</v>
      </c>
      <c r="W15" s="639">
        <f ca="1">'1.1 Control Panel'!W34*'2.1 PnL'!W28</f>
        <v>66273.429488412192</v>
      </c>
      <c r="X15" s="639">
        <f ca="1">'1.1 Control Panel'!X34*'2.1 PnL'!X28</f>
        <v>70702.077304429753</v>
      </c>
      <c r="Y15" s="639">
        <f ca="1">'1.1 Control Panel'!Y34*'2.1 PnL'!Y28</f>
        <v>77843.695256393272</v>
      </c>
      <c r="Z15" s="639">
        <f ca="1">'1.1 Control Panel'!Z34*'2.1 PnL'!Z28</f>
        <v>82349.72813210485</v>
      </c>
      <c r="AA15" s="639">
        <f ca="1">'1.1 Control Panel'!AA34*'2.1 PnL'!AA28</f>
        <v>87875.241876233893</v>
      </c>
      <c r="AB15" s="639">
        <f ca="1">'1.1 Control Panel'!AB34*'2.1 PnL'!AB28</f>
        <v>92993.076632187105</v>
      </c>
      <c r="AC15" s="639">
        <f ca="1">'1.1 Control Panel'!AC34*'2.1 PnL'!AC28</f>
        <v>124251.59420732042</v>
      </c>
      <c r="AD15" s="639">
        <f ca="1">'1.1 Control Panel'!AD34*'2.1 PnL'!AD28</f>
        <v>121177.52934657123</v>
      </c>
      <c r="AE15" s="639">
        <f ca="1">'1.1 Control Panel'!AE34*'2.1 PnL'!AE28</f>
        <v>126957.8766304945</v>
      </c>
      <c r="AF15" s="639">
        <f ca="1">'1.1 Control Panel'!AF34*'2.1 PnL'!AF28</f>
        <v>131839.58193184558</v>
      </c>
      <c r="AG15" s="639">
        <f ca="1">'1.1 Control Panel'!AG34*'2.1 PnL'!AG28</f>
        <v>162226.20375998213</v>
      </c>
      <c r="AH15" s="639">
        <f ca="1">'1.1 Control Panel'!AH34*'2.1 PnL'!AH28</f>
        <v>162288.53908484665</v>
      </c>
      <c r="AI15" s="639">
        <f ca="1">'1.1 Control Panel'!AI34*'2.1 PnL'!AI28</f>
        <v>175817.16821048982</v>
      </c>
      <c r="AJ15" s="639">
        <f ca="1">'1.1 Control Panel'!AJ34*'2.1 PnL'!AJ28</f>
        <v>187454.31875086689</v>
      </c>
      <c r="AK15" s="639">
        <f ca="1">'1.1 Control Panel'!AK34*'2.1 PnL'!AK28</f>
        <v>217537.66410342633</v>
      </c>
      <c r="AL15" s="639">
        <f ca="1">'1.1 Control Panel'!AL34*'2.1 PnL'!AL28</f>
        <v>224326.65351479925</v>
      </c>
      <c r="AM15" s="639">
        <f ca="1">'1.1 Control Panel'!AM34*'2.1 PnL'!AM28</f>
        <v>241844.03972272694</v>
      </c>
      <c r="AN15" s="639">
        <f ca="1">'1.1 Control Panel'!AN34*'2.1 PnL'!AN28</f>
        <v>257086.34120380654</v>
      </c>
      <c r="AO15" s="111"/>
      <c r="AP15" s="122"/>
      <c r="AQ15" s="111"/>
      <c r="AR15" s="111"/>
      <c r="AS15" s="111"/>
      <c r="AT15" s="111"/>
      <c r="AU15" s="111"/>
      <c r="AV15" s="111"/>
      <c r="AW15" s="111"/>
      <c r="AX15" s="111"/>
      <c r="AZ15" s="111"/>
    </row>
    <row r="16" spans="1:52" s="142" customFormat="1" ht="11.5" customHeight="1" x14ac:dyDescent="0.3">
      <c r="B16" s="99" t="s">
        <v>10</v>
      </c>
      <c r="C16" s="148" t="s">
        <v>78</v>
      </c>
      <c r="D16" s="160" t="s">
        <v>46</v>
      </c>
      <c r="E16" s="629">
        <f t="shared" ref="E16:AN16" si="39">SUM(E17:E18)</f>
        <v>301894.70509178843</v>
      </c>
      <c r="F16" s="629">
        <f t="shared" ca="1" si="39"/>
        <v>321844.81652489852</v>
      </c>
      <c r="G16" s="629">
        <f t="shared" ca="1" si="39"/>
        <v>593897.93670013361</v>
      </c>
      <c r="H16" s="629">
        <f t="shared" ca="1" si="39"/>
        <v>1116269.2023385873</v>
      </c>
      <c r="I16" s="629">
        <f t="shared" ca="1" si="39"/>
        <v>1397757.808985739</v>
      </c>
      <c r="J16" s="629">
        <f t="shared" ca="1" si="39"/>
        <v>1693958.5072966511</v>
      </c>
      <c r="K16" s="629">
        <f t="shared" ca="1" si="39"/>
        <v>1994932.4723834633</v>
      </c>
      <c r="L16" s="629">
        <f t="shared" ca="1" si="39"/>
        <v>2553953.4067182788</v>
      </c>
      <c r="M16" s="629">
        <f t="shared" ca="1" si="39"/>
        <v>2647217.5555906743</v>
      </c>
      <c r="N16" s="629">
        <f t="shared" ca="1" si="39"/>
        <v>2989328.7873065858</v>
      </c>
      <c r="O16" s="629">
        <f t="shared" ca="1" si="39"/>
        <v>3097509.634381609</v>
      </c>
      <c r="P16" s="629">
        <f t="shared" ca="1" si="39"/>
        <v>3222736.947364273</v>
      </c>
      <c r="Q16" s="629">
        <f t="shared" ca="1" si="39"/>
        <v>3464420.317163846</v>
      </c>
      <c r="R16" s="629">
        <f t="shared" ca="1" si="39"/>
        <v>4163563.39997647</v>
      </c>
      <c r="S16" s="629">
        <f t="shared" ca="1" si="39"/>
        <v>4377670.9382715141</v>
      </c>
      <c r="T16" s="629">
        <f t="shared" ca="1" si="39"/>
        <v>4606641.0076902155</v>
      </c>
      <c r="U16" s="629">
        <f t="shared" ca="1" si="39"/>
        <v>4928200.7251528585</v>
      </c>
      <c r="V16" s="629">
        <f t="shared" ca="1" si="39"/>
        <v>5230786.7767621307</v>
      </c>
      <c r="W16" s="629">
        <f t="shared" ca="1" si="39"/>
        <v>5556164.9776639249</v>
      </c>
      <c r="X16" s="629">
        <f t="shared" ca="1" si="39"/>
        <v>5899755.4227833822</v>
      </c>
      <c r="Y16" s="629">
        <f t="shared" ca="1" si="39"/>
        <v>6314939.9391984819</v>
      </c>
      <c r="Z16" s="629">
        <f t="shared" ca="1" si="39"/>
        <v>6718002.6051651761</v>
      </c>
      <c r="AA16" s="629">
        <f t="shared" ca="1" si="39"/>
        <v>7143998.8297482617</v>
      </c>
      <c r="AB16" s="629">
        <f t="shared" ca="1" si="39"/>
        <v>7590779.3497933177</v>
      </c>
      <c r="AC16" s="629">
        <f t="shared" ca="1" si="39"/>
        <v>8305685.3257261282</v>
      </c>
      <c r="AD16" s="629">
        <f t="shared" ca="1" si="39"/>
        <v>8906718.5906515066</v>
      </c>
      <c r="AE16" s="629">
        <f t="shared" ca="1" si="39"/>
        <v>9530374.893468447</v>
      </c>
      <c r="AF16" s="629">
        <f t="shared" ca="1" si="39"/>
        <v>10171929.537314577</v>
      </c>
      <c r="AG16" s="629">
        <f t="shared" ca="1" si="39"/>
        <v>11097558.271700434</v>
      </c>
      <c r="AH16" s="629">
        <f t="shared" ca="1" si="39"/>
        <v>11913655.82080598</v>
      </c>
      <c r="AI16" s="629">
        <f t="shared" ca="1" si="39"/>
        <v>12787620.414422082</v>
      </c>
      <c r="AJ16" s="629">
        <f t="shared" ca="1" si="39"/>
        <v>13709732.516084222</v>
      </c>
      <c r="AK16" s="629">
        <f t="shared" ca="1" si="39"/>
        <v>14876413.511354428</v>
      </c>
      <c r="AL16" s="629">
        <f t="shared" ca="1" si="39"/>
        <v>15984765.867039641</v>
      </c>
      <c r="AM16" s="629">
        <f t="shared" ca="1" si="39"/>
        <v>17168345.042376604</v>
      </c>
      <c r="AN16" s="629">
        <f t="shared" ca="1" si="39"/>
        <v>18407087.634263437</v>
      </c>
      <c r="AO16" s="111"/>
      <c r="AP16" s="123"/>
      <c r="AQ16" s="111"/>
      <c r="AR16" s="111"/>
      <c r="AS16" s="111"/>
      <c r="AT16" s="111"/>
      <c r="AU16" s="111"/>
      <c r="AV16" s="111"/>
      <c r="AW16" s="111"/>
      <c r="AX16" s="111"/>
      <c r="AZ16" s="111"/>
    </row>
    <row r="17" spans="2:52" s="142" customFormat="1" ht="11.5" customHeight="1" x14ac:dyDescent="0.3">
      <c r="B17" s="3"/>
      <c r="C17" s="137" t="s">
        <v>95</v>
      </c>
      <c r="D17" s="157" t="s">
        <v>46</v>
      </c>
      <c r="E17" s="630">
        <f>'3.6 CapEx'!E31</f>
        <v>301894.70509178843</v>
      </c>
      <c r="F17" s="630">
        <f ca="1">'3.6 CapEx'!F31</f>
        <v>321844.81652489852</v>
      </c>
      <c r="G17" s="630">
        <f ca="1">'3.6 CapEx'!G31</f>
        <v>593897.93670013361</v>
      </c>
      <c r="H17" s="630">
        <f ca="1">'3.6 CapEx'!H31</f>
        <v>1116269.2023385873</v>
      </c>
      <c r="I17" s="630">
        <f ca="1">'3.6 CapEx'!I31</f>
        <v>1397757.808985739</v>
      </c>
      <c r="J17" s="630">
        <f ca="1">'3.6 CapEx'!J31</f>
        <v>1693958.5072966511</v>
      </c>
      <c r="K17" s="630">
        <f ca="1">'3.6 CapEx'!K31</f>
        <v>1994932.4723834633</v>
      </c>
      <c r="L17" s="630">
        <f ca="1">'3.6 CapEx'!L31</f>
        <v>2553953.4067182788</v>
      </c>
      <c r="M17" s="630">
        <f ca="1">'3.6 CapEx'!M31</f>
        <v>2647217.5555906743</v>
      </c>
      <c r="N17" s="630">
        <f ca="1">'3.6 CapEx'!N31</f>
        <v>2989328.7873065858</v>
      </c>
      <c r="O17" s="630">
        <f ca="1">'3.6 CapEx'!O31</f>
        <v>3097509.634381609</v>
      </c>
      <c r="P17" s="630">
        <f ca="1">'3.6 CapEx'!P31</f>
        <v>3222736.947364273</v>
      </c>
      <c r="Q17" s="630">
        <f ca="1">'3.6 CapEx'!Q31</f>
        <v>3464420.317163846</v>
      </c>
      <c r="R17" s="630">
        <f ca="1">'3.6 CapEx'!R31</f>
        <v>4163563.39997647</v>
      </c>
      <c r="S17" s="630">
        <f ca="1">'3.6 CapEx'!S31</f>
        <v>4377670.9382715141</v>
      </c>
      <c r="T17" s="630">
        <f ca="1">'3.6 CapEx'!T31</f>
        <v>4606641.0076902155</v>
      </c>
      <c r="U17" s="630">
        <f ca="1">'3.6 CapEx'!U31</f>
        <v>4928200.7251528585</v>
      </c>
      <c r="V17" s="630">
        <f ca="1">'3.6 CapEx'!V31</f>
        <v>5230786.7767621307</v>
      </c>
      <c r="W17" s="630">
        <f ca="1">'3.6 CapEx'!W31</f>
        <v>5556164.9776639249</v>
      </c>
      <c r="X17" s="630">
        <f ca="1">'3.6 CapEx'!X31</f>
        <v>5899755.4227833822</v>
      </c>
      <c r="Y17" s="630">
        <f ca="1">'3.6 CapEx'!Y31</f>
        <v>6314939.9391984819</v>
      </c>
      <c r="Z17" s="630">
        <f ca="1">'3.6 CapEx'!Z31</f>
        <v>6718002.6051651761</v>
      </c>
      <c r="AA17" s="630">
        <f ca="1">'3.6 CapEx'!AA31</f>
        <v>7143998.8297482617</v>
      </c>
      <c r="AB17" s="630">
        <f ca="1">'3.6 CapEx'!AB31</f>
        <v>7590779.3497933177</v>
      </c>
      <c r="AC17" s="630">
        <f ca="1">'3.6 CapEx'!AC31</f>
        <v>8305685.3257261282</v>
      </c>
      <c r="AD17" s="630">
        <f ca="1">'3.6 CapEx'!AD31</f>
        <v>8906718.5906515066</v>
      </c>
      <c r="AE17" s="630">
        <f ca="1">'3.6 CapEx'!AE31</f>
        <v>9530374.893468447</v>
      </c>
      <c r="AF17" s="630">
        <f ca="1">'3.6 CapEx'!AF31</f>
        <v>10171929.537314577</v>
      </c>
      <c r="AG17" s="630">
        <f ca="1">'3.6 CapEx'!AG31</f>
        <v>11097558.271700434</v>
      </c>
      <c r="AH17" s="630">
        <f ca="1">'3.6 CapEx'!AH31</f>
        <v>11913655.82080598</v>
      </c>
      <c r="AI17" s="630">
        <f ca="1">'3.6 CapEx'!AI31</f>
        <v>12787620.414422082</v>
      </c>
      <c r="AJ17" s="630">
        <f ca="1">'3.6 CapEx'!AJ31</f>
        <v>13709732.516084222</v>
      </c>
      <c r="AK17" s="630">
        <f ca="1">'3.6 CapEx'!AK31</f>
        <v>14876413.511354428</v>
      </c>
      <c r="AL17" s="630">
        <f ca="1">'3.6 CapEx'!AL31</f>
        <v>15984765.867039641</v>
      </c>
      <c r="AM17" s="630">
        <f ca="1">'3.6 CapEx'!AM31</f>
        <v>17168345.042376604</v>
      </c>
      <c r="AN17" s="630">
        <f ca="1">'3.6 CapEx'!AN31</f>
        <v>18407087.634263437</v>
      </c>
      <c r="AO17" s="111"/>
      <c r="AP17" s="120"/>
      <c r="AQ17" s="111"/>
      <c r="AR17" s="111"/>
      <c r="AS17" s="111"/>
      <c r="AT17" s="111"/>
      <c r="AU17" s="111"/>
      <c r="AV17" s="111"/>
      <c r="AW17" s="111"/>
      <c r="AX17" s="111"/>
      <c r="AZ17" s="111"/>
    </row>
    <row r="18" spans="2:52" s="142" customFormat="1" ht="11.5" customHeight="1" x14ac:dyDescent="0.3">
      <c r="B18" s="3"/>
      <c r="C18" s="132" t="s">
        <v>79</v>
      </c>
      <c r="D18" s="158" t="s">
        <v>46</v>
      </c>
      <c r="E18" s="360">
        <f>'1.1 Control Panel'!E36*'2.1 PnL'!E5</f>
        <v>0</v>
      </c>
      <c r="F18" s="360">
        <f ca="1">'1.1 Control Panel'!F36*'2.1 PnL'!F5</f>
        <v>0</v>
      </c>
      <c r="G18" s="360">
        <f ca="1">'1.1 Control Panel'!G36*'2.1 PnL'!G5</f>
        <v>0</v>
      </c>
      <c r="H18" s="360">
        <f ca="1">'1.1 Control Panel'!H36*'2.1 PnL'!H5</f>
        <v>0</v>
      </c>
      <c r="I18" s="360">
        <f ca="1">'1.1 Control Panel'!I36*'2.1 PnL'!I5</f>
        <v>0</v>
      </c>
      <c r="J18" s="360">
        <f ca="1">'1.1 Control Panel'!J36*'2.1 PnL'!J5</f>
        <v>0</v>
      </c>
      <c r="K18" s="360">
        <f ca="1">'1.1 Control Panel'!K36*'2.1 PnL'!K5</f>
        <v>0</v>
      </c>
      <c r="L18" s="360">
        <f ca="1">'1.1 Control Panel'!L36*'2.1 PnL'!L5</f>
        <v>0</v>
      </c>
      <c r="M18" s="360">
        <f ca="1">'1.1 Control Panel'!M36*'2.1 PnL'!M5</f>
        <v>0</v>
      </c>
      <c r="N18" s="360">
        <f ca="1">'1.1 Control Panel'!N36*'2.1 PnL'!N5</f>
        <v>0</v>
      </c>
      <c r="O18" s="360">
        <f ca="1">'1.1 Control Panel'!O36*'2.1 PnL'!O5</f>
        <v>0</v>
      </c>
      <c r="P18" s="360">
        <f ca="1">'1.1 Control Panel'!P36*'2.1 PnL'!P5</f>
        <v>0</v>
      </c>
      <c r="Q18" s="360">
        <f ca="1">'1.1 Control Panel'!Q36*'2.1 PnL'!Q5</f>
        <v>0</v>
      </c>
      <c r="R18" s="360">
        <f ca="1">'1.1 Control Panel'!R36*'2.1 PnL'!R5</f>
        <v>0</v>
      </c>
      <c r="S18" s="360">
        <f ca="1">'1.1 Control Panel'!S36*'2.1 PnL'!S5</f>
        <v>0</v>
      </c>
      <c r="T18" s="360">
        <f ca="1">'1.1 Control Panel'!T36*'2.1 PnL'!T5</f>
        <v>0</v>
      </c>
      <c r="U18" s="360">
        <f ca="1">'1.1 Control Panel'!U36*'2.1 PnL'!U5</f>
        <v>0</v>
      </c>
      <c r="V18" s="360">
        <f ca="1">'1.1 Control Panel'!V36*'2.1 PnL'!V5</f>
        <v>0</v>
      </c>
      <c r="W18" s="360">
        <f ca="1">'1.1 Control Panel'!W36*'2.1 PnL'!W5</f>
        <v>0</v>
      </c>
      <c r="X18" s="360">
        <f ca="1">'1.1 Control Panel'!X36*'2.1 PnL'!X5</f>
        <v>0</v>
      </c>
      <c r="Y18" s="360">
        <f ca="1">'1.1 Control Panel'!Y36*'2.1 PnL'!Y5</f>
        <v>0</v>
      </c>
      <c r="Z18" s="360">
        <f ca="1">'1.1 Control Panel'!Z36*'2.1 PnL'!Z5</f>
        <v>0</v>
      </c>
      <c r="AA18" s="360">
        <f ca="1">'1.1 Control Panel'!AA36*'2.1 PnL'!AA5</f>
        <v>0</v>
      </c>
      <c r="AB18" s="360">
        <f ca="1">'1.1 Control Panel'!AB36*'2.1 PnL'!AB5</f>
        <v>0</v>
      </c>
      <c r="AC18" s="360">
        <f ca="1">'1.1 Control Panel'!AC36*'2.1 PnL'!AC5</f>
        <v>0</v>
      </c>
      <c r="AD18" s="360">
        <f ca="1">'1.1 Control Panel'!AD36*'2.1 PnL'!AD5</f>
        <v>0</v>
      </c>
      <c r="AE18" s="360">
        <f ca="1">'1.1 Control Panel'!AE36*'2.1 PnL'!AE5</f>
        <v>0</v>
      </c>
      <c r="AF18" s="360">
        <f ca="1">'1.1 Control Panel'!AF36*'2.1 PnL'!AF5</f>
        <v>0</v>
      </c>
      <c r="AG18" s="360">
        <f ca="1">'1.1 Control Panel'!AG36*'2.1 PnL'!AG5</f>
        <v>0</v>
      </c>
      <c r="AH18" s="360">
        <f ca="1">'1.1 Control Panel'!AH36*'2.1 PnL'!AH5</f>
        <v>0</v>
      </c>
      <c r="AI18" s="360">
        <f ca="1">'1.1 Control Panel'!AI36*'2.1 PnL'!AI5</f>
        <v>0</v>
      </c>
      <c r="AJ18" s="360">
        <f ca="1">'1.1 Control Panel'!AJ36*'2.1 PnL'!AJ5</f>
        <v>0</v>
      </c>
      <c r="AK18" s="360">
        <f ca="1">'1.1 Control Panel'!AK36*'2.1 PnL'!AK5</f>
        <v>0</v>
      </c>
      <c r="AL18" s="360">
        <f ca="1">'1.1 Control Panel'!AL36*'2.1 PnL'!AL5</f>
        <v>0</v>
      </c>
      <c r="AM18" s="360">
        <f ca="1">'1.1 Control Panel'!AM36*'2.1 PnL'!AM5</f>
        <v>0</v>
      </c>
      <c r="AN18" s="360">
        <f ca="1">'1.1 Control Panel'!AN36*'2.1 PnL'!AN5</f>
        <v>0</v>
      </c>
      <c r="AO18" s="108"/>
      <c r="AP18" s="121"/>
      <c r="AQ18" s="108"/>
      <c r="AR18" s="108"/>
      <c r="AS18" s="108"/>
      <c r="AT18" s="108"/>
      <c r="AU18" s="108"/>
      <c r="AV18" s="108"/>
      <c r="AW18" s="108"/>
      <c r="AX18" s="108"/>
      <c r="AZ18" s="108"/>
    </row>
    <row r="19" spans="2:52" s="142" customFormat="1" ht="11.5" customHeight="1" x14ac:dyDescent="0.3">
      <c r="B19" s="33" t="s">
        <v>10</v>
      </c>
      <c r="C19" s="147" t="s">
        <v>70</v>
      </c>
      <c r="D19" s="155" t="s">
        <v>46</v>
      </c>
      <c r="E19" s="633">
        <f t="shared" ref="E19:AN19" ca="1" si="40">E20+E27</f>
        <v>389809.49542667007</v>
      </c>
      <c r="F19" s="633">
        <f t="shared" ca="1" si="40"/>
        <v>707333.187113269</v>
      </c>
      <c r="G19" s="633">
        <f t="shared" ca="1" si="40"/>
        <v>1208833.8298205347</v>
      </c>
      <c r="H19" s="633">
        <f t="shared" ca="1" si="40"/>
        <v>4878550.0734351799</v>
      </c>
      <c r="I19" s="633">
        <f t="shared" ca="1" si="40"/>
        <v>5747099.1808091886</v>
      </c>
      <c r="J19" s="633">
        <f t="shared" ca="1" si="40"/>
        <v>7386714.666945071</v>
      </c>
      <c r="K19" s="633">
        <f t="shared" ca="1" si="40"/>
        <v>10095746.762847941</v>
      </c>
      <c r="L19" s="633">
        <f t="shared" ca="1" si="40"/>
        <v>21198115.536420871</v>
      </c>
      <c r="M19" s="633">
        <f t="shared" ca="1" si="40"/>
        <v>25627031.305591427</v>
      </c>
      <c r="N19" s="633">
        <f t="shared" ca="1" si="40"/>
        <v>31249434.58071674</v>
      </c>
      <c r="O19" s="633">
        <f t="shared" ca="1" si="40"/>
        <v>38392535.270286508</v>
      </c>
      <c r="P19" s="633">
        <f t="shared" ca="1" si="40"/>
        <v>46993453.427698001</v>
      </c>
      <c r="Q19" s="633">
        <f t="shared" ca="1" si="40"/>
        <v>57302256.874650411</v>
      </c>
      <c r="R19" s="633">
        <f t="shared" ca="1" si="40"/>
        <v>69612551.04746756</v>
      </c>
      <c r="S19" s="633">
        <f t="shared" ca="1" si="40"/>
        <v>83625055.592750594</v>
      </c>
      <c r="T19" s="633">
        <f t="shared" ca="1" si="40"/>
        <v>99180107.587048113</v>
      </c>
      <c r="U19" s="633">
        <f t="shared" ca="1" si="40"/>
        <v>116312084.93249154</v>
      </c>
      <c r="V19" s="633">
        <f t="shared" ca="1" si="40"/>
        <v>135886975.6259284</v>
      </c>
      <c r="W19" s="633">
        <f t="shared" ca="1" si="40"/>
        <v>157905315.60719854</v>
      </c>
      <c r="X19" s="633">
        <f t="shared" ca="1" si="40"/>
        <v>181948028.38318124</v>
      </c>
      <c r="Y19" s="633">
        <f t="shared" ca="1" si="40"/>
        <v>233826002.16400477</v>
      </c>
      <c r="Z19" s="633">
        <f t="shared" ca="1" si="40"/>
        <v>262180336.39999354</v>
      </c>
      <c r="AA19" s="633">
        <f t="shared" ca="1" si="40"/>
        <v>293052323.88880849</v>
      </c>
      <c r="AB19" s="633">
        <f t="shared" ca="1" si="40"/>
        <v>326143650.63408619</v>
      </c>
      <c r="AC19" s="633">
        <f t="shared" ca="1" si="40"/>
        <v>363162518.46918112</v>
      </c>
      <c r="AD19" s="633">
        <f t="shared" ca="1" si="40"/>
        <v>403884339.39058208</v>
      </c>
      <c r="AE19" s="633">
        <f t="shared" ca="1" si="40"/>
        <v>447288070.95377481</v>
      </c>
      <c r="AF19" s="633">
        <f t="shared" ca="1" si="40"/>
        <v>492940819.53341991</v>
      </c>
      <c r="AG19" s="633">
        <f t="shared" ca="1" si="40"/>
        <v>540450959.70145631</v>
      </c>
      <c r="AH19" s="633">
        <f t="shared" ca="1" si="40"/>
        <v>646105915.16446519</v>
      </c>
      <c r="AI19" s="633">
        <f t="shared" ca="1" si="40"/>
        <v>705479171.5627501</v>
      </c>
      <c r="AJ19" s="633">
        <f t="shared" ca="1" si="40"/>
        <v>770173365.93867826</v>
      </c>
      <c r="AK19" s="633">
        <f t="shared" ca="1" si="40"/>
        <v>839748299.54322708</v>
      </c>
      <c r="AL19" s="633">
        <f t="shared" ca="1" si="40"/>
        <v>916809091.44998968</v>
      </c>
      <c r="AM19" s="633">
        <f t="shared" ca="1" si="40"/>
        <v>1001893290.3260609</v>
      </c>
      <c r="AN19" s="633">
        <f t="shared" ca="1" si="40"/>
        <v>1185690132.8470964</v>
      </c>
      <c r="AO19" s="111"/>
      <c r="AP19" s="124"/>
      <c r="AQ19" s="111"/>
      <c r="AR19" s="111"/>
      <c r="AS19" s="111"/>
      <c r="AT19" s="111"/>
      <c r="AU19" s="111"/>
      <c r="AV19" s="111"/>
      <c r="AW19" s="111"/>
      <c r="AX19" s="111"/>
      <c r="AZ19" s="111"/>
    </row>
    <row r="20" spans="2:52" s="142" customFormat="1" ht="11.5" customHeight="1" x14ac:dyDescent="0.3">
      <c r="B20" s="33" t="s">
        <v>10</v>
      </c>
      <c r="C20" s="149" t="s">
        <v>80</v>
      </c>
      <c r="D20" s="161" t="s">
        <v>46</v>
      </c>
      <c r="E20" s="635">
        <f t="shared" ref="E20:AN20" ca="1" si="41">E21+E24</f>
        <v>61665.466812417952</v>
      </c>
      <c r="F20" s="635">
        <f t="shared" ca="1" si="41"/>
        <v>57053.628478136554</v>
      </c>
      <c r="G20" s="635">
        <f t="shared" ca="1" si="41"/>
        <v>57027.045988422709</v>
      </c>
      <c r="H20" s="635">
        <f t="shared" ca="1" si="41"/>
        <v>56697.025427261236</v>
      </c>
      <c r="I20" s="635">
        <f t="shared" ca="1" si="41"/>
        <v>59887.180055873425</v>
      </c>
      <c r="J20" s="635">
        <f t="shared" ca="1" si="41"/>
        <v>65118.940114040714</v>
      </c>
      <c r="K20" s="635">
        <f t="shared" ca="1" si="41"/>
        <v>66383.150441009406</v>
      </c>
      <c r="L20" s="635">
        <f t="shared" ca="1" si="41"/>
        <v>69168.011332102818</v>
      </c>
      <c r="M20" s="635">
        <f t="shared" ca="1" si="41"/>
        <v>76329.779832813394</v>
      </c>
      <c r="N20" s="635">
        <f t="shared" ca="1" si="41"/>
        <v>79223.351246739432</v>
      </c>
      <c r="O20" s="635">
        <f t="shared" ca="1" si="41"/>
        <v>85009.945536188097</v>
      </c>
      <c r="P20" s="635">
        <f t="shared" ca="1" si="41"/>
        <v>97331.021600611479</v>
      </c>
      <c r="Q20" s="635">
        <f t="shared" ca="1" si="41"/>
        <v>120422.34553512145</v>
      </c>
      <c r="R20" s="635">
        <f t="shared" ca="1" si="41"/>
        <v>120223.6063124879</v>
      </c>
      <c r="S20" s="635">
        <f t="shared" ca="1" si="41"/>
        <v>126197.86217362322</v>
      </c>
      <c r="T20" s="635">
        <f t="shared" ca="1" si="41"/>
        <v>131732.67516914237</v>
      </c>
      <c r="U20" s="635">
        <f t="shared" ca="1" si="41"/>
        <v>156598.970361921</v>
      </c>
      <c r="V20" s="635">
        <f t="shared" ca="1" si="41"/>
        <v>157053.27408438202</v>
      </c>
      <c r="W20" s="635">
        <f t="shared" ca="1" si="41"/>
        <v>166211.12800260485</v>
      </c>
      <c r="X20" s="635">
        <f t="shared" ca="1" si="41"/>
        <v>173565.23416232871</v>
      </c>
      <c r="Y20" s="635">
        <f t="shared" ca="1" si="41"/>
        <v>186332.75401500857</v>
      </c>
      <c r="Z20" s="635">
        <f t="shared" ca="1" si="41"/>
        <v>193816.4727480908</v>
      </c>
      <c r="AA20" s="635">
        <f t="shared" ca="1" si="41"/>
        <v>203326.41699285511</v>
      </c>
      <c r="AB20" s="635">
        <f t="shared" ca="1" si="41"/>
        <v>236341.49423423866</v>
      </c>
      <c r="AC20" s="635">
        <f t="shared" ca="1" si="41"/>
        <v>297291.65440061694</v>
      </c>
      <c r="AD20" s="635">
        <f t="shared" ca="1" si="41"/>
        <v>289563.59240369784</v>
      </c>
      <c r="AE20" s="635">
        <f t="shared" ca="1" si="41"/>
        <v>299531.18859382847</v>
      </c>
      <c r="AF20" s="635">
        <f t="shared" ca="1" si="41"/>
        <v>307688.22499900038</v>
      </c>
      <c r="AG20" s="635">
        <f t="shared" ca="1" si="41"/>
        <v>366841.70800609718</v>
      </c>
      <c r="AH20" s="635">
        <f t="shared" ca="1" si="41"/>
        <v>365333.12000124011</v>
      </c>
      <c r="AI20" s="635">
        <f t="shared" ca="1" si="41"/>
        <v>390743.50910915213</v>
      </c>
      <c r="AJ20" s="635">
        <f t="shared" ca="1" si="41"/>
        <v>412357.21713700384</v>
      </c>
      <c r="AK20" s="635">
        <f t="shared" ca="1" si="41"/>
        <v>470849.47651377943</v>
      </c>
      <c r="AL20" s="635">
        <f t="shared" ca="1" si="41"/>
        <v>482739.07041377912</v>
      </c>
      <c r="AM20" s="635">
        <f t="shared" ca="1" si="41"/>
        <v>516071.38803253212</v>
      </c>
      <c r="AN20" s="635">
        <f t="shared" ca="1" si="41"/>
        <v>617506.0157409464</v>
      </c>
      <c r="AO20" s="111"/>
      <c r="AP20" s="125"/>
      <c r="AQ20" s="111"/>
      <c r="AR20" s="111"/>
      <c r="AS20" s="111"/>
      <c r="AT20" s="111"/>
      <c r="AU20" s="111"/>
      <c r="AV20" s="111"/>
      <c r="AW20" s="111"/>
      <c r="AX20" s="111"/>
      <c r="AZ20" s="111"/>
    </row>
    <row r="21" spans="2:52" s="142" customFormat="1" ht="11.5" customHeight="1" x14ac:dyDescent="0.3">
      <c r="B21" s="33"/>
      <c r="C21" s="148" t="s">
        <v>81</v>
      </c>
      <c r="D21" s="160" t="s">
        <v>46</v>
      </c>
      <c r="E21" s="629">
        <f t="shared" ref="E21:AN21" si="42">SUM(E22:E23)</f>
        <v>9305.1845044329475</v>
      </c>
      <c r="F21" s="629">
        <f t="shared" ca="1" si="42"/>
        <v>5987.9577539999991</v>
      </c>
      <c r="G21" s="629">
        <f t="shared" ca="1" si="42"/>
        <v>7266.7752779999992</v>
      </c>
      <c r="H21" s="629">
        <f t="shared" ca="1" si="42"/>
        <v>8253.0330639999993</v>
      </c>
      <c r="I21" s="629">
        <f t="shared" ca="1" si="42"/>
        <v>12770.435026000003</v>
      </c>
      <c r="J21" s="629">
        <f t="shared" ca="1" si="42"/>
        <v>19340.502811999999</v>
      </c>
      <c r="K21" s="629">
        <f t="shared" ca="1" si="42"/>
        <v>21954.173431200004</v>
      </c>
      <c r="L21" s="629">
        <f t="shared" ca="1" si="42"/>
        <v>26099.740116960002</v>
      </c>
      <c r="M21" s="629">
        <f t="shared" ca="1" si="42"/>
        <v>34633.553627292713</v>
      </c>
      <c r="N21" s="629">
        <f t="shared" ca="1" si="42"/>
        <v>38910.603759254402</v>
      </c>
      <c r="O21" s="629">
        <f t="shared" ca="1" si="42"/>
        <v>46092.205756055686</v>
      </c>
      <c r="P21" s="629">
        <f t="shared" ca="1" si="42"/>
        <v>53486.581258726277</v>
      </c>
      <c r="Q21" s="629">
        <f t="shared" ca="1" si="42"/>
        <v>77996.259904579987</v>
      </c>
      <c r="R21" s="629">
        <f t="shared" ca="1" si="42"/>
        <v>79227.695015884688</v>
      </c>
      <c r="S21" s="629">
        <f t="shared" ca="1" si="42"/>
        <v>86644.043330407745</v>
      </c>
      <c r="T21" s="629">
        <f t="shared" ca="1" si="42"/>
        <v>93632.966216426197</v>
      </c>
      <c r="U21" s="629">
        <f t="shared" ca="1" si="42"/>
        <v>119965.48888212499</v>
      </c>
      <c r="V21" s="629">
        <f t="shared" ca="1" si="42"/>
        <v>121898.23863978045</v>
      </c>
      <c r="W21" s="629">
        <f t="shared" ca="1" si="42"/>
        <v>132546.85897682438</v>
      </c>
      <c r="X21" s="629">
        <f t="shared" ca="1" si="42"/>
        <v>141404.15460885951</v>
      </c>
      <c r="Y21" s="629">
        <f t="shared" ca="1" si="42"/>
        <v>155687.39051278654</v>
      </c>
      <c r="Z21" s="629">
        <f t="shared" ca="1" si="42"/>
        <v>164699.4562642097</v>
      </c>
      <c r="AA21" s="629">
        <f t="shared" ca="1" si="42"/>
        <v>175750.48375246779</v>
      </c>
      <c r="AB21" s="629">
        <f t="shared" ca="1" si="42"/>
        <v>185986.15326437421</v>
      </c>
      <c r="AC21" s="629">
        <f t="shared" ca="1" si="42"/>
        <v>248503.18841464084</v>
      </c>
      <c r="AD21" s="629">
        <f t="shared" ca="1" si="42"/>
        <v>242355.05869314246</v>
      </c>
      <c r="AE21" s="629">
        <f t="shared" ca="1" si="42"/>
        <v>253915.753260989</v>
      </c>
      <c r="AF21" s="629">
        <f t="shared" ca="1" si="42"/>
        <v>263679.16386369115</v>
      </c>
      <c r="AG21" s="629">
        <f t="shared" ca="1" si="42"/>
        <v>324452.40751996427</v>
      </c>
      <c r="AH21" s="629">
        <f t="shared" ca="1" si="42"/>
        <v>324577.0781696933</v>
      </c>
      <c r="AI21" s="629">
        <f t="shared" ca="1" si="42"/>
        <v>351634.33642097964</v>
      </c>
      <c r="AJ21" s="629">
        <f t="shared" ca="1" si="42"/>
        <v>374908.63750173379</v>
      </c>
      <c r="AK21" s="629">
        <f t="shared" ca="1" si="42"/>
        <v>435075.32820685266</v>
      </c>
      <c r="AL21" s="629">
        <f t="shared" ca="1" si="42"/>
        <v>448653.30702959851</v>
      </c>
      <c r="AM21" s="629">
        <f t="shared" ca="1" si="42"/>
        <v>483688.07944545388</v>
      </c>
      <c r="AN21" s="629">
        <f t="shared" ca="1" si="42"/>
        <v>514172.68240761309</v>
      </c>
      <c r="AO21" s="111"/>
      <c r="AP21" s="123"/>
      <c r="AQ21" s="111"/>
      <c r="AR21" s="111"/>
      <c r="AS21" s="111"/>
      <c r="AT21" s="111"/>
      <c r="AU21" s="111"/>
      <c r="AV21" s="111"/>
      <c r="AW21" s="111"/>
      <c r="AX21" s="111"/>
      <c r="AZ21" s="111"/>
    </row>
    <row r="22" spans="2:52" s="142" customFormat="1" ht="11.5" customHeight="1" x14ac:dyDescent="0.3">
      <c r="B22" s="3"/>
      <c r="C22" s="146" t="s">
        <v>82</v>
      </c>
      <c r="D22" s="152" t="s">
        <v>46</v>
      </c>
      <c r="E22" s="768">
        <f>'1.1 Control Panel'!E38*'2.1 PnL'!E28</f>
        <v>9305.1845044329475</v>
      </c>
      <c r="F22" s="631">
        <f ca="1">'1.1 Control Panel'!F38*'2.1 PnL'!F28</f>
        <v>5987.9577539999991</v>
      </c>
      <c r="G22" s="768">
        <f ca="1">'1.1 Control Panel'!G38*'2.1 PnL'!G28</f>
        <v>7266.7752779999992</v>
      </c>
      <c r="H22" s="631">
        <f ca="1">'1.1 Control Panel'!H38*'2.1 PnL'!H28</f>
        <v>8253.0330639999993</v>
      </c>
      <c r="I22" s="631">
        <f ca="1">'1.1 Control Panel'!I38*'2.1 PnL'!I28</f>
        <v>12770.435026000003</v>
      </c>
      <c r="J22" s="631">
        <f ca="1">'1.1 Control Panel'!J38*'2.1 PnL'!J28</f>
        <v>19340.502811999999</v>
      </c>
      <c r="K22" s="631">
        <f ca="1">'1.1 Control Panel'!K38*'2.1 PnL'!K28</f>
        <v>21954.173431200004</v>
      </c>
      <c r="L22" s="631">
        <f ca="1">'1.1 Control Panel'!L38*'2.1 PnL'!L28</f>
        <v>26099.740116960002</v>
      </c>
      <c r="M22" s="631">
        <f ca="1">'1.1 Control Panel'!M38*'2.1 PnL'!M28</f>
        <v>34633.553627292713</v>
      </c>
      <c r="N22" s="631">
        <f ca="1">'1.1 Control Panel'!N38*'2.1 PnL'!N28</f>
        <v>38910.603759254402</v>
      </c>
      <c r="O22" s="631">
        <f ca="1">'1.1 Control Panel'!O38*'2.1 PnL'!O28</f>
        <v>46092.205756055686</v>
      </c>
      <c r="P22" s="631">
        <f ca="1">'1.1 Control Panel'!P38*'2.1 PnL'!P28</f>
        <v>53486.581258726277</v>
      </c>
      <c r="Q22" s="631">
        <f ca="1">'1.1 Control Panel'!Q38*'2.1 PnL'!Q28</f>
        <v>77996.259904579987</v>
      </c>
      <c r="R22" s="631">
        <f ca="1">'1.1 Control Panel'!R38*'2.1 PnL'!R28</f>
        <v>79227.695015884688</v>
      </c>
      <c r="S22" s="631">
        <f ca="1">'1.1 Control Panel'!S38*'2.1 PnL'!S28</f>
        <v>86644.043330407745</v>
      </c>
      <c r="T22" s="631">
        <f ca="1">'1.1 Control Panel'!T38*'2.1 PnL'!T28</f>
        <v>93632.966216426197</v>
      </c>
      <c r="U22" s="631">
        <f ca="1">'1.1 Control Panel'!U38*'2.1 PnL'!U28</f>
        <v>119965.48888212499</v>
      </c>
      <c r="V22" s="631">
        <f ca="1">'1.1 Control Panel'!V38*'2.1 PnL'!V28</f>
        <v>121898.23863978045</v>
      </c>
      <c r="W22" s="631">
        <f ca="1">'1.1 Control Panel'!W38*'2.1 PnL'!W28</f>
        <v>132546.85897682438</v>
      </c>
      <c r="X22" s="631">
        <f ca="1">'1.1 Control Panel'!X38*'2.1 PnL'!X28</f>
        <v>141404.15460885951</v>
      </c>
      <c r="Y22" s="631">
        <f ca="1">'1.1 Control Panel'!Y38*'2.1 PnL'!Y28</f>
        <v>155687.39051278654</v>
      </c>
      <c r="Z22" s="631">
        <f ca="1">'1.1 Control Panel'!Z38*'2.1 PnL'!Z28</f>
        <v>164699.4562642097</v>
      </c>
      <c r="AA22" s="631">
        <f ca="1">'1.1 Control Panel'!AA38*'2.1 PnL'!AA28</f>
        <v>175750.48375246779</v>
      </c>
      <c r="AB22" s="631">
        <f ca="1">'1.1 Control Panel'!AB38*'2.1 PnL'!AB28</f>
        <v>185986.15326437421</v>
      </c>
      <c r="AC22" s="631">
        <f ca="1">'1.1 Control Panel'!AC38*'2.1 PnL'!AC28</f>
        <v>248503.18841464084</v>
      </c>
      <c r="AD22" s="631">
        <f ca="1">'1.1 Control Panel'!AD38*'2.1 PnL'!AD28</f>
        <v>242355.05869314246</v>
      </c>
      <c r="AE22" s="631">
        <f ca="1">'1.1 Control Panel'!AE38*'2.1 PnL'!AE28</f>
        <v>253915.753260989</v>
      </c>
      <c r="AF22" s="631">
        <f ca="1">'1.1 Control Panel'!AF38*'2.1 PnL'!AF28</f>
        <v>263679.16386369115</v>
      </c>
      <c r="AG22" s="631">
        <f ca="1">'1.1 Control Panel'!AG38*'2.1 PnL'!AG28</f>
        <v>324452.40751996427</v>
      </c>
      <c r="AH22" s="631">
        <f ca="1">'1.1 Control Panel'!AH38*'2.1 PnL'!AH28</f>
        <v>324577.0781696933</v>
      </c>
      <c r="AI22" s="631">
        <f ca="1">'1.1 Control Panel'!AI38*'2.1 PnL'!AI28</f>
        <v>351634.33642097964</v>
      </c>
      <c r="AJ22" s="631">
        <f ca="1">'1.1 Control Panel'!AJ38*'2.1 PnL'!AJ28</f>
        <v>374908.63750173379</v>
      </c>
      <c r="AK22" s="631">
        <f ca="1">'1.1 Control Panel'!AK38*'2.1 PnL'!AK28</f>
        <v>435075.32820685266</v>
      </c>
      <c r="AL22" s="631">
        <f ca="1">'1.1 Control Panel'!AL38*'2.1 PnL'!AL28</f>
        <v>448653.30702959851</v>
      </c>
      <c r="AM22" s="631">
        <f ca="1">'1.1 Control Panel'!AM38*'2.1 PnL'!AM28</f>
        <v>483688.07944545388</v>
      </c>
      <c r="AN22" s="631">
        <f ca="1">'1.1 Control Panel'!AN38*'2.1 PnL'!AN28</f>
        <v>514172.68240761309</v>
      </c>
      <c r="AO22" s="111"/>
      <c r="AP22" s="114"/>
      <c r="AQ22" s="111"/>
      <c r="AR22" s="111"/>
      <c r="AS22" s="111"/>
      <c r="AT22" s="111"/>
      <c r="AU22" s="111"/>
      <c r="AV22" s="111"/>
      <c r="AW22" s="111"/>
      <c r="AX22" s="111"/>
      <c r="AZ22" s="111"/>
    </row>
    <row r="23" spans="2:52" s="142" customFormat="1" ht="11.5" customHeight="1" x14ac:dyDescent="0.3">
      <c r="B23" s="3"/>
      <c r="C23" s="150" t="s">
        <v>83</v>
      </c>
      <c r="D23" s="162" t="s">
        <v>46</v>
      </c>
      <c r="E23" s="769">
        <f>'1.1 Control Panel'!E39*'2.1 PnL'!E22</f>
        <v>0</v>
      </c>
      <c r="F23" s="638">
        <f ca="1">'1.1 Control Panel'!F39*'2.1 PnL'!F22</f>
        <v>0</v>
      </c>
      <c r="G23" s="769">
        <f ca="1">'1.1 Control Panel'!G39*'2.1 PnL'!G22</f>
        <v>0</v>
      </c>
      <c r="H23" s="638">
        <f ca="1">'1.1 Control Panel'!H39*'2.1 PnL'!H22</f>
        <v>0</v>
      </c>
      <c r="I23" s="638">
        <f ca="1">'1.1 Control Panel'!I39*'2.1 PnL'!I22</f>
        <v>0</v>
      </c>
      <c r="J23" s="638">
        <f ca="1">'1.1 Control Panel'!J39*'2.1 PnL'!J22</f>
        <v>0</v>
      </c>
      <c r="K23" s="638">
        <f ca="1">'1.1 Control Panel'!K39*'2.1 PnL'!K22</f>
        <v>0</v>
      </c>
      <c r="L23" s="638">
        <f ca="1">'1.1 Control Panel'!L39*'2.1 PnL'!L22</f>
        <v>0</v>
      </c>
      <c r="M23" s="638">
        <f ca="1">'1.1 Control Panel'!M39*'2.1 PnL'!M22</f>
        <v>0</v>
      </c>
      <c r="N23" s="638">
        <f ca="1">'1.1 Control Panel'!N39*'2.1 PnL'!N22</f>
        <v>0</v>
      </c>
      <c r="O23" s="638">
        <f ca="1">'1.1 Control Panel'!O39*'2.1 PnL'!O22</f>
        <v>0</v>
      </c>
      <c r="P23" s="638">
        <f ca="1">'1.1 Control Panel'!P39*'2.1 PnL'!P22</f>
        <v>0</v>
      </c>
      <c r="Q23" s="638">
        <f ca="1">'1.1 Control Panel'!Q39*'2.1 PnL'!Q22</f>
        <v>0</v>
      </c>
      <c r="R23" s="638">
        <f ca="1">'1.1 Control Panel'!R39*'2.1 PnL'!R22</f>
        <v>0</v>
      </c>
      <c r="S23" s="638">
        <f ca="1">'1.1 Control Panel'!S39*'2.1 PnL'!S22</f>
        <v>0</v>
      </c>
      <c r="T23" s="638">
        <f ca="1">'1.1 Control Panel'!T39*'2.1 PnL'!T22</f>
        <v>0</v>
      </c>
      <c r="U23" s="638">
        <f ca="1">'1.1 Control Panel'!U39*'2.1 PnL'!U22</f>
        <v>0</v>
      </c>
      <c r="V23" s="638">
        <f ca="1">'1.1 Control Panel'!V39*'2.1 PnL'!V22</f>
        <v>0</v>
      </c>
      <c r="W23" s="638">
        <f ca="1">'1.1 Control Panel'!W39*'2.1 PnL'!W22</f>
        <v>0</v>
      </c>
      <c r="X23" s="638">
        <f ca="1">'1.1 Control Panel'!X39*'2.1 PnL'!X22</f>
        <v>0</v>
      </c>
      <c r="Y23" s="638">
        <f ca="1">'1.1 Control Panel'!Y39*'2.1 PnL'!Y22</f>
        <v>0</v>
      </c>
      <c r="Z23" s="638">
        <f ca="1">'1.1 Control Panel'!Z39*'2.1 PnL'!Z22</f>
        <v>0</v>
      </c>
      <c r="AA23" s="638">
        <f ca="1">'1.1 Control Panel'!AA39*'2.1 PnL'!AA22</f>
        <v>0</v>
      </c>
      <c r="AB23" s="638">
        <f ca="1">'1.1 Control Panel'!AB39*'2.1 PnL'!AB22</f>
        <v>0</v>
      </c>
      <c r="AC23" s="638">
        <f ca="1">'1.1 Control Panel'!AC39*'2.1 PnL'!AC22</f>
        <v>0</v>
      </c>
      <c r="AD23" s="638">
        <f ca="1">'1.1 Control Panel'!AD39*'2.1 PnL'!AD22</f>
        <v>0</v>
      </c>
      <c r="AE23" s="638">
        <f ca="1">'1.1 Control Panel'!AE39*'2.1 PnL'!AE22</f>
        <v>0</v>
      </c>
      <c r="AF23" s="638">
        <f ca="1">'1.1 Control Panel'!AF39*'2.1 PnL'!AF22</f>
        <v>0</v>
      </c>
      <c r="AG23" s="638">
        <f ca="1">'1.1 Control Panel'!AG39*'2.1 PnL'!AG22</f>
        <v>0</v>
      </c>
      <c r="AH23" s="638">
        <f ca="1">'1.1 Control Panel'!AH39*'2.1 PnL'!AH22</f>
        <v>0</v>
      </c>
      <c r="AI23" s="638">
        <f ca="1">'1.1 Control Panel'!AI39*'2.1 PnL'!AI22</f>
        <v>0</v>
      </c>
      <c r="AJ23" s="638">
        <f ca="1">'1.1 Control Panel'!AJ39*'2.1 PnL'!AJ22</f>
        <v>0</v>
      </c>
      <c r="AK23" s="638">
        <f ca="1">'1.1 Control Panel'!AK39*'2.1 PnL'!AK22</f>
        <v>0</v>
      </c>
      <c r="AL23" s="638">
        <f ca="1">'1.1 Control Panel'!AL39*'2.1 PnL'!AL22</f>
        <v>0</v>
      </c>
      <c r="AM23" s="638">
        <f ca="1">'1.1 Control Panel'!AM39*'2.1 PnL'!AM22</f>
        <v>0</v>
      </c>
      <c r="AN23" s="638">
        <f ca="1">'1.1 Control Panel'!AN39*'2.1 PnL'!AN22</f>
        <v>0</v>
      </c>
      <c r="AO23" s="111"/>
      <c r="AP23" s="112"/>
      <c r="AQ23" s="111"/>
      <c r="AR23" s="111"/>
      <c r="AS23" s="111"/>
      <c r="AT23" s="111"/>
      <c r="AU23" s="111"/>
      <c r="AV23" s="111"/>
      <c r="AW23" s="111"/>
      <c r="AX23" s="111"/>
      <c r="AZ23" s="111"/>
    </row>
    <row r="24" spans="2:52" s="142" customFormat="1" ht="11.5" customHeight="1" x14ac:dyDescent="0.3">
      <c r="B24" s="99"/>
      <c r="C24" s="148" t="s">
        <v>84</v>
      </c>
      <c r="D24" s="160" t="s">
        <v>46</v>
      </c>
      <c r="E24" s="629">
        <f ca="1">SUM(E25:E26)</f>
        <v>52360.282307985006</v>
      </c>
      <c r="F24" s="629">
        <f t="shared" ref="F24:O24" ca="1" si="43">SUM(F25:F26)</f>
        <v>51065.670724136558</v>
      </c>
      <c r="G24" s="629">
        <f t="shared" ca="1" si="43"/>
        <v>49760.270710422708</v>
      </c>
      <c r="H24" s="629">
        <f t="shared" ca="1" si="43"/>
        <v>48443.992363261241</v>
      </c>
      <c r="I24" s="629">
        <f t="shared" ca="1" si="43"/>
        <v>47116.745029873426</v>
      </c>
      <c r="J24" s="629">
        <f t="shared" ca="1" si="43"/>
        <v>45778.437302040715</v>
      </c>
      <c r="K24" s="629">
        <f t="shared" ca="1" si="43"/>
        <v>44428.977009809394</v>
      </c>
      <c r="L24" s="629">
        <f t="shared" ca="1" si="43"/>
        <v>43068.271215142813</v>
      </c>
      <c r="M24" s="629">
        <f t="shared" ca="1" si="43"/>
        <v>41696.226205520681</v>
      </c>
      <c r="N24" s="629">
        <f t="shared" ca="1" si="43"/>
        <v>40312.74748748503</v>
      </c>
      <c r="O24" s="629">
        <f t="shared" ca="1" si="43"/>
        <v>38917.739780132411</v>
      </c>
      <c r="P24" s="629">
        <f ca="1">SUM(P25:P26)</f>
        <v>43844.440341885194</v>
      </c>
      <c r="Q24" s="629">
        <f ca="1">SUM(Q25:Q26)</f>
        <v>42426.085630541471</v>
      </c>
      <c r="R24" s="629">
        <f t="shared" ref="R24:AA24" ca="1" si="44">SUM(R25:R26)</f>
        <v>40995.911296603212</v>
      </c>
      <c r="S24" s="629">
        <f t="shared" ca="1" si="44"/>
        <v>39553.818843215471</v>
      </c>
      <c r="T24" s="629">
        <f t="shared" ca="1" si="44"/>
        <v>38099.708952716166</v>
      </c>
      <c r="U24" s="629">
        <f t="shared" ca="1" si="44"/>
        <v>36633.481479796028</v>
      </c>
      <c r="V24" s="629">
        <f t="shared" ca="1" si="44"/>
        <v>35155.035444601563</v>
      </c>
      <c r="W24" s="629">
        <f t="shared" ca="1" si="44"/>
        <v>33664.269025780472</v>
      </c>
      <c r="X24" s="629">
        <f t="shared" ca="1" si="44"/>
        <v>32161.079553469208</v>
      </c>
      <c r="Y24" s="629">
        <f t="shared" ca="1" si="44"/>
        <v>30645.363502222015</v>
      </c>
      <c r="Z24" s="629">
        <f t="shared" ca="1" si="44"/>
        <v>29117.016483881096</v>
      </c>
      <c r="AA24" s="629">
        <f t="shared" ca="1" si="44"/>
        <v>27575.933240387338</v>
      </c>
      <c r="AB24" s="629">
        <f ca="1">SUM(AB25:AB26)</f>
        <v>50355.340969864461</v>
      </c>
      <c r="AC24" s="629">
        <f ca="1">SUM(AC25:AC26)</f>
        <v>48788.465985976116</v>
      </c>
      <c r="AD24" s="629">
        <f t="shared" ref="AD24:AM24" ca="1" si="45">SUM(AD25:AD26)</f>
        <v>47208.533710555377</v>
      </c>
      <c r="AE24" s="629">
        <f t="shared" ca="1" si="45"/>
        <v>45615.435332839457</v>
      </c>
      <c r="AF24" s="629">
        <f t="shared" ca="1" si="45"/>
        <v>44009.061135309239</v>
      </c>
      <c r="AG24" s="629">
        <f t="shared" ca="1" si="45"/>
        <v>42389.300486132932</v>
      </c>
      <c r="AH24" s="629">
        <f t="shared" ca="1" si="45"/>
        <v>40756.041831546827</v>
      </c>
      <c r="AI24" s="629">
        <f t="shared" ca="1" si="45"/>
        <v>39109.172688172504</v>
      </c>
      <c r="AJ24" s="629">
        <f t="shared" ca="1" si="45"/>
        <v>37448.579635270064</v>
      </c>
      <c r="AK24" s="629">
        <f t="shared" ca="1" si="45"/>
        <v>35774.148306926771</v>
      </c>
      <c r="AL24" s="629">
        <f t="shared" ca="1" si="45"/>
        <v>34085.763384180609</v>
      </c>
      <c r="AM24" s="629">
        <f t="shared" ca="1" si="45"/>
        <v>32383.308587078238</v>
      </c>
      <c r="AN24" s="629">
        <f ca="1">SUM(AN25:AN26)</f>
        <v>103333.33333333333</v>
      </c>
      <c r="AO24" s="111"/>
      <c r="AP24" s="123"/>
      <c r="AQ24" s="111"/>
      <c r="AR24" s="111"/>
      <c r="AS24" s="111"/>
      <c r="AT24" s="111"/>
      <c r="AU24" s="111"/>
      <c r="AV24" s="111"/>
      <c r="AW24" s="111"/>
      <c r="AX24" s="111"/>
      <c r="AZ24" s="111"/>
    </row>
    <row r="25" spans="2:52" s="142" customFormat="1" ht="11.5" customHeight="1" x14ac:dyDescent="0.3">
      <c r="B25" s="3"/>
      <c r="C25" s="137" t="s">
        <v>85</v>
      </c>
      <c r="D25" s="157" t="s">
        <v>46</v>
      </c>
      <c r="E25" s="630">
        <f ca="1">'3.8 Debt Financing'!E16</f>
        <v>52360.282307985006</v>
      </c>
      <c r="F25" s="630">
        <f ca="1">'3.8 Debt Financing'!F16</f>
        <v>51065.670724136558</v>
      </c>
      <c r="G25" s="630">
        <f ca="1">'3.8 Debt Financing'!G16</f>
        <v>49760.270710422708</v>
      </c>
      <c r="H25" s="630">
        <f ca="1">'3.8 Debt Financing'!H16</f>
        <v>48443.992363261241</v>
      </c>
      <c r="I25" s="630">
        <f ca="1">'3.8 Debt Financing'!I16</f>
        <v>47116.745029873426</v>
      </c>
      <c r="J25" s="630">
        <f ca="1">'3.8 Debt Financing'!J16</f>
        <v>45778.437302040715</v>
      </c>
      <c r="K25" s="630">
        <f ca="1">'3.8 Debt Financing'!K16</f>
        <v>44428.977009809394</v>
      </c>
      <c r="L25" s="630">
        <f ca="1">'3.8 Debt Financing'!L16</f>
        <v>43068.271215142813</v>
      </c>
      <c r="M25" s="630">
        <f ca="1">'3.8 Debt Financing'!M16</f>
        <v>41696.226205520681</v>
      </c>
      <c r="N25" s="630">
        <f ca="1">'3.8 Debt Financing'!N16</f>
        <v>40312.74748748503</v>
      </c>
      <c r="O25" s="630">
        <f ca="1">'3.8 Debt Financing'!O16</f>
        <v>38917.739780132411</v>
      </c>
      <c r="P25" s="630">
        <f ca="1">'3.8 Debt Financing'!P16</f>
        <v>37511.107008551859</v>
      </c>
      <c r="Q25" s="630">
        <f ca="1">'3.8 Debt Financing'!Q16</f>
        <v>36092.752297208135</v>
      </c>
      <c r="R25" s="630">
        <f ca="1">'3.8 Debt Financing'!R16</f>
        <v>34662.577963269876</v>
      </c>
      <c r="S25" s="630">
        <f ca="1">'3.8 Debt Financing'!S16</f>
        <v>33220.485509882135</v>
      </c>
      <c r="T25" s="630">
        <f ca="1">'3.8 Debt Financing'!T16</f>
        <v>31766.37561938283</v>
      </c>
      <c r="U25" s="630">
        <f ca="1">'3.8 Debt Financing'!U16</f>
        <v>30300.148146462696</v>
      </c>
      <c r="V25" s="630">
        <f ca="1">'3.8 Debt Financing'!V16</f>
        <v>28821.702111268227</v>
      </c>
      <c r="W25" s="630">
        <f ca="1">'3.8 Debt Financing'!W16</f>
        <v>27330.935692447139</v>
      </c>
      <c r="X25" s="630">
        <f ca="1">'3.8 Debt Financing'!X16</f>
        <v>25827.746220135876</v>
      </c>
      <c r="Y25" s="630">
        <f ca="1">'3.8 Debt Financing'!Y16</f>
        <v>24312.030168888683</v>
      </c>
      <c r="Z25" s="630">
        <f ca="1">'3.8 Debt Financing'!Z16</f>
        <v>22783.683150547764</v>
      </c>
      <c r="AA25" s="630">
        <f ca="1">'3.8 Debt Financing'!AA16</f>
        <v>21242.599907054006</v>
      </c>
      <c r="AB25" s="630">
        <f ca="1">'3.8 Debt Financing'!AB16</f>
        <v>19688.674303197797</v>
      </c>
      <c r="AC25" s="630">
        <f ca="1">'3.8 Debt Financing'!AC16</f>
        <v>18121.799319309455</v>
      </c>
      <c r="AD25" s="630">
        <f ca="1">'3.8 Debt Financing'!AD16</f>
        <v>16541.867043888709</v>
      </c>
      <c r="AE25" s="630">
        <f ca="1">'3.8 Debt Financing'!AE16</f>
        <v>14948.768666172791</v>
      </c>
      <c r="AF25" s="630">
        <f ca="1">'3.8 Debt Financing'!AF16</f>
        <v>13342.394468642573</v>
      </c>
      <c r="AG25" s="630">
        <f ca="1">'3.8 Debt Financing'!AG16</f>
        <v>11722.633819466269</v>
      </c>
      <c r="AH25" s="630">
        <f ca="1">'3.8 Debt Financing'!AH16</f>
        <v>10089.375164880164</v>
      </c>
      <c r="AI25" s="630">
        <f ca="1">'3.8 Debt Financing'!AI16</f>
        <v>8442.506021505842</v>
      </c>
      <c r="AJ25" s="630">
        <f ca="1">'3.8 Debt Financing'!AJ16</f>
        <v>6781.9129686033993</v>
      </c>
      <c r="AK25" s="630">
        <f ca="1">'3.8 Debt Financing'!AK16</f>
        <v>5107.4816402601036</v>
      </c>
      <c r="AL25" s="630">
        <f ca="1">'3.8 Debt Financing'!AL16</f>
        <v>3419.0967175139467</v>
      </c>
      <c r="AM25" s="630">
        <f ca="1">'3.8 Debt Financing'!AM16</f>
        <v>1716.6419204115721</v>
      </c>
      <c r="AN25" s="630">
        <f ca="1">'3.8 Debt Financing'!AN16</f>
        <v>1.0913936421275139E-11</v>
      </c>
      <c r="AO25" s="111"/>
      <c r="AP25" s="120"/>
      <c r="AQ25" s="111"/>
      <c r="AR25" s="111"/>
      <c r="AS25" s="111"/>
      <c r="AT25" s="111"/>
      <c r="AU25" s="111"/>
      <c r="AV25" s="111"/>
      <c r="AW25" s="111"/>
      <c r="AX25" s="111"/>
      <c r="AZ25" s="111"/>
    </row>
    <row r="26" spans="2:52" s="142" customFormat="1" ht="11.5" customHeight="1" x14ac:dyDescent="0.3">
      <c r="B26" s="3"/>
      <c r="C26" s="151" t="s">
        <v>86</v>
      </c>
      <c r="D26" s="163" t="s">
        <v>46</v>
      </c>
      <c r="E26" s="716">
        <v>0</v>
      </c>
      <c r="F26" s="716">
        <v>0</v>
      </c>
      <c r="G26" s="716">
        <v>0</v>
      </c>
      <c r="H26" s="716">
        <v>0</v>
      </c>
      <c r="I26" s="716">
        <v>0</v>
      </c>
      <c r="J26" s="716">
        <v>0</v>
      </c>
      <c r="K26" s="716">
        <v>0</v>
      </c>
      <c r="L26" s="716">
        <v>0</v>
      </c>
      <c r="M26" s="716">
        <v>0</v>
      </c>
      <c r="N26" s="716">
        <v>0</v>
      </c>
      <c r="O26" s="716">
        <v>0</v>
      </c>
      <c r="P26" s="770">
        <f>'1.1 Control Panel'!E44*'2.1 PnL'!P29</f>
        <v>6333.333333333333</v>
      </c>
      <c r="Q26" s="715">
        <f>$P$26</f>
        <v>6333.333333333333</v>
      </c>
      <c r="R26" s="715">
        <f t="shared" ref="R26:AA26" si="46">$P$26</f>
        <v>6333.333333333333</v>
      </c>
      <c r="S26" s="715">
        <f t="shared" si="46"/>
        <v>6333.333333333333</v>
      </c>
      <c r="T26" s="715">
        <f t="shared" si="46"/>
        <v>6333.333333333333</v>
      </c>
      <c r="U26" s="715">
        <f t="shared" si="46"/>
        <v>6333.333333333333</v>
      </c>
      <c r="V26" s="715">
        <f t="shared" si="46"/>
        <v>6333.333333333333</v>
      </c>
      <c r="W26" s="715">
        <f t="shared" si="46"/>
        <v>6333.333333333333</v>
      </c>
      <c r="X26" s="715">
        <f t="shared" si="46"/>
        <v>6333.333333333333</v>
      </c>
      <c r="Y26" s="715">
        <f t="shared" si="46"/>
        <v>6333.333333333333</v>
      </c>
      <c r="Z26" s="715">
        <f t="shared" si="46"/>
        <v>6333.333333333333</v>
      </c>
      <c r="AA26" s="715">
        <f t="shared" si="46"/>
        <v>6333.333333333333</v>
      </c>
      <c r="AB26" s="714">
        <f>AA26+'1.1 Control Panel'!E44*'2.1 PnL'!AB29</f>
        <v>30666.666666666664</v>
      </c>
      <c r="AC26" s="715">
        <f>$AB$26</f>
        <v>30666.666666666664</v>
      </c>
      <c r="AD26" s="715">
        <f t="shared" ref="AD26:AM26" si="47">$AB$26</f>
        <v>30666.666666666664</v>
      </c>
      <c r="AE26" s="715">
        <f t="shared" si="47"/>
        <v>30666.666666666664</v>
      </c>
      <c r="AF26" s="715">
        <f t="shared" si="47"/>
        <v>30666.666666666664</v>
      </c>
      <c r="AG26" s="715">
        <f t="shared" si="47"/>
        <v>30666.666666666664</v>
      </c>
      <c r="AH26" s="715">
        <f t="shared" si="47"/>
        <v>30666.666666666664</v>
      </c>
      <c r="AI26" s="715">
        <f t="shared" si="47"/>
        <v>30666.666666666664</v>
      </c>
      <c r="AJ26" s="715">
        <f t="shared" si="47"/>
        <v>30666.666666666664</v>
      </c>
      <c r="AK26" s="715">
        <f t="shared" si="47"/>
        <v>30666.666666666664</v>
      </c>
      <c r="AL26" s="715">
        <f t="shared" si="47"/>
        <v>30666.666666666664</v>
      </c>
      <c r="AM26" s="715">
        <f t="shared" si="47"/>
        <v>30666.666666666664</v>
      </c>
      <c r="AN26" s="714">
        <f>AM26+'2.1 PnL'!$AN$29*'1.1 Control Panel'!E44</f>
        <v>103333.33333333331</v>
      </c>
      <c r="AO26" s="111"/>
      <c r="AP26" s="126"/>
      <c r="AQ26" s="111"/>
      <c r="AR26" s="111"/>
      <c r="AS26" s="111"/>
      <c r="AT26" s="111"/>
      <c r="AU26" s="111"/>
      <c r="AV26" s="111"/>
      <c r="AW26" s="111"/>
      <c r="AX26" s="111"/>
      <c r="AZ26" s="111"/>
    </row>
    <row r="27" spans="2:52" s="143" customFormat="1" ht="11.5" customHeight="1" x14ac:dyDescent="0.3">
      <c r="B27" s="99" t="s">
        <v>10</v>
      </c>
      <c r="C27" s="149" t="s">
        <v>87</v>
      </c>
      <c r="D27" s="161" t="s">
        <v>46</v>
      </c>
      <c r="E27" s="636">
        <f ca="1">SUM(E28:E32)</f>
        <v>328144.02861425211</v>
      </c>
      <c r="F27" s="636">
        <f t="shared" ref="F27:P27" ca="1" si="48">SUM(F28:F32)</f>
        <v>650279.55863513239</v>
      </c>
      <c r="G27" s="636">
        <f t="shared" ca="1" si="48"/>
        <v>1151806.7838321119</v>
      </c>
      <c r="H27" s="636">
        <f t="shared" ca="1" si="48"/>
        <v>4821853.0480079185</v>
      </c>
      <c r="I27" s="680">
        <f t="shared" ca="1" si="48"/>
        <v>5687212.0007533152</v>
      </c>
      <c r="J27" s="636">
        <f t="shared" ca="1" si="48"/>
        <v>7321595.7268310301</v>
      </c>
      <c r="K27" s="636">
        <f t="shared" ca="1" si="48"/>
        <v>10029363.612406932</v>
      </c>
      <c r="L27" s="636">
        <f t="shared" ca="1" si="48"/>
        <v>21128947.525088768</v>
      </c>
      <c r="M27" s="636">
        <f t="shared" ca="1" si="48"/>
        <v>25550701.525758613</v>
      </c>
      <c r="N27" s="636">
        <f t="shared" ca="1" si="48"/>
        <v>31170211.22947</v>
      </c>
      <c r="O27" s="636">
        <f t="shared" ca="1" si="48"/>
        <v>38307525.324750319</v>
      </c>
      <c r="P27" s="636">
        <f t="shared" ca="1" si="48"/>
        <v>46896122.40609739</v>
      </c>
      <c r="Q27" s="636">
        <f ca="1">SUM(Q28:Q32)</f>
        <v>57181834.529115289</v>
      </c>
      <c r="R27" s="636">
        <f t="shared" ref="R27:AB27" ca="1" si="49">SUM(R28:R32)</f>
        <v>69492327.441155076</v>
      </c>
      <c r="S27" s="636">
        <f t="shared" ca="1" si="49"/>
        <v>83498857.730576977</v>
      </c>
      <c r="T27" s="636">
        <f t="shared" ca="1" si="49"/>
        <v>99048374.911878973</v>
      </c>
      <c r="U27" s="636">
        <f t="shared" ca="1" si="49"/>
        <v>116155485.96212962</v>
      </c>
      <c r="V27" s="636">
        <f t="shared" ca="1" si="49"/>
        <v>135729922.35184401</v>
      </c>
      <c r="W27" s="636">
        <f t="shared" ca="1" si="49"/>
        <v>157739104.47919592</v>
      </c>
      <c r="X27" s="636">
        <f t="shared" ca="1" si="49"/>
        <v>181774463.14901891</v>
      </c>
      <c r="Y27" s="636">
        <f t="shared" ca="1" si="49"/>
        <v>233639669.40998977</v>
      </c>
      <c r="Z27" s="636">
        <f t="shared" ca="1" si="49"/>
        <v>261986519.92724544</v>
      </c>
      <c r="AA27" s="636">
        <f t="shared" ca="1" si="49"/>
        <v>292848997.47181565</v>
      </c>
      <c r="AB27" s="636">
        <f t="shared" ca="1" si="49"/>
        <v>325907309.13985193</v>
      </c>
      <c r="AC27" s="636">
        <f ca="1">SUM(AC28:AC32)</f>
        <v>362865226.81478047</v>
      </c>
      <c r="AD27" s="636">
        <f t="shared" ref="AD27:AN27" ca="1" si="50">SUM(AD28:AD32)</f>
        <v>403594775.79817837</v>
      </c>
      <c r="AE27" s="636">
        <f t="shared" ca="1" si="50"/>
        <v>446988539.76518101</v>
      </c>
      <c r="AF27" s="636">
        <f t="shared" ca="1" si="50"/>
        <v>492633131.3084209</v>
      </c>
      <c r="AG27" s="636">
        <f t="shared" ca="1" si="50"/>
        <v>540084117.99345016</v>
      </c>
      <c r="AH27" s="636">
        <f t="shared" ca="1" si="50"/>
        <v>645740582.04446399</v>
      </c>
      <c r="AI27" s="636">
        <f t="shared" ca="1" si="50"/>
        <v>705088428.05364096</v>
      </c>
      <c r="AJ27" s="636">
        <f t="shared" ca="1" si="50"/>
        <v>769761008.72154129</v>
      </c>
      <c r="AK27" s="636">
        <f t="shared" ca="1" si="50"/>
        <v>839277450.06671333</v>
      </c>
      <c r="AL27" s="636">
        <f t="shared" ca="1" si="50"/>
        <v>916326352.37957585</v>
      </c>
      <c r="AM27" s="636">
        <f t="shared" ca="1" si="50"/>
        <v>1001377218.9380283</v>
      </c>
      <c r="AN27" s="680">
        <f t="shared" ca="1" si="50"/>
        <v>1185072626.8313556</v>
      </c>
      <c r="AO27" s="107"/>
      <c r="AP27" s="125"/>
      <c r="AQ27" s="107"/>
      <c r="AR27" s="107"/>
      <c r="AS27" s="107"/>
      <c r="AT27" s="107"/>
      <c r="AU27" s="107"/>
      <c r="AV27" s="107"/>
      <c r="AW27" s="107"/>
      <c r="AX27" s="107"/>
      <c r="AZ27" s="107"/>
    </row>
    <row r="28" spans="2:52" s="142" customFormat="1" ht="11.5" customHeight="1" x14ac:dyDescent="0.3">
      <c r="B28" s="3"/>
      <c r="C28" s="146" t="s">
        <v>909</v>
      </c>
      <c r="D28" s="152" t="s">
        <v>46</v>
      </c>
      <c r="E28" s="776">
        <f>IF('1.1 Control Panel'!$D$6=Bootstrapped,0,'3.9 Equity Financing'!E15)</f>
        <v>393750</v>
      </c>
      <c r="F28" s="637">
        <f ca="1">IF('1.1 Control Panel'!$D$6=Bootstrapped,0,'3.9 Equity Financing'!F15)</f>
        <v>393750</v>
      </c>
      <c r="G28" s="637">
        <f ca="1">IF('1.1 Control Panel'!$D$6=Bootstrapped,0,'3.9 Equity Financing'!G15)</f>
        <v>393750</v>
      </c>
      <c r="H28" s="637">
        <f ca="1">IF('1.1 Control Panel'!$D$6=Bootstrapped,0,'3.9 Equity Financing'!H15)</f>
        <v>3393750</v>
      </c>
      <c r="I28" s="637">
        <f ca="1">IF('1.1 Control Panel'!$D$6=Bootstrapped,0,'3.9 Equity Financing'!I15)</f>
        <v>3393750</v>
      </c>
      <c r="J28" s="637">
        <f ca="1">IF('1.1 Control Panel'!$D$6=Bootstrapped,0,'3.9 Equity Financing'!J15)</f>
        <v>3393750</v>
      </c>
      <c r="K28" s="637">
        <f ca="1">IF('1.1 Control Panel'!$D$6=Bootstrapped,0,'3.9 Equity Financing'!K15)</f>
        <v>3393750</v>
      </c>
      <c r="L28" s="637">
        <f ca="1">IF('1.1 Control Panel'!$D$6=Bootstrapped,0,'3.9 Equity Financing'!L15)</f>
        <v>10893750</v>
      </c>
      <c r="M28" s="637">
        <f ca="1">IF('1.1 Control Panel'!$D$6=Bootstrapped,0,'3.9 Equity Financing'!M15)</f>
        <v>10893750</v>
      </c>
      <c r="N28" s="637">
        <f ca="1">IF('1.1 Control Panel'!$D$6=Bootstrapped,0,'3.9 Equity Financing'!N15)</f>
        <v>10893750</v>
      </c>
      <c r="O28" s="637">
        <f ca="1">IF('1.1 Control Panel'!$D$6=Bootstrapped,0,'3.9 Equity Financing'!O15)</f>
        <v>10893750</v>
      </c>
      <c r="P28" s="637">
        <f ca="1">IF('1.1 Control Panel'!$D$6=Bootstrapped,0,'3.9 Equity Financing'!P15)</f>
        <v>10893750</v>
      </c>
      <c r="Q28" s="637">
        <f ca="1">IF('1.1 Control Panel'!$D$6=Bootstrapped,0,'3.9 Equity Financing'!Q15)</f>
        <v>10893750</v>
      </c>
      <c r="R28" s="637">
        <f ca="1">IF('1.1 Control Panel'!$D$6=Bootstrapped,0,'3.9 Equity Financing'!R15)</f>
        <v>10893750</v>
      </c>
      <c r="S28" s="637">
        <f ca="1">IF('1.1 Control Panel'!$D$6=Bootstrapped,0,'3.9 Equity Financing'!S15)</f>
        <v>10893750</v>
      </c>
      <c r="T28" s="637">
        <f ca="1">IF('1.1 Control Panel'!$D$6=Bootstrapped,0,'3.9 Equity Financing'!T15)</f>
        <v>10893750</v>
      </c>
      <c r="U28" s="637">
        <f ca="1">IF('1.1 Control Panel'!$D$6=Bootstrapped,0,'3.9 Equity Financing'!U15)</f>
        <v>10893750</v>
      </c>
      <c r="V28" s="637">
        <f ca="1">IF('1.1 Control Panel'!$D$6=Bootstrapped,0,'3.9 Equity Financing'!V15)</f>
        <v>10893750</v>
      </c>
      <c r="W28" s="637">
        <f ca="1">IF('1.1 Control Panel'!$D$6=Bootstrapped,0,'3.9 Equity Financing'!W15)</f>
        <v>10893750</v>
      </c>
      <c r="X28" s="637">
        <f ca="1">IF('1.1 Control Panel'!$D$6=Bootstrapped,0,'3.9 Equity Financing'!X15)</f>
        <v>10893750</v>
      </c>
      <c r="Y28" s="637">
        <f ca="1">IF('1.1 Control Panel'!$D$6=Bootstrapped,0,'3.9 Equity Financing'!Y15)</f>
        <v>37143750</v>
      </c>
      <c r="Z28" s="637">
        <f ca="1">IF('1.1 Control Panel'!$D$6=Bootstrapped,0,'3.9 Equity Financing'!Z15)</f>
        <v>37143750</v>
      </c>
      <c r="AA28" s="637">
        <f ca="1">IF('1.1 Control Panel'!$D$6=Bootstrapped,0,'3.9 Equity Financing'!AA15)</f>
        <v>37143750</v>
      </c>
      <c r="AB28" s="637">
        <f ca="1">IF('1.1 Control Panel'!$D$6=Bootstrapped,0,'3.9 Equity Financing'!AB15)</f>
        <v>37143750</v>
      </c>
      <c r="AC28" s="637">
        <f ca="1">IF('1.1 Control Panel'!$D$6=Bootstrapped,0,'3.9 Equity Financing'!AC15)</f>
        <v>37143750</v>
      </c>
      <c r="AD28" s="637">
        <f ca="1">IF('1.1 Control Panel'!$D$6=Bootstrapped,0,'3.9 Equity Financing'!AD15)</f>
        <v>37143750</v>
      </c>
      <c r="AE28" s="637">
        <f ca="1">IF('1.1 Control Panel'!$D$6=Bootstrapped,0,'3.9 Equity Financing'!AE15)</f>
        <v>37143750</v>
      </c>
      <c r="AF28" s="637">
        <f ca="1">IF('1.1 Control Panel'!$D$6=Bootstrapped,0,'3.9 Equity Financing'!AF15)</f>
        <v>37143750</v>
      </c>
      <c r="AG28" s="637">
        <f ca="1">IF('1.1 Control Panel'!$D$6=Bootstrapped,0,'3.9 Equity Financing'!AG15)</f>
        <v>37143750</v>
      </c>
      <c r="AH28" s="637">
        <f ca="1">IF('1.1 Control Panel'!$D$6=Bootstrapped,0,'3.9 Equity Financing'!AH15)</f>
        <v>89643750</v>
      </c>
      <c r="AI28" s="637">
        <f ca="1">IF('1.1 Control Panel'!$D$6=Bootstrapped,0,'3.9 Equity Financing'!AI15)</f>
        <v>89643750</v>
      </c>
      <c r="AJ28" s="637">
        <f ca="1">IF('1.1 Control Panel'!$D$6=Bootstrapped,0,'3.9 Equity Financing'!AJ15)</f>
        <v>89643750</v>
      </c>
      <c r="AK28" s="637">
        <f ca="1">IF('1.1 Control Panel'!$D$6=Bootstrapped,0,'3.9 Equity Financing'!AK15)</f>
        <v>89643750</v>
      </c>
      <c r="AL28" s="637">
        <f ca="1">IF('1.1 Control Panel'!$D$6=Bootstrapped,0,'3.9 Equity Financing'!AL15)</f>
        <v>89643750</v>
      </c>
      <c r="AM28" s="637">
        <f ca="1">IF('1.1 Control Panel'!$D$6=Bootstrapped,0,'3.9 Equity Financing'!AM15)</f>
        <v>89643750</v>
      </c>
      <c r="AN28" s="637">
        <f ca="1">IF('1.1 Control Panel'!$D$6=Bootstrapped,0,'3.9 Equity Financing'!AN15)</f>
        <v>181518750</v>
      </c>
      <c r="AO28" s="107"/>
      <c r="AP28" s="120"/>
      <c r="AQ28" s="111"/>
      <c r="AR28" s="111"/>
      <c r="AS28" s="111"/>
      <c r="AT28" s="111"/>
      <c r="AU28" s="111"/>
      <c r="AV28" s="111"/>
      <c r="AW28" s="111"/>
      <c r="AX28" s="111"/>
      <c r="AZ28" s="111"/>
    </row>
    <row r="29" spans="2:52" s="142" customFormat="1" ht="11.5" customHeight="1" x14ac:dyDescent="0.3">
      <c r="B29" s="3"/>
      <c r="C29" s="132" t="s">
        <v>880</v>
      </c>
      <c r="D29" s="158" t="s">
        <v>46</v>
      </c>
      <c r="E29" s="771">
        <f>'1.1 Control Panel'!E48</f>
        <v>0</v>
      </c>
      <c r="F29" s="406">
        <f>'1.1 Control Panel'!F48</f>
        <v>0</v>
      </c>
      <c r="G29" s="406">
        <f>'1.1 Control Panel'!G48</f>
        <v>0</v>
      </c>
      <c r="H29" s="406">
        <f>'1.1 Control Panel'!H48</f>
        <v>0</v>
      </c>
      <c r="I29" s="406">
        <f>'1.1 Control Panel'!I48</f>
        <v>0</v>
      </c>
      <c r="J29" s="406">
        <f>'1.1 Control Panel'!J48</f>
        <v>0</v>
      </c>
      <c r="K29" s="406">
        <f>'1.1 Control Panel'!K48</f>
        <v>0</v>
      </c>
      <c r="L29" s="406">
        <f>'1.1 Control Panel'!L48</f>
        <v>0</v>
      </c>
      <c r="M29" s="406">
        <f>'1.1 Control Panel'!M48</f>
        <v>0</v>
      </c>
      <c r="N29" s="406">
        <f>'1.1 Control Panel'!N48</f>
        <v>0</v>
      </c>
      <c r="O29" s="406">
        <f>'1.1 Control Panel'!O48</f>
        <v>0</v>
      </c>
      <c r="P29" s="406">
        <f>'1.1 Control Panel'!P48</f>
        <v>0</v>
      </c>
      <c r="Q29" s="406">
        <f>'1.1 Control Panel'!Q48</f>
        <v>0</v>
      </c>
      <c r="R29" s="406">
        <f>'1.1 Control Panel'!R48</f>
        <v>0</v>
      </c>
      <c r="S29" s="406">
        <f>'1.1 Control Panel'!S48</f>
        <v>0</v>
      </c>
      <c r="T29" s="406">
        <f>'1.1 Control Panel'!T48</f>
        <v>0</v>
      </c>
      <c r="U29" s="406">
        <f>'1.1 Control Panel'!U48</f>
        <v>0</v>
      </c>
      <c r="V29" s="406">
        <f>'1.1 Control Panel'!V48</f>
        <v>0</v>
      </c>
      <c r="W29" s="406">
        <f>'1.1 Control Panel'!W48</f>
        <v>0</v>
      </c>
      <c r="X29" s="406">
        <f>'1.1 Control Panel'!X48</f>
        <v>0</v>
      </c>
      <c r="Y29" s="406">
        <f>'1.1 Control Panel'!Y48</f>
        <v>0</v>
      </c>
      <c r="Z29" s="406">
        <f>'1.1 Control Panel'!Z48</f>
        <v>0</v>
      </c>
      <c r="AA29" s="406">
        <f>'1.1 Control Panel'!AA48</f>
        <v>0</v>
      </c>
      <c r="AB29" s="406">
        <f>'1.1 Control Panel'!AB48</f>
        <v>0</v>
      </c>
      <c r="AC29" s="406">
        <f>'1.1 Control Panel'!AC48</f>
        <v>0</v>
      </c>
      <c r="AD29" s="406">
        <f>'1.1 Control Panel'!AD48</f>
        <v>0</v>
      </c>
      <c r="AE29" s="406">
        <f>'1.1 Control Panel'!AE48</f>
        <v>0</v>
      </c>
      <c r="AF29" s="406">
        <f>'1.1 Control Panel'!AF48</f>
        <v>0</v>
      </c>
      <c r="AG29" s="406">
        <f>'1.1 Control Panel'!AG48</f>
        <v>0</v>
      </c>
      <c r="AH29" s="406">
        <f>'1.1 Control Panel'!AH48</f>
        <v>0</v>
      </c>
      <c r="AI29" s="406">
        <f>'1.1 Control Panel'!AI48</f>
        <v>0</v>
      </c>
      <c r="AJ29" s="406">
        <f>'1.1 Control Panel'!AJ48</f>
        <v>0</v>
      </c>
      <c r="AK29" s="406">
        <f>'1.1 Control Panel'!AK48</f>
        <v>0</v>
      </c>
      <c r="AL29" s="406">
        <f>'1.1 Control Panel'!AL48</f>
        <v>0</v>
      </c>
      <c r="AM29" s="406">
        <f>'1.1 Control Panel'!AM48</f>
        <v>0</v>
      </c>
      <c r="AN29" s="406">
        <f>'1.1 Control Panel'!AN48</f>
        <v>0</v>
      </c>
      <c r="AO29" s="107"/>
      <c r="AP29" s="120"/>
      <c r="AQ29" s="111"/>
      <c r="AR29" s="111"/>
      <c r="AS29" s="111"/>
      <c r="AT29" s="111"/>
      <c r="AU29" s="111"/>
      <c r="AV29" s="111"/>
      <c r="AW29" s="111"/>
      <c r="AX29" s="111"/>
      <c r="AZ29" s="111"/>
    </row>
    <row r="30" spans="2:52" s="142" customFormat="1" ht="11.5" customHeight="1" x14ac:dyDescent="0.3">
      <c r="B30" s="3"/>
      <c r="C30" s="132" t="s">
        <v>88</v>
      </c>
      <c r="D30" s="158" t="s">
        <v>46</v>
      </c>
      <c r="E30" s="771">
        <f>'1.1 Control Panel'!E46</f>
        <v>27229.407760381211</v>
      </c>
      <c r="F30" s="772">
        <f>E30</f>
        <v>27229.407760381211</v>
      </c>
      <c r="G30" s="654">
        <f t="shared" ref="G30:AN30" si="51">F30</f>
        <v>27229.407760381211</v>
      </c>
      <c r="H30" s="654">
        <f t="shared" si="51"/>
        <v>27229.407760381211</v>
      </c>
      <c r="I30" s="654">
        <f t="shared" si="51"/>
        <v>27229.407760381211</v>
      </c>
      <c r="J30" s="654">
        <f t="shared" si="51"/>
        <v>27229.407760381211</v>
      </c>
      <c r="K30" s="654">
        <f t="shared" si="51"/>
        <v>27229.407760381211</v>
      </c>
      <c r="L30" s="654">
        <f t="shared" si="51"/>
        <v>27229.407760381211</v>
      </c>
      <c r="M30" s="654">
        <f t="shared" si="51"/>
        <v>27229.407760381211</v>
      </c>
      <c r="N30" s="654">
        <f t="shared" si="51"/>
        <v>27229.407760381211</v>
      </c>
      <c r="O30" s="654">
        <f t="shared" si="51"/>
        <v>27229.407760381211</v>
      </c>
      <c r="P30" s="654">
        <f t="shared" si="51"/>
        <v>27229.407760381211</v>
      </c>
      <c r="Q30" s="654">
        <f t="shared" si="51"/>
        <v>27229.407760381211</v>
      </c>
      <c r="R30" s="654">
        <f t="shared" si="51"/>
        <v>27229.407760381211</v>
      </c>
      <c r="S30" s="654">
        <f t="shared" si="51"/>
        <v>27229.407760381211</v>
      </c>
      <c r="T30" s="654">
        <f t="shared" si="51"/>
        <v>27229.407760381211</v>
      </c>
      <c r="U30" s="654">
        <f t="shared" si="51"/>
        <v>27229.407760381211</v>
      </c>
      <c r="V30" s="654">
        <f t="shared" si="51"/>
        <v>27229.407760381211</v>
      </c>
      <c r="W30" s="654">
        <f t="shared" si="51"/>
        <v>27229.407760381211</v>
      </c>
      <c r="X30" s="654">
        <f t="shared" si="51"/>
        <v>27229.407760381211</v>
      </c>
      <c r="Y30" s="654">
        <f t="shared" si="51"/>
        <v>27229.407760381211</v>
      </c>
      <c r="Z30" s="654">
        <f t="shared" si="51"/>
        <v>27229.407760381211</v>
      </c>
      <c r="AA30" s="654">
        <f t="shared" si="51"/>
        <v>27229.407760381211</v>
      </c>
      <c r="AB30" s="654">
        <f t="shared" si="51"/>
        <v>27229.407760381211</v>
      </c>
      <c r="AC30" s="654">
        <f t="shared" si="51"/>
        <v>27229.407760381211</v>
      </c>
      <c r="AD30" s="654">
        <f t="shared" si="51"/>
        <v>27229.407760381211</v>
      </c>
      <c r="AE30" s="654">
        <f t="shared" si="51"/>
        <v>27229.407760381211</v>
      </c>
      <c r="AF30" s="654">
        <f t="shared" si="51"/>
        <v>27229.407760381211</v>
      </c>
      <c r="AG30" s="654">
        <f t="shared" si="51"/>
        <v>27229.407760381211</v>
      </c>
      <c r="AH30" s="654">
        <f t="shared" si="51"/>
        <v>27229.407760381211</v>
      </c>
      <c r="AI30" s="654">
        <f t="shared" si="51"/>
        <v>27229.407760381211</v>
      </c>
      <c r="AJ30" s="654">
        <f t="shared" si="51"/>
        <v>27229.407760381211</v>
      </c>
      <c r="AK30" s="654">
        <f t="shared" si="51"/>
        <v>27229.407760381211</v>
      </c>
      <c r="AL30" s="654">
        <f t="shared" si="51"/>
        <v>27229.407760381211</v>
      </c>
      <c r="AM30" s="654">
        <f t="shared" si="51"/>
        <v>27229.407760381211</v>
      </c>
      <c r="AN30" s="654">
        <f t="shared" si="51"/>
        <v>27229.407760381211</v>
      </c>
      <c r="AO30" s="107"/>
      <c r="AP30" s="126"/>
    </row>
    <row r="31" spans="2:52" ht="11.5" customHeight="1" x14ac:dyDescent="0.3">
      <c r="B31" s="3"/>
      <c r="C31" s="132" t="s">
        <v>89</v>
      </c>
      <c r="D31" s="158" t="s">
        <v>46</v>
      </c>
      <c r="E31" s="406">
        <f>'1.1 Control Panel'!E47</f>
        <v>0</v>
      </c>
      <c r="F31" s="654">
        <f>$E$31</f>
        <v>0</v>
      </c>
      <c r="G31" s="654">
        <f t="shared" ref="G31:AN31" si="52">$E$31</f>
        <v>0</v>
      </c>
      <c r="H31" s="654">
        <f t="shared" si="52"/>
        <v>0</v>
      </c>
      <c r="I31" s="654">
        <f t="shared" si="52"/>
        <v>0</v>
      </c>
      <c r="J31" s="654">
        <f t="shared" si="52"/>
        <v>0</v>
      </c>
      <c r="K31" s="654">
        <f t="shared" si="52"/>
        <v>0</v>
      </c>
      <c r="L31" s="654">
        <f t="shared" si="52"/>
        <v>0</v>
      </c>
      <c r="M31" s="654">
        <f t="shared" si="52"/>
        <v>0</v>
      </c>
      <c r="N31" s="654">
        <f t="shared" si="52"/>
        <v>0</v>
      </c>
      <c r="O31" s="654">
        <f t="shared" si="52"/>
        <v>0</v>
      </c>
      <c r="P31" s="654">
        <f t="shared" si="52"/>
        <v>0</v>
      </c>
      <c r="Q31" s="654">
        <f t="shared" si="52"/>
        <v>0</v>
      </c>
      <c r="R31" s="654">
        <f t="shared" si="52"/>
        <v>0</v>
      </c>
      <c r="S31" s="654">
        <f t="shared" si="52"/>
        <v>0</v>
      </c>
      <c r="T31" s="654">
        <f t="shared" si="52"/>
        <v>0</v>
      </c>
      <c r="U31" s="654">
        <f t="shared" si="52"/>
        <v>0</v>
      </c>
      <c r="V31" s="654">
        <f t="shared" si="52"/>
        <v>0</v>
      </c>
      <c r="W31" s="654">
        <f t="shared" si="52"/>
        <v>0</v>
      </c>
      <c r="X31" s="654">
        <f t="shared" si="52"/>
        <v>0</v>
      </c>
      <c r="Y31" s="654">
        <f t="shared" si="52"/>
        <v>0</v>
      </c>
      <c r="Z31" s="654">
        <f t="shared" si="52"/>
        <v>0</v>
      </c>
      <c r="AA31" s="654">
        <f t="shared" si="52"/>
        <v>0</v>
      </c>
      <c r="AB31" s="654">
        <f t="shared" si="52"/>
        <v>0</v>
      </c>
      <c r="AC31" s="654">
        <f t="shared" si="52"/>
        <v>0</v>
      </c>
      <c r="AD31" s="654">
        <f t="shared" si="52"/>
        <v>0</v>
      </c>
      <c r="AE31" s="654">
        <f t="shared" si="52"/>
        <v>0</v>
      </c>
      <c r="AF31" s="654">
        <f t="shared" si="52"/>
        <v>0</v>
      </c>
      <c r="AG31" s="654">
        <f t="shared" si="52"/>
        <v>0</v>
      </c>
      <c r="AH31" s="654">
        <f t="shared" si="52"/>
        <v>0</v>
      </c>
      <c r="AI31" s="654">
        <f t="shared" si="52"/>
        <v>0</v>
      </c>
      <c r="AJ31" s="654">
        <f t="shared" si="52"/>
        <v>0</v>
      </c>
      <c r="AK31" s="654">
        <f t="shared" si="52"/>
        <v>0</v>
      </c>
      <c r="AL31" s="654">
        <f t="shared" si="52"/>
        <v>0</v>
      </c>
      <c r="AM31" s="654">
        <f t="shared" si="52"/>
        <v>0</v>
      </c>
      <c r="AN31" s="654">
        <f t="shared" si="52"/>
        <v>0</v>
      </c>
      <c r="AO31" s="107"/>
      <c r="AP31" s="122"/>
    </row>
    <row r="32" spans="2:52" ht="11.5" customHeight="1" x14ac:dyDescent="0.3">
      <c r="B32" s="33" t="s">
        <v>10</v>
      </c>
      <c r="C32" s="134" t="s">
        <v>90</v>
      </c>
      <c r="D32" s="153" t="s">
        <v>46</v>
      </c>
      <c r="E32" s="766">
        <f ca="1">'2.1 PnL'!E18</f>
        <v>-92835.379146129126</v>
      </c>
      <c r="F32" s="480">
        <f ca="1">E32+'2.1 PnL'!F18</f>
        <v>229300.15087475115</v>
      </c>
      <c r="G32" s="480">
        <f ca="1">F32+'2.1 PnL'!G18</f>
        <v>730827.37607173063</v>
      </c>
      <c r="H32" s="480">
        <f ca="1">G32+'2.1 PnL'!H18</f>
        <v>1400873.6402475368</v>
      </c>
      <c r="I32" s="480">
        <f ca="1">H32+'2.1 PnL'!I18</f>
        <v>2266232.5929929344</v>
      </c>
      <c r="J32" s="480">
        <f ca="1">I32+'2.1 PnL'!J18</f>
        <v>3900616.3190706484</v>
      </c>
      <c r="K32" s="480">
        <f ca="1">J32+'2.1 PnL'!K18</f>
        <v>6608384.2046465501</v>
      </c>
      <c r="L32" s="480">
        <f ca="1">K32+'2.1 PnL'!L18</f>
        <v>10207968.117328387</v>
      </c>
      <c r="M32" s="480">
        <f ca="1">L32+'2.1 PnL'!M18</f>
        <v>14629722.117998231</v>
      </c>
      <c r="N32" s="480">
        <f ca="1">M32+'2.1 PnL'!N18</f>
        <v>20249231.821709618</v>
      </c>
      <c r="O32" s="480">
        <f ca="1">N32+'2.1 PnL'!O18</f>
        <v>27386545.916989934</v>
      </c>
      <c r="P32" s="480">
        <f ca="1">O32+'2.1 PnL'!P18</f>
        <v>35975142.998337008</v>
      </c>
      <c r="Q32" s="480">
        <f ca="1">P32+'2.1 PnL'!Q18</f>
        <v>46260855.121354908</v>
      </c>
      <c r="R32" s="480">
        <f ca="1">Q32+'2.1 PnL'!R18</f>
        <v>58571348.033394694</v>
      </c>
      <c r="S32" s="480">
        <f ca="1">R32+'2.1 PnL'!S18</f>
        <v>72577878.322816595</v>
      </c>
      <c r="T32" s="480">
        <f ca="1">S32+'2.1 PnL'!T18</f>
        <v>88127395.504118592</v>
      </c>
      <c r="U32" s="480">
        <f ca="1">T32+'2.1 PnL'!U18</f>
        <v>105234506.55436924</v>
      </c>
      <c r="V32" s="480">
        <f ca="1">U32+'2.1 PnL'!V18</f>
        <v>124808942.94408362</v>
      </c>
      <c r="W32" s="480">
        <f ca="1">V32+'2.1 PnL'!W18</f>
        <v>146818125.07143554</v>
      </c>
      <c r="X32" s="480">
        <f ca="1">W32+'2.1 PnL'!X18</f>
        <v>170853483.74125853</v>
      </c>
      <c r="Y32" s="480">
        <f ca="1">X32+'2.1 PnL'!Y18</f>
        <v>196468690.00222939</v>
      </c>
      <c r="Z32" s="480">
        <f ca="1">Y32+'2.1 PnL'!Z18</f>
        <v>224815540.51948506</v>
      </c>
      <c r="AA32" s="480">
        <f ca="1">Z32+'2.1 PnL'!AA18</f>
        <v>255678018.06405526</v>
      </c>
      <c r="AB32" s="480">
        <f ca="1">AA32+'2.1 PnL'!AB18</f>
        <v>288736329.73209155</v>
      </c>
      <c r="AC32" s="480">
        <f ca="1">AB32+'2.1 PnL'!AC18</f>
        <v>325694247.40702009</v>
      </c>
      <c r="AD32" s="480">
        <f ca="1">AC32+'2.1 PnL'!AD18</f>
        <v>366423796.39041799</v>
      </c>
      <c r="AE32" s="480">
        <f ca="1">AD32+'2.1 PnL'!AE18</f>
        <v>409817560.35742062</v>
      </c>
      <c r="AF32" s="480">
        <f ca="1">AE32+'2.1 PnL'!AF18</f>
        <v>455462151.90066051</v>
      </c>
      <c r="AG32" s="480">
        <f ca="1">AF32+'2.1 PnL'!AG18</f>
        <v>502913138.58568978</v>
      </c>
      <c r="AH32" s="480">
        <f ca="1">AG32+'2.1 PnL'!AH18</f>
        <v>556069602.63670361</v>
      </c>
      <c r="AI32" s="480">
        <f ca="1">AH32+'2.1 PnL'!AI18</f>
        <v>615417448.64588058</v>
      </c>
      <c r="AJ32" s="480">
        <f ca="1">AI32+'2.1 PnL'!AJ18</f>
        <v>680090029.3137809</v>
      </c>
      <c r="AK32" s="480">
        <f ca="1">AJ32+'2.1 PnL'!AK18</f>
        <v>749606470.65895295</v>
      </c>
      <c r="AL32" s="480">
        <f ca="1">AK32+'2.1 PnL'!AL18</f>
        <v>826655372.97181547</v>
      </c>
      <c r="AM32" s="480">
        <f ca="1">AL32+'2.1 PnL'!AM18</f>
        <v>911706239.53026795</v>
      </c>
      <c r="AN32" s="480">
        <f ca="1">AM32+'2.1 PnL'!AN18</f>
        <v>1003526647.4235952</v>
      </c>
      <c r="AO32" s="107"/>
      <c r="AP32" s="115"/>
    </row>
    <row r="33" spans="5:41" ht="11.5" customHeight="1" x14ac:dyDescent="0.3">
      <c r="E33" s="698">
        <f ca="1">E25/E27</f>
        <v>0.15956494021573936</v>
      </c>
      <c r="F33" s="698">
        <f t="shared" ref="F33:AN33" ca="1" si="53">F25/F27</f>
        <v>7.8528795878680197E-2</v>
      </c>
      <c r="G33" s="698">
        <f t="shared" ca="1" si="53"/>
        <v>4.3201925365353465E-2</v>
      </c>
      <c r="H33" s="698">
        <f t="shared" ca="1" si="53"/>
        <v>1.0046758348074336E-2</v>
      </c>
      <c r="I33" s="698">
        <f t="shared" ca="1" si="53"/>
        <v>8.2846823757638105E-3</v>
      </c>
      <c r="J33" s="698">
        <f t="shared" ca="1" si="53"/>
        <v>6.2525218558953091E-3</v>
      </c>
      <c r="K33" s="698">
        <f t="shared" ca="1" si="53"/>
        <v>4.4298899438492837E-3</v>
      </c>
      <c r="L33" s="698">
        <f t="shared" ca="1" si="53"/>
        <v>2.0383538348989236E-3</v>
      </c>
      <c r="M33" s="698">
        <f t="shared" ca="1" si="53"/>
        <v>1.631901424056211E-3</v>
      </c>
      <c r="N33" s="698">
        <f t="shared" ca="1" si="53"/>
        <v>1.2933100514048229E-3</v>
      </c>
      <c r="O33" s="698">
        <f t="shared" ca="1" si="53"/>
        <v>1.0159293624479532E-3</v>
      </c>
      <c r="P33" s="698">
        <f t="shared" ca="1" si="53"/>
        <v>7.9987651609495761E-4</v>
      </c>
      <c r="Q33" s="698">
        <f t="shared" ca="1" si="53"/>
        <v>6.3119262602235639E-4</v>
      </c>
      <c r="R33" s="698">
        <f t="shared" ca="1" si="53"/>
        <v>4.9879719444742381E-4</v>
      </c>
      <c r="S33" s="698">
        <f t="shared" ca="1" si="53"/>
        <v>3.9785556848063222E-4</v>
      </c>
      <c r="T33" s="698">
        <f t="shared" ca="1" si="53"/>
        <v>3.2071576790275089E-4</v>
      </c>
      <c r="U33" s="698">
        <f t="shared" ca="1" si="53"/>
        <v>2.6085851990100152E-4</v>
      </c>
      <c r="V33" s="698">
        <f t="shared" ca="1" si="53"/>
        <v>2.1234597067369985E-4</v>
      </c>
      <c r="W33" s="698">
        <f t="shared" ca="1" si="53"/>
        <v>1.7326671013307161E-4</v>
      </c>
      <c r="X33" s="698">
        <f t="shared" ca="1" si="53"/>
        <v>1.420867693552876E-4</v>
      </c>
      <c r="Y33" s="698">
        <f t="shared" ca="1" si="53"/>
        <v>1.0405780075910846E-4</v>
      </c>
      <c r="Z33" s="698">
        <f t="shared" ca="1" si="53"/>
        <v>8.6965097123603422E-5</v>
      </c>
      <c r="AA33" s="698">
        <f t="shared" ca="1" si="53"/>
        <v>7.253772452848651E-5</v>
      </c>
      <c r="AB33" s="698">
        <f t="shared" ca="1" si="53"/>
        <v>6.0411883228887876E-5</v>
      </c>
      <c r="AC33" s="698">
        <f t="shared" ca="1" si="53"/>
        <v>4.9940854014538781E-5</v>
      </c>
      <c r="AD33" s="698">
        <f t="shared" ca="1" si="53"/>
        <v>4.0986325978016712E-5</v>
      </c>
      <c r="AE33" s="698">
        <f t="shared" ca="1" si="53"/>
        <v>3.3443292917590036E-5</v>
      </c>
      <c r="AF33" s="698">
        <f t="shared" ca="1" si="53"/>
        <v>2.7083835050244221E-5</v>
      </c>
      <c r="AG33" s="698">
        <f t="shared" ca="1" si="53"/>
        <v>2.1705200039984207E-5</v>
      </c>
      <c r="AH33" s="698">
        <f t="shared" ca="1" si="53"/>
        <v>1.5624502231122648E-5</v>
      </c>
      <c r="AI33" s="698">
        <f t="shared" ca="1" si="53"/>
        <v>1.1973683988561448E-5</v>
      </c>
      <c r="AJ33" s="698">
        <f t="shared" ca="1" si="53"/>
        <v>8.8104137411001762E-6</v>
      </c>
      <c r="AK33" s="698">
        <f t="shared" ca="1" si="53"/>
        <v>6.0855699624172136E-6</v>
      </c>
      <c r="AL33" s="698">
        <f t="shared" ca="1" si="53"/>
        <v>3.7313089475545628E-6</v>
      </c>
      <c r="AM33" s="698">
        <f t="shared" ca="1" si="53"/>
        <v>1.7142809801805657E-6</v>
      </c>
      <c r="AN33" s="698">
        <f t="shared" ca="1" si="53"/>
        <v>9.2095084927046173E-21</v>
      </c>
      <c r="AO33" s="10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81EB-3954-4888-805C-E279B88C9599}">
  <dimension ref="A1:AY33"/>
  <sheetViews>
    <sheetView showGridLines="0" zoomScale="70" zoomScaleNormal="70" workbookViewId="0">
      <selection activeCell="E29" sqref="E29"/>
    </sheetView>
  </sheetViews>
  <sheetFormatPr defaultColWidth="0" defaultRowHeight="11.5" zeroHeight="1" x14ac:dyDescent="0.25"/>
  <cols>
    <col min="1" max="2" width="3.6328125" style="3" customWidth="1"/>
    <col min="3" max="3" width="43.6328125" style="136" bestFit="1" customWidth="1"/>
    <col min="4" max="4" width="8.7265625" style="136" customWidth="1"/>
    <col min="5" max="40" width="15.6328125" style="136" customWidth="1"/>
    <col min="41" max="41" width="0.453125" style="3" customWidth="1"/>
    <col min="42" max="42" width="50.6328125" style="3" customWidth="1"/>
    <col min="43" max="43" width="3.6328125" style="3" customWidth="1"/>
    <col min="44" max="51" width="0" style="3" hidden="1" customWidth="1"/>
    <col min="52" max="16384" width="8.7265625" style="3" hidden="1"/>
  </cols>
  <sheetData>
    <row r="1" spans="1:42" s="5" customFormat="1" ht="14.5" customHeight="1" x14ac:dyDescent="0.3">
      <c r="A1" s="103" t="str">
        <f ca="1">MID(CELL("filename",A1),FIND("]",CELL("filename",A1))+1,255)</f>
        <v>2.3 CF</v>
      </c>
      <c r="B1" s="100"/>
      <c r="C1" s="144"/>
      <c r="D1" s="128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  <c r="W1" s="719"/>
      <c r="X1" s="719"/>
      <c r="Y1" s="719"/>
      <c r="Z1" s="719"/>
      <c r="AA1" s="719"/>
      <c r="AB1" s="719"/>
      <c r="AC1" s="719"/>
      <c r="AD1" s="719"/>
      <c r="AE1" s="719"/>
      <c r="AF1" s="719"/>
      <c r="AG1" s="719"/>
      <c r="AH1" s="719"/>
      <c r="AI1" s="719"/>
      <c r="AJ1" s="719"/>
      <c r="AK1" s="719"/>
      <c r="AL1" s="719"/>
      <c r="AM1" s="719"/>
      <c r="AN1" s="719"/>
      <c r="AO1" s="239"/>
    </row>
    <row r="2" spans="1:42" s="5" customFormat="1" x14ac:dyDescent="0.25">
      <c r="A2" s="7" t="s">
        <v>970</v>
      </c>
      <c r="C2" s="128"/>
      <c r="D2" s="128"/>
      <c r="E2" s="719"/>
      <c r="F2" s="719"/>
      <c r="G2" s="719"/>
      <c r="H2" s="719"/>
      <c r="I2" s="719"/>
      <c r="J2" s="719"/>
      <c r="K2" s="719"/>
      <c r="L2" s="719"/>
      <c r="M2" s="719"/>
      <c r="N2" s="719"/>
      <c r="O2" s="719"/>
      <c r="P2" s="719"/>
      <c r="Q2" s="719"/>
      <c r="R2" s="719"/>
      <c r="S2" s="719"/>
      <c r="T2" s="719"/>
      <c r="U2" s="719"/>
      <c r="V2" s="719"/>
      <c r="W2" s="719"/>
      <c r="X2" s="719"/>
      <c r="Y2" s="719"/>
      <c r="Z2" s="719"/>
      <c r="AA2" s="719"/>
      <c r="AB2" s="719"/>
      <c r="AC2" s="719"/>
      <c r="AD2" s="719"/>
      <c r="AE2" s="719"/>
      <c r="AF2" s="719"/>
      <c r="AG2" s="719"/>
      <c r="AH2" s="719"/>
      <c r="AI2" s="719"/>
      <c r="AJ2" s="719"/>
      <c r="AK2" s="719"/>
      <c r="AL2" s="719"/>
      <c r="AM2" s="719"/>
      <c r="AN2" s="719"/>
    </row>
    <row r="3" spans="1:42" ht="11.5" customHeight="1" x14ac:dyDescent="0.25"/>
    <row r="4" spans="1:42" ht="11.5" customHeight="1" x14ac:dyDescent="0.25">
      <c r="B4" s="13" t="s">
        <v>0</v>
      </c>
      <c r="C4" s="255" t="s">
        <v>50</v>
      </c>
      <c r="D4" s="256" t="s">
        <v>14</v>
      </c>
      <c r="E4" s="260">
        <v>45688</v>
      </c>
      <c r="F4" s="260">
        <v>45716</v>
      </c>
      <c r="G4" s="260">
        <v>45747</v>
      </c>
      <c r="H4" s="260">
        <v>45777</v>
      </c>
      <c r="I4" s="260">
        <v>45808</v>
      </c>
      <c r="J4" s="260">
        <v>45838</v>
      </c>
      <c r="K4" s="260">
        <v>45869</v>
      </c>
      <c r="L4" s="260">
        <v>45900</v>
      </c>
      <c r="M4" s="260">
        <v>45930</v>
      </c>
      <c r="N4" s="260">
        <v>45961</v>
      </c>
      <c r="O4" s="260">
        <v>45991</v>
      </c>
      <c r="P4" s="260">
        <v>46022</v>
      </c>
      <c r="Q4" s="260">
        <f>E4+365.25</f>
        <v>46053.25</v>
      </c>
      <c r="R4" s="260">
        <f t="shared" ref="R4:AN4" si="0">F4+365.25</f>
        <v>46081.25</v>
      </c>
      <c r="S4" s="260">
        <f t="shared" si="0"/>
        <v>46112.25</v>
      </c>
      <c r="T4" s="260">
        <f t="shared" si="0"/>
        <v>46142.25</v>
      </c>
      <c r="U4" s="260">
        <f t="shared" si="0"/>
        <v>46173.25</v>
      </c>
      <c r="V4" s="260">
        <f t="shared" si="0"/>
        <v>46203.25</v>
      </c>
      <c r="W4" s="260">
        <f t="shared" si="0"/>
        <v>46234.25</v>
      </c>
      <c r="X4" s="260">
        <f t="shared" si="0"/>
        <v>46265.25</v>
      </c>
      <c r="Y4" s="260">
        <f t="shared" si="0"/>
        <v>46295.25</v>
      </c>
      <c r="Z4" s="260">
        <f t="shared" si="0"/>
        <v>46326.25</v>
      </c>
      <c r="AA4" s="260">
        <f t="shared" si="0"/>
        <v>46356.25</v>
      </c>
      <c r="AB4" s="260">
        <f t="shared" si="0"/>
        <v>46387.25</v>
      </c>
      <c r="AC4" s="260">
        <f t="shared" si="0"/>
        <v>46418.5</v>
      </c>
      <c r="AD4" s="260">
        <f t="shared" si="0"/>
        <v>46446.5</v>
      </c>
      <c r="AE4" s="260">
        <f t="shared" si="0"/>
        <v>46477.5</v>
      </c>
      <c r="AF4" s="260">
        <f t="shared" si="0"/>
        <v>46507.5</v>
      </c>
      <c r="AG4" s="260">
        <f t="shared" si="0"/>
        <v>46538.5</v>
      </c>
      <c r="AH4" s="260">
        <f t="shared" si="0"/>
        <v>46568.5</v>
      </c>
      <c r="AI4" s="260">
        <f t="shared" si="0"/>
        <v>46599.5</v>
      </c>
      <c r="AJ4" s="260">
        <f t="shared" si="0"/>
        <v>46630.5</v>
      </c>
      <c r="AK4" s="260">
        <f t="shared" si="0"/>
        <v>46660.5</v>
      </c>
      <c r="AL4" s="260">
        <f t="shared" si="0"/>
        <v>46691.5</v>
      </c>
      <c r="AM4" s="260">
        <f t="shared" si="0"/>
        <v>46721.5</v>
      </c>
      <c r="AN4" s="260">
        <f t="shared" si="0"/>
        <v>46752.5</v>
      </c>
      <c r="AP4" s="258" t="s">
        <v>45</v>
      </c>
    </row>
    <row r="5" spans="1:42" ht="11.5" customHeight="1" x14ac:dyDescent="0.25">
      <c r="C5" s="146" t="s">
        <v>51</v>
      </c>
      <c r="D5" s="152" t="s">
        <v>46</v>
      </c>
      <c r="E5" s="768">
        <f ca="1">E13</f>
        <v>-117900.28609171473</v>
      </c>
      <c r="F5" s="631">
        <f t="shared" ref="F5:AN5" ca="1" si="1">F13</f>
        <v>333995.98649614747</v>
      </c>
      <c r="G5" s="631">
        <f t="shared" ca="1" si="1"/>
        <v>501441.1427922388</v>
      </c>
      <c r="H5" s="631">
        <f t="shared" ca="1" si="1"/>
        <v>672926.20929662907</v>
      </c>
      <c r="I5" s="631">
        <f t="shared" ca="1" si="1"/>
        <v>860393.29903733637</v>
      </c>
      <c r="J5" s="631">
        <f t="shared" ca="1" si="1"/>
        <v>1625300.7821654077</v>
      </c>
      <c r="K5" s="631">
        <f t="shared" ca="1" si="1"/>
        <v>2711651.0848391745</v>
      </c>
      <c r="L5" s="631">
        <f t="shared" ca="1" si="1"/>
        <v>3623190.5468828888</v>
      </c>
      <c r="M5" s="631">
        <f t="shared" ca="1" si="1"/>
        <v>4420354.343838254</v>
      </c>
      <c r="N5" s="631">
        <f t="shared" ca="1" si="1"/>
        <v>5628463.0033687362</v>
      </c>
      <c r="O5" s="631">
        <f t="shared" ca="1" si="1"/>
        <v>7142327.5211617285</v>
      </c>
      <c r="P5" s="631">
        <f t="shared" ca="1" si="1"/>
        <v>8600945.8753680103</v>
      </c>
      <c r="Q5" s="631">
        <f t="shared" ca="1" si="1"/>
        <v>10259282.001148164</v>
      </c>
      <c r="R5" s="631">
        <f t="shared" ca="1" si="1"/>
        <v>12334255.430186186</v>
      </c>
      <c r="S5" s="631">
        <f t="shared" ca="1" si="1"/>
        <v>14021479.747204795</v>
      </c>
      <c r="T5" s="631">
        <f t="shared" ca="1" si="1"/>
        <v>15614759.674227742</v>
      </c>
      <c r="U5" s="631">
        <f t="shared" ca="1" si="1"/>
        <v>17103204.658268943</v>
      </c>
      <c r="V5" s="631">
        <f t="shared" ca="1" si="1"/>
        <v>19610947.378552865</v>
      </c>
      <c r="W5" s="631">
        <f t="shared" ca="1" si="1"/>
        <v>22036427.675617214</v>
      </c>
      <c r="X5" s="631">
        <f t="shared" ca="1" si="1"/>
        <v>24069211.568279453</v>
      </c>
      <c r="Y5" s="631">
        <f t="shared" ca="1" si="1"/>
        <v>25645016.31496444</v>
      </c>
      <c r="Z5" s="631">
        <f t="shared" ca="1" si="1"/>
        <v>28389211.981508017</v>
      </c>
      <c r="AA5" s="631">
        <f t="shared" ca="1" si="1"/>
        <v>30906459.801134676</v>
      </c>
      <c r="AB5" s="631">
        <f t="shared" ca="1" si="1"/>
        <v>33132643.146214034</v>
      </c>
      <c r="AC5" s="631">
        <f t="shared" ca="1" si="1"/>
        <v>37034046.648561172</v>
      </c>
      <c r="AD5" s="631">
        <f t="shared" ca="1" si="1"/>
        <v>40813322.241397113</v>
      </c>
      <c r="AE5" s="631">
        <f t="shared" ca="1" si="1"/>
        <v>43464308.883649908</v>
      </c>
      <c r="AF5" s="631">
        <f t="shared" ca="1" si="1"/>
        <v>45723611.819733776</v>
      </c>
      <c r="AG5" s="631">
        <f t="shared" ca="1" si="1"/>
        <v>47481700.969447061</v>
      </c>
      <c r="AH5" s="631">
        <f t="shared" ca="1" si="1"/>
        <v>53263769.648496412</v>
      </c>
      <c r="AI5" s="631">
        <f t="shared" ca="1" si="1"/>
        <v>59435266.704856671</v>
      </c>
      <c r="AJ5" s="631">
        <f t="shared" ca="1" si="1"/>
        <v>64774190.163579717</v>
      </c>
      <c r="AK5" s="631">
        <f t="shared" ca="1" si="1"/>
        <v>69588273.693232238</v>
      </c>
      <c r="AL5" s="631">
        <f t="shared" ca="1" si="1"/>
        <v>77184279.148010164</v>
      </c>
      <c r="AM5" s="631">
        <f t="shared" ca="1" si="1"/>
        <v>85174969.796726376</v>
      </c>
      <c r="AN5" s="631">
        <f t="shared" ca="1" si="1"/>
        <v>92043220.528534755</v>
      </c>
      <c r="AP5" s="95"/>
    </row>
    <row r="6" spans="1:42" ht="11.5" customHeight="1" x14ac:dyDescent="0.25">
      <c r="C6" s="133" t="s">
        <v>52</v>
      </c>
      <c r="D6" s="159" t="s">
        <v>46</v>
      </c>
      <c r="E6" s="767">
        <f>E21</f>
        <v>-302762.96126108238</v>
      </c>
      <c r="F6" s="639">
        <f t="shared" ref="F6:AN6" ca="1" si="2">F21</f>
        <v>-21969.894385</v>
      </c>
      <c r="G6" s="639">
        <f t="shared" ca="1" si="2"/>
        <v>-275166.938195</v>
      </c>
      <c r="H6" s="639">
        <f t="shared" ca="1" si="2"/>
        <v>-527632.58265999996</v>
      </c>
      <c r="I6" s="639">
        <f t="shared" ca="1" si="2"/>
        <v>-288926.08756499999</v>
      </c>
      <c r="J6" s="639">
        <f t="shared" ca="1" si="2"/>
        <v>-305351.25702999998</v>
      </c>
      <c r="K6" s="639">
        <f t="shared" ca="1" si="2"/>
        <v>-311885.433578</v>
      </c>
      <c r="L6" s="639">
        <f t="shared" ca="1" si="2"/>
        <v>-572249.35029239999</v>
      </c>
      <c r="M6" s="639">
        <f t="shared" ca="1" si="2"/>
        <v>-108583.8840682318</v>
      </c>
      <c r="N6" s="639">
        <f t="shared" ca="1" si="2"/>
        <v>-359276.509398136</v>
      </c>
      <c r="O6" s="639">
        <f t="shared" ca="1" si="2"/>
        <v>-127230.51439013921</v>
      </c>
      <c r="P6" s="639">
        <f t="shared" ca="1" si="2"/>
        <v>-145716.45314681571</v>
      </c>
      <c r="Q6" s="639">
        <f t="shared" ca="1" si="2"/>
        <v>-263990.64976145001</v>
      </c>
      <c r="R6" s="639">
        <f t="shared" ca="1" si="2"/>
        <v>-725069.23753971176</v>
      </c>
      <c r="S6" s="639">
        <f t="shared" ca="1" si="2"/>
        <v>-243610.10832601937</v>
      </c>
      <c r="T6" s="639">
        <f t="shared" ca="1" si="2"/>
        <v>-261082.41554106551</v>
      </c>
      <c r="U6" s="639">
        <f t="shared" ca="1" si="2"/>
        <v>-356913.72220531246</v>
      </c>
      <c r="V6" s="639">
        <f t="shared" ca="1" si="2"/>
        <v>-341745.59659945115</v>
      </c>
      <c r="W6" s="639">
        <f t="shared" ca="1" si="2"/>
        <v>-368367.14744206099</v>
      </c>
      <c r="X6" s="639">
        <f t="shared" ca="1" si="2"/>
        <v>-390510.38652214879</v>
      </c>
      <c r="Y6" s="639">
        <f t="shared" ca="1" si="2"/>
        <v>-466218.47628196637</v>
      </c>
      <c r="Z6" s="639">
        <f t="shared" ca="1" si="2"/>
        <v>-458748.64066052431</v>
      </c>
      <c r="AA6" s="639">
        <f t="shared" ca="1" si="2"/>
        <v>-486376.20938116946</v>
      </c>
      <c r="AB6" s="639">
        <f t="shared" ca="1" si="2"/>
        <v>-511965.38316093554</v>
      </c>
      <c r="AC6" s="639">
        <f t="shared" ca="1" si="2"/>
        <v>-785257.97103660216</v>
      </c>
      <c r="AD6" s="639">
        <f t="shared" ca="1" si="2"/>
        <v>-677887.64673285617</v>
      </c>
      <c r="AE6" s="639">
        <f t="shared" ca="1" si="2"/>
        <v>-706789.38315247255</v>
      </c>
      <c r="AF6" s="639">
        <f t="shared" ca="1" si="2"/>
        <v>-731197.90965922794</v>
      </c>
      <c r="AG6" s="639">
        <f t="shared" ca="1" si="2"/>
        <v>-1023131.0187999108</v>
      </c>
      <c r="AH6" s="639">
        <f t="shared" ca="1" si="2"/>
        <v>-923442.69542423333</v>
      </c>
      <c r="AI6" s="639">
        <f t="shared" ca="1" si="2"/>
        <v>-991085.84105244919</v>
      </c>
      <c r="AJ6" s="639">
        <f t="shared" ca="1" si="2"/>
        <v>-1049271.5937543344</v>
      </c>
      <c r="AK6" s="639">
        <f t="shared" ca="1" si="2"/>
        <v>-1304688.3205171318</v>
      </c>
      <c r="AL6" s="639">
        <f t="shared" ca="1" si="2"/>
        <v>-1258633.2675739962</v>
      </c>
      <c r="AM6" s="639">
        <f t="shared" ca="1" si="2"/>
        <v>-1346220.1986136348</v>
      </c>
      <c r="AN6" s="639">
        <f t="shared" ca="1" si="2"/>
        <v>-1422431.7060190327</v>
      </c>
      <c r="AP6" s="96"/>
    </row>
    <row r="7" spans="1:42" ht="11.5" customHeight="1" x14ac:dyDescent="0.25">
      <c r="C7" s="134" t="s">
        <v>53</v>
      </c>
      <c r="D7" s="153" t="s">
        <v>46</v>
      </c>
      <c r="E7" s="632">
        <f ca="1">E26</f>
        <v>472892.65511317836</v>
      </c>
      <c r="F7" s="632">
        <f t="shared" ref="F7:AN7" ca="1" si="3">F26</f>
        <v>-1730.9472697483243</v>
      </c>
      <c r="G7" s="632">
        <f t="shared" ca="1" si="3"/>
        <v>-1730.9472697483243</v>
      </c>
      <c r="H7" s="632">
        <f t="shared" ca="1" si="3"/>
        <v>2998269.0527302516</v>
      </c>
      <c r="I7" s="632">
        <f t="shared" ca="1" si="3"/>
        <v>-1730.9472697483243</v>
      </c>
      <c r="J7" s="632">
        <f t="shared" ca="1" si="3"/>
        <v>-1730.9472697483243</v>
      </c>
      <c r="K7" s="632">
        <f t="shared" ca="1" si="3"/>
        <v>-1730.9472697483243</v>
      </c>
      <c r="L7" s="632">
        <f t="shared" ca="1" si="3"/>
        <v>7498269.0527302511</v>
      </c>
      <c r="M7" s="632">
        <f t="shared" ca="1" si="3"/>
        <v>-1730.9472697483243</v>
      </c>
      <c r="N7" s="632">
        <f t="shared" ca="1" si="3"/>
        <v>-1730.9472697483243</v>
      </c>
      <c r="O7" s="632">
        <f t="shared" ca="1" si="3"/>
        <v>-1730.9472697483243</v>
      </c>
      <c r="P7" s="632">
        <f t="shared" ca="1" si="3"/>
        <v>-1730.9472697483243</v>
      </c>
      <c r="Q7" s="632">
        <f t="shared" ca="1" si="3"/>
        <v>-1730.9472697483243</v>
      </c>
      <c r="R7" s="632">
        <f t="shared" ca="1" si="3"/>
        <v>-1730.9472697483243</v>
      </c>
      <c r="S7" s="632">
        <f t="shared" ca="1" si="3"/>
        <v>-1730.9472697483243</v>
      </c>
      <c r="T7" s="632">
        <f t="shared" ca="1" si="3"/>
        <v>-1730.9472697483243</v>
      </c>
      <c r="U7" s="632">
        <f t="shared" ca="1" si="3"/>
        <v>-1730.9472697483243</v>
      </c>
      <c r="V7" s="632">
        <f t="shared" ca="1" si="3"/>
        <v>-1730.9472697483243</v>
      </c>
      <c r="W7" s="632">
        <f t="shared" ca="1" si="3"/>
        <v>-1730.9472697483243</v>
      </c>
      <c r="X7" s="632">
        <f t="shared" ca="1" si="3"/>
        <v>-1730.9472697483243</v>
      </c>
      <c r="Y7" s="632">
        <f t="shared" ca="1" si="3"/>
        <v>26248269.052730251</v>
      </c>
      <c r="Z7" s="632">
        <f t="shared" ca="1" si="3"/>
        <v>-1730.9472697483243</v>
      </c>
      <c r="AA7" s="632">
        <f t="shared" ca="1" si="3"/>
        <v>-1730.9472697483243</v>
      </c>
      <c r="AB7" s="632">
        <f t="shared" ca="1" si="3"/>
        <v>-1730.9472697483243</v>
      </c>
      <c r="AC7" s="632">
        <f t="shared" ca="1" si="3"/>
        <v>-1730.9472697483243</v>
      </c>
      <c r="AD7" s="632">
        <f t="shared" ca="1" si="3"/>
        <v>-1730.9472697483243</v>
      </c>
      <c r="AE7" s="632">
        <f t="shared" ca="1" si="3"/>
        <v>-1730.9472697483243</v>
      </c>
      <c r="AF7" s="632">
        <f t="shared" ca="1" si="3"/>
        <v>-1730.9472697483243</v>
      </c>
      <c r="AG7" s="632">
        <f t="shared" ca="1" si="3"/>
        <v>-1730.9472697483243</v>
      </c>
      <c r="AH7" s="632">
        <f t="shared" ca="1" si="3"/>
        <v>52498269.052730247</v>
      </c>
      <c r="AI7" s="632">
        <f t="shared" ca="1" si="3"/>
        <v>-1730.9472697483243</v>
      </c>
      <c r="AJ7" s="632">
        <f t="shared" ca="1" si="3"/>
        <v>-1730.9472697483243</v>
      </c>
      <c r="AK7" s="632">
        <f t="shared" ca="1" si="3"/>
        <v>-1730.9472697483243</v>
      </c>
      <c r="AL7" s="632">
        <f t="shared" ca="1" si="3"/>
        <v>-1730.9472697483243</v>
      </c>
      <c r="AM7" s="632">
        <f t="shared" ca="1" si="3"/>
        <v>-1730.9472697483243</v>
      </c>
      <c r="AN7" s="632">
        <f t="shared" ca="1" si="3"/>
        <v>91873269.052730247</v>
      </c>
      <c r="AP7" s="40"/>
    </row>
    <row r="8" spans="1:42" ht="11.5" customHeight="1" x14ac:dyDescent="0.25">
      <c r="C8" s="135" t="s">
        <v>54</v>
      </c>
      <c r="D8" s="154" t="s">
        <v>46</v>
      </c>
      <c r="E8" s="640">
        <f ca="1">SUM(E5:E7)</f>
        <v>52229.407760381233</v>
      </c>
      <c r="F8" s="640">
        <f t="shared" ref="F8:AN8" ca="1" si="4">SUM(F5:F7)</f>
        <v>310295.14484139916</v>
      </c>
      <c r="G8" s="640">
        <f t="shared" ca="1" si="4"/>
        <v>224543.25732749049</v>
      </c>
      <c r="H8" s="640">
        <f t="shared" ca="1" si="4"/>
        <v>3143562.6793668806</v>
      </c>
      <c r="I8" s="640">
        <f t="shared" ca="1" si="4"/>
        <v>569736.26420258812</v>
      </c>
      <c r="J8" s="640">
        <f t="shared" ca="1" si="4"/>
        <v>1318218.5778656593</v>
      </c>
      <c r="K8" s="640">
        <f t="shared" ca="1" si="4"/>
        <v>2398034.7039914262</v>
      </c>
      <c r="L8" s="640">
        <f t="shared" ca="1" si="4"/>
        <v>10549210.24932074</v>
      </c>
      <c r="M8" s="640">
        <f t="shared" ca="1" si="4"/>
        <v>4310039.512500274</v>
      </c>
      <c r="N8" s="640">
        <f t="shared" ca="1" si="4"/>
        <v>5267455.546700852</v>
      </c>
      <c r="O8" s="640">
        <f t="shared" ca="1" si="4"/>
        <v>7013366.0595018417</v>
      </c>
      <c r="P8" s="640">
        <f t="shared" ca="1" si="4"/>
        <v>8453498.4749514461</v>
      </c>
      <c r="Q8" s="640">
        <f t="shared" ca="1" si="4"/>
        <v>9993560.4041169658</v>
      </c>
      <c r="R8" s="640">
        <f t="shared" ca="1" si="4"/>
        <v>11607455.245376725</v>
      </c>
      <c r="S8" s="640">
        <f t="shared" ca="1" si="4"/>
        <v>13776138.691609027</v>
      </c>
      <c r="T8" s="640">
        <f t="shared" ca="1" si="4"/>
        <v>15351946.311416928</v>
      </c>
      <c r="U8" s="640">
        <f t="shared" ca="1" si="4"/>
        <v>16744559.988793882</v>
      </c>
      <c r="V8" s="640">
        <f t="shared" ca="1" si="4"/>
        <v>19267470.834683664</v>
      </c>
      <c r="W8" s="640">
        <f t="shared" ca="1" si="4"/>
        <v>21666329.580905404</v>
      </c>
      <c r="X8" s="640">
        <f t="shared" ca="1" si="4"/>
        <v>23676970.234487556</v>
      </c>
      <c r="Y8" s="640">
        <f t="shared" ca="1" si="4"/>
        <v>51427066.89141272</v>
      </c>
      <c r="Z8" s="640">
        <f t="shared" ca="1" si="4"/>
        <v>27928732.393577743</v>
      </c>
      <c r="AA8" s="640">
        <f t="shared" ca="1" si="4"/>
        <v>30418352.644483756</v>
      </c>
      <c r="AB8" s="640">
        <f t="shared" ca="1" si="4"/>
        <v>32618946.815783352</v>
      </c>
      <c r="AC8" s="640">
        <f t="shared" ca="1" si="4"/>
        <v>36247057.730254821</v>
      </c>
      <c r="AD8" s="640">
        <f t="shared" ca="1" si="4"/>
        <v>40133703.647394508</v>
      </c>
      <c r="AE8" s="640">
        <f t="shared" ca="1" si="4"/>
        <v>42755788.553227693</v>
      </c>
      <c r="AF8" s="640">
        <f t="shared" ca="1" si="4"/>
        <v>44990682.962804802</v>
      </c>
      <c r="AG8" s="640">
        <f t="shared" ca="1" si="4"/>
        <v>46456839.003377408</v>
      </c>
      <c r="AH8" s="640">
        <f t="shared" ca="1" si="4"/>
        <v>104838596.00580242</v>
      </c>
      <c r="AI8" s="640">
        <f t="shared" ca="1" si="4"/>
        <v>58442449.916534476</v>
      </c>
      <c r="AJ8" s="640">
        <f t="shared" ca="1" si="4"/>
        <v>63723187.622555636</v>
      </c>
      <c r="AK8" s="640">
        <f t="shared" ca="1" si="4"/>
        <v>68281854.425445348</v>
      </c>
      <c r="AL8" s="640">
        <f t="shared" ca="1" si="4"/>
        <v>75923914.933166414</v>
      </c>
      <c r="AM8" s="640">
        <f t="shared" ca="1" si="4"/>
        <v>83827018.650842994</v>
      </c>
      <c r="AN8" s="640">
        <f t="shared" ca="1" si="4"/>
        <v>182494057.87524599</v>
      </c>
      <c r="AP8" s="104"/>
    </row>
    <row r="9" spans="1:42" ht="3" customHeight="1" x14ac:dyDescent="0.25">
      <c r="E9" s="641"/>
      <c r="F9" s="641"/>
      <c r="G9" s="641"/>
      <c r="H9" s="641"/>
      <c r="I9" s="641"/>
      <c r="J9" s="641"/>
      <c r="K9" s="641"/>
      <c r="L9" s="641"/>
      <c r="M9" s="641"/>
      <c r="N9" s="641"/>
      <c r="O9" s="641"/>
      <c r="P9" s="641"/>
      <c r="Q9" s="641"/>
      <c r="R9" s="641"/>
      <c r="S9" s="641"/>
      <c r="T9" s="641"/>
      <c r="U9" s="641"/>
      <c r="V9" s="641"/>
      <c r="W9" s="641"/>
      <c r="X9" s="641"/>
      <c r="Y9" s="641"/>
      <c r="Z9" s="641"/>
      <c r="AA9" s="641"/>
      <c r="AB9" s="641"/>
      <c r="AC9" s="641"/>
      <c r="AD9" s="641"/>
      <c r="AE9" s="641"/>
      <c r="AF9" s="641"/>
      <c r="AG9" s="641"/>
      <c r="AH9" s="641"/>
      <c r="AI9" s="641"/>
      <c r="AJ9" s="641"/>
      <c r="AK9" s="641"/>
      <c r="AL9" s="641"/>
      <c r="AM9" s="641"/>
      <c r="AN9" s="641"/>
    </row>
    <row r="10" spans="1:42" ht="11.5" customHeight="1" x14ac:dyDescent="0.25">
      <c r="C10" s="135" t="s">
        <v>872</v>
      </c>
      <c r="D10" s="154" t="s">
        <v>46</v>
      </c>
      <c r="E10" s="644">
        <f ca="1">E8</f>
        <v>52229.407760381233</v>
      </c>
      <c r="F10" s="640">
        <f ca="1">F8+E10</f>
        <v>362524.55260178039</v>
      </c>
      <c r="G10" s="640">
        <f t="shared" ref="G10:AF10" ca="1" si="5">G8+F10</f>
        <v>587067.80992927088</v>
      </c>
      <c r="H10" s="640">
        <f t="shared" ca="1" si="5"/>
        <v>3730630.4892961513</v>
      </c>
      <c r="I10" s="640">
        <f t="shared" ca="1" si="5"/>
        <v>4300366.7534987396</v>
      </c>
      <c r="J10" s="640">
        <f t="shared" ca="1" si="5"/>
        <v>5618585.3313643988</v>
      </c>
      <c r="K10" s="640">
        <f t="shared" ca="1" si="5"/>
        <v>8016620.035355825</v>
      </c>
      <c r="L10" s="640">
        <f t="shared" ca="1" si="5"/>
        <v>18565830.284676567</v>
      </c>
      <c r="M10" s="640">
        <f t="shared" ca="1" si="5"/>
        <v>22875869.797176842</v>
      </c>
      <c r="N10" s="640">
        <f t="shared" ca="1" si="5"/>
        <v>28143325.343877696</v>
      </c>
      <c r="O10" s="640">
        <f t="shared" ca="1" si="5"/>
        <v>35156691.403379537</v>
      </c>
      <c r="P10" s="640">
        <f t="shared" ca="1" si="5"/>
        <v>43610189.878330983</v>
      </c>
      <c r="Q10" s="644">
        <f t="shared" ca="1" si="5"/>
        <v>53603750.282447949</v>
      </c>
      <c r="R10" s="640">
        <f t="shared" ca="1" si="5"/>
        <v>65211205.52782467</v>
      </c>
      <c r="S10" s="640">
        <f t="shared" ca="1" si="5"/>
        <v>78987344.219433695</v>
      </c>
      <c r="T10" s="640">
        <f t="shared" ca="1" si="5"/>
        <v>94339290.530850619</v>
      </c>
      <c r="U10" s="640">
        <f t="shared" ca="1" si="5"/>
        <v>111083850.5196445</v>
      </c>
      <c r="V10" s="640">
        <f t="shared" ca="1" si="5"/>
        <v>130351321.35432816</v>
      </c>
      <c r="W10" s="640">
        <f t="shared" ca="1" si="5"/>
        <v>152017650.93523356</v>
      </c>
      <c r="X10" s="640">
        <f t="shared" ca="1" si="5"/>
        <v>175694621.16972113</v>
      </c>
      <c r="Y10" s="640">
        <f t="shared" ca="1" si="5"/>
        <v>227121688.06113386</v>
      </c>
      <c r="Z10" s="640">
        <f t="shared" ca="1" si="5"/>
        <v>255050420.45471162</v>
      </c>
      <c r="AA10" s="640">
        <f t="shared" ca="1" si="5"/>
        <v>285468773.09919536</v>
      </c>
      <c r="AB10" s="640">
        <f t="shared" ca="1" si="5"/>
        <v>318087719.91497874</v>
      </c>
      <c r="AC10" s="640">
        <f t="shared" ca="1" si="5"/>
        <v>354334777.64523357</v>
      </c>
      <c r="AD10" s="640">
        <f t="shared" ca="1" si="5"/>
        <v>394468481.29262805</v>
      </c>
      <c r="AE10" s="640">
        <f t="shared" ca="1" si="5"/>
        <v>437224269.84585571</v>
      </c>
      <c r="AF10" s="640">
        <f t="shared" ca="1" si="5"/>
        <v>482214952.80866051</v>
      </c>
      <c r="AG10" s="640">
        <f t="shared" ref="AG10" ca="1" si="6">AG8+AF10</f>
        <v>528671791.81203794</v>
      </c>
      <c r="AH10" s="640">
        <f t="shared" ref="AH10" ca="1" si="7">AH8+AG10</f>
        <v>633510387.81784034</v>
      </c>
      <c r="AI10" s="640">
        <f t="shared" ref="AI10" ca="1" si="8">AI8+AH10</f>
        <v>691952837.73437476</v>
      </c>
      <c r="AJ10" s="640">
        <f t="shared" ref="AJ10" ca="1" si="9">AJ8+AI10</f>
        <v>755676025.35693038</v>
      </c>
      <c r="AK10" s="640">
        <f t="shared" ref="AK10" ca="1" si="10">AK8+AJ10</f>
        <v>823957879.78237569</v>
      </c>
      <c r="AL10" s="640">
        <f t="shared" ref="AL10" ca="1" si="11">AL8+AK10</f>
        <v>899881794.71554208</v>
      </c>
      <c r="AM10" s="640">
        <f t="shared" ref="AM10" ca="1" si="12">AM8+AL10</f>
        <v>983708813.3663851</v>
      </c>
      <c r="AN10" s="640">
        <f t="shared" ref="AN10" ca="1" si="13">AN8+AM10</f>
        <v>1166202871.241631</v>
      </c>
      <c r="AP10" s="104"/>
    </row>
    <row r="11" spans="1:42" ht="3" customHeight="1" x14ac:dyDescent="0.25"/>
    <row r="12" spans="1:42" ht="11.5" customHeight="1" x14ac:dyDescent="0.25">
      <c r="B12" s="13" t="s">
        <v>0</v>
      </c>
      <c r="C12" s="255" t="s">
        <v>50</v>
      </c>
      <c r="D12" s="256" t="s">
        <v>14</v>
      </c>
      <c r="E12" s="260">
        <v>45688</v>
      </c>
      <c r="F12" s="260">
        <v>45716</v>
      </c>
      <c r="G12" s="260">
        <v>45747</v>
      </c>
      <c r="H12" s="260">
        <v>45777</v>
      </c>
      <c r="I12" s="260">
        <v>45808</v>
      </c>
      <c r="J12" s="260">
        <v>45838</v>
      </c>
      <c r="K12" s="260">
        <v>45869</v>
      </c>
      <c r="L12" s="260">
        <v>45900</v>
      </c>
      <c r="M12" s="260">
        <v>45930</v>
      </c>
      <c r="N12" s="260">
        <v>45961</v>
      </c>
      <c r="O12" s="260">
        <v>45991</v>
      </c>
      <c r="P12" s="260">
        <v>46022</v>
      </c>
      <c r="Q12" s="260">
        <f>E12+365.25</f>
        <v>46053.25</v>
      </c>
      <c r="R12" s="260">
        <f t="shared" ref="R12:AN12" si="14">F12+365.25</f>
        <v>46081.25</v>
      </c>
      <c r="S12" s="260">
        <f t="shared" si="14"/>
        <v>46112.25</v>
      </c>
      <c r="T12" s="260">
        <f t="shared" si="14"/>
        <v>46142.25</v>
      </c>
      <c r="U12" s="260">
        <f t="shared" si="14"/>
        <v>46173.25</v>
      </c>
      <c r="V12" s="260">
        <f t="shared" si="14"/>
        <v>46203.25</v>
      </c>
      <c r="W12" s="260">
        <f t="shared" si="14"/>
        <v>46234.25</v>
      </c>
      <c r="X12" s="260">
        <f t="shared" si="14"/>
        <v>46265.25</v>
      </c>
      <c r="Y12" s="260">
        <f t="shared" si="14"/>
        <v>46295.25</v>
      </c>
      <c r="Z12" s="260">
        <f t="shared" si="14"/>
        <v>46326.25</v>
      </c>
      <c r="AA12" s="260">
        <f t="shared" si="14"/>
        <v>46356.25</v>
      </c>
      <c r="AB12" s="260">
        <f t="shared" si="14"/>
        <v>46387.25</v>
      </c>
      <c r="AC12" s="260">
        <f t="shared" si="14"/>
        <v>46418.5</v>
      </c>
      <c r="AD12" s="260">
        <f t="shared" si="14"/>
        <v>46446.5</v>
      </c>
      <c r="AE12" s="260">
        <f t="shared" si="14"/>
        <v>46477.5</v>
      </c>
      <c r="AF12" s="260">
        <f t="shared" si="14"/>
        <v>46507.5</v>
      </c>
      <c r="AG12" s="260">
        <f t="shared" si="14"/>
        <v>46538.5</v>
      </c>
      <c r="AH12" s="260">
        <f t="shared" si="14"/>
        <v>46568.5</v>
      </c>
      <c r="AI12" s="260">
        <f t="shared" si="14"/>
        <v>46599.5</v>
      </c>
      <c r="AJ12" s="260">
        <f t="shared" si="14"/>
        <v>46630.5</v>
      </c>
      <c r="AK12" s="260">
        <f t="shared" si="14"/>
        <v>46660.5</v>
      </c>
      <c r="AL12" s="260">
        <f t="shared" si="14"/>
        <v>46691.5</v>
      </c>
      <c r="AM12" s="260">
        <f t="shared" si="14"/>
        <v>46721.5</v>
      </c>
      <c r="AN12" s="260">
        <f t="shared" si="14"/>
        <v>46752.5</v>
      </c>
      <c r="AP12" s="258" t="s">
        <v>45</v>
      </c>
    </row>
    <row r="13" spans="1:42" ht="11.5" customHeight="1" x14ac:dyDescent="0.25">
      <c r="B13" s="33" t="s">
        <v>10</v>
      </c>
      <c r="C13" s="164" t="s">
        <v>51</v>
      </c>
      <c r="D13" s="165"/>
      <c r="E13" s="642">
        <f t="shared" ref="E13:AN13" ca="1" si="15">E14+E15+E16</f>
        <v>-117900.28609171473</v>
      </c>
      <c r="F13" s="642">
        <f t="shared" ca="1" si="15"/>
        <v>333995.98649614747</v>
      </c>
      <c r="G13" s="642">
        <f t="shared" ca="1" si="15"/>
        <v>501441.1427922388</v>
      </c>
      <c r="H13" s="642">
        <f t="shared" ca="1" si="15"/>
        <v>672926.20929662907</v>
      </c>
      <c r="I13" s="642">
        <f t="shared" ca="1" si="15"/>
        <v>860393.29903733637</v>
      </c>
      <c r="J13" s="642">
        <f t="shared" ca="1" si="15"/>
        <v>1625300.7821654077</v>
      </c>
      <c r="K13" s="642">
        <f t="shared" ca="1" si="15"/>
        <v>2711651.0848391745</v>
      </c>
      <c r="L13" s="642">
        <f t="shared" ca="1" si="15"/>
        <v>3623190.5468828888</v>
      </c>
      <c r="M13" s="642">
        <f t="shared" ca="1" si="15"/>
        <v>4420354.343838254</v>
      </c>
      <c r="N13" s="642">
        <f t="shared" ca="1" si="15"/>
        <v>5628463.0033687362</v>
      </c>
      <c r="O13" s="642">
        <f t="shared" ca="1" si="15"/>
        <v>7142327.5211617285</v>
      </c>
      <c r="P13" s="642">
        <f t="shared" ca="1" si="15"/>
        <v>8600945.8753680103</v>
      </c>
      <c r="Q13" s="642">
        <f t="shared" ca="1" si="15"/>
        <v>10259282.001148164</v>
      </c>
      <c r="R13" s="642">
        <f t="shared" ca="1" si="15"/>
        <v>12334255.430186186</v>
      </c>
      <c r="S13" s="642">
        <f t="shared" ca="1" si="15"/>
        <v>14021479.747204795</v>
      </c>
      <c r="T13" s="642">
        <f t="shared" ca="1" si="15"/>
        <v>15614759.674227742</v>
      </c>
      <c r="U13" s="642">
        <f t="shared" ca="1" si="15"/>
        <v>17103204.658268943</v>
      </c>
      <c r="V13" s="642">
        <f t="shared" ca="1" si="15"/>
        <v>19610947.378552865</v>
      </c>
      <c r="W13" s="642">
        <f t="shared" ca="1" si="15"/>
        <v>22036427.675617214</v>
      </c>
      <c r="X13" s="642">
        <f t="shared" ca="1" si="15"/>
        <v>24069211.568279453</v>
      </c>
      <c r="Y13" s="642">
        <f t="shared" ca="1" si="15"/>
        <v>25645016.31496444</v>
      </c>
      <c r="Z13" s="642">
        <f t="shared" ca="1" si="15"/>
        <v>28389211.981508017</v>
      </c>
      <c r="AA13" s="642">
        <f t="shared" ca="1" si="15"/>
        <v>30906459.801134676</v>
      </c>
      <c r="AB13" s="642">
        <f t="shared" ca="1" si="15"/>
        <v>33132643.146214034</v>
      </c>
      <c r="AC13" s="642">
        <f t="shared" ca="1" si="15"/>
        <v>37034046.648561172</v>
      </c>
      <c r="AD13" s="642">
        <f t="shared" ca="1" si="15"/>
        <v>40813322.241397113</v>
      </c>
      <c r="AE13" s="642">
        <f t="shared" ca="1" si="15"/>
        <v>43464308.883649908</v>
      </c>
      <c r="AF13" s="642">
        <f t="shared" ca="1" si="15"/>
        <v>45723611.819733776</v>
      </c>
      <c r="AG13" s="642">
        <f t="shared" ca="1" si="15"/>
        <v>47481700.969447061</v>
      </c>
      <c r="AH13" s="642">
        <f t="shared" ca="1" si="15"/>
        <v>53263769.648496412</v>
      </c>
      <c r="AI13" s="642">
        <f t="shared" ca="1" si="15"/>
        <v>59435266.704856671</v>
      </c>
      <c r="AJ13" s="642">
        <f t="shared" ca="1" si="15"/>
        <v>64774190.163579717</v>
      </c>
      <c r="AK13" s="642">
        <f t="shared" ca="1" si="15"/>
        <v>69588273.693232238</v>
      </c>
      <c r="AL13" s="642">
        <f t="shared" ca="1" si="15"/>
        <v>77184279.148010164</v>
      </c>
      <c r="AM13" s="642">
        <f t="shared" ca="1" si="15"/>
        <v>85174969.796726376</v>
      </c>
      <c r="AN13" s="642">
        <f t="shared" ca="1" si="15"/>
        <v>92043220.528534755</v>
      </c>
      <c r="AP13" s="97"/>
    </row>
    <row r="14" spans="1:42" ht="11.5" customHeight="1" x14ac:dyDescent="0.25">
      <c r="C14" s="146" t="s">
        <v>55</v>
      </c>
      <c r="D14" s="152" t="s">
        <v>46</v>
      </c>
      <c r="E14" s="768">
        <f ca="1">'2.1 PnL'!E38-'2.1 PnL'!E40-'1.1 Control Panel'!E29*'2.1 PnL'!E22</f>
        <v>-92388.34419094125</v>
      </c>
      <c r="F14" s="631">
        <f ca="1">'2.1 PnL'!F38-'2.1 PnL'!F40-'1.1 Control Panel'!F29*'2.1 PnL'!F22</f>
        <v>322571.86570678017</v>
      </c>
      <c r="G14" s="631">
        <f ca="1">'2.1 PnL'!G38-'2.1 PnL'!G40-'1.1 Control Panel'!G29*'2.1 PnL'!G22</f>
        <v>501952.77245301387</v>
      </c>
      <c r="H14" s="631">
        <f ca="1">'2.1 PnL'!H38-'2.1 PnL'!H40-'1.1 Control Panel'!H29*'2.1 PnL'!H22</f>
        <v>670460.93309839291</v>
      </c>
      <c r="I14" s="631">
        <f ca="1">'2.1 PnL'!I38-'2.1 PnL'!I40-'1.1 Control Panel'!I29*'2.1 PnL'!I22</f>
        <v>865762.65268175805</v>
      </c>
      <c r="J14" s="631">
        <f ca="1">'2.1 PnL'!J38-'2.1 PnL'!J40-'1.1 Control Panel'!J29*'2.1 PnL'!J22</f>
        <v>1634776.3656196299</v>
      </c>
      <c r="K14" s="631">
        <f ca="1">'2.1 PnL'!K38-'2.1 PnL'!K40-'1.1 Control Panel'!K29*'2.1 PnL'!K22</f>
        <v>2708149.3725534189</v>
      </c>
      <c r="L14" s="631">
        <f ca="1">'2.1 PnL'!L38-'2.1 PnL'!L40-'1.1 Control Panel'!L29*'2.1 PnL'!L22</f>
        <v>3599954.1541569186</v>
      </c>
      <c r="M14" s="631">
        <f ca="1">'2.1 PnL'!M38-'2.1 PnL'!M40-'1.1 Control Panel'!M29*'2.1 PnL'!M22</f>
        <v>4422112.902929971</v>
      </c>
      <c r="N14" s="631">
        <f ca="1">'2.1 PnL'!N38-'2.1 PnL'!N40-'1.1 Control Panel'!N29*'2.1 PnL'!N22</f>
        <v>5619857.1722631007</v>
      </c>
      <c r="O14" s="631">
        <f ca="1">'2.1 PnL'!O38-'2.1 PnL'!O40-'1.1 Control Panel'!O29*'2.1 PnL'!O22</f>
        <v>7137650.0348427109</v>
      </c>
      <c r="P14" s="631">
        <f ca="1">'2.1 PnL'!P38-'2.1 PnL'!P40-'1.1 Control Panel'!P29*'2.1 PnL'!P22</f>
        <v>8595254.7291785777</v>
      </c>
      <c r="Q14" s="631">
        <f ca="1">'2.1 PnL'!Q38-'2.1 PnL'!Q40-'1.1 Control Panel'!Q29*'2.1 PnL'!Q22</f>
        <v>10286024.715576302</v>
      </c>
      <c r="R14" s="631">
        <f ca="1">'2.1 PnL'!R38-'2.1 PnL'!R40-'1.1 Control Panel'!R29*'2.1 PnL'!R22</f>
        <v>12310793.684975596</v>
      </c>
      <c r="S14" s="631">
        <f ca="1">'2.1 PnL'!S38-'2.1 PnL'!S40-'1.1 Control Panel'!S29*'2.1 PnL'!S22</f>
        <v>14006819.14423826</v>
      </c>
      <c r="T14" s="631">
        <f ca="1">'2.1 PnL'!T38-'2.1 PnL'!T40-'1.1 Control Panel'!T29*'2.1 PnL'!T22</f>
        <v>15549794.018681254</v>
      </c>
      <c r="U14" s="631">
        <f ca="1">'2.1 PnL'!U38-'2.1 PnL'!U40-'1.1 Control Panel'!U29*'2.1 PnL'!U22</f>
        <v>17107375.770047486</v>
      </c>
      <c r="V14" s="631">
        <f ca="1">'2.1 PnL'!V38-'2.1 PnL'!V40-'1.1 Control Panel'!V29*'2.1 PnL'!V22</f>
        <v>19574688.890948929</v>
      </c>
      <c r="W14" s="631">
        <f ca="1">'2.1 PnL'!W38-'2.1 PnL'!W40-'1.1 Control Panel'!W29*'2.1 PnL'!W22</f>
        <v>22009422.308202852</v>
      </c>
      <c r="X14" s="631">
        <f ca="1">'2.1 PnL'!X38-'2.1 PnL'!X40-'1.1 Control Panel'!X29*'2.1 PnL'!X22</f>
        <v>24035586.427620444</v>
      </c>
      <c r="Y14" s="631">
        <f ca="1">'2.1 PnL'!Y38-'2.1 PnL'!Y40-'1.1 Control Panel'!Y29*'2.1 PnL'!Y22</f>
        <v>25615421.492189366</v>
      </c>
      <c r="Z14" s="631">
        <f ca="1">'2.1 PnL'!Z38-'2.1 PnL'!Z40-'1.1 Control Panel'!Z29*'2.1 PnL'!Z22</f>
        <v>28347053.11750707</v>
      </c>
      <c r="AA14" s="631">
        <f ca="1">'2.1 PnL'!AA38-'2.1 PnL'!AA40-'1.1 Control Panel'!AA29*'2.1 PnL'!AA22</f>
        <v>30862667.408596467</v>
      </c>
      <c r="AB14" s="631">
        <f ca="1">'2.1 PnL'!AB38-'2.1 PnL'!AB40-'1.1 Control Panel'!AB29*'2.1 PnL'!AB22</f>
        <v>33082822.023035526</v>
      </c>
      <c r="AC14" s="631">
        <f ca="1">'2.1 PnL'!AC38-'2.1 PnL'!AC40-'1.1 Control Panel'!AC29*'2.1 PnL'!AC22</f>
        <v>36958081.747214392</v>
      </c>
      <c r="AD14" s="631">
        <f ca="1">'2.1 PnL'!AD38-'2.1 PnL'!AD40-'1.1 Control Panel'!AD29*'2.1 PnL'!AD22</f>
        <v>40729699.998392209</v>
      </c>
      <c r="AE14" s="631">
        <f ca="1">'2.1 PnL'!AE38-'2.1 PnL'!AE40-'1.1 Control Panel'!AE29*'2.1 PnL'!AE22</f>
        <v>43393901.815894663</v>
      </c>
      <c r="AF14" s="631">
        <f ca="1">'2.1 PnL'!AF38-'2.1 PnL'!AF40-'1.1 Control Panel'!AF29*'2.1 PnL'!AF22</f>
        <v>45644716.116312131</v>
      </c>
      <c r="AG14" s="631">
        <f ca="1">'2.1 PnL'!AG38-'2.1 PnL'!AG40-'1.1 Control Panel'!AG29*'2.1 PnL'!AG22</f>
        <v>47451097.871649832</v>
      </c>
      <c r="AH14" s="631">
        <f ca="1">'2.1 PnL'!AH38-'2.1 PnL'!AH40-'1.1 Control Panel'!AH29*'2.1 PnL'!AH22</f>
        <v>53156561.739628941</v>
      </c>
      <c r="AI14" s="631">
        <f ca="1">'2.1 PnL'!AI38-'2.1 PnL'!AI40-'1.1 Control Panel'!AI29*'2.1 PnL'!AI22</f>
        <v>59347930.08730334</v>
      </c>
      <c r="AJ14" s="631">
        <f ca="1">'2.1 PnL'!AJ38-'2.1 PnL'!AJ40-'1.1 Control Panel'!AJ29*'2.1 PnL'!AJ22</f>
        <v>64672651.02211722</v>
      </c>
      <c r="AK14" s="631">
        <f ca="1">'2.1 PnL'!AK38-'2.1 PnL'!AK40-'1.1 Control Panel'!AK29*'2.1 PnL'!AK22</f>
        <v>69516497.861113504</v>
      </c>
      <c r="AL14" s="631">
        <f ca="1">'2.1 PnL'!AL38-'2.1 PnL'!AL40-'1.1 Control Panel'!AL29*'2.1 PnL'!AL22</f>
        <v>77048944.875209466</v>
      </c>
      <c r="AM14" s="631">
        <f ca="1">'2.1 PnL'!AM38-'2.1 PnL'!AM40-'1.1 Control Panel'!AM29*'2.1 PnL'!AM22</f>
        <v>85050895.050925076</v>
      </c>
      <c r="AN14" s="631">
        <f ca="1">'2.1 PnL'!AN38-'2.1 PnL'!AN40-'1.1 Control Panel'!AN29*'2.1 PnL'!AN22</f>
        <v>91893088.865343302</v>
      </c>
      <c r="AP14" s="95"/>
    </row>
    <row r="15" spans="1:42" ht="11.5" customHeight="1" x14ac:dyDescent="0.25">
      <c r="C15" s="132" t="s">
        <v>56</v>
      </c>
      <c r="D15" s="158" t="s">
        <v>46</v>
      </c>
      <c r="E15" s="779">
        <f>'2.1 PnL'!E9</f>
        <v>868.25616929392163</v>
      </c>
      <c r="F15" s="360">
        <f ca="1">'2.1 PnL'!F9</f>
        <v>2019.7829518899266</v>
      </c>
      <c r="G15" s="360">
        <f ca="1">'2.1 PnL'!G9</f>
        <v>3113.8180197649262</v>
      </c>
      <c r="H15" s="360">
        <f ca="1">'2.1 PnL'!H9</f>
        <v>5261.317021546176</v>
      </c>
      <c r="I15" s="360">
        <f ca="1">'2.1 PnL'!I9</f>
        <v>7437.4809178482601</v>
      </c>
      <c r="J15" s="360">
        <f ca="1">'2.1 PnL'!J9</f>
        <v>9150.5587190878432</v>
      </c>
      <c r="K15" s="360">
        <f ca="1">'2.1 PnL'!K9</f>
        <v>10911.468491187845</v>
      </c>
      <c r="L15" s="360">
        <f ca="1">'2.1 PnL'!L9</f>
        <v>13228.415957584508</v>
      </c>
      <c r="M15" s="360">
        <f ca="1">'2.1 PnL'!M9</f>
        <v>15319.735195835825</v>
      </c>
      <c r="N15" s="360">
        <f ca="1">'2.1 PnL'!N9</f>
        <v>17165.277682224092</v>
      </c>
      <c r="O15" s="360">
        <f ca="1">'2.1 PnL'!O9</f>
        <v>19049.667315116334</v>
      </c>
      <c r="P15" s="360">
        <f ca="1">'2.1 PnL'!P9</f>
        <v>20489.140164151657</v>
      </c>
      <c r="Q15" s="360">
        <f ca="1">'2.1 PnL'!Q9</f>
        <v>22307.279961877211</v>
      </c>
      <c r="R15" s="360">
        <f ca="1">'2.1 PnL'!R9</f>
        <v>25926.154727087964</v>
      </c>
      <c r="S15" s="360">
        <f ca="1">'2.1 PnL'!S9</f>
        <v>29502.570030974905</v>
      </c>
      <c r="T15" s="360">
        <f ca="1">'2.1 PnL'!T9</f>
        <v>32112.346122364663</v>
      </c>
      <c r="U15" s="360">
        <f ca="1">'2.1 PnL'!U9</f>
        <v>35354.004742669611</v>
      </c>
      <c r="V15" s="360">
        <f ca="1">'2.1 PnL'!V9</f>
        <v>39159.544990179536</v>
      </c>
      <c r="W15" s="360">
        <f ca="1">'2.1 PnL'!W9</f>
        <v>42988.946540266013</v>
      </c>
      <c r="X15" s="360">
        <f ca="1">'2.1 PnL'!X9</f>
        <v>46919.94140269146</v>
      </c>
      <c r="Y15" s="360">
        <f ca="1">'2.1 PnL'!Y9</f>
        <v>51033.959866866702</v>
      </c>
      <c r="Z15" s="360">
        <f ca="1">'2.1 PnL'!Z9</f>
        <v>55685.97469383022</v>
      </c>
      <c r="AA15" s="360">
        <f ca="1">'2.1 PnL'!AA9</f>
        <v>60379.984798083751</v>
      </c>
      <c r="AB15" s="360">
        <f ca="1">'2.1 PnL'!AB9</f>
        <v>65184.863115879809</v>
      </c>
      <c r="AC15" s="360">
        <f ca="1">'2.1 PnL'!AC9</f>
        <v>70351.995103791342</v>
      </c>
      <c r="AD15" s="360">
        <f ca="1">'2.1 PnL'!AD9</f>
        <v>76854.381807477708</v>
      </c>
      <c r="AE15" s="360">
        <f ca="1">'2.1 PnL'!AE9</f>
        <v>83133.080335531282</v>
      </c>
      <c r="AF15" s="360">
        <f ca="1">'2.1 PnL'!AF9</f>
        <v>89643.265813096514</v>
      </c>
      <c r="AG15" s="360">
        <f ca="1">'2.1 PnL'!AG9</f>
        <v>97502.284414053051</v>
      </c>
      <c r="AH15" s="360">
        <f ca="1">'2.1 PnL'!AH9</f>
        <v>107345.14631868669</v>
      </c>
      <c r="AI15" s="360">
        <f ca="1">'2.1 PnL'!AI9</f>
        <v>117121.24743634644</v>
      </c>
      <c r="AJ15" s="360">
        <f ca="1">'2.1 PnL'!AJ9</f>
        <v>127159.49209219392</v>
      </c>
      <c r="AK15" s="360">
        <f ca="1">'2.1 PnL'!AK9</f>
        <v>138007.32524692614</v>
      </c>
      <c r="AL15" s="360">
        <f ca="1">'2.1 PnL'!AL9</f>
        <v>150280.91188878266</v>
      </c>
      <c r="AM15" s="360">
        <f ca="1">'2.1 PnL'!AM9</f>
        <v>162641.02327667354</v>
      </c>
      <c r="AN15" s="360">
        <f ca="1">'2.1 PnL'!AN9</f>
        <v>183689.11413219792</v>
      </c>
      <c r="AP15" s="38"/>
    </row>
    <row r="16" spans="1:42" ht="11.5" customHeight="1" x14ac:dyDescent="0.25">
      <c r="B16" s="99" t="s">
        <v>10</v>
      </c>
      <c r="C16" s="148" t="s">
        <v>57</v>
      </c>
      <c r="D16" s="160" t="s">
        <v>46</v>
      </c>
      <c r="E16" s="653">
        <f>E20-SUM(E17:E19)</f>
        <v>-26380.198070067403</v>
      </c>
      <c r="F16" s="653">
        <f t="shared" ref="F16:AN16" ca="1" si="16">F20-SUM(F17:F19)</f>
        <v>9404.3378374774056</v>
      </c>
      <c r="G16" s="653">
        <f t="shared" ca="1" si="16"/>
        <v>-3625.44768054</v>
      </c>
      <c r="H16" s="653">
        <f t="shared" ca="1" si="16"/>
        <v>-2796.0408233099997</v>
      </c>
      <c r="I16" s="653">
        <f t="shared" ca="1" si="16"/>
        <v>-12806.834562270004</v>
      </c>
      <c r="J16" s="653">
        <f t="shared" ca="1" si="16"/>
        <v>-18626.142173309996</v>
      </c>
      <c r="K16" s="653">
        <f t="shared" ca="1" si="16"/>
        <v>-7409.7562054320115</v>
      </c>
      <c r="L16" s="653">
        <f t="shared" ca="1" si="16"/>
        <v>10007.976768385806</v>
      </c>
      <c r="M16" s="653">
        <f t="shared" ca="1" si="16"/>
        <v>-17078.294287553344</v>
      </c>
      <c r="N16" s="653">
        <f t="shared" ca="1" si="16"/>
        <v>-8559.4465765883288</v>
      </c>
      <c r="O16" s="653">
        <f t="shared" ca="1" si="16"/>
        <v>-14372.180996098563</v>
      </c>
      <c r="P16" s="653">
        <f t="shared" ca="1" si="16"/>
        <v>-14797.993974719517</v>
      </c>
      <c r="Q16" s="653">
        <f t="shared" ca="1" si="16"/>
        <v>-49049.994390014734</v>
      </c>
      <c r="R16" s="653">
        <f t="shared" ca="1" si="16"/>
        <v>-2464.4095164985556</v>
      </c>
      <c r="S16" s="653">
        <f t="shared" ca="1" si="16"/>
        <v>-14841.967064439232</v>
      </c>
      <c r="T16" s="653">
        <f t="shared" ca="1" si="16"/>
        <v>32853.309424122759</v>
      </c>
      <c r="U16" s="653">
        <f t="shared" ca="1" si="16"/>
        <v>-39525.116521213859</v>
      </c>
      <c r="V16" s="653">
        <f t="shared" ca="1" si="16"/>
        <v>-2901.0573862408783</v>
      </c>
      <c r="W16" s="653">
        <f t="shared" ca="1" si="16"/>
        <v>-15983.579125902943</v>
      </c>
      <c r="X16" s="653">
        <f t="shared" ca="1" si="16"/>
        <v>-13294.800743684755</v>
      </c>
      <c r="Y16" s="653">
        <f t="shared" ca="1" si="16"/>
        <v>-21439.137091794444</v>
      </c>
      <c r="Z16" s="653">
        <f t="shared" ca="1" si="16"/>
        <v>-13527.110692886155</v>
      </c>
      <c r="AA16" s="653">
        <f t="shared" ca="1" si="16"/>
        <v>-16587.592259875382</v>
      </c>
      <c r="AB16" s="653">
        <f t="shared" ca="1" si="16"/>
        <v>-15363.739937371531</v>
      </c>
      <c r="AC16" s="653">
        <f t="shared" ca="1" si="16"/>
        <v>5612.9062429890182</v>
      </c>
      <c r="AD16" s="653">
        <f t="shared" ca="1" si="16"/>
        <v>6767.8611974253872</v>
      </c>
      <c r="AE16" s="653">
        <f t="shared" ca="1" si="16"/>
        <v>-12726.01258028546</v>
      </c>
      <c r="AF16" s="653">
        <f t="shared" ca="1" si="16"/>
        <v>-10747.562391454543</v>
      </c>
      <c r="AG16" s="653">
        <f t="shared" ca="1" si="16"/>
        <v>-66899.186616825464</v>
      </c>
      <c r="AH16" s="653">
        <f t="shared" ca="1" si="16"/>
        <v>-137.23745122170658</v>
      </c>
      <c r="AI16" s="653">
        <f t="shared" ca="1" si="16"/>
        <v>-29784.629883015994</v>
      </c>
      <c r="AJ16" s="653">
        <f t="shared" ca="1" si="16"/>
        <v>-25620.35062969412</v>
      </c>
      <c r="AK16" s="653">
        <f t="shared" ca="1" si="16"/>
        <v>-66231.493128194968</v>
      </c>
      <c r="AL16" s="653">
        <f t="shared" ca="1" si="16"/>
        <v>-14946.639088078518</v>
      </c>
      <c r="AM16" s="653">
        <f t="shared" ca="1" si="16"/>
        <v>-38566.277475373616</v>
      </c>
      <c r="AN16" s="653">
        <f t="shared" ca="1" si="16"/>
        <v>-33557.450940744893</v>
      </c>
      <c r="AP16" s="106"/>
    </row>
    <row r="17" spans="2:42" ht="11.5" customHeight="1" x14ac:dyDescent="0.25">
      <c r="C17" s="137" t="s">
        <v>58</v>
      </c>
      <c r="D17" s="157" t="s">
        <v>46</v>
      </c>
      <c r="E17" s="778">
        <f>'2.2 BS'!E13</f>
        <v>0</v>
      </c>
      <c r="F17" s="630">
        <f ca="1">'2.2 BS'!F13-'2.2 BS'!E13</f>
        <v>0</v>
      </c>
      <c r="G17" s="630">
        <f ca="1">'2.2 BS'!G13-'2.2 BS'!F13</f>
        <v>0</v>
      </c>
      <c r="H17" s="630">
        <f ca="1">'2.2 BS'!H13-'2.2 BS'!G13</f>
        <v>0</v>
      </c>
      <c r="I17" s="630">
        <f ca="1">'2.2 BS'!I13-'2.2 BS'!H13</f>
        <v>0</v>
      </c>
      <c r="J17" s="630">
        <f ca="1">'2.2 BS'!J13-'2.2 BS'!I13</f>
        <v>0</v>
      </c>
      <c r="K17" s="630">
        <f ca="1">'2.2 BS'!K13-'2.2 BS'!J13</f>
        <v>0</v>
      </c>
      <c r="L17" s="630">
        <f ca="1">'2.2 BS'!L13-'2.2 BS'!K13</f>
        <v>0</v>
      </c>
      <c r="M17" s="630">
        <f ca="1">'2.2 BS'!M13-'2.2 BS'!L13</f>
        <v>0</v>
      </c>
      <c r="N17" s="630">
        <f ca="1">'2.2 BS'!N13-'2.2 BS'!M13</f>
        <v>0</v>
      </c>
      <c r="O17" s="630">
        <f ca="1">'2.2 BS'!O13-'2.2 BS'!N13</f>
        <v>0</v>
      </c>
      <c r="P17" s="630">
        <f ca="1">'2.2 BS'!P13-'2.2 BS'!O13</f>
        <v>0</v>
      </c>
      <c r="Q17" s="630">
        <f ca="1">'2.2 BS'!Q13-'2.2 BS'!P13</f>
        <v>0</v>
      </c>
      <c r="R17" s="630">
        <f ca="1">'2.2 BS'!R13-'2.2 BS'!Q13</f>
        <v>0</v>
      </c>
      <c r="S17" s="630">
        <f ca="1">'2.2 BS'!S13-'2.2 BS'!R13</f>
        <v>0</v>
      </c>
      <c r="T17" s="630">
        <f ca="1">'2.2 BS'!T13-'2.2 BS'!S13</f>
        <v>0</v>
      </c>
      <c r="U17" s="630">
        <f ca="1">'2.2 BS'!U13-'2.2 BS'!T13</f>
        <v>0</v>
      </c>
      <c r="V17" s="630">
        <f ca="1">'2.2 BS'!V13-'2.2 BS'!U13</f>
        <v>0</v>
      </c>
      <c r="W17" s="630">
        <f ca="1">'2.2 BS'!W13-'2.2 BS'!V13</f>
        <v>0</v>
      </c>
      <c r="X17" s="630">
        <f ca="1">'2.2 BS'!X13-'2.2 BS'!W13</f>
        <v>0</v>
      </c>
      <c r="Y17" s="630">
        <f ca="1">'2.2 BS'!Y13-'2.2 BS'!X13</f>
        <v>0</v>
      </c>
      <c r="Z17" s="630">
        <f ca="1">'2.2 BS'!Z13-'2.2 BS'!Y13</f>
        <v>0</v>
      </c>
      <c r="AA17" s="630">
        <f ca="1">'2.2 BS'!AA13-'2.2 BS'!Z13</f>
        <v>0</v>
      </c>
      <c r="AB17" s="630">
        <f ca="1">'2.2 BS'!AB13-'2.2 BS'!AA13</f>
        <v>0</v>
      </c>
      <c r="AC17" s="630">
        <f ca="1">'2.2 BS'!AC13-'2.2 BS'!AB13</f>
        <v>0</v>
      </c>
      <c r="AD17" s="630">
        <f ca="1">'2.2 BS'!AD13-'2.2 BS'!AC13</f>
        <v>0</v>
      </c>
      <c r="AE17" s="630">
        <f ca="1">'2.2 BS'!AE13-'2.2 BS'!AD13</f>
        <v>0</v>
      </c>
      <c r="AF17" s="630">
        <f ca="1">'2.2 BS'!AF13-'2.2 BS'!AE13</f>
        <v>0</v>
      </c>
      <c r="AG17" s="630">
        <f ca="1">'2.2 BS'!AG13-'2.2 BS'!AF13</f>
        <v>0</v>
      </c>
      <c r="AH17" s="630">
        <f ca="1">'2.2 BS'!AH13-'2.2 BS'!AG13</f>
        <v>0</v>
      </c>
      <c r="AI17" s="630">
        <f ca="1">'2.2 BS'!AI13-'2.2 BS'!AH13</f>
        <v>0</v>
      </c>
      <c r="AJ17" s="630">
        <f ca="1">'2.2 BS'!AJ13-'2.2 BS'!AI13</f>
        <v>0</v>
      </c>
      <c r="AK17" s="630">
        <f ca="1">'2.2 BS'!AK13-'2.2 BS'!AJ13</f>
        <v>0</v>
      </c>
      <c r="AL17" s="630">
        <f ca="1">'2.2 BS'!AL13-'2.2 BS'!AK13</f>
        <v>0</v>
      </c>
      <c r="AM17" s="630">
        <f ca="1">'2.2 BS'!AM13-'2.2 BS'!AL13</f>
        <v>0</v>
      </c>
      <c r="AN17" s="630">
        <f ca="1">'2.2 BS'!AN13-'2.2 BS'!AM13</f>
        <v>0</v>
      </c>
      <c r="AP17" s="34"/>
    </row>
    <row r="18" spans="2:42" ht="11.5" customHeight="1" x14ac:dyDescent="0.25">
      <c r="C18" s="137" t="s">
        <v>59</v>
      </c>
      <c r="D18" s="157" t="s">
        <v>46</v>
      </c>
      <c r="E18" s="780">
        <f>'2.2 BS'!E14</f>
        <v>31032.790322283876</v>
      </c>
      <c r="F18" s="359">
        <f ca="1">'2.2 BS'!F14-'2.2 BS'!E14</f>
        <v>-11062.951212693879</v>
      </c>
      <c r="G18" s="359">
        <f ca="1">'2.2 BS'!G14-'2.2 BS'!F14</f>
        <v>4264.85644254</v>
      </c>
      <c r="H18" s="359">
        <f ca="1">'2.2 BS'!H14-'2.2 BS'!G14</f>
        <v>3289.1697163099998</v>
      </c>
      <c r="I18" s="359">
        <f ca="1">'2.2 BS'!I14-'2.2 BS'!H14</f>
        <v>15065.535543270005</v>
      </c>
      <c r="J18" s="359">
        <f ca="1">'2.2 BS'!J14-'2.2 BS'!I14</f>
        <v>21911.176066309992</v>
      </c>
      <c r="K18" s="359">
        <f ca="1">'2.2 BS'!K14-'2.2 BS'!J14</f>
        <v>8716.5915150320143</v>
      </c>
      <c r="L18" s="359">
        <f ca="1">'2.2 BS'!L14-'2.2 BS'!K14</f>
        <v>-7935.1934255058077</v>
      </c>
      <c r="M18" s="359">
        <f ca="1">'2.2 BS'!M14-'2.2 BS'!L14</f>
        <v>21345.201042719702</v>
      </c>
      <c r="N18" s="359">
        <f ca="1">'2.2 BS'!N14-'2.2 BS'!M14</f>
        <v>10697.971642569173</v>
      </c>
      <c r="O18" s="359">
        <f ca="1">'2.2 BS'!O14-'2.2 BS'!N14</f>
        <v>17962.981994499205</v>
      </c>
      <c r="P18" s="359">
        <f ca="1">'2.2 BS'!P14-'2.2 BS'!O14</f>
        <v>18495.181726054812</v>
      </c>
      <c r="Q18" s="359">
        <f ca="1">'2.2 BS'!Q14-'2.2 BS'!P14</f>
        <v>61304.833712941589</v>
      </c>
      <c r="R18" s="359">
        <f ca="1">'2.2 BS'!R14-'2.2 BS'!Q14</f>
        <v>3080.1270721509063</v>
      </c>
      <c r="S18" s="359">
        <f ca="1">'2.2 BS'!S14-'2.2 BS'!R14</f>
        <v>18550.14122170076</v>
      </c>
      <c r="T18" s="359">
        <f ca="1">'2.2 BS'!T14-'2.2 BS'!S14</f>
        <v>-29358.847981113533</v>
      </c>
      <c r="U18" s="359">
        <f ca="1">'2.2 BS'!U14-'2.2 BS'!T14</f>
        <v>52691.377854063263</v>
      </c>
      <c r="V18" s="359">
        <f ca="1">'2.2 BS'!V14-'2.2 BS'!U14</f>
        <v>3867.4322650686081</v>
      </c>
      <c r="W18" s="359">
        <f ca="1">'2.2 BS'!W14-'2.2 BS'!V14</f>
        <v>21307.889294424909</v>
      </c>
      <c r="X18" s="359">
        <f ca="1">'2.2 BS'!X14-'2.2 BS'!W14</f>
        <v>17723.448559702316</v>
      </c>
      <c r="Y18" s="359">
        <f ca="1">'2.2 BS'!Y14-'2.2 BS'!X14</f>
        <v>28580.755043757963</v>
      </c>
      <c r="Z18" s="359">
        <f ca="1">'2.2 BS'!Z14-'2.2 BS'!Y14</f>
        <v>18033.143568597734</v>
      </c>
      <c r="AA18" s="359">
        <f ca="1">'2.2 BS'!AA14-'2.2 BS'!Z14</f>
        <v>22113.106004004425</v>
      </c>
      <c r="AB18" s="359">
        <f ca="1">'2.2 BS'!AB14-'2.2 BS'!AA14</f>
        <v>20481.574693324743</v>
      </c>
      <c r="AC18" s="359">
        <f ca="1">'2.2 BS'!AC14-'2.2 BS'!AB14</f>
        <v>25645.611332144297</v>
      </c>
      <c r="AD18" s="359">
        <f ca="1">'2.2 BS'!AD14-'2.2 BS'!AC14</f>
        <v>-9841.9260581745766</v>
      </c>
      <c r="AE18" s="359">
        <f ca="1">'2.2 BS'!AE14-'2.2 BS'!AD14</f>
        <v>18506.359864208731</v>
      </c>
      <c r="AF18" s="359">
        <f ca="1">'2.2 BS'!AF14-'2.2 BS'!AE14</f>
        <v>15629.267692805617</v>
      </c>
      <c r="AG18" s="359">
        <f ca="1">'2.2 BS'!AG14-'2.2 BS'!AF14</f>
        <v>97285.808444962022</v>
      </c>
      <c r="AH18" s="359">
        <f ca="1">'2.2 BS'!AH14-'2.2 BS'!AG14</f>
        <v>199.57277608622098</v>
      </c>
      <c r="AI18" s="359">
        <f ca="1">'2.2 BS'!AI14-'2.2 BS'!AH14</f>
        <v>43313.259008659166</v>
      </c>
      <c r="AJ18" s="359">
        <f ca="1">'2.2 BS'!AJ14-'2.2 BS'!AI14</f>
        <v>37257.501170071191</v>
      </c>
      <c r="AK18" s="359">
        <f ca="1">'2.2 BS'!AK14-'2.2 BS'!AJ14</f>
        <v>96314.838480754406</v>
      </c>
      <c r="AL18" s="359">
        <f ca="1">'2.2 BS'!AL14-'2.2 BS'!AK14</f>
        <v>21735.628499451443</v>
      </c>
      <c r="AM18" s="359">
        <f ca="1">'2.2 BS'!AM14-'2.2 BS'!AL14</f>
        <v>56083.663683301304</v>
      </c>
      <c r="AN18" s="359">
        <f ca="1">'2.2 BS'!AN14-'2.2 BS'!AM14</f>
        <v>48799.752421824494</v>
      </c>
      <c r="AP18" s="34"/>
    </row>
    <row r="19" spans="2:42" ht="11.5" customHeight="1" x14ac:dyDescent="0.25">
      <c r="C19" s="132" t="s">
        <v>60</v>
      </c>
      <c r="D19" s="158" t="s">
        <v>46</v>
      </c>
      <c r="E19" s="781">
        <f>'2.2 BS'!E15</f>
        <v>4652.5922522164738</v>
      </c>
      <c r="F19" s="628">
        <f ca="1">'2.2 BS'!F15-'2.2 BS'!E15</f>
        <v>-1658.6133752164742</v>
      </c>
      <c r="G19" s="628">
        <f ca="1">'2.2 BS'!G15-'2.2 BS'!F15</f>
        <v>639.40876200000002</v>
      </c>
      <c r="H19" s="628">
        <f ca="1">'2.2 BS'!H15-'2.2 BS'!G15</f>
        <v>493.12889300000006</v>
      </c>
      <c r="I19" s="628">
        <f ca="1">'2.2 BS'!I15-'2.2 BS'!H15</f>
        <v>2258.7009810000018</v>
      </c>
      <c r="J19" s="628">
        <f ca="1">'2.2 BS'!J15-'2.2 BS'!I15</f>
        <v>3285.033892999998</v>
      </c>
      <c r="K19" s="628">
        <f ca="1">'2.2 BS'!K15-'2.2 BS'!J15</f>
        <v>1306.8353096000028</v>
      </c>
      <c r="L19" s="628">
        <f ca="1">'2.2 BS'!L15-'2.2 BS'!K15</f>
        <v>2072.7833428799986</v>
      </c>
      <c r="M19" s="628">
        <f ca="1">'2.2 BS'!M15-'2.2 BS'!L15</f>
        <v>4266.9067551663557</v>
      </c>
      <c r="N19" s="628">
        <f ca="1">'2.2 BS'!N15-'2.2 BS'!M15</f>
        <v>2138.5250659808444</v>
      </c>
      <c r="O19" s="628">
        <f ca="1">'2.2 BS'!O15-'2.2 BS'!N15</f>
        <v>3590.8009984006421</v>
      </c>
      <c r="P19" s="628">
        <f ca="1">'2.2 BS'!P15-'2.2 BS'!O15</f>
        <v>3697.1877513352956</v>
      </c>
      <c r="Q19" s="628">
        <f ca="1">'2.2 BS'!Q15-'2.2 BS'!P15</f>
        <v>12254.839322926855</v>
      </c>
      <c r="R19" s="628">
        <f ca="1">'2.2 BS'!R15-'2.2 BS'!Q15</f>
        <v>615.71755565235071</v>
      </c>
      <c r="S19" s="628">
        <f ca="1">'2.2 BS'!S15-'2.2 BS'!R15</f>
        <v>3708.1741572615283</v>
      </c>
      <c r="T19" s="628">
        <f ca="1">'2.2 BS'!T15-'2.2 BS'!S15</f>
        <v>3494.4614430092261</v>
      </c>
      <c r="U19" s="628">
        <f ca="1">'2.2 BS'!U15-'2.2 BS'!T15</f>
        <v>13166.261332849397</v>
      </c>
      <c r="V19" s="628">
        <f ca="1">'2.2 BS'!V15-'2.2 BS'!U15</f>
        <v>966.37487882772984</v>
      </c>
      <c r="W19" s="628">
        <f ca="1">'2.2 BS'!W15-'2.2 BS'!V15</f>
        <v>5324.3101685219663</v>
      </c>
      <c r="X19" s="628">
        <f ca="1">'2.2 BS'!X15-'2.2 BS'!W15</f>
        <v>4428.6478160175611</v>
      </c>
      <c r="Y19" s="628">
        <f ca="1">'2.2 BS'!Y15-'2.2 BS'!X15</f>
        <v>7141.6179519635189</v>
      </c>
      <c r="Z19" s="628">
        <f ca="1">'2.2 BS'!Z15-'2.2 BS'!Y15</f>
        <v>4506.0328757115785</v>
      </c>
      <c r="AA19" s="628">
        <f ca="1">'2.2 BS'!AA15-'2.2 BS'!Z15</f>
        <v>5525.5137441290426</v>
      </c>
      <c r="AB19" s="628">
        <f ca="1">'2.2 BS'!AB15-'2.2 BS'!AA15</f>
        <v>5117.8347559532122</v>
      </c>
      <c r="AC19" s="628">
        <f ca="1">'2.2 BS'!AC15-'2.2 BS'!AB15</f>
        <v>31258.517575133315</v>
      </c>
      <c r="AD19" s="628">
        <f ca="1">'2.2 BS'!AD15-'2.2 BS'!AC15</f>
        <v>-3074.0648607491894</v>
      </c>
      <c r="AE19" s="628">
        <f ca="1">'2.2 BS'!AE15-'2.2 BS'!AD15</f>
        <v>5780.3472839232709</v>
      </c>
      <c r="AF19" s="628">
        <f ca="1">'2.2 BS'!AF15-'2.2 BS'!AE15</f>
        <v>4881.705301351074</v>
      </c>
      <c r="AG19" s="628">
        <f ca="1">'2.2 BS'!AG15-'2.2 BS'!AF15</f>
        <v>30386.621828136558</v>
      </c>
      <c r="AH19" s="628">
        <f ca="1">'2.2 BS'!AH15-'2.2 BS'!AG15</f>
        <v>62.335324864514405</v>
      </c>
      <c r="AI19" s="628">
        <f ca="1">'2.2 BS'!AI15-'2.2 BS'!AH15</f>
        <v>13528.629125643172</v>
      </c>
      <c r="AJ19" s="628">
        <f ca="1">'2.2 BS'!AJ15-'2.2 BS'!AI15</f>
        <v>11637.150540377072</v>
      </c>
      <c r="AK19" s="628">
        <f ca="1">'2.2 BS'!AK15-'2.2 BS'!AJ15</f>
        <v>30083.345352559438</v>
      </c>
      <c r="AL19" s="628">
        <f ca="1">'2.2 BS'!AL15-'2.2 BS'!AK15</f>
        <v>6788.9894113729242</v>
      </c>
      <c r="AM19" s="628">
        <f ca="1">'2.2 BS'!AM15-'2.2 BS'!AL15</f>
        <v>17517.386207927688</v>
      </c>
      <c r="AN19" s="628">
        <f ca="1">'2.2 BS'!AN15-'2.2 BS'!AM15</f>
        <v>15242.301481079601</v>
      </c>
      <c r="AP19" s="38"/>
    </row>
    <row r="20" spans="2:42" ht="11.5" customHeight="1" x14ac:dyDescent="0.25">
      <c r="C20" s="133" t="s">
        <v>61</v>
      </c>
      <c r="D20" s="159" t="s">
        <v>46</v>
      </c>
      <c r="E20" s="767">
        <f>'2.2 BS'!E22+'2.2 BS'!E23</f>
        <v>9305.1845044329475</v>
      </c>
      <c r="F20" s="639">
        <f ca="1">'2.2 BS'!F23-'2.2 BS'!E23+'2.2 BS'!F22-'2.2 BS'!E22</f>
        <v>-3317.2267504329484</v>
      </c>
      <c r="G20" s="639">
        <f ca="1">'2.2 BS'!G23-'2.2 BS'!F23+'2.2 BS'!G22-'2.2 BS'!F22</f>
        <v>1278.817524</v>
      </c>
      <c r="H20" s="639">
        <f ca="1">'2.2 BS'!H23-'2.2 BS'!G23+'2.2 BS'!H22-'2.2 BS'!G22</f>
        <v>986.25778600000012</v>
      </c>
      <c r="I20" s="639">
        <f ca="1">'2.2 BS'!I23-'2.2 BS'!H23+'2.2 BS'!I22-'2.2 BS'!H22</f>
        <v>4517.4019620000036</v>
      </c>
      <c r="J20" s="639">
        <f ca="1">'2.2 BS'!J23-'2.2 BS'!I23+'2.2 BS'!J22-'2.2 BS'!I22</f>
        <v>6570.067785999996</v>
      </c>
      <c r="K20" s="639">
        <f ca="1">'2.2 BS'!K23-'2.2 BS'!J23+'2.2 BS'!K22-'2.2 BS'!J22</f>
        <v>2613.6706192000056</v>
      </c>
      <c r="L20" s="639">
        <f ca="1">'2.2 BS'!L23-'2.2 BS'!K23+'2.2 BS'!L22-'2.2 BS'!K22</f>
        <v>4145.5666857599972</v>
      </c>
      <c r="M20" s="639">
        <f ca="1">'2.2 BS'!M23-'2.2 BS'!L23+'2.2 BS'!M22-'2.2 BS'!L22</f>
        <v>8533.8135103327113</v>
      </c>
      <c r="N20" s="639">
        <f ca="1">'2.2 BS'!N23-'2.2 BS'!M23+'2.2 BS'!N22-'2.2 BS'!M22</f>
        <v>4277.0501319616887</v>
      </c>
      <c r="O20" s="639">
        <f ca="1">'2.2 BS'!O23-'2.2 BS'!N23+'2.2 BS'!O22-'2.2 BS'!N22</f>
        <v>7181.6019968012843</v>
      </c>
      <c r="P20" s="639">
        <f ca="1">'2.2 BS'!P23-'2.2 BS'!O23+'2.2 BS'!P22-'2.2 BS'!O22</f>
        <v>7394.3755026705912</v>
      </c>
      <c r="Q20" s="639">
        <f ca="1">'2.2 BS'!Q23-'2.2 BS'!P23+'2.2 BS'!Q22-'2.2 BS'!P22</f>
        <v>24509.67864585371</v>
      </c>
      <c r="R20" s="639">
        <f ca="1">'2.2 BS'!R23-'2.2 BS'!Q23+'2.2 BS'!R22-'2.2 BS'!Q22</f>
        <v>1231.4351113047014</v>
      </c>
      <c r="S20" s="639">
        <f ca="1">'2.2 BS'!S23-'2.2 BS'!R23+'2.2 BS'!S22-'2.2 BS'!R22</f>
        <v>7416.3483145230566</v>
      </c>
      <c r="T20" s="639">
        <f ca="1">'2.2 BS'!T23-'2.2 BS'!S23+'2.2 BS'!T22-'2.2 BS'!S22</f>
        <v>6988.9228860184521</v>
      </c>
      <c r="U20" s="639">
        <f ca="1">'2.2 BS'!U23-'2.2 BS'!T23+'2.2 BS'!U22-'2.2 BS'!T22</f>
        <v>26332.522665698794</v>
      </c>
      <c r="V20" s="639">
        <f ca="1">'2.2 BS'!V23-'2.2 BS'!U23+'2.2 BS'!V22-'2.2 BS'!U22</f>
        <v>1932.7497576554597</v>
      </c>
      <c r="W20" s="639">
        <f ca="1">'2.2 BS'!W23-'2.2 BS'!V23+'2.2 BS'!W22-'2.2 BS'!V22</f>
        <v>10648.620337043933</v>
      </c>
      <c r="X20" s="639">
        <f ca="1">'2.2 BS'!X23-'2.2 BS'!W23+'2.2 BS'!X22-'2.2 BS'!W22</f>
        <v>8857.2956320351223</v>
      </c>
      <c r="Y20" s="639">
        <f ca="1">'2.2 BS'!Y23-'2.2 BS'!X23+'2.2 BS'!Y22-'2.2 BS'!X22</f>
        <v>14283.235903927038</v>
      </c>
      <c r="Z20" s="639">
        <f ca="1">'2.2 BS'!Z23-'2.2 BS'!Y23+'2.2 BS'!Z22-'2.2 BS'!Y22</f>
        <v>9012.0657514231571</v>
      </c>
      <c r="AA20" s="639">
        <f ca="1">'2.2 BS'!AA23-'2.2 BS'!Z23+'2.2 BS'!AA22-'2.2 BS'!Z22</f>
        <v>11051.027488258085</v>
      </c>
      <c r="AB20" s="639">
        <f ca="1">'2.2 BS'!AB23-'2.2 BS'!AA23+'2.2 BS'!AB22-'2.2 BS'!AA22</f>
        <v>10235.669511906424</v>
      </c>
      <c r="AC20" s="639">
        <f ca="1">'2.2 BS'!AC23-'2.2 BS'!AB23+'2.2 BS'!AC22-'2.2 BS'!AB22</f>
        <v>62517.035150266631</v>
      </c>
      <c r="AD20" s="639">
        <f ca="1">'2.2 BS'!AD23-'2.2 BS'!AC23+'2.2 BS'!AD22-'2.2 BS'!AC22</f>
        <v>-6148.1297214983788</v>
      </c>
      <c r="AE20" s="639">
        <f ca="1">'2.2 BS'!AE23-'2.2 BS'!AD23+'2.2 BS'!AE22-'2.2 BS'!AD22</f>
        <v>11560.694567846542</v>
      </c>
      <c r="AF20" s="639">
        <f ca="1">'2.2 BS'!AF23-'2.2 BS'!AE23+'2.2 BS'!AF22-'2.2 BS'!AE22</f>
        <v>9763.410602702148</v>
      </c>
      <c r="AG20" s="639">
        <f ca="1">'2.2 BS'!AG23-'2.2 BS'!AF23+'2.2 BS'!AG22-'2.2 BS'!AF22</f>
        <v>60773.243656273116</v>
      </c>
      <c r="AH20" s="639">
        <f ca="1">'2.2 BS'!AH23-'2.2 BS'!AG23+'2.2 BS'!AH22-'2.2 BS'!AG22</f>
        <v>124.67064972902881</v>
      </c>
      <c r="AI20" s="639">
        <f ca="1">'2.2 BS'!AI23-'2.2 BS'!AH23+'2.2 BS'!AI22-'2.2 BS'!AH22</f>
        <v>27057.258251286345</v>
      </c>
      <c r="AJ20" s="639">
        <f ca="1">'2.2 BS'!AJ23-'2.2 BS'!AI23+'2.2 BS'!AJ22-'2.2 BS'!AI22</f>
        <v>23274.301080754143</v>
      </c>
      <c r="AK20" s="639">
        <f ca="1">'2.2 BS'!AK23-'2.2 BS'!AJ23+'2.2 BS'!AK22-'2.2 BS'!AJ22</f>
        <v>60166.690705118875</v>
      </c>
      <c r="AL20" s="639">
        <f ca="1">'2.2 BS'!AL23-'2.2 BS'!AK23+'2.2 BS'!AL22-'2.2 BS'!AK22</f>
        <v>13577.978822745848</v>
      </c>
      <c r="AM20" s="639">
        <f ca="1">'2.2 BS'!AM23-'2.2 BS'!AL23+'2.2 BS'!AM22-'2.2 BS'!AL22</f>
        <v>35034.772415855376</v>
      </c>
      <c r="AN20" s="639">
        <f ca="1">'2.2 BS'!AN23-'2.2 BS'!AM23+'2.2 BS'!AN22-'2.2 BS'!AM22</f>
        <v>30484.602962159202</v>
      </c>
      <c r="AP20" s="96"/>
    </row>
    <row r="21" spans="2:42" s="74" customFormat="1" ht="11.5" customHeight="1" x14ac:dyDescent="0.25">
      <c r="B21" s="99" t="s">
        <v>10</v>
      </c>
      <c r="C21" s="164" t="s">
        <v>52</v>
      </c>
      <c r="D21" s="165" t="s">
        <v>46</v>
      </c>
      <c r="E21" s="642">
        <f t="shared" ref="E21:AN21" si="17">E22+E24</f>
        <v>-302762.96126108238</v>
      </c>
      <c r="F21" s="642">
        <f t="shared" ca="1" si="17"/>
        <v>-21969.894385</v>
      </c>
      <c r="G21" s="642">
        <f t="shared" ca="1" si="17"/>
        <v>-275166.938195</v>
      </c>
      <c r="H21" s="642">
        <f t="shared" ca="1" si="17"/>
        <v>-527632.58265999996</v>
      </c>
      <c r="I21" s="642">
        <f t="shared" ca="1" si="17"/>
        <v>-288926.08756499999</v>
      </c>
      <c r="J21" s="642">
        <f t="shared" ca="1" si="17"/>
        <v>-305351.25702999998</v>
      </c>
      <c r="K21" s="642">
        <f t="shared" ca="1" si="17"/>
        <v>-311885.433578</v>
      </c>
      <c r="L21" s="642">
        <f t="shared" ca="1" si="17"/>
        <v>-572249.35029239999</v>
      </c>
      <c r="M21" s="642">
        <f t="shared" ca="1" si="17"/>
        <v>-108583.8840682318</v>
      </c>
      <c r="N21" s="642">
        <f t="shared" ca="1" si="17"/>
        <v>-359276.509398136</v>
      </c>
      <c r="O21" s="642">
        <f t="shared" ca="1" si="17"/>
        <v>-127230.51439013921</v>
      </c>
      <c r="P21" s="642">
        <f t="shared" ca="1" si="17"/>
        <v>-145716.45314681571</v>
      </c>
      <c r="Q21" s="642">
        <f t="shared" ca="1" si="17"/>
        <v>-263990.64976145001</v>
      </c>
      <c r="R21" s="642">
        <f t="shared" ca="1" si="17"/>
        <v>-725069.23753971176</v>
      </c>
      <c r="S21" s="642">
        <f t="shared" ca="1" si="17"/>
        <v>-243610.10832601937</v>
      </c>
      <c r="T21" s="642">
        <f t="shared" ca="1" si="17"/>
        <v>-261082.41554106551</v>
      </c>
      <c r="U21" s="642">
        <f t="shared" ca="1" si="17"/>
        <v>-356913.72220531246</v>
      </c>
      <c r="V21" s="642">
        <f t="shared" ca="1" si="17"/>
        <v>-341745.59659945115</v>
      </c>
      <c r="W21" s="642">
        <f t="shared" ca="1" si="17"/>
        <v>-368367.14744206099</v>
      </c>
      <c r="X21" s="642">
        <f t="shared" ca="1" si="17"/>
        <v>-390510.38652214879</v>
      </c>
      <c r="Y21" s="642">
        <f t="shared" ca="1" si="17"/>
        <v>-466218.47628196637</v>
      </c>
      <c r="Z21" s="642">
        <f t="shared" ca="1" si="17"/>
        <v>-458748.64066052431</v>
      </c>
      <c r="AA21" s="642">
        <f t="shared" ca="1" si="17"/>
        <v>-486376.20938116946</v>
      </c>
      <c r="AB21" s="642">
        <f t="shared" ca="1" si="17"/>
        <v>-511965.38316093554</v>
      </c>
      <c r="AC21" s="642">
        <f t="shared" ca="1" si="17"/>
        <v>-785257.97103660216</v>
      </c>
      <c r="AD21" s="642">
        <f t="shared" ca="1" si="17"/>
        <v>-677887.64673285617</v>
      </c>
      <c r="AE21" s="642">
        <f t="shared" ca="1" si="17"/>
        <v>-706789.38315247255</v>
      </c>
      <c r="AF21" s="642">
        <f t="shared" ca="1" si="17"/>
        <v>-731197.90965922794</v>
      </c>
      <c r="AG21" s="642">
        <f t="shared" ca="1" si="17"/>
        <v>-1023131.0187999108</v>
      </c>
      <c r="AH21" s="642">
        <f t="shared" ca="1" si="17"/>
        <v>-923442.69542423333</v>
      </c>
      <c r="AI21" s="642">
        <f t="shared" ca="1" si="17"/>
        <v>-991085.84105244919</v>
      </c>
      <c r="AJ21" s="642">
        <f t="shared" ca="1" si="17"/>
        <v>-1049271.5937543344</v>
      </c>
      <c r="AK21" s="642">
        <f t="shared" ca="1" si="17"/>
        <v>-1304688.3205171318</v>
      </c>
      <c r="AL21" s="642">
        <f t="shared" ca="1" si="17"/>
        <v>-1258633.2675739962</v>
      </c>
      <c r="AM21" s="642">
        <f t="shared" ca="1" si="17"/>
        <v>-1346220.1986136348</v>
      </c>
      <c r="AN21" s="642">
        <f t="shared" ca="1" si="17"/>
        <v>-1422431.7060190327</v>
      </c>
      <c r="AP21" s="97"/>
    </row>
    <row r="22" spans="2:42" ht="11.5" customHeight="1" x14ac:dyDescent="0.25">
      <c r="B22" s="169" t="s">
        <v>10</v>
      </c>
      <c r="C22" s="170" t="s">
        <v>62</v>
      </c>
      <c r="D22" s="171" t="s">
        <v>46</v>
      </c>
      <c r="E22" s="643">
        <f>E23</f>
        <v>-302762.96126108238</v>
      </c>
      <c r="F22" s="643">
        <f t="shared" ref="F22:AN22" ca="1" si="18">F23</f>
        <v>-21969.894385</v>
      </c>
      <c r="G22" s="643">
        <f t="shared" ca="1" si="18"/>
        <v>-275166.938195</v>
      </c>
      <c r="H22" s="643">
        <f t="shared" ca="1" si="18"/>
        <v>-527632.58265999996</v>
      </c>
      <c r="I22" s="643">
        <f t="shared" ca="1" si="18"/>
        <v>-288926.08756499999</v>
      </c>
      <c r="J22" s="643">
        <f t="shared" ca="1" si="18"/>
        <v>-305351.25702999998</v>
      </c>
      <c r="K22" s="643">
        <f t="shared" ca="1" si="18"/>
        <v>-311885.433578</v>
      </c>
      <c r="L22" s="643">
        <f t="shared" ca="1" si="18"/>
        <v>-572249.35029239999</v>
      </c>
      <c r="M22" s="643">
        <f t="shared" ca="1" si="18"/>
        <v>-108583.8840682318</v>
      </c>
      <c r="N22" s="643">
        <f t="shared" ca="1" si="18"/>
        <v>-359276.509398136</v>
      </c>
      <c r="O22" s="643">
        <f t="shared" ca="1" si="18"/>
        <v>-127230.51439013921</v>
      </c>
      <c r="P22" s="643">
        <f t="shared" ca="1" si="18"/>
        <v>-145716.45314681571</v>
      </c>
      <c r="Q22" s="643">
        <f t="shared" ca="1" si="18"/>
        <v>-263990.64976145001</v>
      </c>
      <c r="R22" s="643">
        <f t="shared" ca="1" si="18"/>
        <v>-725069.23753971176</v>
      </c>
      <c r="S22" s="643">
        <f t="shared" ca="1" si="18"/>
        <v>-243610.10832601937</v>
      </c>
      <c r="T22" s="643">
        <f t="shared" ca="1" si="18"/>
        <v>-261082.41554106551</v>
      </c>
      <c r="U22" s="643">
        <f t="shared" ca="1" si="18"/>
        <v>-356913.72220531246</v>
      </c>
      <c r="V22" s="643">
        <f t="shared" ca="1" si="18"/>
        <v>-341745.59659945115</v>
      </c>
      <c r="W22" s="643">
        <f t="shared" ca="1" si="18"/>
        <v>-368367.14744206099</v>
      </c>
      <c r="X22" s="643">
        <f t="shared" ca="1" si="18"/>
        <v>-390510.38652214879</v>
      </c>
      <c r="Y22" s="643">
        <f t="shared" ca="1" si="18"/>
        <v>-466218.47628196637</v>
      </c>
      <c r="Z22" s="643">
        <f t="shared" ca="1" si="18"/>
        <v>-458748.64066052431</v>
      </c>
      <c r="AA22" s="643">
        <f t="shared" ca="1" si="18"/>
        <v>-486376.20938116946</v>
      </c>
      <c r="AB22" s="643">
        <f t="shared" ca="1" si="18"/>
        <v>-511965.38316093554</v>
      </c>
      <c r="AC22" s="643">
        <f t="shared" ca="1" si="18"/>
        <v>-785257.97103660216</v>
      </c>
      <c r="AD22" s="643">
        <f t="shared" ca="1" si="18"/>
        <v>-677887.64673285617</v>
      </c>
      <c r="AE22" s="643">
        <f t="shared" ca="1" si="18"/>
        <v>-706789.38315247255</v>
      </c>
      <c r="AF22" s="643">
        <f t="shared" ca="1" si="18"/>
        <v>-731197.90965922794</v>
      </c>
      <c r="AG22" s="643">
        <f t="shared" ca="1" si="18"/>
        <v>-1023131.0187999108</v>
      </c>
      <c r="AH22" s="643">
        <f t="shared" ca="1" si="18"/>
        <v>-923442.69542423333</v>
      </c>
      <c r="AI22" s="643">
        <f t="shared" ca="1" si="18"/>
        <v>-991085.84105244919</v>
      </c>
      <c r="AJ22" s="643">
        <f t="shared" ca="1" si="18"/>
        <v>-1049271.5937543344</v>
      </c>
      <c r="AK22" s="643">
        <f t="shared" ca="1" si="18"/>
        <v>-1304688.3205171318</v>
      </c>
      <c r="AL22" s="643">
        <f t="shared" ca="1" si="18"/>
        <v>-1258633.2675739962</v>
      </c>
      <c r="AM22" s="643">
        <f t="shared" ca="1" si="18"/>
        <v>-1346220.1986136348</v>
      </c>
      <c r="AN22" s="643">
        <f t="shared" ca="1" si="18"/>
        <v>-1422431.7060190327</v>
      </c>
      <c r="AP22" s="172"/>
    </row>
    <row r="23" spans="2:42" ht="11.5" customHeight="1" x14ac:dyDescent="0.25">
      <c r="C23" s="137" t="s">
        <v>63</v>
      </c>
      <c r="D23" s="157" t="s">
        <v>46</v>
      </c>
      <c r="E23" s="778">
        <f>-'3.6 CapEx'!E10</f>
        <v>-302762.96126108238</v>
      </c>
      <c r="F23" s="630">
        <f ca="1">-'3.6 CapEx'!F10</f>
        <v>-21969.894385</v>
      </c>
      <c r="G23" s="630">
        <f ca="1">-'3.6 CapEx'!G10</f>
        <v>-275166.938195</v>
      </c>
      <c r="H23" s="630">
        <f ca="1">-'3.6 CapEx'!H10</f>
        <v>-527632.58265999996</v>
      </c>
      <c r="I23" s="630">
        <f ca="1">-'3.6 CapEx'!I10</f>
        <v>-288926.08756499999</v>
      </c>
      <c r="J23" s="630">
        <f ca="1">-'3.6 CapEx'!J10</f>
        <v>-305351.25702999998</v>
      </c>
      <c r="K23" s="630">
        <f ca="1">-'3.6 CapEx'!K10</f>
        <v>-311885.433578</v>
      </c>
      <c r="L23" s="630">
        <f ca="1">-'3.6 CapEx'!L10</f>
        <v>-572249.35029239999</v>
      </c>
      <c r="M23" s="630">
        <f ca="1">-'3.6 CapEx'!M10</f>
        <v>-108583.8840682318</v>
      </c>
      <c r="N23" s="630">
        <f ca="1">-'3.6 CapEx'!N10</f>
        <v>-359276.509398136</v>
      </c>
      <c r="O23" s="630">
        <f ca="1">-'3.6 CapEx'!O10</f>
        <v>-127230.51439013921</v>
      </c>
      <c r="P23" s="630">
        <f ca="1">-'3.6 CapEx'!P10</f>
        <v>-145716.45314681571</v>
      </c>
      <c r="Q23" s="630">
        <f ca="1">-'3.6 CapEx'!Q10</f>
        <v>-263990.64976145001</v>
      </c>
      <c r="R23" s="630">
        <f ca="1">-'3.6 CapEx'!R10</f>
        <v>-725069.23753971176</v>
      </c>
      <c r="S23" s="630">
        <f ca="1">-'3.6 CapEx'!S10</f>
        <v>-243610.10832601937</v>
      </c>
      <c r="T23" s="630">
        <f ca="1">-'3.6 CapEx'!T10</f>
        <v>-261082.41554106551</v>
      </c>
      <c r="U23" s="630">
        <f ca="1">-'3.6 CapEx'!U10</f>
        <v>-356913.72220531246</v>
      </c>
      <c r="V23" s="630">
        <f ca="1">-'3.6 CapEx'!V10</f>
        <v>-341745.59659945115</v>
      </c>
      <c r="W23" s="630">
        <f ca="1">-'3.6 CapEx'!W10</f>
        <v>-368367.14744206099</v>
      </c>
      <c r="X23" s="630">
        <f ca="1">-'3.6 CapEx'!X10</f>
        <v>-390510.38652214879</v>
      </c>
      <c r="Y23" s="630">
        <f ca="1">-'3.6 CapEx'!Y10</f>
        <v>-466218.47628196637</v>
      </c>
      <c r="Z23" s="630">
        <f ca="1">-'3.6 CapEx'!Z10</f>
        <v>-458748.64066052431</v>
      </c>
      <c r="AA23" s="630">
        <f ca="1">-'3.6 CapEx'!AA10</f>
        <v>-486376.20938116946</v>
      </c>
      <c r="AB23" s="630">
        <f ca="1">-'3.6 CapEx'!AB10</f>
        <v>-511965.38316093554</v>
      </c>
      <c r="AC23" s="630">
        <f ca="1">-'3.6 CapEx'!AC10</f>
        <v>-785257.97103660216</v>
      </c>
      <c r="AD23" s="630">
        <f ca="1">-'3.6 CapEx'!AD10</f>
        <v>-677887.64673285617</v>
      </c>
      <c r="AE23" s="630">
        <f ca="1">-'3.6 CapEx'!AE10</f>
        <v>-706789.38315247255</v>
      </c>
      <c r="AF23" s="630">
        <f ca="1">-'3.6 CapEx'!AF10</f>
        <v>-731197.90965922794</v>
      </c>
      <c r="AG23" s="630">
        <f ca="1">-'3.6 CapEx'!AG10</f>
        <v>-1023131.0187999108</v>
      </c>
      <c r="AH23" s="630">
        <f ca="1">-'3.6 CapEx'!AH10</f>
        <v>-923442.69542423333</v>
      </c>
      <c r="AI23" s="630">
        <f ca="1">-'3.6 CapEx'!AI10</f>
        <v>-991085.84105244919</v>
      </c>
      <c r="AJ23" s="630">
        <f ca="1">-'3.6 CapEx'!AJ10</f>
        <v>-1049271.5937543344</v>
      </c>
      <c r="AK23" s="630">
        <f ca="1">-'3.6 CapEx'!AK10</f>
        <v>-1304688.3205171318</v>
      </c>
      <c r="AL23" s="630">
        <f ca="1">-'3.6 CapEx'!AL10</f>
        <v>-1258633.2675739962</v>
      </c>
      <c r="AM23" s="630">
        <f ca="1">-'3.6 CapEx'!AM10</f>
        <v>-1346220.1986136348</v>
      </c>
      <c r="AN23" s="630">
        <f ca="1">-'3.6 CapEx'!AN10</f>
        <v>-1422431.7060190327</v>
      </c>
      <c r="AP23" s="34"/>
    </row>
    <row r="24" spans="2:42" ht="11.5" customHeight="1" x14ac:dyDescent="0.25">
      <c r="B24" s="99" t="s">
        <v>10</v>
      </c>
      <c r="C24" s="148" t="s">
        <v>64</v>
      </c>
      <c r="D24" s="160" t="s">
        <v>46</v>
      </c>
      <c r="E24" s="178">
        <f>E25</f>
        <v>0</v>
      </c>
      <c r="F24" s="178">
        <f t="shared" ref="F24:AN24" si="19">F25</f>
        <v>0</v>
      </c>
      <c r="G24" s="178">
        <f t="shared" si="19"/>
        <v>0</v>
      </c>
      <c r="H24" s="178">
        <f t="shared" si="19"/>
        <v>0</v>
      </c>
      <c r="I24" s="178">
        <f t="shared" si="19"/>
        <v>0</v>
      </c>
      <c r="J24" s="178">
        <f t="shared" si="19"/>
        <v>0</v>
      </c>
      <c r="K24" s="178">
        <f t="shared" si="19"/>
        <v>0</v>
      </c>
      <c r="L24" s="178">
        <f t="shared" si="19"/>
        <v>0</v>
      </c>
      <c r="M24" s="178">
        <f t="shared" si="19"/>
        <v>0</v>
      </c>
      <c r="N24" s="178">
        <f t="shared" si="19"/>
        <v>0</v>
      </c>
      <c r="O24" s="178">
        <f t="shared" si="19"/>
        <v>0</v>
      </c>
      <c r="P24" s="178">
        <f t="shared" si="19"/>
        <v>0</v>
      </c>
      <c r="Q24" s="178">
        <f t="shared" si="19"/>
        <v>0</v>
      </c>
      <c r="R24" s="178">
        <f t="shared" si="19"/>
        <v>0</v>
      </c>
      <c r="S24" s="178">
        <f t="shared" si="19"/>
        <v>0</v>
      </c>
      <c r="T24" s="178">
        <f t="shared" si="19"/>
        <v>0</v>
      </c>
      <c r="U24" s="178">
        <f t="shared" si="19"/>
        <v>0</v>
      </c>
      <c r="V24" s="178">
        <f t="shared" si="19"/>
        <v>0</v>
      </c>
      <c r="W24" s="178">
        <f t="shared" si="19"/>
        <v>0</v>
      </c>
      <c r="X24" s="178">
        <f t="shared" si="19"/>
        <v>0</v>
      </c>
      <c r="Y24" s="178">
        <f t="shared" si="19"/>
        <v>0</v>
      </c>
      <c r="Z24" s="178">
        <f t="shared" si="19"/>
        <v>0</v>
      </c>
      <c r="AA24" s="178">
        <f t="shared" si="19"/>
        <v>0</v>
      </c>
      <c r="AB24" s="178">
        <f t="shared" si="19"/>
        <v>0</v>
      </c>
      <c r="AC24" s="178">
        <f t="shared" si="19"/>
        <v>0</v>
      </c>
      <c r="AD24" s="178">
        <f t="shared" si="19"/>
        <v>0</v>
      </c>
      <c r="AE24" s="178">
        <f t="shared" si="19"/>
        <v>0</v>
      </c>
      <c r="AF24" s="178">
        <f t="shared" si="19"/>
        <v>0</v>
      </c>
      <c r="AG24" s="178">
        <f t="shared" si="19"/>
        <v>0</v>
      </c>
      <c r="AH24" s="178">
        <f t="shared" si="19"/>
        <v>0</v>
      </c>
      <c r="AI24" s="178">
        <f t="shared" si="19"/>
        <v>0</v>
      </c>
      <c r="AJ24" s="178">
        <f t="shared" si="19"/>
        <v>0</v>
      </c>
      <c r="AK24" s="178">
        <f t="shared" si="19"/>
        <v>0</v>
      </c>
      <c r="AL24" s="178">
        <f t="shared" si="19"/>
        <v>0</v>
      </c>
      <c r="AM24" s="178">
        <f t="shared" si="19"/>
        <v>0</v>
      </c>
      <c r="AN24" s="178">
        <f t="shared" si="19"/>
        <v>0</v>
      </c>
      <c r="AP24" s="106"/>
    </row>
    <row r="25" spans="2:42" ht="11.5" customHeight="1" x14ac:dyDescent="0.25">
      <c r="B25" s="44"/>
      <c r="C25" s="646" t="s">
        <v>65</v>
      </c>
      <c r="D25" s="647" t="s">
        <v>46</v>
      </c>
      <c r="E25" s="777">
        <f>'1.1 Control Panel'!E52</f>
        <v>0</v>
      </c>
      <c r="F25" s="649">
        <f>'1.1 Control Panel'!F52</f>
        <v>0</v>
      </c>
      <c r="G25" s="777">
        <f>'1.1 Control Panel'!G52</f>
        <v>0</v>
      </c>
      <c r="H25" s="649">
        <f>'1.1 Control Panel'!H52</f>
        <v>0</v>
      </c>
      <c r="I25" s="649">
        <f>'1.1 Control Panel'!I52</f>
        <v>0</v>
      </c>
      <c r="J25" s="649">
        <f>'1.1 Control Panel'!J52</f>
        <v>0</v>
      </c>
      <c r="K25" s="649">
        <f>'1.1 Control Panel'!K52</f>
        <v>0</v>
      </c>
      <c r="L25" s="649">
        <f>'1.1 Control Panel'!L52</f>
        <v>0</v>
      </c>
      <c r="M25" s="649">
        <f>'1.1 Control Panel'!M52</f>
        <v>0</v>
      </c>
      <c r="N25" s="649">
        <f>'1.1 Control Panel'!N52</f>
        <v>0</v>
      </c>
      <c r="O25" s="649">
        <f>'1.1 Control Panel'!O52</f>
        <v>0</v>
      </c>
      <c r="P25" s="649">
        <f>'1.1 Control Panel'!P52</f>
        <v>0</v>
      </c>
      <c r="Q25" s="649">
        <f>'1.1 Control Panel'!Q52</f>
        <v>0</v>
      </c>
      <c r="R25" s="649">
        <f>'1.1 Control Panel'!R52</f>
        <v>0</v>
      </c>
      <c r="S25" s="649">
        <f>'1.1 Control Panel'!S52</f>
        <v>0</v>
      </c>
      <c r="T25" s="649">
        <f>'1.1 Control Panel'!T52</f>
        <v>0</v>
      </c>
      <c r="U25" s="649">
        <f>'1.1 Control Panel'!U52</f>
        <v>0</v>
      </c>
      <c r="V25" s="649">
        <f>'1.1 Control Panel'!V52</f>
        <v>0</v>
      </c>
      <c r="W25" s="649">
        <f>'1.1 Control Panel'!W52</f>
        <v>0</v>
      </c>
      <c r="X25" s="649">
        <f>'1.1 Control Panel'!X52</f>
        <v>0</v>
      </c>
      <c r="Y25" s="649">
        <f>'1.1 Control Panel'!Y52</f>
        <v>0</v>
      </c>
      <c r="Z25" s="649">
        <f>'1.1 Control Panel'!Z52</f>
        <v>0</v>
      </c>
      <c r="AA25" s="649">
        <f>'1.1 Control Panel'!AA52</f>
        <v>0</v>
      </c>
      <c r="AB25" s="649">
        <f>'1.1 Control Panel'!AB52</f>
        <v>0</v>
      </c>
      <c r="AC25" s="649">
        <f>'1.1 Control Panel'!AC52</f>
        <v>0</v>
      </c>
      <c r="AD25" s="649">
        <f>'1.1 Control Panel'!AD52</f>
        <v>0</v>
      </c>
      <c r="AE25" s="649">
        <f>'1.1 Control Panel'!AE52</f>
        <v>0</v>
      </c>
      <c r="AF25" s="649">
        <f>'1.1 Control Panel'!AF52</f>
        <v>0</v>
      </c>
      <c r="AG25" s="649">
        <f>'1.1 Control Panel'!AG52</f>
        <v>0</v>
      </c>
      <c r="AH25" s="649">
        <f>'1.1 Control Panel'!AH52</f>
        <v>0</v>
      </c>
      <c r="AI25" s="649">
        <f>'1.1 Control Panel'!AI52</f>
        <v>0</v>
      </c>
      <c r="AJ25" s="649">
        <f>'1.1 Control Panel'!AJ52</f>
        <v>0</v>
      </c>
      <c r="AK25" s="649">
        <f>'1.1 Control Panel'!AK52</f>
        <v>0</v>
      </c>
      <c r="AL25" s="649">
        <f>'1.1 Control Panel'!AL52</f>
        <v>0</v>
      </c>
      <c r="AM25" s="649">
        <f>'1.1 Control Panel'!AM52</f>
        <v>0</v>
      </c>
      <c r="AN25" s="649">
        <f>'1.1 Control Panel'!AN52</f>
        <v>0</v>
      </c>
      <c r="AP25" s="111"/>
    </row>
    <row r="26" spans="2:42" ht="11.5" customHeight="1" x14ac:dyDescent="0.25">
      <c r="B26" s="648" t="s">
        <v>9</v>
      </c>
      <c r="C26" s="144" t="s">
        <v>53</v>
      </c>
      <c r="D26" s="139" t="s">
        <v>46</v>
      </c>
      <c r="E26" s="652">
        <f t="shared" ref="E26:AN26" ca="1" si="20">SUM(E27:E32)</f>
        <v>472892.65511317836</v>
      </c>
      <c r="F26" s="652">
        <f t="shared" ca="1" si="20"/>
        <v>-1730.9472697483243</v>
      </c>
      <c r="G26" s="652">
        <f t="shared" ca="1" si="20"/>
        <v>-1730.9472697483243</v>
      </c>
      <c r="H26" s="652">
        <f t="shared" ca="1" si="20"/>
        <v>2998269.0527302516</v>
      </c>
      <c r="I26" s="652">
        <f t="shared" ca="1" si="20"/>
        <v>-1730.9472697483243</v>
      </c>
      <c r="J26" s="652">
        <f t="shared" ca="1" si="20"/>
        <v>-1730.9472697483243</v>
      </c>
      <c r="K26" s="652">
        <f t="shared" ca="1" si="20"/>
        <v>-1730.9472697483243</v>
      </c>
      <c r="L26" s="652">
        <f t="shared" ca="1" si="20"/>
        <v>7498269.0527302511</v>
      </c>
      <c r="M26" s="652">
        <f t="shared" ca="1" si="20"/>
        <v>-1730.9472697483243</v>
      </c>
      <c r="N26" s="652">
        <f t="shared" ca="1" si="20"/>
        <v>-1730.9472697483243</v>
      </c>
      <c r="O26" s="652">
        <f t="shared" ca="1" si="20"/>
        <v>-1730.9472697483243</v>
      </c>
      <c r="P26" s="652">
        <f t="shared" ca="1" si="20"/>
        <v>-1730.9472697483243</v>
      </c>
      <c r="Q26" s="652">
        <f t="shared" ca="1" si="20"/>
        <v>-1730.9472697483243</v>
      </c>
      <c r="R26" s="652">
        <f t="shared" ca="1" si="20"/>
        <v>-1730.9472697483243</v>
      </c>
      <c r="S26" s="652">
        <f t="shared" ca="1" si="20"/>
        <v>-1730.9472697483243</v>
      </c>
      <c r="T26" s="652">
        <f t="shared" ca="1" si="20"/>
        <v>-1730.9472697483243</v>
      </c>
      <c r="U26" s="652">
        <f t="shared" ca="1" si="20"/>
        <v>-1730.9472697483243</v>
      </c>
      <c r="V26" s="652">
        <f t="shared" ca="1" si="20"/>
        <v>-1730.9472697483243</v>
      </c>
      <c r="W26" s="652">
        <f t="shared" ca="1" si="20"/>
        <v>-1730.9472697483243</v>
      </c>
      <c r="X26" s="652">
        <f t="shared" ca="1" si="20"/>
        <v>-1730.9472697483243</v>
      </c>
      <c r="Y26" s="652">
        <f t="shared" ca="1" si="20"/>
        <v>26248269.052730251</v>
      </c>
      <c r="Z26" s="652">
        <f t="shared" ca="1" si="20"/>
        <v>-1730.9472697483243</v>
      </c>
      <c r="AA26" s="652">
        <f t="shared" ca="1" si="20"/>
        <v>-1730.9472697483243</v>
      </c>
      <c r="AB26" s="652">
        <f t="shared" ca="1" si="20"/>
        <v>-1730.9472697483243</v>
      </c>
      <c r="AC26" s="652">
        <f t="shared" ca="1" si="20"/>
        <v>-1730.9472697483243</v>
      </c>
      <c r="AD26" s="652">
        <f t="shared" ca="1" si="20"/>
        <v>-1730.9472697483243</v>
      </c>
      <c r="AE26" s="652">
        <f t="shared" ca="1" si="20"/>
        <v>-1730.9472697483243</v>
      </c>
      <c r="AF26" s="652">
        <f t="shared" ca="1" si="20"/>
        <v>-1730.9472697483243</v>
      </c>
      <c r="AG26" s="652">
        <f t="shared" ca="1" si="20"/>
        <v>-1730.9472697483243</v>
      </c>
      <c r="AH26" s="652">
        <f t="shared" ca="1" si="20"/>
        <v>52498269.052730247</v>
      </c>
      <c r="AI26" s="652">
        <f t="shared" ca="1" si="20"/>
        <v>-1730.9472697483243</v>
      </c>
      <c r="AJ26" s="652">
        <f t="shared" ca="1" si="20"/>
        <v>-1730.9472697483243</v>
      </c>
      <c r="AK26" s="652">
        <f t="shared" ca="1" si="20"/>
        <v>-1730.9472697483243</v>
      </c>
      <c r="AL26" s="652">
        <f t="shared" ca="1" si="20"/>
        <v>-1730.9472697483243</v>
      </c>
      <c r="AM26" s="652">
        <f t="shared" ca="1" si="20"/>
        <v>-1730.9472697483243</v>
      </c>
      <c r="AN26" s="652">
        <f t="shared" ca="1" si="20"/>
        <v>91873269.052730247</v>
      </c>
      <c r="AP26" s="29"/>
    </row>
    <row r="27" spans="2:42" ht="11.5" customHeight="1" x14ac:dyDescent="0.25">
      <c r="C27" s="137" t="s">
        <v>96</v>
      </c>
      <c r="D27" s="157" t="s">
        <v>46</v>
      </c>
      <c r="E27" s="778">
        <f>IF('1.1 Control Panel'!$D$6=Bootstrapped,0,'3.9 Equity Financing'!E13)</f>
        <v>393750</v>
      </c>
      <c r="F27" s="778">
        <f ca="1">IF('1.1 Control Panel'!$D$6=Bootstrapped,0,'3.9 Equity Financing'!F13)</f>
        <v>0</v>
      </c>
      <c r="G27" s="630">
        <f ca="1">IF('1.1 Control Panel'!$D$6=Bootstrapped,0,'3.9 Equity Financing'!G13)</f>
        <v>0</v>
      </c>
      <c r="H27" s="630">
        <f ca="1">IF('1.1 Control Panel'!$D$6=Bootstrapped,0,'3.9 Equity Financing'!H13)</f>
        <v>3000000</v>
      </c>
      <c r="I27" s="630">
        <f ca="1">IF('1.1 Control Panel'!$D$6=Bootstrapped,0,'3.9 Equity Financing'!I13)</f>
        <v>0</v>
      </c>
      <c r="J27" s="630">
        <f ca="1">IF('1.1 Control Panel'!$D$6=Bootstrapped,0,'3.9 Equity Financing'!J13)</f>
        <v>0</v>
      </c>
      <c r="K27" s="630">
        <f ca="1">IF('1.1 Control Panel'!$D$6=Bootstrapped,0,'3.9 Equity Financing'!K13)</f>
        <v>0</v>
      </c>
      <c r="L27" s="630">
        <f ca="1">IF('1.1 Control Panel'!$D$6=Bootstrapped,0,'3.9 Equity Financing'!L13)</f>
        <v>7500000</v>
      </c>
      <c r="M27" s="630">
        <f ca="1">IF('1.1 Control Panel'!$D$6=Bootstrapped,0,'3.9 Equity Financing'!M13)</f>
        <v>0</v>
      </c>
      <c r="N27" s="630">
        <f ca="1">IF('1.1 Control Panel'!$D$6=Bootstrapped,0,'3.9 Equity Financing'!N13)</f>
        <v>0</v>
      </c>
      <c r="O27" s="630">
        <f ca="1">IF('1.1 Control Panel'!$D$6=Bootstrapped,0,'3.9 Equity Financing'!O13)</f>
        <v>0</v>
      </c>
      <c r="P27" s="630">
        <f ca="1">IF('1.1 Control Panel'!$D$6=Bootstrapped,0,'3.9 Equity Financing'!P13)</f>
        <v>0</v>
      </c>
      <c r="Q27" s="630">
        <f>IF('1.1 Control Panel'!$D$6=Bootstrapped,0,'3.9 Equity Financing'!Q13)</f>
        <v>0</v>
      </c>
      <c r="R27" s="630">
        <f ca="1">IF('1.1 Control Panel'!$D$6=Bootstrapped,0,'3.9 Equity Financing'!R13)</f>
        <v>0</v>
      </c>
      <c r="S27" s="630">
        <f ca="1">IF('1.1 Control Panel'!$D$6=Bootstrapped,0,'3.9 Equity Financing'!S13)</f>
        <v>0</v>
      </c>
      <c r="T27" s="630">
        <f ca="1">IF('1.1 Control Panel'!$D$6=Bootstrapped,0,'3.9 Equity Financing'!T13)</f>
        <v>0</v>
      </c>
      <c r="U27" s="630">
        <f ca="1">IF('1.1 Control Panel'!$D$6=Bootstrapped,0,'3.9 Equity Financing'!U13)</f>
        <v>0</v>
      </c>
      <c r="V27" s="630">
        <f ca="1">IF('1.1 Control Panel'!$D$6=Bootstrapped,0,'3.9 Equity Financing'!V13)</f>
        <v>0</v>
      </c>
      <c r="W27" s="630">
        <f ca="1">IF('1.1 Control Panel'!$D$6=Bootstrapped,0,'3.9 Equity Financing'!W13)</f>
        <v>0</v>
      </c>
      <c r="X27" s="630">
        <f ca="1">IF('1.1 Control Panel'!$D$6=Bootstrapped,0,'3.9 Equity Financing'!X13)</f>
        <v>0</v>
      </c>
      <c r="Y27" s="630">
        <f ca="1">IF('1.1 Control Panel'!$D$6=Bootstrapped,0,'3.9 Equity Financing'!Y13)</f>
        <v>26250000</v>
      </c>
      <c r="Z27" s="630">
        <f ca="1">IF('1.1 Control Panel'!$D$6=Bootstrapped,0,'3.9 Equity Financing'!Z13)</f>
        <v>0</v>
      </c>
      <c r="AA27" s="630">
        <f ca="1">IF('1.1 Control Panel'!$D$6=Bootstrapped,0,'3.9 Equity Financing'!AA13)</f>
        <v>0</v>
      </c>
      <c r="AB27" s="630">
        <f ca="1">IF('1.1 Control Panel'!$D$6=Bootstrapped,0,'3.9 Equity Financing'!AB13)</f>
        <v>0</v>
      </c>
      <c r="AC27" s="630">
        <f ca="1">IF('1.1 Control Panel'!$D$6=Bootstrapped,0,'3.9 Equity Financing'!AC13)</f>
        <v>0</v>
      </c>
      <c r="AD27" s="630">
        <f ca="1">IF('1.1 Control Panel'!$D$6=Bootstrapped,0,'3.9 Equity Financing'!AD13)</f>
        <v>0</v>
      </c>
      <c r="AE27" s="630">
        <f ca="1">IF('1.1 Control Panel'!$D$6=Bootstrapped,0,'3.9 Equity Financing'!AE13)</f>
        <v>0</v>
      </c>
      <c r="AF27" s="630">
        <f ca="1">IF('1.1 Control Panel'!$D$6=Bootstrapped,0,'3.9 Equity Financing'!AF13)</f>
        <v>0</v>
      </c>
      <c r="AG27" s="630">
        <f ca="1">IF('1.1 Control Panel'!$D$6=Bootstrapped,0,'3.9 Equity Financing'!AG13)</f>
        <v>0</v>
      </c>
      <c r="AH27" s="630">
        <f ca="1">IF('1.1 Control Panel'!$D$6=Bootstrapped,0,'3.9 Equity Financing'!AH13)</f>
        <v>52500000</v>
      </c>
      <c r="AI27" s="630">
        <f ca="1">IF('1.1 Control Panel'!$D$6=Bootstrapped,0,'3.9 Equity Financing'!AI13)</f>
        <v>0</v>
      </c>
      <c r="AJ27" s="630">
        <f ca="1">IF('1.1 Control Panel'!$D$6=Bootstrapped,0,'3.9 Equity Financing'!AJ13)</f>
        <v>0</v>
      </c>
      <c r="AK27" s="630">
        <f ca="1">IF('1.1 Control Panel'!$D$6=Bootstrapped,0,'3.9 Equity Financing'!AK13)</f>
        <v>0</v>
      </c>
      <c r="AL27" s="630">
        <f ca="1">IF('1.1 Control Panel'!$D$6=Bootstrapped,0,'3.9 Equity Financing'!AL13)</f>
        <v>0</v>
      </c>
      <c r="AM27" s="630">
        <f ca="1">IF('1.1 Control Panel'!$D$6=Bootstrapped,0,'3.9 Equity Financing'!AM13)</f>
        <v>0</v>
      </c>
      <c r="AN27" s="630">
        <f ca="1">IF('1.1 Control Panel'!$D$6=Bootstrapped,0,'3.9 Equity Financing'!AN13)</f>
        <v>91875000</v>
      </c>
      <c r="AP27" s="34"/>
    </row>
    <row r="28" spans="2:42" ht="11.5" customHeight="1" x14ac:dyDescent="0.25">
      <c r="C28" s="137" t="s">
        <v>881</v>
      </c>
      <c r="D28" s="157" t="s">
        <v>46</v>
      </c>
      <c r="E28" s="630">
        <f>'1.1 Control Panel'!E46+'2.2 BS'!E31</f>
        <v>27229.407760381211</v>
      </c>
      <c r="F28" s="630">
        <f>'2.2 BS'!F30-'2.2 BS'!E30+'2.2 BS'!F31-'2.2 BS'!E31</f>
        <v>0</v>
      </c>
      <c r="G28" s="359">
        <f>'2.2 BS'!G30-'2.2 BS'!F30+'2.2 BS'!G31-'2.2 BS'!F31</f>
        <v>0</v>
      </c>
      <c r="H28" s="359">
        <f>'2.2 BS'!H30-'2.2 BS'!G30+'2.2 BS'!H31-'2.2 BS'!G31</f>
        <v>0</v>
      </c>
      <c r="I28" s="359">
        <f>'2.2 BS'!I30-'2.2 BS'!H30+'2.2 BS'!I31-'2.2 BS'!H31</f>
        <v>0</v>
      </c>
      <c r="J28" s="359">
        <f>'2.2 BS'!J30-'2.2 BS'!I30+'2.2 BS'!J31-'2.2 BS'!I31</f>
        <v>0</v>
      </c>
      <c r="K28" s="359">
        <f>'2.2 BS'!K30-'2.2 BS'!J30+'2.2 BS'!K31-'2.2 BS'!J31</f>
        <v>0</v>
      </c>
      <c r="L28" s="359">
        <f>'2.2 BS'!L30-'2.2 BS'!K30+'2.2 BS'!L31-'2.2 BS'!K31</f>
        <v>0</v>
      </c>
      <c r="M28" s="359">
        <f>'2.2 BS'!M30-'2.2 BS'!L30+'2.2 BS'!M31-'2.2 BS'!L31</f>
        <v>0</v>
      </c>
      <c r="N28" s="359">
        <f>'2.2 BS'!N30-'2.2 BS'!M30+'2.2 BS'!N31-'2.2 BS'!M31</f>
        <v>0</v>
      </c>
      <c r="O28" s="359">
        <f>'2.2 BS'!O30-'2.2 BS'!N30+'2.2 BS'!O31-'2.2 BS'!N31</f>
        <v>0</v>
      </c>
      <c r="P28" s="359">
        <f>'2.2 BS'!P30-'2.2 BS'!O30+'2.2 BS'!P31-'2.2 BS'!O31</f>
        <v>0</v>
      </c>
      <c r="Q28" s="359">
        <f>'2.2 BS'!Q30-'2.2 BS'!P30+'2.2 BS'!Q31-'2.2 BS'!P31</f>
        <v>0</v>
      </c>
      <c r="R28" s="359">
        <f>'2.2 BS'!R30-'2.2 BS'!Q30+'2.2 BS'!R31-'2.2 BS'!Q31</f>
        <v>0</v>
      </c>
      <c r="S28" s="359">
        <f>'2.2 BS'!S30-'2.2 BS'!R30+'2.2 BS'!S31-'2.2 BS'!R31</f>
        <v>0</v>
      </c>
      <c r="T28" s="359">
        <f>'2.2 BS'!T30-'2.2 BS'!S30+'2.2 BS'!T31-'2.2 BS'!S31</f>
        <v>0</v>
      </c>
      <c r="U28" s="359">
        <f>'2.2 BS'!U30-'2.2 BS'!T30+'2.2 BS'!U31-'2.2 BS'!T31</f>
        <v>0</v>
      </c>
      <c r="V28" s="359">
        <f>'2.2 BS'!V30-'2.2 BS'!U30+'2.2 BS'!V31-'2.2 BS'!U31</f>
        <v>0</v>
      </c>
      <c r="W28" s="359">
        <f>'2.2 BS'!W30-'2.2 BS'!V30+'2.2 BS'!W31-'2.2 BS'!V31</f>
        <v>0</v>
      </c>
      <c r="X28" s="359">
        <f>'2.2 BS'!X30-'2.2 BS'!W30+'2.2 BS'!X31-'2.2 BS'!W31</f>
        <v>0</v>
      </c>
      <c r="Y28" s="359">
        <f>'2.2 BS'!Y30-'2.2 BS'!X30+'2.2 BS'!Y31-'2.2 BS'!X31</f>
        <v>0</v>
      </c>
      <c r="Z28" s="359">
        <f>'2.2 BS'!Z30-'2.2 BS'!Y30+'2.2 BS'!Z31-'2.2 BS'!Y31</f>
        <v>0</v>
      </c>
      <c r="AA28" s="359">
        <f>'2.2 BS'!AA30-'2.2 BS'!Z30+'2.2 BS'!AA31-'2.2 BS'!Z31</f>
        <v>0</v>
      </c>
      <c r="AB28" s="359">
        <f>'2.2 BS'!AB30-'2.2 BS'!AA30+'2.2 BS'!AB31-'2.2 BS'!AA31</f>
        <v>0</v>
      </c>
      <c r="AC28" s="359">
        <f>'2.2 BS'!AC30-'2.2 BS'!AB30+'2.2 BS'!AC31-'2.2 BS'!AB31</f>
        <v>0</v>
      </c>
      <c r="AD28" s="359">
        <f>'2.2 BS'!AD30-'2.2 BS'!AC30+'2.2 BS'!AD31-'2.2 BS'!AC31</f>
        <v>0</v>
      </c>
      <c r="AE28" s="359">
        <f>'2.2 BS'!AE30-'2.2 BS'!AD30+'2.2 BS'!AE31-'2.2 BS'!AD31</f>
        <v>0</v>
      </c>
      <c r="AF28" s="359">
        <f>'2.2 BS'!AF30-'2.2 BS'!AE30+'2.2 BS'!AF31-'2.2 BS'!AE31</f>
        <v>0</v>
      </c>
      <c r="AG28" s="359">
        <f>'2.2 BS'!AG30-'2.2 BS'!AF30+'2.2 BS'!AG31-'2.2 BS'!AF31</f>
        <v>0</v>
      </c>
      <c r="AH28" s="359">
        <f>'2.2 BS'!AH30-'2.2 BS'!AG30+'2.2 BS'!AH31-'2.2 BS'!AG31</f>
        <v>0</v>
      </c>
      <c r="AI28" s="359">
        <f>'2.2 BS'!AI30-'2.2 BS'!AH30+'2.2 BS'!AI31-'2.2 BS'!AH31</f>
        <v>0</v>
      </c>
      <c r="AJ28" s="359">
        <f>'2.2 BS'!AJ30-'2.2 BS'!AI30+'2.2 BS'!AJ31-'2.2 BS'!AI31</f>
        <v>0</v>
      </c>
      <c r="AK28" s="359">
        <f>'2.2 BS'!AK30-'2.2 BS'!AJ30+'2.2 BS'!AK31-'2.2 BS'!AJ31</f>
        <v>0</v>
      </c>
      <c r="AL28" s="359">
        <f>'2.2 BS'!AL30-'2.2 BS'!AK30+'2.2 BS'!AL31-'2.2 BS'!AK31</f>
        <v>0</v>
      </c>
      <c r="AM28" s="359">
        <f>'2.2 BS'!AM30-'2.2 BS'!AL30+'2.2 BS'!AM31-'2.2 BS'!AL31</f>
        <v>0</v>
      </c>
      <c r="AN28" s="359">
        <f>'2.2 BS'!AN30-'2.2 BS'!AM30+'2.2 BS'!AN31-'2.2 BS'!AM31</f>
        <v>0</v>
      </c>
      <c r="AP28" s="34"/>
    </row>
    <row r="29" spans="2:42" ht="11.5" customHeight="1" x14ac:dyDescent="0.25">
      <c r="C29" s="137" t="s">
        <v>878</v>
      </c>
      <c r="D29" s="157" t="s">
        <v>46</v>
      </c>
      <c r="E29" s="778">
        <f>'2.2 BS'!E29</f>
        <v>0</v>
      </c>
      <c r="F29" s="630">
        <f>'2.2 BS'!F29</f>
        <v>0</v>
      </c>
      <c r="G29" s="630">
        <f>'2.2 BS'!G29</f>
        <v>0</v>
      </c>
      <c r="H29" s="630">
        <f>'2.2 BS'!H29</f>
        <v>0</v>
      </c>
      <c r="I29" s="630">
        <f>'2.2 BS'!I29</f>
        <v>0</v>
      </c>
      <c r="J29" s="630">
        <f>'2.2 BS'!J29</f>
        <v>0</v>
      </c>
      <c r="K29" s="630">
        <f>'2.2 BS'!K29</f>
        <v>0</v>
      </c>
      <c r="L29" s="630">
        <f>'2.2 BS'!L29</f>
        <v>0</v>
      </c>
      <c r="M29" s="630">
        <f>'2.2 BS'!M29</f>
        <v>0</v>
      </c>
      <c r="N29" s="630">
        <f>'2.2 BS'!N29</f>
        <v>0</v>
      </c>
      <c r="O29" s="630">
        <f>'2.2 BS'!O29</f>
        <v>0</v>
      </c>
      <c r="P29" s="630">
        <f>'2.2 BS'!P29</f>
        <v>0</v>
      </c>
      <c r="Q29" s="630">
        <f>'2.2 BS'!Q29</f>
        <v>0</v>
      </c>
      <c r="R29" s="630">
        <f>'2.2 BS'!R29</f>
        <v>0</v>
      </c>
      <c r="S29" s="630">
        <f>'2.2 BS'!S29</f>
        <v>0</v>
      </c>
      <c r="T29" s="630">
        <f>'2.2 BS'!T29</f>
        <v>0</v>
      </c>
      <c r="U29" s="630">
        <f>'2.2 BS'!U29</f>
        <v>0</v>
      </c>
      <c r="V29" s="630">
        <f>'2.2 BS'!V29</f>
        <v>0</v>
      </c>
      <c r="W29" s="630">
        <f>'2.2 BS'!W29</f>
        <v>0</v>
      </c>
      <c r="X29" s="630">
        <f>'2.2 BS'!X29</f>
        <v>0</v>
      </c>
      <c r="Y29" s="630">
        <f>'2.2 BS'!Y29</f>
        <v>0</v>
      </c>
      <c r="Z29" s="630">
        <f>'2.2 BS'!Z29</f>
        <v>0</v>
      </c>
      <c r="AA29" s="630">
        <f>'2.2 BS'!AA29</f>
        <v>0</v>
      </c>
      <c r="AB29" s="630">
        <f>'2.2 BS'!AB29</f>
        <v>0</v>
      </c>
      <c r="AC29" s="630">
        <f>'2.2 BS'!AC29</f>
        <v>0</v>
      </c>
      <c r="AD29" s="630">
        <f>'2.2 BS'!AD29</f>
        <v>0</v>
      </c>
      <c r="AE29" s="630">
        <f>'2.2 BS'!AE29</f>
        <v>0</v>
      </c>
      <c r="AF29" s="630">
        <f>'2.2 BS'!AF29</f>
        <v>0</v>
      </c>
      <c r="AG29" s="630">
        <f>'2.2 BS'!AG29</f>
        <v>0</v>
      </c>
      <c r="AH29" s="630">
        <f>'2.2 BS'!AH29</f>
        <v>0</v>
      </c>
      <c r="AI29" s="630">
        <f>'2.2 BS'!AI29</f>
        <v>0</v>
      </c>
      <c r="AJ29" s="630">
        <f>'2.2 BS'!AJ29</f>
        <v>0</v>
      </c>
      <c r="AK29" s="630">
        <f>'2.2 BS'!AK29</f>
        <v>0</v>
      </c>
      <c r="AL29" s="630">
        <f>'2.2 BS'!AL29</f>
        <v>0</v>
      </c>
      <c r="AM29" s="630">
        <f>'2.2 BS'!AM29</f>
        <v>0</v>
      </c>
      <c r="AN29" s="630">
        <f>'2.2 BS'!AN29</f>
        <v>0</v>
      </c>
      <c r="AP29" s="34"/>
    </row>
    <row r="30" spans="2:42" ht="11.5" customHeight="1" x14ac:dyDescent="0.25">
      <c r="C30" s="137" t="s">
        <v>66</v>
      </c>
      <c r="D30" s="157" t="s">
        <v>46</v>
      </c>
      <c r="E30" s="630">
        <f ca="1">'3.8 Debt Financing'!E20</f>
        <v>53644.194622545452</v>
      </c>
      <c r="F30" s="630">
        <f ca="1">'3.8 Debt Financing'!F20</f>
        <v>0</v>
      </c>
      <c r="G30" s="630">
        <f ca="1">'3.8 Debt Financing'!G20</f>
        <v>0</v>
      </c>
      <c r="H30" s="630">
        <f ca="1">'3.8 Debt Financing'!H20</f>
        <v>0</v>
      </c>
      <c r="I30" s="630">
        <f ca="1">'3.8 Debt Financing'!I20</f>
        <v>0</v>
      </c>
      <c r="J30" s="630">
        <f ca="1">'3.8 Debt Financing'!J20</f>
        <v>0</v>
      </c>
      <c r="K30" s="630">
        <f ca="1">'3.8 Debt Financing'!K20</f>
        <v>0</v>
      </c>
      <c r="L30" s="630">
        <f ca="1">'3.8 Debt Financing'!L20</f>
        <v>0</v>
      </c>
      <c r="M30" s="630">
        <f ca="1">'3.8 Debt Financing'!M20</f>
        <v>0</v>
      </c>
      <c r="N30" s="630">
        <f ca="1">'3.8 Debt Financing'!N20</f>
        <v>0</v>
      </c>
      <c r="O30" s="630">
        <f ca="1">'3.8 Debt Financing'!O20</f>
        <v>0</v>
      </c>
      <c r="P30" s="630">
        <f ca="1">'3.8 Debt Financing'!P20</f>
        <v>0</v>
      </c>
      <c r="Q30" s="630">
        <f ca="1">'3.8 Debt Financing'!Q20</f>
        <v>0</v>
      </c>
      <c r="R30" s="630">
        <f ca="1">'3.8 Debt Financing'!R20</f>
        <v>0</v>
      </c>
      <c r="S30" s="630">
        <f ca="1">'3.8 Debt Financing'!S20</f>
        <v>0</v>
      </c>
      <c r="T30" s="630">
        <f ca="1">'3.8 Debt Financing'!T20</f>
        <v>0</v>
      </c>
      <c r="U30" s="630">
        <f ca="1">'3.8 Debt Financing'!U20</f>
        <v>0</v>
      </c>
      <c r="V30" s="630">
        <f ca="1">'3.8 Debt Financing'!V20</f>
        <v>0</v>
      </c>
      <c r="W30" s="630">
        <f ca="1">'3.8 Debt Financing'!W20</f>
        <v>0</v>
      </c>
      <c r="X30" s="630">
        <f ca="1">'3.8 Debt Financing'!X20</f>
        <v>0</v>
      </c>
      <c r="Y30" s="630">
        <f ca="1">'3.8 Debt Financing'!Y20</f>
        <v>0</v>
      </c>
      <c r="Z30" s="630">
        <f ca="1">'3.8 Debt Financing'!Z20</f>
        <v>0</v>
      </c>
      <c r="AA30" s="630">
        <f ca="1">'3.8 Debt Financing'!AA20</f>
        <v>0</v>
      </c>
      <c r="AB30" s="630">
        <f ca="1">'3.8 Debt Financing'!AB20</f>
        <v>0</v>
      </c>
      <c r="AC30" s="630">
        <f ca="1">'3.8 Debt Financing'!AC20</f>
        <v>0</v>
      </c>
      <c r="AD30" s="630">
        <f ca="1">'3.8 Debt Financing'!AD20</f>
        <v>0</v>
      </c>
      <c r="AE30" s="630">
        <f ca="1">'3.8 Debt Financing'!AE20</f>
        <v>0</v>
      </c>
      <c r="AF30" s="630">
        <f ca="1">'3.8 Debt Financing'!AF20</f>
        <v>0</v>
      </c>
      <c r="AG30" s="630">
        <f ca="1">'3.8 Debt Financing'!AG20</f>
        <v>0</v>
      </c>
      <c r="AH30" s="630">
        <f ca="1">'3.8 Debt Financing'!AH20</f>
        <v>0</v>
      </c>
      <c r="AI30" s="630">
        <f ca="1">'3.8 Debt Financing'!AI20</f>
        <v>0</v>
      </c>
      <c r="AJ30" s="630">
        <f ca="1">'3.8 Debt Financing'!AJ20</f>
        <v>0</v>
      </c>
      <c r="AK30" s="630">
        <f ca="1">'3.8 Debt Financing'!AK20</f>
        <v>0</v>
      </c>
      <c r="AL30" s="630">
        <f ca="1">'3.8 Debt Financing'!AL20</f>
        <v>0</v>
      </c>
      <c r="AM30" s="630">
        <f ca="1">'3.8 Debt Financing'!AM20</f>
        <v>0</v>
      </c>
      <c r="AN30" s="630">
        <f ca="1">'3.8 Debt Financing'!AN20</f>
        <v>0</v>
      </c>
      <c r="AP30" s="34"/>
    </row>
    <row r="31" spans="2:42" ht="11.5" customHeight="1" x14ac:dyDescent="0.25">
      <c r="C31" s="137" t="s">
        <v>67</v>
      </c>
      <c r="D31" s="157" t="s">
        <v>46</v>
      </c>
      <c r="E31" s="630">
        <f ca="1">'3.8 Debt Financing'!E59</f>
        <v>-1283.9123145604456</v>
      </c>
      <c r="F31" s="630">
        <f ca="1">'3.8 Debt Financing'!F59</f>
        <v>-1294.6115838484493</v>
      </c>
      <c r="G31" s="630">
        <f ca="1">'3.8 Debt Financing'!G59</f>
        <v>-1305.400013713853</v>
      </c>
      <c r="H31" s="630">
        <f ca="1">'3.8 Debt Financing'!H59</f>
        <v>-1316.2783471614684</v>
      </c>
      <c r="I31" s="630">
        <f ca="1">'3.8 Debt Financing'!I59</f>
        <v>-1327.247333387814</v>
      </c>
      <c r="J31" s="630">
        <f ca="1">'3.8 Debt Financing'!J59</f>
        <v>-1338.3077278327125</v>
      </c>
      <c r="K31" s="630">
        <f ca="1">'3.8 Debt Financing'!K59</f>
        <v>-1349.4602922313184</v>
      </c>
      <c r="L31" s="630">
        <f ca="1">'3.8 Debt Financing'!L59</f>
        <v>-1360.7057946665793</v>
      </c>
      <c r="M31" s="630">
        <f ca="1">'3.8 Debt Financing'!M59</f>
        <v>-1372.0450096221341</v>
      </c>
      <c r="N31" s="630">
        <f ca="1">'3.8 Debt Financing'!N59</f>
        <v>-1383.478718035652</v>
      </c>
      <c r="O31" s="630">
        <f ca="1">'3.8 Debt Financing'!O59</f>
        <v>-1395.0077073526159</v>
      </c>
      <c r="P31" s="630">
        <f ca="1">'3.8 Debt Financing'!P59</f>
        <v>-1406.6327715805542</v>
      </c>
      <c r="Q31" s="630">
        <f ca="1">'3.8 Debt Financing'!Q59</f>
        <v>-1418.3547113437255</v>
      </c>
      <c r="R31" s="630">
        <f ca="1">'3.8 Debt Financing'!R59</f>
        <v>-1430.1743339382565</v>
      </c>
      <c r="S31" s="630">
        <f ca="1">'3.8 Debt Financing'!S59</f>
        <v>-1442.0924533877421</v>
      </c>
      <c r="T31" s="630">
        <f ca="1">'3.8 Debt Financing'!T59</f>
        <v>-1454.1098904993066</v>
      </c>
      <c r="U31" s="630">
        <f ca="1">'3.8 Debt Financing'!U59</f>
        <v>-1466.227472920134</v>
      </c>
      <c r="V31" s="630">
        <f ca="1">'3.8 Debt Financing'!V59</f>
        <v>-1478.4460351944685</v>
      </c>
      <c r="W31" s="630">
        <f ca="1">'3.8 Debt Financing'!W59</f>
        <v>-1490.766418821089</v>
      </c>
      <c r="X31" s="630">
        <f ca="1">'3.8 Debt Financing'!X59</f>
        <v>-1503.1894723112648</v>
      </c>
      <c r="Y31" s="630">
        <f ca="1">'3.8 Debt Financing'!Y59</f>
        <v>-1515.7160512471919</v>
      </c>
      <c r="Z31" s="630">
        <f ca="1">'3.8 Debt Financing'!Z59</f>
        <v>-1528.3470183409186</v>
      </c>
      <c r="AA31" s="630">
        <f ca="1">'3.8 Debt Financing'!AA59</f>
        <v>-1541.0832434937597</v>
      </c>
      <c r="AB31" s="630">
        <f ca="1">'3.8 Debt Financing'!AB59</f>
        <v>-1553.9256038562075</v>
      </c>
      <c r="AC31" s="630">
        <f ca="1">'3.8 Debt Financing'!AC59</f>
        <v>-1566.8749838883427</v>
      </c>
      <c r="AD31" s="630">
        <f ca="1">'3.8 Debt Financing'!AD59</f>
        <v>-1579.9322754207456</v>
      </c>
      <c r="AE31" s="630">
        <f ca="1">'3.8 Debt Financing'!AE59</f>
        <v>-1593.0983777159183</v>
      </c>
      <c r="AF31" s="630">
        <f ca="1">'3.8 Debt Financing'!AF59</f>
        <v>-1606.3741975302178</v>
      </c>
      <c r="AG31" s="630">
        <f ca="1">'3.8 Debt Financing'!AG59</f>
        <v>-1619.7606491763029</v>
      </c>
      <c r="AH31" s="630">
        <f ca="1">'3.8 Debt Financing'!AH59</f>
        <v>-1633.2586545861054</v>
      </c>
      <c r="AI31" s="630">
        <f ca="1">'3.8 Debt Financing'!AI59</f>
        <v>-1646.8691433743229</v>
      </c>
      <c r="AJ31" s="630">
        <f ca="1">'3.8 Debt Financing'!AJ59</f>
        <v>-1660.5930529024422</v>
      </c>
      <c r="AK31" s="630">
        <f ca="1">'3.8 Debt Financing'!AK59</f>
        <v>-1674.4313283432959</v>
      </c>
      <c r="AL31" s="630">
        <f ca="1">'3.8 Debt Financing'!AL59</f>
        <v>-1688.3849227461567</v>
      </c>
      <c r="AM31" s="630">
        <f ca="1">'3.8 Debt Financing'!AM59</f>
        <v>-1702.4547971023746</v>
      </c>
      <c r="AN31" s="630">
        <f ca="1">'3.8 Debt Financing'!AN59</f>
        <v>-1716.6419204115612</v>
      </c>
      <c r="AP31" s="34"/>
    </row>
    <row r="32" spans="2:42" ht="11.5" customHeight="1" x14ac:dyDescent="0.25">
      <c r="C32" s="134" t="s">
        <v>68</v>
      </c>
      <c r="D32" s="153" t="s">
        <v>46</v>
      </c>
      <c r="E32" s="480">
        <f ca="1">'3.8 Debt Financing'!E97</f>
        <v>-447.03495518787878</v>
      </c>
      <c r="F32" s="480">
        <f ca="1">'3.8 Debt Financing'!F97</f>
        <v>-436.33568589987505</v>
      </c>
      <c r="G32" s="480">
        <f ca="1">'3.8 Debt Financing'!G97</f>
        <v>-425.54725603447133</v>
      </c>
      <c r="H32" s="480">
        <f ca="1">'3.8 Debt Financing'!H97</f>
        <v>-414.66892258685584</v>
      </c>
      <c r="I32" s="480">
        <f ca="1">'3.8 Debt Financing'!I97</f>
        <v>-403.69993636051026</v>
      </c>
      <c r="J32" s="480">
        <f ca="1">'3.8 Debt Financing'!J97</f>
        <v>-392.6395419156118</v>
      </c>
      <c r="K32" s="480">
        <f ca="1">'3.8 Debt Financing'!K97</f>
        <v>-381.48697751700593</v>
      </c>
      <c r="L32" s="480">
        <f ca="1">'3.8 Debt Financing'!L97</f>
        <v>-370.24147508174491</v>
      </c>
      <c r="M32" s="480">
        <f ca="1">'3.8 Debt Financing'!M97</f>
        <v>-358.90226012619013</v>
      </c>
      <c r="N32" s="480">
        <f ca="1">'3.8 Debt Financing'!N97</f>
        <v>-347.46855171267231</v>
      </c>
      <c r="O32" s="480">
        <f ca="1">'3.8 Debt Financing'!O97</f>
        <v>-335.93956239570855</v>
      </c>
      <c r="P32" s="480">
        <f ca="1">'3.8 Debt Financing'!P97</f>
        <v>-324.31449816777013</v>
      </c>
      <c r="Q32" s="480">
        <f ca="1">'3.8 Debt Financing'!Q97</f>
        <v>-312.59255840459883</v>
      </c>
      <c r="R32" s="480">
        <f ca="1">'3.8 Debt Financing'!R97</f>
        <v>-300.77293581006774</v>
      </c>
      <c r="S32" s="480">
        <f ca="1">'3.8 Debt Financing'!S97</f>
        <v>-288.85481636058222</v>
      </c>
      <c r="T32" s="480">
        <f ca="1">'3.8 Debt Financing'!T97</f>
        <v>-276.83737924901772</v>
      </c>
      <c r="U32" s="480">
        <f ca="1">'3.8 Debt Financing'!U97</f>
        <v>-264.71979682819023</v>
      </c>
      <c r="V32" s="480">
        <f ca="1">'3.8 Debt Financing'!V97</f>
        <v>-252.50123455385577</v>
      </c>
      <c r="W32" s="480">
        <f ca="1">'3.8 Debt Financing'!W97</f>
        <v>-240.18085092723518</v>
      </c>
      <c r="X32" s="480">
        <f ca="1">'3.8 Debt Financing'!X97</f>
        <v>-227.75779743705948</v>
      </c>
      <c r="Y32" s="480">
        <f ca="1">'3.8 Debt Financing'!Y97</f>
        <v>-215.23121850113228</v>
      </c>
      <c r="Z32" s="480">
        <f ca="1">'3.8 Debt Financing'!Z97</f>
        <v>-202.60025140740569</v>
      </c>
      <c r="AA32" s="480">
        <f ca="1">'3.8 Debt Financing'!AA97</f>
        <v>-189.86402625456469</v>
      </c>
      <c r="AB32" s="480">
        <f ca="1">'3.8 Debt Financing'!AB97</f>
        <v>-177.02166589211672</v>
      </c>
      <c r="AC32" s="480">
        <f ca="1">'3.8 Debt Financing'!AC97</f>
        <v>-164.07228585998163</v>
      </c>
      <c r="AD32" s="480">
        <f ca="1">'3.8 Debt Financing'!AD97</f>
        <v>-151.01499432757876</v>
      </c>
      <c r="AE32" s="480">
        <f ca="1">'3.8 Debt Financing'!AE97</f>
        <v>-137.84889203240587</v>
      </c>
      <c r="AF32" s="480">
        <f ca="1">'3.8 Debt Financing'!AF97</f>
        <v>-124.57307221810656</v>
      </c>
      <c r="AG32" s="480">
        <f ca="1">'3.8 Debt Financing'!AG97</f>
        <v>-111.18662057202141</v>
      </c>
      <c r="AH32" s="480">
        <f ca="1">'3.8 Debt Financing'!AH97</f>
        <v>-97.688615162218909</v>
      </c>
      <c r="AI32" s="480">
        <f ca="1">'3.8 Debt Financing'!AI97</f>
        <v>-84.078126374001357</v>
      </c>
      <c r="AJ32" s="480">
        <f ca="1">'3.8 Debt Financing'!AJ97</f>
        <v>-70.354216845882007</v>
      </c>
      <c r="AK32" s="480">
        <f ca="1">'3.8 Debt Financing'!AK97</f>
        <v>-56.515941405028336</v>
      </c>
      <c r="AL32" s="480">
        <f ca="1">'3.8 Debt Financing'!AL97</f>
        <v>-42.562347002167556</v>
      </c>
      <c r="AM32" s="480">
        <f ca="1">'3.8 Debt Financing'!AM97</f>
        <v>-28.492472645949604</v>
      </c>
      <c r="AN32" s="480">
        <f ca="1">'3.8 Debt Financing'!AN97</f>
        <v>-14.305349336763177</v>
      </c>
      <c r="AP32" s="40"/>
    </row>
    <row r="33" ht="11.5" customHeight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1E787-852D-4D8F-8420-6846F332A4E8}">
  <dimension ref="A1:BC133"/>
  <sheetViews>
    <sheetView showGridLines="0" topLeftCell="C1" zoomScale="70" zoomScaleNormal="70" workbookViewId="0">
      <selection activeCell="E6" sqref="E6"/>
    </sheetView>
  </sheetViews>
  <sheetFormatPr defaultColWidth="0" defaultRowHeight="11.5" customHeight="1" x14ac:dyDescent="0.25"/>
  <cols>
    <col min="1" max="2" width="3.6328125" style="3" customWidth="1"/>
    <col min="3" max="3" width="50.6328125" style="3" customWidth="1"/>
    <col min="4" max="4" width="8.7265625" style="3" customWidth="1"/>
    <col min="5" max="40" width="15.6328125" style="2" customWidth="1"/>
    <col min="41" max="41" width="0.453125" style="3" customWidth="1"/>
    <col min="42" max="42" width="50.6328125" style="3" customWidth="1"/>
    <col min="43" max="43" width="3.6328125" style="3" customWidth="1"/>
    <col min="44" max="55" width="0" style="3" hidden="1" customWidth="1"/>
    <col min="56" max="16384" width="8.7265625" style="3" hidden="1"/>
  </cols>
  <sheetData>
    <row r="1" spans="1:42" s="4" customFormat="1" ht="14" x14ac:dyDescent="0.3">
      <c r="A1" s="103" t="str">
        <f ca="1">MID(CELL("filename",A1),FIND("]",CELL("filename",A1))+1,255)</f>
        <v>3.8 Debt Financing</v>
      </c>
      <c r="D1" s="674"/>
      <c r="AO1" s="5"/>
    </row>
    <row r="2" spans="1:42" s="5" customFormat="1" x14ac:dyDescent="0.25">
      <c r="A2" s="7" t="s">
        <v>970</v>
      </c>
    </row>
    <row r="3" spans="1:42" ht="11.5" customHeight="1" x14ac:dyDescent="0.25">
      <c r="C3" s="2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</row>
    <row r="4" spans="1:42" ht="11.5" customHeight="1" x14ac:dyDescent="0.25">
      <c r="B4" s="6" t="s">
        <v>0</v>
      </c>
      <c r="C4" s="10" t="s">
        <v>874</v>
      </c>
      <c r="D4" s="29" t="s">
        <v>14</v>
      </c>
      <c r="E4" s="252">
        <v>45688</v>
      </c>
      <c r="F4" s="252">
        <v>45716</v>
      </c>
      <c r="G4" s="252">
        <v>45747</v>
      </c>
      <c r="H4" s="252">
        <v>45777</v>
      </c>
      <c r="I4" s="252">
        <v>45808</v>
      </c>
      <c r="J4" s="252">
        <v>45838</v>
      </c>
      <c r="K4" s="252">
        <v>45869</v>
      </c>
      <c r="L4" s="252">
        <v>45900</v>
      </c>
      <c r="M4" s="252">
        <v>45930</v>
      </c>
      <c r="N4" s="252">
        <v>45961</v>
      </c>
      <c r="O4" s="252">
        <v>45991</v>
      </c>
      <c r="P4" s="252">
        <v>46022</v>
      </c>
      <c r="Q4" s="252">
        <f>E4+365.25</f>
        <v>46053.25</v>
      </c>
      <c r="R4" s="252">
        <f t="shared" ref="R4:AN4" si="0">F4+365.25</f>
        <v>46081.25</v>
      </c>
      <c r="S4" s="252">
        <f t="shared" si="0"/>
        <v>46112.25</v>
      </c>
      <c r="T4" s="252">
        <f t="shared" si="0"/>
        <v>46142.25</v>
      </c>
      <c r="U4" s="252">
        <f t="shared" si="0"/>
        <v>46173.25</v>
      </c>
      <c r="V4" s="252">
        <f t="shared" si="0"/>
        <v>46203.25</v>
      </c>
      <c r="W4" s="252">
        <f t="shared" si="0"/>
        <v>46234.25</v>
      </c>
      <c r="X4" s="252">
        <f t="shared" si="0"/>
        <v>46265.25</v>
      </c>
      <c r="Y4" s="252">
        <f t="shared" si="0"/>
        <v>46295.25</v>
      </c>
      <c r="Z4" s="252">
        <f t="shared" si="0"/>
        <v>46326.25</v>
      </c>
      <c r="AA4" s="252">
        <f t="shared" si="0"/>
        <v>46356.25</v>
      </c>
      <c r="AB4" s="252">
        <f t="shared" si="0"/>
        <v>46387.25</v>
      </c>
      <c r="AC4" s="252">
        <f t="shared" si="0"/>
        <v>46418.5</v>
      </c>
      <c r="AD4" s="252">
        <f t="shared" si="0"/>
        <v>46446.5</v>
      </c>
      <c r="AE4" s="252">
        <f t="shared" si="0"/>
        <v>46477.5</v>
      </c>
      <c r="AF4" s="252">
        <f t="shared" si="0"/>
        <v>46507.5</v>
      </c>
      <c r="AG4" s="252">
        <f t="shared" si="0"/>
        <v>46538.5</v>
      </c>
      <c r="AH4" s="252">
        <f t="shared" si="0"/>
        <v>46568.5</v>
      </c>
      <c r="AI4" s="252">
        <f t="shared" si="0"/>
        <v>46599.5</v>
      </c>
      <c r="AJ4" s="252">
        <f t="shared" si="0"/>
        <v>46630.5</v>
      </c>
      <c r="AK4" s="252">
        <f t="shared" si="0"/>
        <v>46660.5</v>
      </c>
      <c r="AL4" s="252">
        <f t="shared" si="0"/>
        <v>46691.5</v>
      </c>
      <c r="AM4" s="252">
        <f t="shared" si="0"/>
        <v>46721.5</v>
      </c>
      <c r="AN4" s="252">
        <f t="shared" si="0"/>
        <v>46752.5</v>
      </c>
      <c r="AO4" s="74"/>
      <c r="AP4" s="100" t="s">
        <v>45</v>
      </c>
    </row>
    <row r="5" spans="1:42" ht="11.5" customHeight="1" x14ac:dyDescent="0.25">
      <c r="C5" s="28" t="s">
        <v>986</v>
      </c>
      <c r="D5" s="270" t="s">
        <v>46</v>
      </c>
      <c r="E5" s="782">
        <f>'1.1 Control Panel'!E50</f>
        <v>0</v>
      </c>
      <c r="F5" s="28">
        <f ca="1">'2.3 CF'!E10</f>
        <v>52229.407760381233</v>
      </c>
      <c r="G5" s="28">
        <f ca="1">'2.3 CF'!F10</f>
        <v>362524.55260178039</v>
      </c>
      <c r="H5" s="28">
        <f ca="1">'2.3 CF'!G10</f>
        <v>587067.80992927088</v>
      </c>
      <c r="I5" s="28">
        <f ca="1">'2.3 CF'!H10</f>
        <v>3730630.4892961513</v>
      </c>
      <c r="J5" s="28">
        <f ca="1">'2.3 CF'!I10</f>
        <v>4300366.7534987396</v>
      </c>
      <c r="K5" s="28">
        <f ca="1">'2.3 CF'!J10</f>
        <v>5618585.3313643988</v>
      </c>
      <c r="L5" s="28">
        <f ca="1">'2.3 CF'!K10</f>
        <v>8016620.035355825</v>
      </c>
      <c r="M5" s="28">
        <f ca="1">'2.3 CF'!L10</f>
        <v>18565830.284676567</v>
      </c>
      <c r="N5" s="28">
        <f ca="1">'2.3 CF'!M10</f>
        <v>22875869.797176842</v>
      </c>
      <c r="O5" s="28">
        <f ca="1">'2.3 CF'!N10</f>
        <v>28143325.343877696</v>
      </c>
      <c r="P5" s="28">
        <f ca="1">'2.3 CF'!O10</f>
        <v>35156691.403379537</v>
      </c>
      <c r="Q5" s="28">
        <f ca="1">'2.3 CF'!P10</f>
        <v>43610189.878330983</v>
      </c>
      <c r="R5" s="28">
        <f ca="1">'2.3 CF'!Q10</f>
        <v>53603750.282447949</v>
      </c>
      <c r="S5" s="28">
        <f ca="1">'2.3 CF'!R10</f>
        <v>65211205.52782467</v>
      </c>
      <c r="T5" s="28">
        <f ca="1">'2.3 CF'!S10</f>
        <v>78987344.219433695</v>
      </c>
      <c r="U5" s="28">
        <f ca="1">'2.3 CF'!T10</f>
        <v>94339290.530850619</v>
      </c>
      <c r="V5" s="28">
        <f ca="1">'2.3 CF'!U10</f>
        <v>111083850.5196445</v>
      </c>
      <c r="W5" s="28">
        <f ca="1">'2.3 CF'!V10</f>
        <v>130351321.35432816</v>
      </c>
      <c r="X5" s="28">
        <f ca="1">'2.3 CF'!W10</f>
        <v>152017650.93523356</v>
      </c>
      <c r="Y5" s="28">
        <f ca="1">'2.3 CF'!X10</f>
        <v>175694621.16972113</v>
      </c>
      <c r="Z5" s="28">
        <f ca="1">'2.3 CF'!Y10</f>
        <v>227121688.06113386</v>
      </c>
      <c r="AA5" s="28">
        <f ca="1">'2.3 CF'!Z10</f>
        <v>255050420.45471162</v>
      </c>
      <c r="AB5" s="28">
        <f ca="1">'2.3 CF'!AA10</f>
        <v>285468773.09919536</v>
      </c>
      <c r="AC5" s="28">
        <f ca="1">'2.3 CF'!AB10</f>
        <v>318087719.91497874</v>
      </c>
      <c r="AD5" s="28">
        <f ca="1">'2.3 CF'!AC10</f>
        <v>354334777.64523357</v>
      </c>
      <c r="AE5" s="28">
        <f ca="1">'2.3 CF'!AD10</f>
        <v>394468481.29262805</v>
      </c>
      <c r="AF5" s="28">
        <f ca="1">'2.3 CF'!AE10</f>
        <v>437224269.84585571</v>
      </c>
      <c r="AG5" s="28">
        <f ca="1">'2.3 CF'!AF10</f>
        <v>482214952.80866051</v>
      </c>
      <c r="AH5" s="28">
        <f ca="1">'2.3 CF'!AG10</f>
        <v>528671791.81203794</v>
      </c>
      <c r="AI5" s="28">
        <f ca="1">'2.3 CF'!AH10</f>
        <v>633510387.81784034</v>
      </c>
      <c r="AJ5" s="28">
        <f ca="1">'2.3 CF'!AI10</f>
        <v>691952837.73437476</v>
      </c>
      <c r="AK5" s="28">
        <f ca="1">'2.3 CF'!AJ10</f>
        <v>755676025.35693038</v>
      </c>
      <c r="AL5" s="28">
        <f ca="1">'2.3 CF'!AK10</f>
        <v>823957879.78237569</v>
      </c>
      <c r="AM5" s="28">
        <f ca="1">'2.3 CF'!AL10</f>
        <v>899881794.71554208</v>
      </c>
      <c r="AN5" s="28">
        <f ca="1">'2.3 CF'!AM10</f>
        <v>983708813.3663851</v>
      </c>
      <c r="AP5" s="20"/>
    </row>
    <row r="6" spans="1:42" ht="11.5" customHeight="1" x14ac:dyDescent="0.25">
      <c r="C6" s="21" t="s">
        <v>985</v>
      </c>
      <c r="D6" s="38" t="s">
        <v>46</v>
      </c>
      <c r="E6" s="783">
        <f ca="1">SUM('2.3 CF'!E5:E6)</f>
        <v>-420663.24735279713</v>
      </c>
      <c r="F6" s="376">
        <f ca="1">SUM('2.3 CF'!F5:F6)</f>
        <v>312026.09211114747</v>
      </c>
      <c r="G6" s="376">
        <f ca="1">SUM('2.3 CF'!G5:G6)</f>
        <v>226274.2045972388</v>
      </c>
      <c r="H6" s="376">
        <f ca="1">SUM('2.3 CF'!H5:H6)</f>
        <v>145293.62663662911</v>
      </c>
      <c r="I6" s="376">
        <f ca="1">SUM('2.3 CF'!I5:I6)</f>
        <v>571467.21147233644</v>
      </c>
      <c r="J6" s="376">
        <f ca="1">SUM('2.3 CF'!J5:J6)</f>
        <v>1319949.5251354077</v>
      </c>
      <c r="K6" s="376">
        <f ca="1">SUM('2.3 CF'!K5:K6)</f>
        <v>2399765.6512611746</v>
      </c>
      <c r="L6" s="376">
        <f ca="1">SUM('2.3 CF'!L5:L6)</f>
        <v>3050941.1965904888</v>
      </c>
      <c r="M6" s="376">
        <f ca="1">SUM('2.3 CF'!M5:M6)</f>
        <v>4311770.459770022</v>
      </c>
      <c r="N6" s="376">
        <f ca="1">SUM('2.3 CF'!N5:N6)</f>
        <v>5269186.4939706</v>
      </c>
      <c r="O6" s="376">
        <f ca="1">SUM('2.3 CF'!O5:O6)</f>
        <v>7015097.0067715896</v>
      </c>
      <c r="P6" s="376">
        <f ca="1">SUM('2.3 CF'!P5:P6)</f>
        <v>8455229.422221195</v>
      </c>
      <c r="Q6" s="376">
        <f ca="1">SUM('2.3 CF'!Q5:Q6)</f>
        <v>9995291.3513867147</v>
      </c>
      <c r="R6" s="376">
        <f ca="1">SUM('2.3 CF'!R5:R6)</f>
        <v>11609186.192646474</v>
      </c>
      <c r="S6" s="376">
        <f ca="1">SUM('2.3 CF'!S5:S6)</f>
        <v>13777869.638878776</v>
      </c>
      <c r="T6" s="376">
        <f ca="1">SUM('2.3 CF'!T5:T6)</f>
        <v>15353677.258686677</v>
      </c>
      <c r="U6" s="376">
        <f ca="1">SUM('2.3 CF'!U5:U6)</f>
        <v>16746290.936063631</v>
      </c>
      <c r="V6" s="376">
        <f ca="1">SUM('2.3 CF'!V5:V6)</f>
        <v>19269201.781953413</v>
      </c>
      <c r="W6" s="376">
        <f ca="1">SUM('2.3 CF'!W5:W6)</f>
        <v>21668060.528175153</v>
      </c>
      <c r="X6" s="376">
        <f ca="1">SUM('2.3 CF'!X5:X6)</f>
        <v>23678701.181757305</v>
      </c>
      <c r="Y6" s="376">
        <f ca="1">SUM('2.3 CF'!Y5:Y6)</f>
        <v>25178797.838682473</v>
      </c>
      <c r="Z6" s="376">
        <f ca="1">SUM('2.3 CF'!Z5:Z6)</f>
        <v>27930463.340847492</v>
      </c>
      <c r="AA6" s="376">
        <f ca="1">SUM('2.3 CF'!AA5:AA6)</f>
        <v>30420083.591753505</v>
      </c>
      <c r="AB6" s="376">
        <f ca="1">SUM('2.3 CF'!AB5:AB6)</f>
        <v>32620677.763053101</v>
      </c>
      <c r="AC6" s="376">
        <f ca="1">SUM('2.3 CF'!AC5:AC6)</f>
        <v>36248788.677524567</v>
      </c>
      <c r="AD6" s="376">
        <f ca="1">SUM('2.3 CF'!AD5:AD6)</f>
        <v>40135434.594664253</v>
      </c>
      <c r="AE6" s="376">
        <f ca="1">SUM('2.3 CF'!AE5:AE6)</f>
        <v>42757519.500497438</v>
      </c>
      <c r="AF6" s="376">
        <f ca="1">SUM('2.3 CF'!AF5:AF6)</f>
        <v>44992413.910074547</v>
      </c>
      <c r="AG6" s="376">
        <f ca="1">SUM('2.3 CF'!AG5:AG6)</f>
        <v>46458569.950647153</v>
      </c>
      <c r="AH6" s="376">
        <f ca="1">SUM('2.3 CF'!AH5:AH6)</f>
        <v>52340326.953072175</v>
      </c>
      <c r="AI6" s="376">
        <f ca="1">SUM('2.3 CF'!AI5:AI6)</f>
        <v>58444180.863804221</v>
      </c>
      <c r="AJ6" s="376">
        <f ca="1">SUM('2.3 CF'!AJ5:AJ6)</f>
        <v>63724918.569825381</v>
      </c>
      <c r="AK6" s="376">
        <f ca="1">SUM('2.3 CF'!AK5:AK6)</f>
        <v>68283585.372715101</v>
      </c>
      <c r="AL6" s="376">
        <f ca="1">SUM('2.3 CF'!AL5:AL6)</f>
        <v>75925645.880436167</v>
      </c>
      <c r="AM6" s="376">
        <f ca="1">SUM('2.3 CF'!AM5:AM6)</f>
        <v>83828749.598112747</v>
      </c>
      <c r="AN6" s="376">
        <f ca="1">SUM('2.3 CF'!AN5:AN6)</f>
        <v>90620788.822515726</v>
      </c>
      <c r="AP6" s="21"/>
    </row>
    <row r="7" spans="1:42" ht="11.5" customHeight="1" x14ac:dyDescent="0.25">
      <c r="C7" s="22" t="s">
        <v>987</v>
      </c>
      <c r="D7" s="96" t="s">
        <v>46</v>
      </c>
      <c r="E7" s="784">
        <f>'2.3 CF'!E29</f>
        <v>0</v>
      </c>
      <c r="F7" s="530">
        <f>'2.3 CF'!F29</f>
        <v>0</v>
      </c>
      <c r="G7" s="530">
        <f>'2.3 CF'!G29</f>
        <v>0</v>
      </c>
      <c r="H7" s="530">
        <f>'2.3 CF'!H29</f>
        <v>0</v>
      </c>
      <c r="I7" s="530">
        <f>'2.3 CF'!I29</f>
        <v>0</v>
      </c>
      <c r="J7" s="530">
        <f>'2.3 CF'!J29</f>
        <v>0</v>
      </c>
      <c r="K7" s="530">
        <f>'2.3 CF'!K29</f>
        <v>0</v>
      </c>
      <c r="L7" s="530">
        <f>'2.3 CF'!L29</f>
        <v>0</v>
      </c>
      <c r="M7" s="530">
        <f>'2.3 CF'!M29</f>
        <v>0</v>
      </c>
      <c r="N7" s="530">
        <f>'2.3 CF'!N29</f>
        <v>0</v>
      </c>
      <c r="O7" s="530">
        <f>'2.3 CF'!O29</f>
        <v>0</v>
      </c>
      <c r="P7" s="530">
        <f>'2.3 CF'!P29</f>
        <v>0</v>
      </c>
      <c r="Q7" s="530">
        <f>'2.3 CF'!Q29</f>
        <v>0</v>
      </c>
      <c r="R7" s="530">
        <f>'2.3 CF'!R29</f>
        <v>0</v>
      </c>
      <c r="S7" s="530">
        <f>'2.3 CF'!S29</f>
        <v>0</v>
      </c>
      <c r="T7" s="530">
        <f>'2.3 CF'!T29</f>
        <v>0</v>
      </c>
      <c r="U7" s="530">
        <f>'2.3 CF'!U29</f>
        <v>0</v>
      </c>
      <c r="V7" s="530">
        <f>'2.3 CF'!V29</f>
        <v>0</v>
      </c>
      <c r="W7" s="530">
        <f>'2.3 CF'!W29</f>
        <v>0</v>
      </c>
      <c r="X7" s="530">
        <f>'2.3 CF'!X29</f>
        <v>0</v>
      </c>
      <c r="Y7" s="530">
        <f>'2.3 CF'!Y29</f>
        <v>0</v>
      </c>
      <c r="Z7" s="530">
        <f>'2.3 CF'!Z29</f>
        <v>0</v>
      </c>
      <c r="AA7" s="530">
        <f>'2.3 CF'!AA29</f>
        <v>0</v>
      </c>
      <c r="AB7" s="530">
        <f>'2.3 CF'!AB29</f>
        <v>0</v>
      </c>
      <c r="AC7" s="530">
        <f>'2.3 CF'!AC29</f>
        <v>0</v>
      </c>
      <c r="AD7" s="530">
        <f>'2.3 CF'!AD29</f>
        <v>0</v>
      </c>
      <c r="AE7" s="530">
        <f>'2.3 CF'!AE29</f>
        <v>0</v>
      </c>
      <c r="AF7" s="530">
        <f>'2.3 CF'!AF29</f>
        <v>0</v>
      </c>
      <c r="AG7" s="530">
        <f>'2.3 CF'!AG29</f>
        <v>0</v>
      </c>
      <c r="AH7" s="530">
        <f>'2.3 CF'!AH29</f>
        <v>0</v>
      </c>
      <c r="AI7" s="530">
        <f>'2.3 CF'!AI29</f>
        <v>0</v>
      </c>
      <c r="AJ7" s="530">
        <f>'2.3 CF'!AJ29</f>
        <v>0</v>
      </c>
      <c r="AK7" s="530">
        <f>'2.3 CF'!AK29</f>
        <v>0</v>
      </c>
      <c r="AL7" s="530">
        <f>'2.3 CF'!AL29</f>
        <v>0</v>
      </c>
      <c r="AM7" s="530">
        <f>'2.3 CF'!AM29</f>
        <v>0</v>
      </c>
      <c r="AN7" s="530">
        <f>'2.3 CF'!AN29</f>
        <v>0</v>
      </c>
      <c r="AP7" s="22"/>
    </row>
    <row r="8" spans="1:42" ht="11.5" customHeight="1" x14ac:dyDescent="0.25">
      <c r="C8" s="22" t="s">
        <v>988</v>
      </c>
      <c r="D8" s="96" t="s">
        <v>46</v>
      </c>
      <c r="E8" s="784">
        <f>'3.9 Equity Financing'!E13</f>
        <v>393750</v>
      </c>
      <c r="F8" s="530">
        <f ca="1">'3.9 Equity Financing'!F13</f>
        <v>0</v>
      </c>
      <c r="G8" s="530">
        <f ca="1">'3.9 Equity Financing'!G13</f>
        <v>0</v>
      </c>
      <c r="H8" s="530">
        <f ca="1">'3.9 Equity Financing'!H13</f>
        <v>3000000</v>
      </c>
      <c r="I8" s="530">
        <f ca="1">'3.9 Equity Financing'!I13</f>
        <v>0</v>
      </c>
      <c r="J8" s="530">
        <f ca="1">'3.9 Equity Financing'!J13</f>
        <v>0</v>
      </c>
      <c r="K8" s="530">
        <f ca="1">'3.9 Equity Financing'!K13</f>
        <v>0</v>
      </c>
      <c r="L8" s="530">
        <f ca="1">'3.9 Equity Financing'!L13</f>
        <v>7500000</v>
      </c>
      <c r="M8" s="530">
        <f ca="1">'3.9 Equity Financing'!M13</f>
        <v>0</v>
      </c>
      <c r="N8" s="530">
        <f ca="1">'3.9 Equity Financing'!N13</f>
        <v>0</v>
      </c>
      <c r="O8" s="530">
        <f ca="1">'3.9 Equity Financing'!O13</f>
        <v>0</v>
      </c>
      <c r="P8" s="530">
        <f ca="1">'3.9 Equity Financing'!P13</f>
        <v>0</v>
      </c>
      <c r="Q8" s="530">
        <f ca="1">'3.9 Equity Financing'!R13</f>
        <v>0</v>
      </c>
      <c r="R8" s="530">
        <f ca="1">'3.9 Equity Financing'!S13</f>
        <v>0</v>
      </c>
      <c r="S8" s="530">
        <f ca="1">'3.9 Equity Financing'!T13</f>
        <v>0</v>
      </c>
      <c r="T8" s="530">
        <f ca="1">'3.9 Equity Financing'!U13</f>
        <v>0</v>
      </c>
      <c r="U8" s="530">
        <f ca="1">'3.9 Equity Financing'!V13</f>
        <v>0</v>
      </c>
      <c r="V8" s="530">
        <f ca="1">'3.9 Equity Financing'!W13</f>
        <v>0</v>
      </c>
      <c r="W8" s="530">
        <f ca="1">'3.9 Equity Financing'!X13</f>
        <v>0</v>
      </c>
      <c r="X8" s="530">
        <f ca="1">'3.9 Equity Financing'!Y13</f>
        <v>26250000</v>
      </c>
      <c r="Y8" s="530">
        <f ca="1">'3.9 Equity Financing'!Z13</f>
        <v>0</v>
      </c>
      <c r="Z8" s="530">
        <f ca="1">'3.9 Equity Financing'!AA13</f>
        <v>0</v>
      </c>
      <c r="AA8" s="530">
        <f ca="1">'3.9 Equity Financing'!AB13</f>
        <v>0</v>
      </c>
      <c r="AB8" s="530">
        <f ca="1">'3.9 Equity Financing'!AC13</f>
        <v>0</v>
      </c>
      <c r="AC8" s="530">
        <f ca="1">'3.9 Equity Financing'!AD13</f>
        <v>0</v>
      </c>
      <c r="AD8" s="530">
        <f ca="1">'3.9 Equity Financing'!AE13</f>
        <v>0</v>
      </c>
      <c r="AE8" s="530">
        <f ca="1">'3.9 Equity Financing'!AF13</f>
        <v>0</v>
      </c>
      <c r="AF8" s="530">
        <f ca="1">'3.9 Equity Financing'!AG13</f>
        <v>0</v>
      </c>
      <c r="AG8" s="530">
        <f ca="1">'3.9 Equity Financing'!AH13</f>
        <v>52500000</v>
      </c>
      <c r="AH8" s="530">
        <f ca="1">'3.9 Equity Financing'!AI13</f>
        <v>0</v>
      </c>
      <c r="AI8" s="530">
        <f ca="1">'3.9 Equity Financing'!AJ13</f>
        <v>0</v>
      </c>
      <c r="AJ8" s="530">
        <f ca="1">'3.9 Equity Financing'!AK13</f>
        <v>0</v>
      </c>
      <c r="AK8" s="530">
        <f ca="1">'3.9 Equity Financing'!AL13</f>
        <v>0</v>
      </c>
      <c r="AL8" s="530">
        <f ca="1">'3.9 Equity Financing'!AM13</f>
        <v>0</v>
      </c>
      <c r="AM8" s="530">
        <f ca="1">'3.9 Equity Financing'!AN13</f>
        <v>91875000</v>
      </c>
      <c r="AN8" s="530">
        <f>'3.9 Equity Financing'!AO13</f>
        <v>0</v>
      </c>
      <c r="AP8" s="22"/>
    </row>
    <row r="9" spans="1:42" s="44" customFormat="1" ht="11.5" customHeight="1" x14ac:dyDescent="0.25">
      <c r="C9" s="22" t="s">
        <v>989</v>
      </c>
      <c r="D9" s="96" t="s">
        <v>46</v>
      </c>
      <c r="E9" s="784">
        <f>'1.1 Control Panel'!$E$51</f>
        <v>25000</v>
      </c>
      <c r="F9" s="530">
        <f>'1.1 Control Panel'!$E$51</f>
        <v>25000</v>
      </c>
      <c r="G9" s="530">
        <f>'1.1 Control Panel'!$E$51</f>
        <v>25000</v>
      </c>
      <c r="H9" s="530">
        <f>'1.1 Control Panel'!$E$51</f>
        <v>25000</v>
      </c>
      <c r="I9" s="530">
        <f>'1.1 Control Panel'!$E$51</f>
        <v>25000</v>
      </c>
      <c r="J9" s="530">
        <f>'1.1 Control Panel'!$E$51</f>
        <v>25000</v>
      </c>
      <c r="K9" s="530">
        <f>'1.1 Control Panel'!$E$51</f>
        <v>25000</v>
      </c>
      <c r="L9" s="530">
        <f>'1.1 Control Panel'!$E$51</f>
        <v>25000</v>
      </c>
      <c r="M9" s="530">
        <f>'1.1 Control Panel'!$E$51</f>
        <v>25000</v>
      </c>
      <c r="N9" s="530">
        <f>'1.1 Control Panel'!$E$51</f>
        <v>25000</v>
      </c>
      <c r="O9" s="530">
        <f>'1.1 Control Panel'!$E$51</f>
        <v>25000</v>
      </c>
      <c r="P9" s="530">
        <f>'1.1 Control Panel'!$E$51</f>
        <v>25000</v>
      </c>
      <c r="Q9" s="530">
        <f>'1.1 Control Panel'!$E$51</f>
        <v>25000</v>
      </c>
      <c r="R9" s="530">
        <f>'1.1 Control Panel'!$E$51</f>
        <v>25000</v>
      </c>
      <c r="S9" s="530">
        <f>'1.1 Control Panel'!$E$51</f>
        <v>25000</v>
      </c>
      <c r="T9" s="530">
        <f>'1.1 Control Panel'!$E$51</f>
        <v>25000</v>
      </c>
      <c r="U9" s="530">
        <f>'1.1 Control Panel'!$E$51</f>
        <v>25000</v>
      </c>
      <c r="V9" s="530">
        <f>'1.1 Control Panel'!$E$51</f>
        <v>25000</v>
      </c>
      <c r="W9" s="530">
        <f>'1.1 Control Panel'!$E$51</f>
        <v>25000</v>
      </c>
      <c r="X9" s="530">
        <f>'1.1 Control Panel'!$E$51</f>
        <v>25000</v>
      </c>
      <c r="Y9" s="530">
        <f>'1.1 Control Panel'!$E$51</f>
        <v>25000</v>
      </c>
      <c r="Z9" s="530">
        <f>'1.1 Control Panel'!$E$51</f>
        <v>25000</v>
      </c>
      <c r="AA9" s="530">
        <f>'1.1 Control Panel'!$E$51</f>
        <v>25000</v>
      </c>
      <c r="AB9" s="530">
        <f>'1.1 Control Panel'!$E$51</f>
        <v>25000</v>
      </c>
      <c r="AC9" s="530">
        <f>'1.1 Control Panel'!$E$51</f>
        <v>25000</v>
      </c>
      <c r="AD9" s="530">
        <f>'1.1 Control Panel'!$E$51</f>
        <v>25000</v>
      </c>
      <c r="AE9" s="530">
        <f>'1.1 Control Panel'!$E$51</f>
        <v>25000</v>
      </c>
      <c r="AF9" s="530">
        <f>'1.1 Control Panel'!$E$51</f>
        <v>25000</v>
      </c>
      <c r="AG9" s="530">
        <f>'1.1 Control Panel'!$E$51</f>
        <v>25000</v>
      </c>
      <c r="AH9" s="530">
        <f>'1.1 Control Panel'!$E$51</f>
        <v>25000</v>
      </c>
      <c r="AI9" s="530">
        <f>'1.1 Control Panel'!$E$51</f>
        <v>25000</v>
      </c>
      <c r="AJ9" s="530">
        <f>'1.1 Control Panel'!$E$51</f>
        <v>25000</v>
      </c>
      <c r="AK9" s="530">
        <f>'1.1 Control Panel'!$E$51</f>
        <v>25000</v>
      </c>
      <c r="AL9" s="530">
        <f>'1.1 Control Panel'!$E$51</f>
        <v>25000</v>
      </c>
      <c r="AM9" s="530">
        <f>'1.1 Control Panel'!$E$51</f>
        <v>25000</v>
      </c>
      <c r="AN9" s="530">
        <f>'1.1 Control Panel'!$E$51</f>
        <v>25000</v>
      </c>
      <c r="AO9" s="3"/>
      <c r="AP9" s="22"/>
    </row>
    <row r="10" spans="1:42" ht="11.5" customHeight="1" x14ac:dyDescent="0.25">
      <c r="C10" s="11" t="s">
        <v>876</v>
      </c>
      <c r="D10" s="104" t="s">
        <v>46</v>
      </c>
      <c r="E10" s="378">
        <f ca="1">SUM(E5:E8)-E9</f>
        <v>-51913.247352797131</v>
      </c>
      <c r="F10" s="378">
        <f t="shared" ref="F10:AN10" ca="1" si="1">SUM(F5:F8)-F9</f>
        <v>339255.49987152871</v>
      </c>
      <c r="G10" s="378">
        <f t="shared" ca="1" si="1"/>
        <v>563798.75719901919</v>
      </c>
      <c r="H10" s="378">
        <f t="shared" ca="1" si="1"/>
        <v>3707361.4365659002</v>
      </c>
      <c r="I10" s="378">
        <f t="shared" ca="1" si="1"/>
        <v>4277097.7007684875</v>
      </c>
      <c r="J10" s="378">
        <f t="shared" ca="1" si="1"/>
        <v>5595316.2786341477</v>
      </c>
      <c r="K10" s="378">
        <f t="shared" ca="1" si="1"/>
        <v>7993350.9826255739</v>
      </c>
      <c r="L10" s="378">
        <f t="shared" ca="1" si="1"/>
        <v>18542561.231946312</v>
      </c>
      <c r="M10" s="378">
        <f t="shared" ca="1" si="1"/>
        <v>22852600.744446591</v>
      </c>
      <c r="N10" s="378">
        <f t="shared" ca="1" si="1"/>
        <v>28120056.291147441</v>
      </c>
      <c r="O10" s="378">
        <f t="shared" ca="1" si="1"/>
        <v>35133422.350649282</v>
      </c>
      <c r="P10" s="378">
        <f t="shared" ca="1" si="1"/>
        <v>43586920.825600728</v>
      </c>
      <c r="Q10" s="378">
        <f t="shared" ca="1" si="1"/>
        <v>53580481.229717702</v>
      </c>
      <c r="R10" s="378">
        <f t="shared" ca="1" si="1"/>
        <v>65187936.475094423</v>
      </c>
      <c r="S10" s="378">
        <f t="shared" ca="1" si="1"/>
        <v>78964075.166703448</v>
      </c>
      <c r="T10" s="378">
        <f t="shared" ca="1" si="1"/>
        <v>94316021.478120372</v>
      </c>
      <c r="U10" s="378">
        <f t="shared" ca="1" si="1"/>
        <v>111060581.46691425</v>
      </c>
      <c r="V10" s="378">
        <f t="shared" ca="1" si="1"/>
        <v>130328052.30159791</v>
      </c>
      <c r="W10" s="378">
        <f t="shared" ca="1" si="1"/>
        <v>151994381.8825033</v>
      </c>
      <c r="X10" s="378">
        <f t="shared" ca="1" si="1"/>
        <v>201921352.11699086</v>
      </c>
      <c r="Y10" s="378">
        <f t="shared" ca="1" si="1"/>
        <v>200848419.0084036</v>
      </c>
      <c r="Z10" s="378">
        <f t="shared" ca="1" si="1"/>
        <v>255027151.40198135</v>
      </c>
      <c r="AA10" s="378">
        <f t="shared" ca="1" si="1"/>
        <v>285445504.0464651</v>
      </c>
      <c r="AB10" s="378">
        <f t="shared" ca="1" si="1"/>
        <v>318064450.86224848</v>
      </c>
      <c r="AC10" s="378">
        <f t="shared" ca="1" si="1"/>
        <v>354311508.59250331</v>
      </c>
      <c r="AD10" s="378">
        <f t="shared" ca="1" si="1"/>
        <v>394445212.23989785</v>
      </c>
      <c r="AE10" s="378">
        <f t="shared" ca="1" si="1"/>
        <v>437201000.79312551</v>
      </c>
      <c r="AF10" s="378">
        <f t="shared" ca="1" si="1"/>
        <v>482191683.75593024</v>
      </c>
      <c r="AG10" s="378">
        <f t="shared" ca="1" si="1"/>
        <v>581148522.75930762</v>
      </c>
      <c r="AH10" s="378">
        <f t="shared" ca="1" si="1"/>
        <v>580987118.76511014</v>
      </c>
      <c r="AI10" s="378">
        <f t="shared" ca="1" si="1"/>
        <v>691929568.68164456</v>
      </c>
      <c r="AJ10" s="378">
        <f t="shared" ca="1" si="1"/>
        <v>755652756.30420017</v>
      </c>
      <c r="AK10" s="378">
        <f t="shared" ca="1" si="1"/>
        <v>823934610.72964549</v>
      </c>
      <c r="AL10" s="378">
        <f t="shared" ca="1" si="1"/>
        <v>899858525.66281188</v>
      </c>
      <c r="AM10" s="378">
        <f t="shared" ca="1" si="1"/>
        <v>1075560544.3136549</v>
      </c>
      <c r="AN10" s="378">
        <f t="shared" ca="1" si="1"/>
        <v>1074304602.1889009</v>
      </c>
      <c r="AP10" s="11"/>
    </row>
    <row r="11" spans="1:42" ht="3" customHeight="1" x14ac:dyDescent="0.25"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2" ht="11.5" customHeight="1" x14ac:dyDescent="0.25">
      <c r="B12" s="6" t="s">
        <v>0</v>
      </c>
      <c r="C12" s="10" t="s">
        <v>891</v>
      </c>
      <c r="D12" s="29" t="s">
        <v>14</v>
      </c>
      <c r="E12" s="252">
        <v>45688</v>
      </c>
      <c r="F12" s="252">
        <v>45716</v>
      </c>
      <c r="G12" s="252">
        <v>45747</v>
      </c>
      <c r="H12" s="252">
        <v>45777</v>
      </c>
      <c r="I12" s="252">
        <v>45808</v>
      </c>
      <c r="J12" s="252">
        <v>45838</v>
      </c>
      <c r="K12" s="252">
        <v>45869</v>
      </c>
      <c r="L12" s="252">
        <v>45900</v>
      </c>
      <c r="M12" s="252">
        <v>45930</v>
      </c>
      <c r="N12" s="252">
        <v>45961</v>
      </c>
      <c r="O12" s="252">
        <v>45991</v>
      </c>
      <c r="P12" s="252">
        <v>46022</v>
      </c>
      <c r="Q12" s="252">
        <f>E12+365.25</f>
        <v>46053.25</v>
      </c>
      <c r="R12" s="252">
        <f t="shared" ref="R12" si="2">F12+365.25</f>
        <v>46081.25</v>
      </c>
      <c r="S12" s="252">
        <f t="shared" ref="S12" si="3">G12+365.25</f>
        <v>46112.25</v>
      </c>
      <c r="T12" s="252">
        <f t="shared" ref="T12" si="4">H12+365.25</f>
        <v>46142.25</v>
      </c>
      <c r="U12" s="252">
        <f t="shared" ref="U12" si="5">I12+365.25</f>
        <v>46173.25</v>
      </c>
      <c r="V12" s="252">
        <f t="shared" ref="V12" si="6">J12+365.25</f>
        <v>46203.25</v>
      </c>
      <c r="W12" s="252">
        <f t="shared" ref="W12" si="7">K12+365.25</f>
        <v>46234.25</v>
      </c>
      <c r="X12" s="252">
        <f t="shared" ref="X12" si="8">L12+365.25</f>
        <v>46265.25</v>
      </c>
      <c r="Y12" s="252">
        <f t="shared" ref="Y12" si="9">M12+365.25</f>
        <v>46295.25</v>
      </c>
      <c r="Z12" s="252">
        <f t="shared" ref="Z12" si="10">N12+365.25</f>
        <v>46326.25</v>
      </c>
      <c r="AA12" s="252">
        <f t="shared" ref="AA12" si="11">O12+365.25</f>
        <v>46356.25</v>
      </c>
      <c r="AB12" s="252">
        <f t="shared" ref="AB12" si="12">P12+365.25</f>
        <v>46387.25</v>
      </c>
      <c r="AC12" s="252">
        <f t="shared" ref="AC12" si="13">Q12+365.25</f>
        <v>46418.5</v>
      </c>
      <c r="AD12" s="252">
        <f t="shared" ref="AD12" si="14">R12+365.25</f>
        <v>46446.5</v>
      </c>
      <c r="AE12" s="252">
        <f t="shared" ref="AE12" si="15">S12+365.25</f>
        <v>46477.5</v>
      </c>
      <c r="AF12" s="252">
        <f t="shared" ref="AF12" si="16">T12+365.25</f>
        <v>46507.5</v>
      </c>
      <c r="AG12" s="252">
        <f t="shared" ref="AG12" si="17">U12+365.25</f>
        <v>46538.5</v>
      </c>
      <c r="AH12" s="252">
        <f t="shared" ref="AH12" si="18">V12+365.25</f>
        <v>46568.5</v>
      </c>
      <c r="AI12" s="252">
        <f t="shared" ref="AI12" si="19">W12+365.25</f>
        <v>46599.5</v>
      </c>
      <c r="AJ12" s="252">
        <f t="shared" ref="AJ12" si="20">X12+365.25</f>
        <v>46630.5</v>
      </c>
      <c r="AK12" s="252">
        <f t="shared" ref="AK12" si="21">Y12+365.25</f>
        <v>46660.5</v>
      </c>
      <c r="AL12" s="252">
        <f t="shared" ref="AL12" si="22">Z12+365.25</f>
        <v>46691.5</v>
      </c>
      <c r="AM12" s="252">
        <f t="shared" ref="AM12" si="23">AA12+365.25</f>
        <v>46721.5</v>
      </c>
      <c r="AN12" s="252">
        <f t="shared" ref="AN12" si="24">AB12+365.25</f>
        <v>46752.5</v>
      </c>
      <c r="AO12" s="74"/>
      <c r="AP12" s="100" t="s">
        <v>45</v>
      </c>
    </row>
    <row r="13" spans="1:42" ht="11.5" customHeight="1" x14ac:dyDescent="0.25">
      <c r="C13" s="786" t="s">
        <v>990</v>
      </c>
      <c r="D13" s="34" t="s">
        <v>46</v>
      </c>
      <c r="E13" s="28">
        <f>0</f>
        <v>0</v>
      </c>
      <c r="F13" s="28">
        <f ca="1">E16</f>
        <v>52360.282307985006</v>
      </c>
      <c r="G13" s="28">
        <f t="shared" ref="G13:AN13" ca="1" si="25">F16</f>
        <v>51065.670724136558</v>
      </c>
      <c r="H13" s="28">
        <f t="shared" ref="H13" ca="1" si="26">G16</f>
        <v>49760.270710422708</v>
      </c>
      <c r="I13" s="28">
        <f t="shared" ref="I13" ca="1" si="27">H16</f>
        <v>48443.992363261241</v>
      </c>
      <c r="J13" s="28">
        <f t="shared" ref="J13" ca="1" si="28">I16</f>
        <v>47116.745029873426</v>
      </c>
      <c r="K13" s="28">
        <f t="shared" ref="K13" ca="1" si="29">J16</f>
        <v>45778.437302040715</v>
      </c>
      <c r="L13" s="28">
        <f t="shared" ref="L13" ca="1" si="30">K16</f>
        <v>44428.977009809394</v>
      </c>
      <c r="M13" s="28">
        <f t="shared" ref="M13" ca="1" si="31">L16</f>
        <v>43068.271215142813</v>
      </c>
      <c r="N13" s="28">
        <f t="shared" ref="N13" ca="1" si="32">M16</f>
        <v>41696.226205520681</v>
      </c>
      <c r="O13" s="28">
        <f t="shared" ref="O13" ca="1" si="33">N16</f>
        <v>40312.74748748503</v>
      </c>
      <c r="P13" s="28">
        <f t="shared" ref="P13" ca="1" si="34">O16</f>
        <v>38917.739780132411</v>
      </c>
      <c r="Q13" s="28">
        <f t="shared" ref="Q13" ca="1" si="35">P16</f>
        <v>37511.107008551859</v>
      </c>
      <c r="R13" s="28">
        <f t="shared" ref="R13" ca="1" si="36">Q16</f>
        <v>36092.752297208135</v>
      </c>
      <c r="S13" s="28">
        <f t="shared" ref="S13" ca="1" si="37">R16</f>
        <v>34662.577963269876</v>
      </c>
      <c r="T13" s="28">
        <f t="shared" ref="T13" ca="1" si="38">S16</f>
        <v>33220.485509882135</v>
      </c>
      <c r="U13" s="28">
        <f t="shared" ref="U13" ca="1" si="39">T16</f>
        <v>31766.37561938283</v>
      </c>
      <c r="V13" s="28">
        <f t="shared" ref="V13" ca="1" si="40">U16</f>
        <v>30300.148146462696</v>
      </c>
      <c r="W13" s="28">
        <f t="shared" ref="W13" ca="1" si="41">V16</f>
        <v>28821.702111268227</v>
      </c>
      <c r="X13" s="28">
        <f t="shared" ref="X13" ca="1" si="42">W16</f>
        <v>27330.935692447139</v>
      </c>
      <c r="Y13" s="28">
        <f t="shared" ref="Y13" ca="1" si="43">X16</f>
        <v>25827.746220135876</v>
      </c>
      <c r="Z13" s="28">
        <f t="shared" ref="Z13" ca="1" si="44">Y16</f>
        <v>24312.030168888683</v>
      </c>
      <c r="AA13" s="28">
        <f t="shared" ref="AA13" ca="1" si="45">Z16</f>
        <v>22783.683150547764</v>
      </c>
      <c r="AB13" s="28">
        <f t="shared" ref="AB13" ca="1" si="46">AA16</f>
        <v>21242.599907054006</v>
      </c>
      <c r="AC13" s="28">
        <f t="shared" ref="AC13" ca="1" si="47">AB16</f>
        <v>19688.674303197797</v>
      </c>
      <c r="AD13" s="28">
        <f t="shared" ref="AD13" ca="1" si="48">AC16</f>
        <v>18121.799319309455</v>
      </c>
      <c r="AE13" s="28">
        <f t="shared" ref="AE13" ca="1" si="49">AD16</f>
        <v>16541.867043888709</v>
      </c>
      <c r="AF13" s="28">
        <f t="shared" ref="AF13" ca="1" si="50">AE16</f>
        <v>14948.768666172791</v>
      </c>
      <c r="AG13" s="28">
        <f t="shared" ref="AG13" ca="1" si="51">AF16</f>
        <v>13342.394468642573</v>
      </c>
      <c r="AH13" s="28">
        <f t="shared" ref="AH13" ca="1" si="52">AG16</f>
        <v>11722.633819466269</v>
      </c>
      <c r="AI13" s="28">
        <f t="shared" ref="AI13" ca="1" si="53">AH16</f>
        <v>10089.375164880164</v>
      </c>
      <c r="AJ13" s="28">
        <f t="shared" ref="AJ13" ca="1" si="54">AI16</f>
        <v>8442.506021505842</v>
      </c>
      <c r="AK13" s="28">
        <f t="shared" ref="AK13" ca="1" si="55">AJ16</f>
        <v>6781.9129686033993</v>
      </c>
      <c r="AL13" s="28">
        <f t="shared" ref="AL13" ca="1" si="56">AK16</f>
        <v>5107.4816402601036</v>
      </c>
      <c r="AM13" s="28">
        <f t="shared" ref="AM13" ca="1" si="57">AL16</f>
        <v>3419.0967175139467</v>
      </c>
      <c r="AN13" s="28">
        <f t="shared" ref="AN13" ca="1" si="58">AM16</f>
        <v>1716.6419204115721</v>
      </c>
      <c r="AP13" s="20"/>
    </row>
    <row r="14" spans="1:42" ht="11.5" customHeight="1" x14ac:dyDescent="0.25">
      <c r="C14" s="21" t="s">
        <v>892</v>
      </c>
      <c r="D14" s="38" t="s">
        <v>46</v>
      </c>
      <c r="E14" s="376">
        <f ca="1">E20</f>
        <v>53644.194622545452</v>
      </c>
      <c r="F14" s="376">
        <f ca="1">F20</f>
        <v>0</v>
      </c>
      <c r="G14" s="376">
        <f t="shared" ref="G14:AN14" ca="1" si="59">G20</f>
        <v>0</v>
      </c>
      <c r="H14" s="376">
        <f t="shared" ca="1" si="59"/>
        <v>0</v>
      </c>
      <c r="I14" s="376">
        <f t="shared" ca="1" si="59"/>
        <v>0</v>
      </c>
      <c r="J14" s="376">
        <f t="shared" ca="1" si="59"/>
        <v>0</v>
      </c>
      <c r="K14" s="376">
        <f t="shared" ca="1" si="59"/>
        <v>0</v>
      </c>
      <c r="L14" s="376">
        <f t="shared" ca="1" si="59"/>
        <v>0</v>
      </c>
      <c r="M14" s="376">
        <f t="shared" ca="1" si="59"/>
        <v>0</v>
      </c>
      <c r="N14" s="376">
        <f t="shared" ca="1" si="59"/>
        <v>0</v>
      </c>
      <c r="O14" s="376">
        <f t="shared" ca="1" si="59"/>
        <v>0</v>
      </c>
      <c r="P14" s="376">
        <f t="shared" ca="1" si="59"/>
        <v>0</v>
      </c>
      <c r="Q14" s="376">
        <f t="shared" ca="1" si="59"/>
        <v>0</v>
      </c>
      <c r="R14" s="376">
        <f t="shared" ca="1" si="59"/>
        <v>0</v>
      </c>
      <c r="S14" s="376">
        <f t="shared" ca="1" si="59"/>
        <v>0</v>
      </c>
      <c r="T14" s="376">
        <f t="shared" ca="1" si="59"/>
        <v>0</v>
      </c>
      <c r="U14" s="376">
        <f t="shared" ca="1" si="59"/>
        <v>0</v>
      </c>
      <c r="V14" s="376">
        <f t="shared" ca="1" si="59"/>
        <v>0</v>
      </c>
      <c r="W14" s="376">
        <f t="shared" ca="1" si="59"/>
        <v>0</v>
      </c>
      <c r="X14" s="376">
        <f t="shared" ca="1" si="59"/>
        <v>0</v>
      </c>
      <c r="Y14" s="376">
        <f t="shared" ca="1" si="59"/>
        <v>0</v>
      </c>
      <c r="Z14" s="376">
        <f t="shared" ca="1" si="59"/>
        <v>0</v>
      </c>
      <c r="AA14" s="376">
        <f t="shared" ca="1" si="59"/>
        <v>0</v>
      </c>
      <c r="AB14" s="376">
        <f t="shared" ca="1" si="59"/>
        <v>0</v>
      </c>
      <c r="AC14" s="376">
        <f t="shared" ca="1" si="59"/>
        <v>0</v>
      </c>
      <c r="AD14" s="376">
        <f t="shared" ca="1" si="59"/>
        <v>0</v>
      </c>
      <c r="AE14" s="376">
        <f t="shared" ca="1" si="59"/>
        <v>0</v>
      </c>
      <c r="AF14" s="376">
        <f t="shared" ca="1" si="59"/>
        <v>0</v>
      </c>
      <c r="AG14" s="376">
        <f t="shared" ca="1" si="59"/>
        <v>0</v>
      </c>
      <c r="AH14" s="376">
        <f t="shared" ca="1" si="59"/>
        <v>0</v>
      </c>
      <c r="AI14" s="376">
        <f t="shared" ca="1" si="59"/>
        <v>0</v>
      </c>
      <c r="AJ14" s="376">
        <f t="shared" ca="1" si="59"/>
        <v>0</v>
      </c>
      <c r="AK14" s="376">
        <f t="shared" ca="1" si="59"/>
        <v>0</v>
      </c>
      <c r="AL14" s="376">
        <f t="shared" ca="1" si="59"/>
        <v>0</v>
      </c>
      <c r="AM14" s="376">
        <f t="shared" ca="1" si="59"/>
        <v>0</v>
      </c>
      <c r="AN14" s="376">
        <f t="shared" ca="1" si="59"/>
        <v>0</v>
      </c>
      <c r="AP14" s="21"/>
    </row>
    <row r="15" spans="1:42" ht="11.5" customHeight="1" x14ac:dyDescent="0.25">
      <c r="C15" s="21" t="s">
        <v>893</v>
      </c>
      <c r="D15" s="38" t="s">
        <v>46</v>
      </c>
      <c r="E15" s="376">
        <f ca="1">E59</f>
        <v>-1283.9123145604456</v>
      </c>
      <c r="F15" s="376">
        <f t="shared" ref="F15:AF15" ca="1" si="60">F59</f>
        <v>-1294.6115838484493</v>
      </c>
      <c r="G15" s="376">
        <f t="shared" ref="G15:AN15" ca="1" si="61">G59</f>
        <v>-1305.400013713853</v>
      </c>
      <c r="H15" s="376">
        <f t="shared" ca="1" si="61"/>
        <v>-1316.2783471614684</v>
      </c>
      <c r="I15" s="376">
        <f t="shared" ca="1" si="61"/>
        <v>-1327.247333387814</v>
      </c>
      <c r="J15" s="376">
        <f t="shared" ca="1" si="61"/>
        <v>-1338.3077278327125</v>
      </c>
      <c r="K15" s="376">
        <f t="shared" ca="1" si="61"/>
        <v>-1349.4602922313184</v>
      </c>
      <c r="L15" s="376">
        <f t="shared" ca="1" si="61"/>
        <v>-1360.7057946665793</v>
      </c>
      <c r="M15" s="376">
        <f t="shared" ca="1" si="61"/>
        <v>-1372.0450096221341</v>
      </c>
      <c r="N15" s="376">
        <f t="shared" ca="1" si="61"/>
        <v>-1383.478718035652</v>
      </c>
      <c r="O15" s="376">
        <f t="shared" ca="1" si="61"/>
        <v>-1395.0077073526159</v>
      </c>
      <c r="P15" s="376">
        <f t="shared" ca="1" si="61"/>
        <v>-1406.6327715805542</v>
      </c>
      <c r="Q15" s="376">
        <f t="shared" ca="1" si="61"/>
        <v>-1418.3547113437255</v>
      </c>
      <c r="R15" s="376">
        <f t="shared" ca="1" si="61"/>
        <v>-1430.1743339382565</v>
      </c>
      <c r="S15" s="376">
        <f t="shared" ca="1" si="61"/>
        <v>-1442.0924533877421</v>
      </c>
      <c r="T15" s="376">
        <f t="shared" ca="1" si="61"/>
        <v>-1454.1098904993066</v>
      </c>
      <c r="U15" s="376">
        <f t="shared" ca="1" si="61"/>
        <v>-1466.227472920134</v>
      </c>
      <c r="V15" s="376">
        <f t="shared" ca="1" si="61"/>
        <v>-1478.4460351944685</v>
      </c>
      <c r="W15" s="376">
        <f t="shared" ca="1" si="61"/>
        <v>-1490.766418821089</v>
      </c>
      <c r="X15" s="376">
        <f t="shared" ca="1" si="61"/>
        <v>-1503.1894723112648</v>
      </c>
      <c r="Y15" s="376">
        <f t="shared" ca="1" si="61"/>
        <v>-1515.7160512471919</v>
      </c>
      <c r="Z15" s="376">
        <f t="shared" ca="1" si="61"/>
        <v>-1528.3470183409186</v>
      </c>
      <c r="AA15" s="376">
        <f t="shared" ca="1" si="61"/>
        <v>-1541.0832434937597</v>
      </c>
      <c r="AB15" s="376">
        <f t="shared" ca="1" si="61"/>
        <v>-1553.9256038562075</v>
      </c>
      <c r="AC15" s="376">
        <f t="shared" ca="1" si="61"/>
        <v>-1566.8749838883427</v>
      </c>
      <c r="AD15" s="376">
        <f t="shared" ca="1" si="61"/>
        <v>-1579.9322754207456</v>
      </c>
      <c r="AE15" s="376">
        <f t="shared" ca="1" si="61"/>
        <v>-1593.0983777159183</v>
      </c>
      <c r="AF15" s="376">
        <f t="shared" ca="1" si="61"/>
        <v>-1606.3741975302178</v>
      </c>
      <c r="AG15" s="376">
        <f t="shared" ca="1" si="61"/>
        <v>-1619.7606491763029</v>
      </c>
      <c r="AH15" s="376">
        <f t="shared" ca="1" si="61"/>
        <v>-1633.2586545861054</v>
      </c>
      <c r="AI15" s="376">
        <f t="shared" ca="1" si="61"/>
        <v>-1646.8691433743229</v>
      </c>
      <c r="AJ15" s="376">
        <f t="shared" ca="1" si="61"/>
        <v>-1660.5930529024422</v>
      </c>
      <c r="AK15" s="376">
        <f t="shared" ca="1" si="61"/>
        <v>-1674.4313283432959</v>
      </c>
      <c r="AL15" s="376">
        <f t="shared" ca="1" si="61"/>
        <v>-1688.3849227461567</v>
      </c>
      <c r="AM15" s="376">
        <f t="shared" ca="1" si="61"/>
        <v>-1702.4547971023746</v>
      </c>
      <c r="AN15" s="376">
        <f t="shared" ca="1" si="61"/>
        <v>-1716.6419204115612</v>
      </c>
      <c r="AP15" s="21"/>
    </row>
    <row r="16" spans="1:42" ht="11.5" customHeight="1" x14ac:dyDescent="0.25">
      <c r="C16" s="22" t="s">
        <v>894</v>
      </c>
      <c r="D16" s="96" t="s">
        <v>46</v>
      </c>
      <c r="E16" s="530">
        <f t="shared" ref="E16:J16" ca="1" si="62">SUM(E13:E15)</f>
        <v>52360.282307985006</v>
      </c>
      <c r="F16" s="530">
        <f t="shared" ca="1" si="62"/>
        <v>51065.670724136558</v>
      </c>
      <c r="G16" s="530">
        <f t="shared" ref="G16:AN16" ca="1" si="63">SUM(G13:G15)</f>
        <v>49760.270710422708</v>
      </c>
      <c r="H16" s="530">
        <f t="shared" ca="1" si="63"/>
        <v>48443.992363261241</v>
      </c>
      <c r="I16" s="530">
        <f t="shared" ca="1" si="63"/>
        <v>47116.745029873426</v>
      </c>
      <c r="J16" s="530">
        <f t="shared" ca="1" si="63"/>
        <v>45778.437302040715</v>
      </c>
      <c r="K16" s="530">
        <f t="shared" ca="1" si="63"/>
        <v>44428.977009809394</v>
      </c>
      <c r="L16" s="530">
        <f t="shared" ca="1" si="63"/>
        <v>43068.271215142813</v>
      </c>
      <c r="M16" s="530">
        <f t="shared" ca="1" si="63"/>
        <v>41696.226205520681</v>
      </c>
      <c r="N16" s="530">
        <f t="shared" ca="1" si="63"/>
        <v>40312.74748748503</v>
      </c>
      <c r="O16" s="530">
        <f t="shared" ca="1" si="63"/>
        <v>38917.739780132411</v>
      </c>
      <c r="P16" s="530">
        <f t="shared" ca="1" si="63"/>
        <v>37511.107008551859</v>
      </c>
      <c r="Q16" s="530">
        <f t="shared" ca="1" si="63"/>
        <v>36092.752297208135</v>
      </c>
      <c r="R16" s="530">
        <f t="shared" ca="1" si="63"/>
        <v>34662.577963269876</v>
      </c>
      <c r="S16" s="530">
        <f t="shared" ca="1" si="63"/>
        <v>33220.485509882135</v>
      </c>
      <c r="T16" s="530">
        <f t="shared" ca="1" si="63"/>
        <v>31766.37561938283</v>
      </c>
      <c r="U16" s="530">
        <f t="shared" ca="1" si="63"/>
        <v>30300.148146462696</v>
      </c>
      <c r="V16" s="530">
        <f t="shared" ca="1" si="63"/>
        <v>28821.702111268227</v>
      </c>
      <c r="W16" s="530">
        <f t="shared" ca="1" si="63"/>
        <v>27330.935692447139</v>
      </c>
      <c r="X16" s="530">
        <f t="shared" ca="1" si="63"/>
        <v>25827.746220135876</v>
      </c>
      <c r="Y16" s="530">
        <f t="shared" ca="1" si="63"/>
        <v>24312.030168888683</v>
      </c>
      <c r="Z16" s="530">
        <f t="shared" ca="1" si="63"/>
        <v>22783.683150547764</v>
      </c>
      <c r="AA16" s="530">
        <f t="shared" ca="1" si="63"/>
        <v>21242.599907054006</v>
      </c>
      <c r="AB16" s="530">
        <f t="shared" ca="1" si="63"/>
        <v>19688.674303197797</v>
      </c>
      <c r="AC16" s="530">
        <f t="shared" ca="1" si="63"/>
        <v>18121.799319309455</v>
      </c>
      <c r="AD16" s="530">
        <f t="shared" ca="1" si="63"/>
        <v>16541.867043888709</v>
      </c>
      <c r="AE16" s="530">
        <f t="shared" ca="1" si="63"/>
        <v>14948.768666172791</v>
      </c>
      <c r="AF16" s="530">
        <f t="shared" ca="1" si="63"/>
        <v>13342.394468642573</v>
      </c>
      <c r="AG16" s="530">
        <f t="shared" ca="1" si="63"/>
        <v>11722.633819466269</v>
      </c>
      <c r="AH16" s="530">
        <f t="shared" ca="1" si="63"/>
        <v>10089.375164880164</v>
      </c>
      <c r="AI16" s="530">
        <f t="shared" ca="1" si="63"/>
        <v>8442.506021505842</v>
      </c>
      <c r="AJ16" s="530">
        <f t="shared" ca="1" si="63"/>
        <v>6781.9129686033993</v>
      </c>
      <c r="AK16" s="530">
        <f t="shared" ca="1" si="63"/>
        <v>5107.4816402601036</v>
      </c>
      <c r="AL16" s="530">
        <f t="shared" ca="1" si="63"/>
        <v>3419.0967175139467</v>
      </c>
      <c r="AM16" s="530">
        <f t="shared" ca="1" si="63"/>
        <v>1716.6419204115721</v>
      </c>
      <c r="AN16" s="530">
        <f t="shared" ca="1" si="63"/>
        <v>1.0913936421275139E-11</v>
      </c>
      <c r="AP16" s="22"/>
    </row>
    <row r="17" spans="2:42" ht="3" customHeight="1" x14ac:dyDescent="0.25"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</row>
    <row r="18" spans="2:42" s="12" customFormat="1" ht="11.5" customHeight="1" x14ac:dyDescent="0.25">
      <c r="B18" s="13" t="s">
        <v>0</v>
      </c>
      <c r="C18" s="655" t="s">
        <v>882</v>
      </c>
      <c r="D18" s="253" t="s">
        <v>14</v>
      </c>
      <c r="E18" s="254">
        <v>45688</v>
      </c>
      <c r="F18" s="254">
        <v>45716</v>
      </c>
      <c r="G18" s="254">
        <v>45747</v>
      </c>
      <c r="H18" s="254">
        <v>45777</v>
      </c>
      <c r="I18" s="254">
        <v>45808</v>
      </c>
      <c r="J18" s="254">
        <v>45838</v>
      </c>
      <c r="K18" s="254">
        <v>45869</v>
      </c>
      <c r="L18" s="254">
        <v>45900</v>
      </c>
      <c r="M18" s="254">
        <v>45930</v>
      </c>
      <c r="N18" s="254">
        <v>45961</v>
      </c>
      <c r="O18" s="254">
        <v>45991</v>
      </c>
      <c r="P18" s="254">
        <v>46022</v>
      </c>
      <c r="Q18" s="254">
        <f>E18+365.25</f>
        <v>46053.25</v>
      </c>
      <c r="R18" s="254">
        <f t="shared" ref="R18" si="64">F18+365.25</f>
        <v>46081.25</v>
      </c>
      <c r="S18" s="254">
        <f t="shared" ref="S18" si="65">G18+365.25</f>
        <v>46112.25</v>
      </c>
      <c r="T18" s="254">
        <f t="shared" ref="T18" si="66">H18+365.25</f>
        <v>46142.25</v>
      </c>
      <c r="U18" s="254">
        <f t="shared" ref="U18" si="67">I18+365.25</f>
        <v>46173.25</v>
      </c>
      <c r="V18" s="254">
        <f t="shared" ref="V18" si="68">J18+365.25</f>
        <v>46203.25</v>
      </c>
      <c r="W18" s="254">
        <f t="shared" ref="W18" si="69">K18+365.25</f>
        <v>46234.25</v>
      </c>
      <c r="X18" s="254">
        <f t="shared" ref="X18" si="70">L18+365.25</f>
        <v>46265.25</v>
      </c>
      <c r="Y18" s="254">
        <f t="shared" ref="Y18" si="71">M18+365.25</f>
        <v>46295.25</v>
      </c>
      <c r="Z18" s="254">
        <f t="shared" ref="Z18" si="72">N18+365.25</f>
        <v>46326.25</v>
      </c>
      <c r="AA18" s="254">
        <f t="shared" ref="AA18" si="73">O18+365.25</f>
        <v>46356.25</v>
      </c>
      <c r="AB18" s="254">
        <f t="shared" ref="AB18" si="74">P18+365.25</f>
        <v>46387.25</v>
      </c>
      <c r="AC18" s="254">
        <f t="shared" ref="AC18" si="75">Q18+365.25</f>
        <v>46418.5</v>
      </c>
      <c r="AD18" s="254">
        <f t="shared" ref="AD18" si="76">R18+365.25</f>
        <v>46446.5</v>
      </c>
      <c r="AE18" s="254">
        <f t="shared" ref="AE18" si="77">S18+365.25</f>
        <v>46477.5</v>
      </c>
      <c r="AF18" s="254">
        <f t="shared" ref="AF18" si="78">T18+365.25</f>
        <v>46507.5</v>
      </c>
      <c r="AG18" s="254">
        <f t="shared" ref="AG18" si="79">U18+365.25</f>
        <v>46538.5</v>
      </c>
      <c r="AH18" s="254">
        <f t="shared" ref="AH18" si="80">V18+365.25</f>
        <v>46568.5</v>
      </c>
      <c r="AI18" s="254">
        <f t="shared" ref="AI18" si="81">W18+365.25</f>
        <v>46599.5</v>
      </c>
      <c r="AJ18" s="254">
        <f t="shared" ref="AJ18" si="82">X18+365.25</f>
        <v>46630.5</v>
      </c>
      <c r="AK18" s="254">
        <f t="shared" ref="AK18" si="83">Y18+365.25</f>
        <v>46660.5</v>
      </c>
      <c r="AL18" s="254">
        <f t="shared" ref="AL18" si="84">Z18+365.25</f>
        <v>46691.5</v>
      </c>
      <c r="AM18" s="254">
        <f t="shared" ref="AM18" si="85">AA18+365.25</f>
        <v>46721.5</v>
      </c>
      <c r="AN18" s="254">
        <f t="shared" ref="AN18" si="86">AB18+365.25</f>
        <v>46752.5</v>
      </c>
      <c r="AP18" s="656" t="s">
        <v>45</v>
      </c>
    </row>
    <row r="19" spans="2:42" s="16" customFormat="1" ht="11.5" customHeight="1" x14ac:dyDescent="0.25">
      <c r="C19" s="662" t="s">
        <v>883</v>
      </c>
      <c r="D19" s="662"/>
      <c r="E19" s="662"/>
      <c r="F19" s="662"/>
      <c r="G19" s="662"/>
      <c r="H19" s="662"/>
      <c r="I19" s="662"/>
      <c r="J19" s="662"/>
      <c r="K19" s="662"/>
      <c r="L19" s="662"/>
      <c r="M19" s="662"/>
      <c r="N19" s="662"/>
      <c r="O19" s="662"/>
      <c r="P19" s="662"/>
      <c r="Q19" s="662"/>
      <c r="R19" s="662"/>
      <c r="S19" s="662"/>
      <c r="T19" s="662"/>
      <c r="U19" s="662"/>
      <c r="V19" s="662"/>
      <c r="W19" s="662"/>
      <c r="X19" s="662"/>
      <c r="Y19" s="662"/>
      <c r="Z19" s="662"/>
      <c r="AA19" s="662"/>
      <c r="AB19" s="662"/>
      <c r="AC19" s="662"/>
      <c r="AD19" s="662"/>
      <c r="AE19" s="662"/>
      <c r="AF19" s="662"/>
      <c r="AG19" s="662"/>
      <c r="AH19" s="662"/>
      <c r="AI19" s="662"/>
      <c r="AJ19" s="662"/>
      <c r="AK19" s="662"/>
      <c r="AL19" s="662"/>
      <c r="AM19" s="662"/>
      <c r="AN19" s="662"/>
      <c r="AO19" s="663"/>
      <c r="AP19" s="662"/>
    </row>
    <row r="20" spans="2:42" ht="11.5" customHeight="1" x14ac:dyDescent="0.25">
      <c r="C20" s="3" t="s">
        <v>884</v>
      </c>
      <c r="D20" s="236" t="s">
        <v>46</v>
      </c>
      <c r="E20" s="787">
        <f t="shared" ref="E20:AN20" ca="1" si="87">-MIN(0,E10+E21)</f>
        <v>53644.194622545452</v>
      </c>
      <c r="F20" s="2">
        <f t="shared" ca="1" si="87"/>
        <v>0</v>
      </c>
      <c r="G20" s="2">
        <f t="shared" ca="1" si="87"/>
        <v>0</v>
      </c>
      <c r="H20" s="2">
        <f t="shared" ca="1" si="87"/>
        <v>0</v>
      </c>
      <c r="I20" s="2">
        <f t="shared" ca="1" si="87"/>
        <v>0</v>
      </c>
      <c r="J20" s="2">
        <f t="shared" ca="1" si="87"/>
        <v>0</v>
      </c>
      <c r="K20" s="2">
        <f t="shared" ca="1" si="87"/>
        <v>0</v>
      </c>
      <c r="L20" s="2">
        <f t="shared" ca="1" si="87"/>
        <v>0</v>
      </c>
      <c r="M20" s="2">
        <f t="shared" ca="1" si="87"/>
        <v>0</v>
      </c>
      <c r="N20" s="2">
        <f t="shared" ca="1" si="87"/>
        <v>0</v>
      </c>
      <c r="O20" s="2">
        <f t="shared" ca="1" si="87"/>
        <v>0</v>
      </c>
      <c r="P20" s="2">
        <f t="shared" ca="1" si="87"/>
        <v>0</v>
      </c>
      <c r="Q20" s="2">
        <f t="shared" ca="1" si="87"/>
        <v>0</v>
      </c>
      <c r="R20" s="2">
        <f t="shared" ca="1" si="87"/>
        <v>0</v>
      </c>
      <c r="S20" s="2">
        <f t="shared" ca="1" si="87"/>
        <v>0</v>
      </c>
      <c r="T20" s="2">
        <f t="shared" ca="1" si="87"/>
        <v>0</v>
      </c>
      <c r="U20" s="2">
        <f t="shared" ca="1" si="87"/>
        <v>0</v>
      </c>
      <c r="V20" s="2">
        <f t="shared" ca="1" si="87"/>
        <v>0</v>
      </c>
      <c r="W20" s="2">
        <f t="shared" ca="1" si="87"/>
        <v>0</v>
      </c>
      <c r="X20" s="2">
        <f t="shared" ca="1" si="87"/>
        <v>0</v>
      </c>
      <c r="Y20" s="2">
        <f t="shared" ca="1" si="87"/>
        <v>0</v>
      </c>
      <c r="Z20" s="2">
        <f t="shared" ca="1" si="87"/>
        <v>0</v>
      </c>
      <c r="AA20" s="2">
        <f t="shared" ca="1" si="87"/>
        <v>0</v>
      </c>
      <c r="AB20" s="2">
        <f t="shared" ca="1" si="87"/>
        <v>0</v>
      </c>
      <c r="AC20" s="2">
        <f t="shared" ca="1" si="87"/>
        <v>0</v>
      </c>
      <c r="AD20" s="2">
        <f t="shared" ca="1" si="87"/>
        <v>0</v>
      </c>
      <c r="AE20" s="2">
        <f t="shared" ca="1" si="87"/>
        <v>0</v>
      </c>
      <c r="AF20" s="2">
        <f t="shared" ca="1" si="87"/>
        <v>0</v>
      </c>
      <c r="AG20" s="2">
        <f t="shared" ca="1" si="87"/>
        <v>0</v>
      </c>
      <c r="AH20" s="2">
        <f t="shared" ca="1" si="87"/>
        <v>0</v>
      </c>
      <c r="AI20" s="2">
        <f t="shared" ca="1" si="87"/>
        <v>0</v>
      </c>
      <c r="AJ20" s="2">
        <f t="shared" ca="1" si="87"/>
        <v>0</v>
      </c>
      <c r="AK20" s="2">
        <f t="shared" ca="1" si="87"/>
        <v>0</v>
      </c>
      <c r="AL20" s="2">
        <f t="shared" ca="1" si="87"/>
        <v>0</v>
      </c>
      <c r="AM20" s="2">
        <f t="shared" ca="1" si="87"/>
        <v>0</v>
      </c>
      <c r="AN20" s="2">
        <f t="shared" ca="1" si="87"/>
        <v>0</v>
      </c>
    </row>
    <row r="21" spans="2:42" ht="11.5" customHeight="1" x14ac:dyDescent="0.25">
      <c r="C21" s="662" t="s">
        <v>889</v>
      </c>
      <c r="D21" s="661" t="s">
        <v>46</v>
      </c>
      <c r="E21" s="668">
        <f ca="1">SUM(E22:E57)</f>
        <v>-1730.9472697483243</v>
      </c>
      <c r="F21" s="667">
        <f t="shared" ref="F21:AN21" ca="1" si="88">SUM(F22:F57)</f>
        <v>-1730.9472697483243</v>
      </c>
      <c r="G21" s="667"/>
      <c r="H21" s="667"/>
      <c r="I21" s="667"/>
      <c r="J21" s="667"/>
      <c r="K21" s="667"/>
      <c r="L21" s="667"/>
      <c r="M21" s="667"/>
      <c r="N21" s="667"/>
      <c r="O21" s="667"/>
      <c r="P21" s="667"/>
      <c r="Q21" s="667"/>
      <c r="R21" s="667"/>
      <c r="S21" s="667"/>
      <c r="T21" s="667"/>
      <c r="U21" s="667"/>
      <c r="V21" s="667"/>
      <c r="W21" s="667"/>
      <c r="X21" s="667"/>
      <c r="Y21" s="667"/>
      <c r="Z21" s="667"/>
      <c r="AA21" s="667"/>
      <c r="AB21" s="667"/>
      <c r="AC21" s="667"/>
      <c r="AD21" s="667"/>
      <c r="AE21" s="667"/>
      <c r="AF21" s="667"/>
      <c r="AG21" s="667"/>
      <c r="AH21" s="667"/>
      <c r="AI21" s="667"/>
      <c r="AJ21" s="667"/>
      <c r="AK21" s="667"/>
      <c r="AL21" s="667"/>
      <c r="AM21" s="667"/>
      <c r="AN21" s="667"/>
      <c r="AO21" s="16"/>
      <c r="AP21" s="657"/>
    </row>
    <row r="22" spans="2:42" ht="11.5" customHeight="1" x14ac:dyDescent="0.25">
      <c r="C22" s="658">
        <v>45688</v>
      </c>
      <c r="D22" s="34" t="s">
        <v>46</v>
      </c>
      <c r="E22" s="785">
        <f ca="1">IF(COUNTA($E18:E18)&gt;'1.1 Control Panel'!$E$41*12,0,PMT('1.1 Control Panel'!$E12/12,'1.1 Control Panel'!$E$41*12,$E$20))</f>
        <v>-1730.9472697483243</v>
      </c>
      <c r="F22" s="785">
        <f ca="1">IF(COUNTA($E18:F18)&gt;'1.1 Control Panel'!$E$41*12,0,PMT('1.1 Control Panel'!$E12/12,'1.1 Control Panel'!$E$41*12,$E$20))</f>
        <v>-1730.9472697483243</v>
      </c>
      <c r="G22" s="28">
        <f ca="1">IF(COUNTA($E18:G18)&gt;'1.1 Control Panel'!$E$41*12,0,PMT('1.1 Control Panel'!$E12/12,'1.1 Control Panel'!$E$41*12,$E$20))</f>
        <v>-1730.9472697483243</v>
      </c>
      <c r="H22" s="28">
        <f ca="1">IF(COUNTA($E18:H18)&gt;'1.1 Control Panel'!$E$41*12,0,PMT('1.1 Control Panel'!$E12/12,'1.1 Control Panel'!$E$41*12,$E$20))</f>
        <v>-1730.9472697483243</v>
      </c>
      <c r="I22" s="28">
        <f ca="1">IF(COUNTA($E18:I18)&gt;'1.1 Control Panel'!$E$41*12,0,PMT('1.1 Control Panel'!$E12/12,'1.1 Control Panel'!$E$41*12,$E$20))</f>
        <v>-1730.9472697483243</v>
      </c>
      <c r="J22" s="28">
        <f ca="1">IF(COUNTA($E18:J18)&gt;'1.1 Control Panel'!$E$41*12,0,PMT('1.1 Control Panel'!$E12/12,'1.1 Control Panel'!$E$41*12,$E$20))</f>
        <v>-1730.9472697483243</v>
      </c>
      <c r="K22" s="28">
        <f ca="1">IF(COUNTA($E18:K18)&gt;'1.1 Control Panel'!$E$41*12,0,PMT('1.1 Control Panel'!$E12/12,'1.1 Control Panel'!$E$41*12,$E$20))</f>
        <v>-1730.9472697483243</v>
      </c>
      <c r="L22" s="28">
        <f ca="1">IF(COUNTA($E18:L18)&gt;'1.1 Control Panel'!$E$41*12,0,PMT('1.1 Control Panel'!$E12/12,'1.1 Control Panel'!$E$41*12,$E$20))</f>
        <v>-1730.9472697483243</v>
      </c>
      <c r="M22" s="28">
        <f ca="1">IF(COUNTA($E18:M18)&gt;'1.1 Control Panel'!$E$41*12,0,PMT('1.1 Control Panel'!$E12/12,'1.1 Control Panel'!$E$41*12,$E$20))</f>
        <v>-1730.9472697483243</v>
      </c>
      <c r="N22" s="28">
        <f ca="1">IF(COUNTA($E18:N18)&gt;'1.1 Control Panel'!$E$41*12,0,PMT('1.1 Control Panel'!$E12/12,'1.1 Control Panel'!$E$41*12,$E$20))</f>
        <v>-1730.9472697483243</v>
      </c>
      <c r="O22" s="28">
        <f ca="1">IF(COUNTA($E18:O18)&gt;'1.1 Control Panel'!$E$41*12,0,PMT('1.1 Control Panel'!$E12/12,'1.1 Control Panel'!$E$41*12,$E$20))</f>
        <v>-1730.9472697483243</v>
      </c>
      <c r="P22" s="28">
        <f ca="1">IF(COUNTA($E18:P18)&gt;'1.1 Control Panel'!$E$41*12,0,PMT('1.1 Control Panel'!$E12/12,'1.1 Control Panel'!$E$41*12,$E$20))</f>
        <v>-1730.9472697483243</v>
      </c>
      <c r="Q22" s="28">
        <f ca="1">IF(COUNTA($E18:Q18)&gt;'1.1 Control Panel'!$E$41*12,0,PMT('1.1 Control Panel'!$E12/12,'1.1 Control Panel'!$E$41*12,$E$20))</f>
        <v>-1730.9472697483243</v>
      </c>
      <c r="R22" s="28">
        <f ca="1">IF(COUNTA($E18:R18)&gt;'1.1 Control Panel'!$E$41*12,0,PMT('1.1 Control Panel'!$E12/12,'1.1 Control Panel'!$E$41*12,$E$20))</f>
        <v>-1730.9472697483243</v>
      </c>
      <c r="S22" s="28">
        <f ca="1">IF(COUNTA($E18:S18)&gt;'1.1 Control Panel'!$E$41*12,0,PMT('1.1 Control Panel'!$E12/12,'1.1 Control Panel'!$E$41*12,$E$20))</f>
        <v>-1730.9472697483243</v>
      </c>
      <c r="T22" s="28">
        <f ca="1">IF(COUNTA($E18:T18)&gt;'1.1 Control Panel'!$E$41*12,0,PMT('1.1 Control Panel'!$E12/12,'1.1 Control Panel'!$E$41*12,$E$20))</f>
        <v>-1730.9472697483243</v>
      </c>
      <c r="U22" s="28">
        <f ca="1">IF(COUNTA($E18:U18)&gt;'1.1 Control Panel'!$E$41*12,0,PMT('1.1 Control Panel'!$E12/12,'1.1 Control Panel'!$E$41*12,$E$20))</f>
        <v>-1730.9472697483243</v>
      </c>
      <c r="V22" s="28">
        <f ca="1">IF(COUNTA($E18:V18)&gt;'1.1 Control Panel'!$E$41*12,0,PMT('1.1 Control Panel'!$E12/12,'1.1 Control Panel'!$E$41*12,$E$20))</f>
        <v>-1730.9472697483243</v>
      </c>
      <c r="W22" s="28">
        <f ca="1">IF(COUNTA($E18:W18)&gt;'1.1 Control Panel'!$E$41*12,0,PMT('1.1 Control Panel'!$E12/12,'1.1 Control Panel'!$E$41*12,$E$20))</f>
        <v>-1730.9472697483243</v>
      </c>
      <c r="X22" s="28">
        <f ca="1">IF(COUNTA($E18:X18)&gt;'1.1 Control Panel'!$E$41*12,0,PMT('1.1 Control Panel'!$E12/12,'1.1 Control Panel'!$E$41*12,$E$20))</f>
        <v>-1730.9472697483243</v>
      </c>
      <c r="Y22" s="28">
        <f ca="1">IF(COUNTA($E18:Y18)&gt;'1.1 Control Panel'!$E$41*12,0,PMT('1.1 Control Panel'!$E12/12,'1.1 Control Panel'!$E$41*12,$E$20))</f>
        <v>-1730.9472697483243</v>
      </c>
      <c r="Z22" s="28">
        <f ca="1">IF(COUNTA($E18:Z18)&gt;'1.1 Control Panel'!$E$41*12,0,PMT('1.1 Control Panel'!$E12/12,'1.1 Control Panel'!$E$41*12,$E$20))</f>
        <v>-1730.9472697483243</v>
      </c>
      <c r="AA22" s="28">
        <f ca="1">IF(COUNTA($E18:AA18)&gt;'1.1 Control Panel'!$E$41*12,0,PMT('1.1 Control Panel'!$E12/12,'1.1 Control Panel'!$E$41*12,$E$20))</f>
        <v>-1730.9472697483243</v>
      </c>
      <c r="AB22" s="28">
        <f ca="1">IF(COUNTA($E18:AB18)&gt;'1.1 Control Panel'!$E$41*12,0,PMT('1.1 Control Panel'!$E12/12,'1.1 Control Panel'!$E$41*12,$E$20))</f>
        <v>-1730.9472697483243</v>
      </c>
      <c r="AC22" s="28">
        <f ca="1">IF(COUNTA($E18:AC18)&gt;'1.1 Control Panel'!$E$41*12,0,PMT('1.1 Control Panel'!$E12/12,'1.1 Control Panel'!$E$41*12,$E$20))</f>
        <v>-1730.9472697483243</v>
      </c>
      <c r="AD22" s="28">
        <f ca="1">IF(COUNTA($E18:AD18)&gt;'1.1 Control Panel'!$E$41*12,0,PMT('1.1 Control Panel'!$E12/12,'1.1 Control Panel'!$E$41*12,$E$20))</f>
        <v>-1730.9472697483243</v>
      </c>
      <c r="AE22" s="28">
        <f ca="1">IF(COUNTA($E18:AE18)&gt;'1.1 Control Panel'!$E$41*12,0,PMT('1.1 Control Panel'!$E12/12,'1.1 Control Panel'!$E$41*12,$E$20))</f>
        <v>-1730.9472697483243</v>
      </c>
      <c r="AF22" s="28">
        <f ca="1">IF(COUNTA($E18:AF18)&gt;'1.1 Control Panel'!$E$41*12,0,PMT('1.1 Control Panel'!$E12/12,'1.1 Control Panel'!$E$41*12,$E$20))</f>
        <v>-1730.9472697483243</v>
      </c>
      <c r="AG22" s="28">
        <f ca="1">IF(COUNTA($E18:AG18)&gt;'1.1 Control Panel'!$E$41*12,0,PMT('1.1 Control Panel'!$E12/12,'1.1 Control Panel'!$E$41*12,$E$20))</f>
        <v>-1730.9472697483243</v>
      </c>
      <c r="AH22" s="28">
        <f ca="1">IF(COUNTA($E18:AH18)&gt;'1.1 Control Panel'!$E$41*12,0,PMT('1.1 Control Panel'!$E12/12,'1.1 Control Panel'!$E$41*12,$E$20))</f>
        <v>-1730.9472697483243</v>
      </c>
      <c r="AI22" s="28">
        <f ca="1">IF(COUNTA($E18:AI18)&gt;'1.1 Control Panel'!$E$41*12,0,PMT('1.1 Control Panel'!$E12/12,'1.1 Control Panel'!$E$41*12,$E$20))</f>
        <v>-1730.9472697483243</v>
      </c>
      <c r="AJ22" s="28">
        <f ca="1">IF(COUNTA($E18:AJ18)&gt;'1.1 Control Panel'!$E$41*12,0,PMT('1.1 Control Panel'!$E12/12,'1.1 Control Panel'!$E$41*12,$E$20))</f>
        <v>-1730.9472697483243</v>
      </c>
      <c r="AK22" s="28">
        <f ca="1">IF(COUNTA($E18:AK18)&gt;'1.1 Control Panel'!$E$41*12,0,PMT('1.1 Control Panel'!$E12/12,'1.1 Control Panel'!$E$41*12,$E$20))</f>
        <v>-1730.9472697483243</v>
      </c>
      <c r="AL22" s="28">
        <f ca="1">IF(COUNTA($E18:AL18)&gt;'1.1 Control Panel'!$E$41*12,0,PMT('1.1 Control Panel'!$E12/12,'1.1 Control Panel'!$E$41*12,$E$20))</f>
        <v>-1730.9472697483243</v>
      </c>
      <c r="AM22" s="28">
        <f ca="1">IF(COUNTA($E18:AM18)&gt;'1.1 Control Panel'!$E$41*12,0,PMT('1.1 Control Panel'!$E12/12,'1.1 Control Panel'!$E$41*12,$E$20))</f>
        <v>-1730.9472697483243</v>
      </c>
      <c r="AN22" s="28">
        <f ca="1">IF(COUNTA($E18:AN18)&gt;'1.1 Control Panel'!$E$41*12,0,PMT('1.1 Control Panel'!$E12/12,'1.1 Control Panel'!$E$41*12,$E$20))</f>
        <v>-1730.9472697483243</v>
      </c>
      <c r="AP22" s="20"/>
    </row>
    <row r="23" spans="2:42" ht="11.5" customHeight="1" x14ac:dyDescent="0.25">
      <c r="C23" s="659">
        <v>45716</v>
      </c>
      <c r="D23" s="38" t="s">
        <v>46</v>
      </c>
      <c r="E23" s="376"/>
      <c r="F23" s="376">
        <f ca="1">IF(COUNTA($F18:F18)&gt;'1.1 Control Panel'!$E$41*12,0,PMT('1.1 Control Panel'!$F12/12,'1.1 Control Panel'!$E$41*12,$F$20))</f>
        <v>0</v>
      </c>
      <c r="G23" s="376">
        <f ca="1">IF(COUNTA($F18:G18)&gt;'1.1 Control Panel'!$E$41*12,0,PMT('1.1 Control Panel'!$F12/12,'1.1 Control Panel'!$E$41*12,$F$20))</f>
        <v>0</v>
      </c>
      <c r="H23" s="376">
        <f ca="1">IF(COUNTA($F18:H18)&gt;'1.1 Control Panel'!$E$41*12,0,PMT('1.1 Control Panel'!$F12/12,'1.1 Control Panel'!$E$41*12,$F$20))</f>
        <v>0</v>
      </c>
      <c r="I23" s="376">
        <f ca="1">IF(COUNTA($F18:I18)&gt;'1.1 Control Panel'!$E$41*12,0,PMT('1.1 Control Panel'!$F12/12,'1.1 Control Panel'!$E$41*12,$F$20))</f>
        <v>0</v>
      </c>
      <c r="J23" s="376">
        <f ca="1">IF(COUNTA($F18:J18)&gt;'1.1 Control Panel'!$E$41*12,0,PMT('1.1 Control Panel'!$F12/12,'1.1 Control Panel'!$E$41*12,$F$20))</f>
        <v>0</v>
      </c>
      <c r="K23" s="376">
        <f ca="1">IF(COUNTA($F18:K18)&gt;'1.1 Control Panel'!$E$41*12,0,PMT('1.1 Control Panel'!$F12/12,'1.1 Control Panel'!$E$41*12,$F$20))</f>
        <v>0</v>
      </c>
      <c r="L23" s="376">
        <f ca="1">IF(COUNTA($F18:L18)&gt;'1.1 Control Panel'!$E$41*12,0,PMT('1.1 Control Panel'!$F12/12,'1.1 Control Panel'!$E$41*12,$F$20))</f>
        <v>0</v>
      </c>
      <c r="M23" s="376">
        <f ca="1">IF(COUNTA($F18:M18)&gt;'1.1 Control Panel'!$E$41*12,0,PMT('1.1 Control Panel'!$F12/12,'1.1 Control Panel'!$E$41*12,$F$20))</f>
        <v>0</v>
      </c>
      <c r="N23" s="376">
        <f ca="1">IF(COUNTA($F18:N18)&gt;'1.1 Control Panel'!$E$41*12,0,PMT('1.1 Control Panel'!$F12/12,'1.1 Control Panel'!$E$41*12,$F$20))</f>
        <v>0</v>
      </c>
      <c r="O23" s="376">
        <f ca="1">IF(COUNTA($F18:O18)&gt;'1.1 Control Panel'!$E$41*12,0,PMT('1.1 Control Panel'!$F12/12,'1.1 Control Panel'!$E$41*12,$F$20))</f>
        <v>0</v>
      </c>
      <c r="P23" s="376">
        <f ca="1">IF(COUNTA($F18:P18)&gt;'1.1 Control Panel'!$E$41*12,0,PMT('1.1 Control Panel'!$F12/12,'1.1 Control Panel'!$E$41*12,$F$20))</f>
        <v>0</v>
      </c>
      <c r="Q23" s="376">
        <f ca="1">IF(COUNTA($F18:Q18)&gt;'1.1 Control Panel'!$E$41*12,0,PMT('1.1 Control Panel'!$F12/12,'1.1 Control Panel'!$E$41*12,$F$20))</f>
        <v>0</v>
      </c>
      <c r="R23" s="376">
        <f ca="1">IF(COUNTA($F18:R18)&gt;'1.1 Control Panel'!$E$41*12,0,PMT('1.1 Control Panel'!$F12/12,'1.1 Control Panel'!$E$41*12,$F$20))</f>
        <v>0</v>
      </c>
      <c r="S23" s="376">
        <f ca="1">IF(COUNTA($F18:S18)&gt;'1.1 Control Panel'!$E$41*12,0,PMT('1.1 Control Panel'!$F12/12,'1.1 Control Panel'!$E$41*12,$F$20))</f>
        <v>0</v>
      </c>
      <c r="T23" s="376">
        <f ca="1">IF(COUNTA($F18:T18)&gt;'1.1 Control Panel'!$E$41*12,0,PMT('1.1 Control Panel'!$F12/12,'1.1 Control Panel'!$E$41*12,$F$20))</f>
        <v>0</v>
      </c>
      <c r="U23" s="376">
        <f ca="1">IF(COUNTA($F18:U18)&gt;'1.1 Control Panel'!$E$41*12,0,PMT('1.1 Control Panel'!$F12/12,'1.1 Control Panel'!$E$41*12,$F$20))</f>
        <v>0</v>
      </c>
      <c r="V23" s="376">
        <f ca="1">IF(COUNTA($F18:V18)&gt;'1.1 Control Panel'!$E$41*12,0,PMT('1.1 Control Panel'!$F12/12,'1.1 Control Panel'!$E$41*12,$F$20))</f>
        <v>0</v>
      </c>
      <c r="W23" s="376">
        <f ca="1">IF(COUNTA($F18:W18)&gt;'1.1 Control Panel'!$E$41*12,0,PMT('1.1 Control Panel'!$F12/12,'1.1 Control Panel'!$E$41*12,$F$20))</f>
        <v>0</v>
      </c>
      <c r="X23" s="376">
        <f ca="1">IF(COUNTA($F18:X18)&gt;'1.1 Control Panel'!$E$41*12,0,PMT('1.1 Control Panel'!$F12/12,'1.1 Control Panel'!$E$41*12,$F$20))</f>
        <v>0</v>
      </c>
      <c r="Y23" s="376">
        <f ca="1">IF(COUNTA($F18:Y18)&gt;'1.1 Control Panel'!$E$41*12,0,PMT('1.1 Control Panel'!$F12/12,'1.1 Control Panel'!$E$41*12,$F$20))</f>
        <v>0</v>
      </c>
      <c r="Z23" s="376">
        <f ca="1">IF(COUNTA($F18:Z18)&gt;'1.1 Control Panel'!$E$41*12,0,PMT('1.1 Control Panel'!$F12/12,'1.1 Control Panel'!$E$41*12,$F$20))</f>
        <v>0</v>
      </c>
      <c r="AA23" s="376">
        <f ca="1">IF(COUNTA($F18:AA18)&gt;'1.1 Control Panel'!$E$41*12,0,PMT('1.1 Control Panel'!$F12/12,'1.1 Control Panel'!$E$41*12,$F$20))</f>
        <v>0</v>
      </c>
      <c r="AB23" s="376">
        <f ca="1">IF(COUNTA($F18:AB18)&gt;'1.1 Control Panel'!$E$41*12,0,PMT('1.1 Control Panel'!$F12/12,'1.1 Control Panel'!$E$41*12,$F$20))</f>
        <v>0</v>
      </c>
      <c r="AC23" s="376">
        <f ca="1">IF(COUNTA($F18:AC18)&gt;'1.1 Control Panel'!$E$41*12,0,PMT('1.1 Control Panel'!$F12/12,'1.1 Control Panel'!$E$41*12,$F$20))</f>
        <v>0</v>
      </c>
      <c r="AD23" s="376">
        <f ca="1">IF(COUNTA($F18:AD18)&gt;'1.1 Control Panel'!$E$41*12,0,PMT('1.1 Control Panel'!$F12/12,'1.1 Control Panel'!$E$41*12,$F$20))</f>
        <v>0</v>
      </c>
      <c r="AE23" s="376">
        <f ca="1">IF(COUNTA($F18:AE18)&gt;'1.1 Control Panel'!$E$41*12,0,PMT('1.1 Control Panel'!$F12/12,'1.1 Control Panel'!$E$41*12,$F$20))</f>
        <v>0</v>
      </c>
      <c r="AF23" s="376">
        <f ca="1">IF(COUNTA($F18:AF18)&gt;'1.1 Control Panel'!$E$41*12,0,PMT('1.1 Control Panel'!$F12/12,'1.1 Control Panel'!$E$41*12,$F$20))</f>
        <v>0</v>
      </c>
      <c r="AG23" s="376">
        <f ca="1">IF(COUNTA($F18:AG18)&gt;'1.1 Control Panel'!$E$41*12,0,PMT('1.1 Control Panel'!$F12/12,'1.1 Control Panel'!$E$41*12,$F$20))</f>
        <v>0</v>
      </c>
      <c r="AH23" s="376">
        <f ca="1">IF(COUNTA($F18:AH18)&gt;'1.1 Control Panel'!$E$41*12,0,PMT('1.1 Control Panel'!$F12/12,'1.1 Control Panel'!$E$41*12,$F$20))</f>
        <v>0</v>
      </c>
      <c r="AI23" s="376">
        <f ca="1">IF(COUNTA($F18:AI18)&gt;'1.1 Control Panel'!$E$41*12,0,PMT('1.1 Control Panel'!$F12/12,'1.1 Control Panel'!$E$41*12,$F$20))</f>
        <v>0</v>
      </c>
      <c r="AJ23" s="376">
        <f ca="1">IF(COUNTA($F18:AJ18)&gt;'1.1 Control Panel'!$E$41*12,0,PMT('1.1 Control Panel'!$F12/12,'1.1 Control Panel'!$E$41*12,$F$20))</f>
        <v>0</v>
      </c>
      <c r="AK23" s="376">
        <f ca="1">IF(COUNTA($F18:AK18)&gt;'1.1 Control Panel'!$E$41*12,0,PMT('1.1 Control Panel'!$F12/12,'1.1 Control Panel'!$E$41*12,$F$20))</f>
        <v>0</v>
      </c>
      <c r="AL23" s="376">
        <f ca="1">IF(COUNTA($F18:AL18)&gt;'1.1 Control Panel'!$E$41*12,0,PMT('1.1 Control Panel'!$F12/12,'1.1 Control Panel'!$E$41*12,$F$20))</f>
        <v>0</v>
      </c>
      <c r="AM23" s="376">
        <f ca="1">IF(COUNTA($F18:AM18)&gt;'1.1 Control Panel'!$E$41*12,0,PMT('1.1 Control Panel'!$F12/12,'1.1 Control Panel'!$E$41*12,$F$20))</f>
        <v>0</v>
      </c>
      <c r="AN23" s="376">
        <f ca="1">IF(COUNTA($F18:AN18)&gt;'1.1 Control Panel'!$E$41*12,0,PMT('1.1 Control Panel'!$F12/12,'1.1 Control Panel'!$E$41*12,$F$20))</f>
        <v>0</v>
      </c>
      <c r="AP23" s="21"/>
    </row>
    <row r="24" spans="2:42" ht="11.5" customHeight="1" x14ac:dyDescent="0.25">
      <c r="C24" s="659">
        <v>45747</v>
      </c>
      <c r="D24" s="38" t="s">
        <v>46</v>
      </c>
      <c r="E24" s="376"/>
      <c r="F24" s="376"/>
      <c r="G24" s="376">
        <f ca="1">IF(COUNTA($G18:G18)&gt;'1.1 Control Panel'!$E$41*12,0,PMT('1.1 Control Panel'!$G12/12,'1.1 Control Panel'!$E$41*12,$G$20))</f>
        <v>0</v>
      </c>
      <c r="H24" s="376">
        <f ca="1">IF(COUNTA($G18:H18)&gt;'1.1 Control Panel'!$E$41*12,0,PMT('1.1 Control Panel'!$G12/12,'1.1 Control Panel'!$E$41*12,$G$20))</f>
        <v>0</v>
      </c>
      <c r="I24" s="376">
        <f ca="1">IF(COUNTA($G18:I18)&gt;'1.1 Control Panel'!$E$41*12,0,PMT('1.1 Control Panel'!$G12/12,'1.1 Control Panel'!$E$41*12,$G$20))</f>
        <v>0</v>
      </c>
      <c r="J24" s="376">
        <f ca="1">IF(COUNTA($G18:J18)&gt;'1.1 Control Panel'!$E$41*12,0,PMT('1.1 Control Panel'!$G12/12,'1.1 Control Panel'!$E$41*12,$G$20))</f>
        <v>0</v>
      </c>
      <c r="K24" s="376">
        <f ca="1">IF(COUNTA($G18:K18)&gt;'1.1 Control Panel'!$E$41*12,0,PMT('1.1 Control Panel'!$G12/12,'1.1 Control Panel'!$E$41*12,$G$20))</f>
        <v>0</v>
      </c>
      <c r="L24" s="376">
        <f ca="1">IF(COUNTA($G18:L18)&gt;'1.1 Control Panel'!$E$41*12,0,PMT('1.1 Control Panel'!$G12/12,'1.1 Control Panel'!$E$41*12,$G$20))</f>
        <v>0</v>
      </c>
      <c r="M24" s="376">
        <f ca="1">IF(COUNTA($G18:M18)&gt;'1.1 Control Panel'!$E$41*12,0,PMT('1.1 Control Panel'!$G12/12,'1.1 Control Panel'!$E$41*12,$G$20))</f>
        <v>0</v>
      </c>
      <c r="N24" s="376">
        <f ca="1">IF(COUNTA($G18:N18)&gt;'1.1 Control Panel'!$E$41*12,0,PMT('1.1 Control Panel'!$G12/12,'1.1 Control Panel'!$E$41*12,$G$20))</f>
        <v>0</v>
      </c>
      <c r="O24" s="376">
        <f ca="1">IF(COUNTA($G18:O18)&gt;'1.1 Control Panel'!$E$41*12,0,PMT('1.1 Control Panel'!$G12/12,'1.1 Control Panel'!$E$41*12,$G$20))</f>
        <v>0</v>
      </c>
      <c r="P24" s="376">
        <f ca="1">IF(COUNTA($G18:P18)&gt;'1.1 Control Panel'!$E$41*12,0,PMT('1.1 Control Panel'!$G12/12,'1.1 Control Panel'!$E$41*12,$G$20))</f>
        <v>0</v>
      </c>
      <c r="Q24" s="376">
        <f ca="1">IF(COUNTA($G18:Q18)&gt;'1.1 Control Panel'!$E$41*12,0,PMT('1.1 Control Panel'!$G12/12,'1.1 Control Panel'!$E$41*12,$G$20))</f>
        <v>0</v>
      </c>
      <c r="R24" s="376">
        <f ca="1">IF(COUNTA($G18:R18)&gt;'1.1 Control Panel'!$E$41*12,0,PMT('1.1 Control Panel'!$G12/12,'1.1 Control Panel'!$E$41*12,$G$20))</f>
        <v>0</v>
      </c>
      <c r="S24" s="376">
        <f ca="1">IF(COUNTA($G18:S18)&gt;'1.1 Control Panel'!$E$41*12,0,PMT('1.1 Control Panel'!$G12/12,'1.1 Control Panel'!$E$41*12,$G$20))</f>
        <v>0</v>
      </c>
      <c r="T24" s="376">
        <f ca="1">IF(COUNTA($G18:T18)&gt;'1.1 Control Panel'!$E$41*12,0,PMT('1.1 Control Panel'!$G12/12,'1.1 Control Panel'!$E$41*12,$G$20))</f>
        <v>0</v>
      </c>
      <c r="U24" s="376">
        <f ca="1">IF(COUNTA($G18:U18)&gt;'1.1 Control Panel'!$E$41*12,0,PMT('1.1 Control Panel'!$G12/12,'1.1 Control Panel'!$E$41*12,$G$20))</f>
        <v>0</v>
      </c>
      <c r="V24" s="376">
        <f ca="1">IF(COUNTA($G18:V18)&gt;'1.1 Control Panel'!$E$41*12,0,PMT('1.1 Control Panel'!$G12/12,'1.1 Control Panel'!$E$41*12,$G$20))</f>
        <v>0</v>
      </c>
      <c r="W24" s="376">
        <f ca="1">IF(COUNTA($G18:W18)&gt;'1.1 Control Panel'!$E$41*12,0,PMT('1.1 Control Panel'!$G12/12,'1.1 Control Panel'!$E$41*12,$G$20))</f>
        <v>0</v>
      </c>
      <c r="X24" s="376">
        <f ca="1">IF(COUNTA($G18:X18)&gt;'1.1 Control Panel'!$E$41*12,0,PMT('1.1 Control Panel'!$G12/12,'1.1 Control Panel'!$E$41*12,$G$20))</f>
        <v>0</v>
      </c>
      <c r="Y24" s="376">
        <f ca="1">IF(COUNTA($G18:Y18)&gt;'1.1 Control Panel'!$E$41*12,0,PMT('1.1 Control Panel'!$G12/12,'1.1 Control Panel'!$E$41*12,$G$20))</f>
        <v>0</v>
      </c>
      <c r="Z24" s="376">
        <f ca="1">IF(COUNTA($G18:Z18)&gt;'1.1 Control Panel'!$E$41*12,0,PMT('1.1 Control Panel'!$G12/12,'1.1 Control Panel'!$E$41*12,$G$20))</f>
        <v>0</v>
      </c>
      <c r="AA24" s="376">
        <f ca="1">IF(COUNTA($G18:AA18)&gt;'1.1 Control Panel'!$E$41*12,0,PMT('1.1 Control Panel'!$G12/12,'1.1 Control Panel'!$E$41*12,$G$20))</f>
        <v>0</v>
      </c>
      <c r="AB24" s="376">
        <f ca="1">IF(COUNTA($G18:AB18)&gt;'1.1 Control Panel'!$E$41*12,0,PMT('1.1 Control Panel'!$G12/12,'1.1 Control Panel'!$E$41*12,$G$20))</f>
        <v>0</v>
      </c>
      <c r="AC24" s="376">
        <f ca="1">IF(COUNTA($G18:AC18)&gt;'1.1 Control Panel'!$E$41*12,0,PMT('1.1 Control Panel'!$G12/12,'1.1 Control Panel'!$E$41*12,$G$20))</f>
        <v>0</v>
      </c>
      <c r="AD24" s="376">
        <f ca="1">IF(COUNTA($G18:AD18)&gt;'1.1 Control Panel'!$E$41*12,0,PMT('1.1 Control Panel'!$G12/12,'1.1 Control Panel'!$E$41*12,$G$20))</f>
        <v>0</v>
      </c>
      <c r="AE24" s="376">
        <f ca="1">IF(COUNTA($G18:AE18)&gt;'1.1 Control Panel'!$E$41*12,0,PMT('1.1 Control Panel'!$G12/12,'1.1 Control Panel'!$E$41*12,$G$20))</f>
        <v>0</v>
      </c>
      <c r="AF24" s="376">
        <f ca="1">IF(COUNTA($G18:AF18)&gt;'1.1 Control Panel'!$E$41*12,0,PMT('1.1 Control Panel'!$G12/12,'1.1 Control Panel'!$E$41*12,$G$20))</f>
        <v>0</v>
      </c>
      <c r="AG24" s="376">
        <f ca="1">IF(COUNTA($G18:AG18)&gt;'1.1 Control Panel'!$E$41*12,0,PMT('1.1 Control Panel'!$G12/12,'1.1 Control Panel'!$E$41*12,$G$20))</f>
        <v>0</v>
      </c>
      <c r="AH24" s="376">
        <f ca="1">IF(COUNTA($G18:AH18)&gt;'1.1 Control Panel'!$E$41*12,0,PMT('1.1 Control Panel'!$G12/12,'1.1 Control Panel'!$E$41*12,$G$20))</f>
        <v>0</v>
      </c>
      <c r="AI24" s="376">
        <f ca="1">IF(COUNTA($G18:AI18)&gt;'1.1 Control Panel'!$E$41*12,0,PMT('1.1 Control Panel'!$G12/12,'1.1 Control Panel'!$E$41*12,$G$20))</f>
        <v>0</v>
      </c>
      <c r="AJ24" s="376">
        <f ca="1">IF(COUNTA($G18:AJ18)&gt;'1.1 Control Panel'!$E$41*12,0,PMT('1.1 Control Panel'!$G12/12,'1.1 Control Panel'!$E$41*12,$G$20))</f>
        <v>0</v>
      </c>
      <c r="AK24" s="376">
        <f ca="1">IF(COUNTA($G18:AK18)&gt;'1.1 Control Panel'!$E$41*12,0,PMT('1.1 Control Panel'!$G12/12,'1.1 Control Panel'!$E$41*12,$G$20))</f>
        <v>0</v>
      </c>
      <c r="AL24" s="376">
        <f ca="1">IF(COUNTA($G18:AL18)&gt;'1.1 Control Panel'!$E$41*12,0,PMT('1.1 Control Panel'!$G12/12,'1.1 Control Panel'!$E$41*12,$G$20))</f>
        <v>0</v>
      </c>
      <c r="AM24" s="376">
        <f ca="1">IF(COUNTA($G18:AM18)&gt;'1.1 Control Panel'!$E$41*12,0,PMT('1.1 Control Panel'!$G12/12,'1.1 Control Panel'!$E$41*12,$G$20))</f>
        <v>0</v>
      </c>
      <c r="AN24" s="376">
        <f ca="1">IF(COUNTA($G18:AN18)&gt;'1.1 Control Panel'!$E$41*12,0,PMT('1.1 Control Panel'!$G12/12,'1.1 Control Panel'!$E$41*12,$G$20))</f>
        <v>0</v>
      </c>
      <c r="AP24" s="21"/>
    </row>
    <row r="25" spans="2:42" ht="11.5" customHeight="1" x14ac:dyDescent="0.25">
      <c r="C25" s="659">
        <v>45777</v>
      </c>
      <c r="D25" s="38" t="s">
        <v>46</v>
      </c>
      <c r="E25" s="376"/>
      <c r="F25" s="376"/>
      <c r="G25" s="376"/>
      <c r="H25" s="376">
        <f ca="1">IF(COUNTA($H18:H18)&gt;'1.1 Control Panel'!$E$41*12,0,PMT('1.1 Control Panel'!$H12/12,'1.1 Control Panel'!$E$41*12,$H$20))</f>
        <v>0</v>
      </c>
      <c r="I25" s="376">
        <f ca="1">IF(COUNTA($H18:I18)&gt;'1.1 Control Panel'!$E$41*12,0,PMT('1.1 Control Panel'!$H12/12,'1.1 Control Panel'!$E$41*12,$H$20))</f>
        <v>0</v>
      </c>
      <c r="J25" s="376">
        <f ca="1">IF(COUNTA($H18:J18)&gt;'1.1 Control Panel'!$E$41*12,0,PMT('1.1 Control Panel'!$H12/12,'1.1 Control Panel'!$E$41*12,$H$20))</f>
        <v>0</v>
      </c>
      <c r="K25" s="376">
        <f ca="1">IF(COUNTA($H18:K18)&gt;'1.1 Control Panel'!$E$41*12,0,PMT('1.1 Control Panel'!$H12/12,'1.1 Control Panel'!$E$41*12,$H$20))</f>
        <v>0</v>
      </c>
      <c r="L25" s="376">
        <f ca="1">IF(COUNTA($H18:L18)&gt;'1.1 Control Panel'!$E$41*12,0,PMT('1.1 Control Panel'!$H12/12,'1.1 Control Panel'!$E$41*12,$H$20))</f>
        <v>0</v>
      </c>
      <c r="M25" s="376">
        <f ca="1">IF(COUNTA($H18:M18)&gt;'1.1 Control Panel'!$E$41*12,0,PMT('1.1 Control Panel'!$H12/12,'1.1 Control Panel'!$E$41*12,$H$20))</f>
        <v>0</v>
      </c>
      <c r="N25" s="376">
        <f ca="1">IF(COUNTA($H18:N18)&gt;'1.1 Control Panel'!$E$41*12,0,PMT('1.1 Control Panel'!$H12/12,'1.1 Control Panel'!$E$41*12,$H$20))</f>
        <v>0</v>
      </c>
      <c r="O25" s="376">
        <f ca="1">IF(COUNTA($H18:O18)&gt;'1.1 Control Panel'!$E$41*12,0,PMT('1.1 Control Panel'!$H12/12,'1.1 Control Panel'!$E$41*12,$H$20))</f>
        <v>0</v>
      </c>
      <c r="P25" s="376">
        <f ca="1">IF(COUNTA($H18:P18)&gt;'1.1 Control Panel'!$E$41*12,0,PMT('1.1 Control Panel'!$H12/12,'1.1 Control Panel'!$E$41*12,$H$20))</f>
        <v>0</v>
      </c>
      <c r="Q25" s="376">
        <f ca="1">IF(COUNTA($H18:Q18)&gt;'1.1 Control Panel'!$E$41*12,0,PMT('1.1 Control Panel'!$H12/12,'1.1 Control Panel'!$E$41*12,$H$20))</f>
        <v>0</v>
      </c>
      <c r="R25" s="376">
        <f ca="1">IF(COUNTA($H18:R18)&gt;'1.1 Control Panel'!$E$41*12,0,PMT('1.1 Control Panel'!$H12/12,'1.1 Control Panel'!$E$41*12,$H$20))</f>
        <v>0</v>
      </c>
      <c r="S25" s="376">
        <f ca="1">IF(COUNTA($H18:S18)&gt;'1.1 Control Panel'!$E$41*12,0,PMT('1.1 Control Panel'!$H12/12,'1.1 Control Panel'!$E$41*12,$H$20))</f>
        <v>0</v>
      </c>
      <c r="T25" s="376">
        <f ca="1">IF(COUNTA($H18:T18)&gt;'1.1 Control Panel'!$E$41*12,0,PMT('1.1 Control Panel'!$H12/12,'1.1 Control Panel'!$E$41*12,$H$20))</f>
        <v>0</v>
      </c>
      <c r="U25" s="376">
        <f ca="1">IF(COUNTA($H18:U18)&gt;'1.1 Control Panel'!$E$41*12,0,PMT('1.1 Control Panel'!$H12/12,'1.1 Control Panel'!$E$41*12,$H$20))</f>
        <v>0</v>
      </c>
      <c r="V25" s="376">
        <f ca="1">IF(COUNTA($H18:V18)&gt;'1.1 Control Panel'!$E$41*12,0,PMT('1.1 Control Panel'!$H12/12,'1.1 Control Panel'!$E$41*12,$H$20))</f>
        <v>0</v>
      </c>
      <c r="W25" s="376">
        <f ca="1">IF(COUNTA($H18:W18)&gt;'1.1 Control Panel'!$E$41*12,0,PMT('1.1 Control Panel'!$H12/12,'1.1 Control Panel'!$E$41*12,$H$20))</f>
        <v>0</v>
      </c>
      <c r="X25" s="376">
        <f ca="1">IF(COUNTA($H18:X18)&gt;'1.1 Control Panel'!$E$41*12,0,PMT('1.1 Control Panel'!$H12/12,'1.1 Control Panel'!$E$41*12,$H$20))</f>
        <v>0</v>
      </c>
      <c r="Y25" s="376">
        <f ca="1">IF(COUNTA($H18:Y18)&gt;'1.1 Control Panel'!$E$41*12,0,PMT('1.1 Control Panel'!$H12/12,'1.1 Control Panel'!$E$41*12,$H$20))</f>
        <v>0</v>
      </c>
      <c r="Z25" s="376">
        <f ca="1">IF(COUNTA($H18:Z18)&gt;'1.1 Control Panel'!$E$41*12,0,PMT('1.1 Control Panel'!$H12/12,'1.1 Control Panel'!$E$41*12,$H$20))</f>
        <v>0</v>
      </c>
      <c r="AA25" s="376">
        <f ca="1">IF(COUNTA($H18:AA18)&gt;'1.1 Control Panel'!$E$41*12,0,PMT('1.1 Control Panel'!$H12/12,'1.1 Control Panel'!$E$41*12,$H$20))</f>
        <v>0</v>
      </c>
      <c r="AB25" s="376">
        <f ca="1">IF(COUNTA($H18:AB18)&gt;'1.1 Control Panel'!$E$41*12,0,PMT('1.1 Control Panel'!$H12/12,'1.1 Control Panel'!$E$41*12,$H$20))</f>
        <v>0</v>
      </c>
      <c r="AC25" s="376">
        <f ca="1">IF(COUNTA($H18:AC18)&gt;'1.1 Control Panel'!$E$41*12,0,PMT('1.1 Control Panel'!$H12/12,'1.1 Control Panel'!$E$41*12,$H$20))</f>
        <v>0</v>
      </c>
      <c r="AD25" s="376">
        <f ca="1">IF(COUNTA($H18:AD18)&gt;'1.1 Control Panel'!$E$41*12,0,PMT('1.1 Control Panel'!$H12/12,'1.1 Control Panel'!$E$41*12,$H$20))</f>
        <v>0</v>
      </c>
      <c r="AE25" s="376">
        <f ca="1">IF(COUNTA($H18:AE18)&gt;'1.1 Control Panel'!$E$41*12,0,PMT('1.1 Control Panel'!$H12/12,'1.1 Control Panel'!$E$41*12,$H$20))</f>
        <v>0</v>
      </c>
      <c r="AF25" s="376">
        <f ca="1">IF(COUNTA($H18:AF18)&gt;'1.1 Control Panel'!$E$41*12,0,PMT('1.1 Control Panel'!$H12/12,'1.1 Control Panel'!$E$41*12,$H$20))</f>
        <v>0</v>
      </c>
      <c r="AG25" s="376">
        <f ca="1">IF(COUNTA($H18:AG18)&gt;'1.1 Control Panel'!$E$41*12,0,PMT('1.1 Control Panel'!$H12/12,'1.1 Control Panel'!$E$41*12,$H$20))</f>
        <v>0</v>
      </c>
      <c r="AH25" s="376">
        <f ca="1">IF(COUNTA($H18:AH18)&gt;'1.1 Control Panel'!$E$41*12,0,PMT('1.1 Control Panel'!$H12/12,'1.1 Control Panel'!$E$41*12,$H$20))</f>
        <v>0</v>
      </c>
      <c r="AI25" s="376">
        <f ca="1">IF(COUNTA($H18:AI18)&gt;'1.1 Control Panel'!$E$41*12,0,PMT('1.1 Control Panel'!$H12/12,'1.1 Control Panel'!$E$41*12,$H$20))</f>
        <v>0</v>
      </c>
      <c r="AJ25" s="376">
        <f ca="1">IF(COUNTA($H18:AJ18)&gt;'1.1 Control Panel'!$E$41*12,0,PMT('1.1 Control Panel'!$H12/12,'1.1 Control Panel'!$E$41*12,$H$20))</f>
        <v>0</v>
      </c>
      <c r="AK25" s="376">
        <f ca="1">IF(COUNTA($H18:AK18)&gt;'1.1 Control Panel'!$E$41*12,0,PMT('1.1 Control Panel'!$H12/12,'1.1 Control Panel'!$E$41*12,$H$20))</f>
        <v>0</v>
      </c>
      <c r="AL25" s="376">
        <f ca="1">IF(COUNTA($H18:AL18)&gt;'1.1 Control Panel'!$E$41*12,0,PMT('1.1 Control Panel'!$H12/12,'1.1 Control Panel'!$E$41*12,$H$20))</f>
        <v>0</v>
      </c>
      <c r="AM25" s="376">
        <f ca="1">IF(COUNTA($H18:AM18)&gt;'1.1 Control Panel'!$E$41*12,0,PMT('1.1 Control Panel'!$H12/12,'1.1 Control Panel'!$E$41*12,$H$20))</f>
        <v>0</v>
      </c>
      <c r="AN25" s="376">
        <f ca="1">IF(COUNTA($H18:AN18)&gt;'1.1 Control Panel'!$E$41*12,0,PMT('1.1 Control Panel'!$H12/12,'1.1 Control Panel'!$E$41*12,$H$20))</f>
        <v>0</v>
      </c>
      <c r="AP25" s="21"/>
    </row>
    <row r="26" spans="2:42" ht="11.5" customHeight="1" x14ac:dyDescent="0.25">
      <c r="C26" s="659">
        <v>45808</v>
      </c>
      <c r="D26" s="38" t="s">
        <v>46</v>
      </c>
      <c r="E26" s="376"/>
      <c r="F26" s="376"/>
      <c r="G26" s="376"/>
      <c r="H26" s="376"/>
      <c r="I26" s="376">
        <f ca="1">IF(COUNTA($I18:I18)&gt;'1.1 Control Panel'!$E$41*12,0,PMT('1.1 Control Panel'!$I12/12,'1.1 Control Panel'!$E$41*12,$I$20))</f>
        <v>0</v>
      </c>
      <c r="J26" s="376">
        <f ca="1">IF(COUNTA($I18:J18)&gt;'1.1 Control Panel'!$E$41*12,0,PMT('1.1 Control Panel'!$I12/12,'1.1 Control Panel'!$E$41*12,$I$20))</f>
        <v>0</v>
      </c>
      <c r="K26" s="376">
        <f ca="1">IF(COUNTA($I18:K18)&gt;'1.1 Control Panel'!$E$41*12,0,PMT('1.1 Control Panel'!$I12/12,'1.1 Control Panel'!$E$41*12,$I$20))</f>
        <v>0</v>
      </c>
      <c r="L26" s="376">
        <f ca="1">IF(COUNTA($I18:L18)&gt;'1.1 Control Panel'!$E$41*12,0,PMT('1.1 Control Panel'!$I12/12,'1.1 Control Panel'!$E$41*12,$I$20))</f>
        <v>0</v>
      </c>
      <c r="M26" s="376">
        <f ca="1">IF(COUNTA($I18:M18)&gt;'1.1 Control Panel'!$E$41*12,0,PMT('1.1 Control Panel'!$I12/12,'1.1 Control Panel'!$E$41*12,$I$20))</f>
        <v>0</v>
      </c>
      <c r="N26" s="376">
        <f ca="1">IF(COUNTA($I18:N18)&gt;'1.1 Control Panel'!$E$41*12,0,PMT('1.1 Control Panel'!$I12/12,'1.1 Control Panel'!$E$41*12,$I$20))</f>
        <v>0</v>
      </c>
      <c r="O26" s="376">
        <f ca="1">IF(COUNTA($I18:O18)&gt;'1.1 Control Panel'!$E$41*12,0,PMT('1.1 Control Panel'!$I12/12,'1.1 Control Panel'!$E$41*12,$I$20))</f>
        <v>0</v>
      </c>
      <c r="P26" s="376">
        <f ca="1">IF(COUNTA($I18:P18)&gt;'1.1 Control Panel'!$E$41*12,0,PMT('1.1 Control Panel'!$I12/12,'1.1 Control Panel'!$E$41*12,$I$20))</f>
        <v>0</v>
      </c>
      <c r="Q26" s="376">
        <f ca="1">IF(COUNTA($I18:Q18)&gt;'1.1 Control Panel'!$E$41*12,0,PMT('1.1 Control Panel'!$I12/12,'1.1 Control Panel'!$E$41*12,$I$20))</f>
        <v>0</v>
      </c>
      <c r="R26" s="376">
        <f ca="1">IF(COUNTA($I18:R18)&gt;'1.1 Control Panel'!$E$41*12,0,PMT('1.1 Control Panel'!$I12/12,'1.1 Control Panel'!$E$41*12,$I$20))</f>
        <v>0</v>
      </c>
      <c r="S26" s="376">
        <f ca="1">IF(COUNTA($I18:S18)&gt;'1.1 Control Panel'!$E$41*12,0,PMT('1.1 Control Panel'!$I12/12,'1.1 Control Panel'!$E$41*12,$I$20))</f>
        <v>0</v>
      </c>
      <c r="T26" s="376">
        <f ca="1">IF(COUNTA($I18:T18)&gt;'1.1 Control Panel'!$E$41*12,0,PMT('1.1 Control Panel'!$I12/12,'1.1 Control Panel'!$E$41*12,$I$20))</f>
        <v>0</v>
      </c>
      <c r="U26" s="376">
        <f ca="1">IF(COUNTA($I18:U18)&gt;'1.1 Control Panel'!$E$41*12,0,PMT('1.1 Control Panel'!$I12/12,'1.1 Control Panel'!$E$41*12,$I$20))</f>
        <v>0</v>
      </c>
      <c r="V26" s="376">
        <f ca="1">IF(COUNTA($I18:V18)&gt;'1.1 Control Panel'!$E$41*12,0,PMT('1.1 Control Panel'!$I12/12,'1.1 Control Panel'!$E$41*12,$I$20))</f>
        <v>0</v>
      </c>
      <c r="W26" s="376">
        <f ca="1">IF(COUNTA($I18:W18)&gt;'1.1 Control Panel'!$E$41*12,0,PMT('1.1 Control Panel'!$I12/12,'1.1 Control Panel'!$E$41*12,$I$20))</f>
        <v>0</v>
      </c>
      <c r="X26" s="376">
        <f ca="1">IF(COUNTA($I18:X18)&gt;'1.1 Control Panel'!$E$41*12,0,PMT('1.1 Control Panel'!$I12/12,'1.1 Control Panel'!$E$41*12,$I$20))</f>
        <v>0</v>
      </c>
      <c r="Y26" s="376">
        <f ca="1">IF(COUNTA($I18:Y18)&gt;'1.1 Control Panel'!$E$41*12,0,PMT('1.1 Control Panel'!$I12/12,'1.1 Control Panel'!$E$41*12,$I$20))</f>
        <v>0</v>
      </c>
      <c r="Z26" s="376">
        <f ca="1">IF(COUNTA($I18:Z18)&gt;'1.1 Control Panel'!$E$41*12,0,PMT('1.1 Control Panel'!$I12/12,'1.1 Control Panel'!$E$41*12,$I$20))</f>
        <v>0</v>
      </c>
      <c r="AA26" s="376">
        <f ca="1">IF(COUNTA($I18:AA18)&gt;'1.1 Control Panel'!$E$41*12,0,PMT('1.1 Control Panel'!$I12/12,'1.1 Control Panel'!$E$41*12,$I$20))</f>
        <v>0</v>
      </c>
      <c r="AB26" s="376">
        <f ca="1">IF(COUNTA($I18:AB18)&gt;'1.1 Control Panel'!$E$41*12,0,PMT('1.1 Control Panel'!$I12/12,'1.1 Control Panel'!$E$41*12,$I$20))</f>
        <v>0</v>
      </c>
      <c r="AC26" s="376">
        <f ca="1">IF(COUNTA($I18:AC18)&gt;'1.1 Control Panel'!$E$41*12,0,PMT('1.1 Control Panel'!$I12/12,'1.1 Control Panel'!$E$41*12,$I$20))</f>
        <v>0</v>
      </c>
      <c r="AD26" s="376">
        <f ca="1">IF(COUNTA($I18:AD18)&gt;'1.1 Control Panel'!$E$41*12,0,PMT('1.1 Control Panel'!$I12/12,'1.1 Control Panel'!$E$41*12,$I$20))</f>
        <v>0</v>
      </c>
      <c r="AE26" s="376">
        <f ca="1">IF(COUNTA($I18:AE18)&gt;'1.1 Control Panel'!$E$41*12,0,PMT('1.1 Control Panel'!$I12/12,'1.1 Control Panel'!$E$41*12,$I$20))</f>
        <v>0</v>
      </c>
      <c r="AF26" s="376">
        <f ca="1">IF(COUNTA($I18:AF18)&gt;'1.1 Control Panel'!$E$41*12,0,PMT('1.1 Control Panel'!$I12/12,'1.1 Control Panel'!$E$41*12,$I$20))</f>
        <v>0</v>
      </c>
      <c r="AG26" s="376">
        <f ca="1">IF(COUNTA($I18:AG18)&gt;'1.1 Control Panel'!$E$41*12,0,PMT('1.1 Control Panel'!$I12/12,'1.1 Control Panel'!$E$41*12,$I$20))</f>
        <v>0</v>
      </c>
      <c r="AH26" s="376">
        <f ca="1">IF(COUNTA($I18:AH18)&gt;'1.1 Control Panel'!$E$41*12,0,PMT('1.1 Control Panel'!$I12/12,'1.1 Control Panel'!$E$41*12,$I$20))</f>
        <v>0</v>
      </c>
      <c r="AI26" s="376">
        <f ca="1">IF(COUNTA($I18:AI18)&gt;'1.1 Control Panel'!$E$41*12,0,PMT('1.1 Control Panel'!$I12/12,'1.1 Control Panel'!$E$41*12,$I$20))</f>
        <v>0</v>
      </c>
      <c r="AJ26" s="376">
        <f ca="1">IF(COUNTA($I18:AJ18)&gt;'1.1 Control Panel'!$E$41*12,0,PMT('1.1 Control Panel'!$I12/12,'1.1 Control Panel'!$E$41*12,$I$20))</f>
        <v>0</v>
      </c>
      <c r="AK26" s="376">
        <f ca="1">IF(COUNTA($I18:AK18)&gt;'1.1 Control Panel'!$E$41*12,0,PMT('1.1 Control Panel'!$I12/12,'1.1 Control Panel'!$E$41*12,$I$20))</f>
        <v>0</v>
      </c>
      <c r="AL26" s="376">
        <f ca="1">IF(COUNTA($I18:AL18)&gt;'1.1 Control Panel'!$E$41*12,0,PMT('1.1 Control Panel'!$I12/12,'1.1 Control Panel'!$E$41*12,$I$20))</f>
        <v>0</v>
      </c>
      <c r="AM26" s="376">
        <f ca="1">IF(COUNTA($I18:AM18)&gt;'1.1 Control Panel'!$E$41*12,0,PMT('1.1 Control Panel'!$I12/12,'1.1 Control Panel'!$E$41*12,$I$20))</f>
        <v>0</v>
      </c>
      <c r="AN26" s="376">
        <f ca="1">IF(COUNTA($I18:AN18)&gt;'1.1 Control Panel'!$E$41*12,0,PMT('1.1 Control Panel'!$I12/12,'1.1 Control Panel'!$E$41*12,$I$20))</f>
        <v>0</v>
      </c>
      <c r="AP26" s="21"/>
    </row>
    <row r="27" spans="2:42" ht="11.5" customHeight="1" x14ac:dyDescent="0.25">
      <c r="C27" s="659">
        <v>45838</v>
      </c>
      <c r="D27" s="38" t="s">
        <v>46</v>
      </c>
      <c r="E27" s="376"/>
      <c r="F27" s="376"/>
      <c r="G27" s="376"/>
      <c r="H27" s="376"/>
      <c r="I27" s="376"/>
      <c r="J27" s="376">
        <f ca="1">IF(COUNTA($J18:J18)&gt;'1.1 Control Panel'!$E$41*12,0,PMT('1.1 Control Panel'!$J12/12,'1.1 Control Panel'!$E$41*12,$J$20))</f>
        <v>0</v>
      </c>
      <c r="K27" s="376">
        <f ca="1">IF(COUNTA($J18:K18)&gt;'1.1 Control Panel'!$E$41*12,0,PMT('1.1 Control Panel'!$J12/12,'1.1 Control Panel'!$E$41*12,$J$20))</f>
        <v>0</v>
      </c>
      <c r="L27" s="376">
        <f ca="1">IF(COUNTA($J18:L18)&gt;'1.1 Control Panel'!$E$41*12,0,PMT('1.1 Control Panel'!$J12/12,'1.1 Control Panel'!$E$41*12,$J$20))</f>
        <v>0</v>
      </c>
      <c r="M27" s="376">
        <f ca="1">IF(COUNTA($J18:M18)&gt;'1.1 Control Panel'!$E$41*12,0,PMT('1.1 Control Panel'!$J12/12,'1.1 Control Panel'!$E$41*12,$J$20))</f>
        <v>0</v>
      </c>
      <c r="N27" s="376">
        <f ca="1">IF(COUNTA($J18:N18)&gt;'1.1 Control Panel'!$E$41*12,0,PMT('1.1 Control Panel'!$J12/12,'1.1 Control Panel'!$E$41*12,$J$20))</f>
        <v>0</v>
      </c>
      <c r="O27" s="376">
        <f ca="1">IF(COUNTA($J18:O18)&gt;'1.1 Control Panel'!$E$41*12,0,PMT('1.1 Control Panel'!$J12/12,'1.1 Control Panel'!$E$41*12,$J$20))</f>
        <v>0</v>
      </c>
      <c r="P27" s="376">
        <f ca="1">IF(COUNTA($J18:P18)&gt;'1.1 Control Panel'!$E$41*12,0,PMT('1.1 Control Panel'!$J12/12,'1.1 Control Panel'!$E$41*12,$J$20))</f>
        <v>0</v>
      </c>
      <c r="Q27" s="376">
        <f ca="1">IF(COUNTA($J18:Q18)&gt;'1.1 Control Panel'!$E$41*12,0,PMT('1.1 Control Panel'!$J12/12,'1.1 Control Panel'!$E$41*12,$J$20))</f>
        <v>0</v>
      </c>
      <c r="R27" s="376">
        <f ca="1">IF(COUNTA($J18:R18)&gt;'1.1 Control Panel'!$E$41*12,0,PMT('1.1 Control Panel'!$J12/12,'1.1 Control Panel'!$E$41*12,$J$20))</f>
        <v>0</v>
      </c>
      <c r="S27" s="376">
        <f ca="1">IF(COUNTA($J18:S18)&gt;'1.1 Control Panel'!$E$41*12,0,PMT('1.1 Control Panel'!$J12/12,'1.1 Control Panel'!$E$41*12,$J$20))</f>
        <v>0</v>
      </c>
      <c r="T27" s="376">
        <f ca="1">IF(COUNTA($J18:T18)&gt;'1.1 Control Panel'!$E$41*12,0,PMT('1.1 Control Panel'!$J12/12,'1.1 Control Panel'!$E$41*12,$J$20))</f>
        <v>0</v>
      </c>
      <c r="U27" s="376">
        <f ca="1">IF(COUNTA($J18:U18)&gt;'1.1 Control Panel'!$E$41*12,0,PMT('1.1 Control Panel'!$J12/12,'1.1 Control Panel'!$E$41*12,$J$20))</f>
        <v>0</v>
      </c>
      <c r="V27" s="376">
        <f ca="1">IF(COUNTA($J18:V18)&gt;'1.1 Control Panel'!$E$41*12,0,PMT('1.1 Control Panel'!$J12/12,'1.1 Control Panel'!$E$41*12,$J$20))</f>
        <v>0</v>
      </c>
      <c r="W27" s="376">
        <f ca="1">IF(COUNTA($J18:W18)&gt;'1.1 Control Panel'!$E$41*12,0,PMT('1.1 Control Panel'!$J12/12,'1.1 Control Panel'!$E$41*12,$J$20))</f>
        <v>0</v>
      </c>
      <c r="X27" s="376">
        <f ca="1">IF(COUNTA($J18:X18)&gt;'1.1 Control Panel'!$E$41*12,0,PMT('1.1 Control Panel'!$J12/12,'1.1 Control Panel'!$E$41*12,$J$20))</f>
        <v>0</v>
      </c>
      <c r="Y27" s="376">
        <f ca="1">IF(COUNTA($J18:Y18)&gt;'1.1 Control Panel'!$E$41*12,0,PMT('1.1 Control Panel'!$J12/12,'1.1 Control Panel'!$E$41*12,$J$20))</f>
        <v>0</v>
      </c>
      <c r="Z27" s="376">
        <f ca="1">IF(COUNTA($J18:Z18)&gt;'1.1 Control Panel'!$E$41*12,0,PMT('1.1 Control Panel'!$J12/12,'1.1 Control Panel'!$E$41*12,$J$20))</f>
        <v>0</v>
      </c>
      <c r="AA27" s="376">
        <f ca="1">IF(COUNTA($J18:AA18)&gt;'1.1 Control Panel'!$E$41*12,0,PMT('1.1 Control Panel'!$J12/12,'1.1 Control Panel'!$E$41*12,$J$20))</f>
        <v>0</v>
      </c>
      <c r="AB27" s="376">
        <f ca="1">IF(COUNTA($J18:AB18)&gt;'1.1 Control Panel'!$E$41*12,0,PMT('1.1 Control Panel'!$J12/12,'1.1 Control Panel'!$E$41*12,$J$20))</f>
        <v>0</v>
      </c>
      <c r="AC27" s="376">
        <f ca="1">IF(COUNTA($J18:AC18)&gt;'1.1 Control Panel'!$E$41*12,0,PMT('1.1 Control Panel'!$J12/12,'1.1 Control Panel'!$E$41*12,$J$20))</f>
        <v>0</v>
      </c>
      <c r="AD27" s="376">
        <f ca="1">IF(COUNTA($J18:AD18)&gt;'1.1 Control Panel'!$E$41*12,0,PMT('1.1 Control Panel'!$J12/12,'1.1 Control Panel'!$E$41*12,$J$20))</f>
        <v>0</v>
      </c>
      <c r="AE27" s="376">
        <f ca="1">IF(COUNTA($J18:AE18)&gt;'1.1 Control Panel'!$E$41*12,0,PMT('1.1 Control Panel'!$J12/12,'1.1 Control Panel'!$E$41*12,$J$20))</f>
        <v>0</v>
      </c>
      <c r="AF27" s="376">
        <f ca="1">IF(COUNTA($J18:AF18)&gt;'1.1 Control Panel'!$E$41*12,0,PMT('1.1 Control Panel'!$J12/12,'1.1 Control Panel'!$E$41*12,$J$20))</f>
        <v>0</v>
      </c>
      <c r="AG27" s="376">
        <f ca="1">IF(COUNTA($J18:AG18)&gt;'1.1 Control Panel'!$E$41*12,0,PMT('1.1 Control Panel'!$J12/12,'1.1 Control Panel'!$E$41*12,$J$20))</f>
        <v>0</v>
      </c>
      <c r="AH27" s="376">
        <f ca="1">IF(COUNTA($J18:AH18)&gt;'1.1 Control Panel'!$E$41*12,0,PMT('1.1 Control Panel'!$J12/12,'1.1 Control Panel'!$E$41*12,$J$20))</f>
        <v>0</v>
      </c>
      <c r="AI27" s="376">
        <f ca="1">IF(COUNTA($J18:AI18)&gt;'1.1 Control Panel'!$E$41*12,0,PMT('1.1 Control Panel'!$J12/12,'1.1 Control Panel'!$E$41*12,$J$20))</f>
        <v>0</v>
      </c>
      <c r="AJ27" s="376">
        <f ca="1">IF(COUNTA($J18:AJ18)&gt;'1.1 Control Panel'!$E$41*12,0,PMT('1.1 Control Panel'!$J12/12,'1.1 Control Panel'!$E$41*12,$J$20))</f>
        <v>0</v>
      </c>
      <c r="AK27" s="376">
        <f ca="1">IF(COUNTA($J18:AK18)&gt;'1.1 Control Panel'!$E$41*12,0,PMT('1.1 Control Panel'!$J12/12,'1.1 Control Panel'!$E$41*12,$J$20))</f>
        <v>0</v>
      </c>
      <c r="AL27" s="376">
        <f ca="1">IF(COUNTA($J18:AL18)&gt;'1.1 Control Panel'!$E$41*12,0,PMT('1.1 Control Panel'!$J12/12,'1.1 Control Panel'!$E$41*12,$J$20))</f>
        <v>0</v>
      </c>
      <c r="AM27" s="376">
        <f ca="1">IF(COUNTA($J18:AM18)&gt;'1.1 Control Panel'!$E$41*12,0,PMT('1.1 Control Panel'!$J12/12,'1.1 Control Panel'!$E$41*12,$J$20))</f>
        <v>0</v>
      </c>
      <c r="AN27" s="376">
        <f ca="1">IF(COUNTA($J18:AN18)&gt;'1.1 Control Panel'!$E$41*12,0,PMT('1.1 Control Panel'!$J12/12,'1.1 Control Panel'!$E$41*12,$J$20))</f>
        <v>0</v>
      </c>
      <c r="AP27" s="21"/>
    </row>
    <row r="28" spans="2:42" ht="11.5" customHeight="1" x14ac:dyDescent="0.25">
      <c r="C28" s="659">
        <v>45869</v>
      </c>
      <c r="D28" s="38" t="s">
        <v>46</v>
      </c>
      <c r="E28" s="376"/>
      <c r="F28" s="376"/>
      <c r="G28" s="376"/>
      <c r="H28" s="376"/>
      <c r="I28" s="376"/>
      <c r="J28" s="376"/>
      <c r="K28" s="376">
        <f ca="1">IF(COUNTA($K18:K18)&gt;'1.1 Control Panel'!$E$41*12,0,PMT('1.1 Control Panel'!$K12/12,'1.1 Control Panel'!$E$41*12,$K$20))</f>
        <v>0</v>
      </c>
      <c r="L28" s="376">
        <f ca="1">IF(COUNTA($K18:L18)&gt;'1.1 Control Panel'!$E$41*12,0,PMT('1.1 Control Panel'!$K12/12,'1.1 Control Panel'!$E$41*12,$K$20))</f>
        <v>0</v>
      </c>
      <c r="M28" s="376">
        <f ca="1">IF(COUNTA($K18:M18)&gt;'1.1 Control Panel'!$E$41*12,0,PMT('1.1 Control Panel'!$K12/12,'1.1 Control Panel'!$E$41*12,$K$20))</f>
        <v>0</v>
      </c>
      <c r="N28" s="376">
        <f ca="1">IF(COUNTA($K18:N18)&gt;'1.1 Control Panel'!$E$41*12,0,PMT('1.1 Control Panel'!$K12/12,'1.1 Control Panel'!$E$41*12,$K$20))</f>
        <v>0</v>
      </c>
      <c r="O28" s="376">
        <f ca="1">IF(COUNTA($K18:O18)&gt;'1.1 Control Panel'!$E$41*12,0,PMT('1.1 Control Panel'!$K12/12,'1.1 Control Panel'!$E$41*12,$K$20))</f>
        <v>0</v>
      </c>
      <c r="P28" s="376">
        <f ca="1">IF(COUNTA($K18:P18)&gt;'1.1 Control Panel'!$E$41*12,0,PMT('1.1 Control Panel'!$K12/12,'1.1 Control Panel'!$E$41*12,$K$20))</f>
        <v>0</v>
      </c>
      <c r="Q28" s="376">
        <f ca="1">IF(COUNTA($K18:Q18)&gt;'1.1 Control Panel'!$E$41*12,0,PMT('1.1 Control Panel'!$K12/12,'1.1 Control Panel'!$E$41*12,$K$20))</f>
        <v>0</v>
      </c>
      <c r="R28" s="376">
        <f ca="1">IF(COUNTA($K18:R18)&gt;'1.1 Control Panel'!$E$41*12,0,PMT('1.1 Control Panel'!$K12/12,'1.1 Control Panel'!$E$41*12,$K$20))</f>
        <v>0</v>
      </c>
      <c r="S28" s="376">
        <f ca="1">IF(COUNTA($K18:S18)&gt;'1.1 Control Panel'!$E$41*12,0,PMT('1.1 Control Panel'!$K12/12,'1.1 Control Panel'!$E$41*12,$K$20))</f>
        <v>0</v>
      </c>
      <c r="T28" s="376">
        <f ca="1">IF(COUNTA($K18:T18)&gt;'1.1 Control Panel'!$E$41*12,0,PMT('1.1 Control Panel'!$K12/12,'1.1 Control Panel'!$E$41*12,$K$20))</f>
        <v>0</v>
      </c>
      <c r="U28" s="376">
        <f ca="1">IF(COUNTA($K18:U18)&gt;'1.1 Control Panel'!$E$41*12,0,PMT('1.1 Control Panel'!$K12/12,'1.1 Control Panel'!$E$41*12,$K$20))</f>
        <v>0</v>
      </c>
      <c r="V28" s="376">
        <f ca="1">IF(COUNTA($K18:V18)&gt;'1.1 Control Panel'!$E$41*12,0,PMT('1.1 Control Panel'!$K12/12,'1.1 Control Panel'!$E$41*12,$K$20))</f>
        <v>0</v>
      </c>
      <c r="W28" s="376">
        <f ca="1">IF(COUNTA($K18:W18)&gt;'1.1 Control Panel'!$E$41*12,0,PMT('1.1 Control Panel'!$K12/12,'1.1 Control Panel'!$E$41*12,$K$20))</f>
        <v>0</v>
      </c>
      <c r="X28" s="376">
        <f ca="1">IF(COUNTA($K18:X18)&gt;'1.1 Control Panel'!$E$41*12,0,PMT('1.1 Control Panel'!$K12/12,'1.1 Control Panel'!$E$41*12,$K$20))</f>
        <v>0</v>
      </c>
      <c r="Y28" s="376">
        <f ca="1">IF(COUNTA($K18:Y18)&gt;'1.1 Control Panel'!$E$41*12,0,PMT('1.1 Control Panel'!$K12/12,'1.1 Control Panel'!$E$41*12,$K$20))</f>
        <v>0</v>
      </c>
      <c r="Z28" s="376">
        <f ca="1">IF(COUNTA($K18:Z18)&gt;'1.1 Control Panel'!$E$41*12,0,PMT('1.1 Control Panel'!$K12/12,'1.1 Control Panel'!$E$41*12,$K$20))</f>
        <v>0</v>
      </c>
      <c r="AA28" s="376">
        <f ca="1">IF(COUNTA($K18:AA18)&gt;'1.1 Control Panel'!$E$41*12,0,PMT('1.1 Control Panel'!$K12/12,'1.1 Control Panel'!$E$41*12,$K$20))</f>
        <v>0</v>
      </c>
      <c r="AB28" s="376">
        <f ca="1">IF(COUNTA($K18:AB18)&gt;'1.1 Control Panel'!$E$41*12,0,PMT('1.1 Control Panel'!$K12/12,'1.1 Control Panel'!$E$41*12,$K$20))</f>
        <v>0</v>
      </c>
      <c r="AC28" s="376">
        <f ca="1">IF(COUNTA($K18:AC18)&gt;'1.1 Control Panel'!$E$41*12,0,PMT('1.1 Control Panel'!$K12/12,'1.1 Control Panel'!$E$41*12,$K$20))</f>
        <v>0</v>
      </c>
      <c r="AD28" s="376">
        <f ca="1">IF(COUNTA($K18:AD18)&gt;'1.1 Control Panel'!$E$41*12,0,PMT('1.1 Control Panel'!$K12/12,'1.1 Control Panel'!$E$41*12,$K$20))</f>
        <v>0</v>
      </c>
      <c r="AE28" s="376">
        <f ca="1">IF(COUNTA($K18:AE18)&gt;'1.1 Control Panel'!$E$41*12,0,PMT('1.1 Control Panel'!$K12/12,'1.1 Control Panel'!$E$41*12,$K$20))</f>
        <v>0</v>
      </c>
      <c r="AF28" s="376">
        <f ca="1">IF(COUNTA($K18:AF18)&gt;'1.1 Control Panel'!$E$41*12,0,PMT('1.1 Control Panel'!$K12/12,'1.1 Control Panel'!$E$41*12,$K$20))</f>
        <v>0</v>
      </c>
      <c r="AG28" s="376">
        <f ca="1">IF(COUNTA($K18:AG18)&gt;'1.1 Control Panel'!$E$41*12,0,PMT('1.1 Control Panel'!$K12/12,'1.1 Control Panel'!$E$41*12,$K$20))</f>
        <v>0</v>
      </c>
      <c r="AH28" s="376">
        <f ca="1">IF(COUNTA($K18:AH18)&gt;'1.1 Control Panel'!$E$41*12,0,PMT('1.1 Control Panel'!$K12/12,'1.1 Control Panel'!$E$41*12,$K$20))</f>
        <v>0</v>
      </c>
      <c r="AI28" s="376">
        <f ca="1">IF(COUNTA($K18:AI18)&gt;'1.1 Control Panel'!$E$41*12,0,PMT('1.1 Control Panel'!$K12/12,'1.1 Control Panel'!$E$41*12,$K$20))</f>
        <v>0</v>
      </c>
      <c r="AJ28" s="376">
        <f ca="1">IF(COUNTA($K18:AJ18)&gt;'1.1 Control Panel'!$E$41*12,0,PMT('1.1 Control Panel'!$K12/12,'1.1 Control Panel'!$E$41*12,$K$20))</f>
        <v>0</v>
      </c>
      <c r="AK28" s="376">
        <f ca="1">IF(COUNTA($K18:AK18)&gt;'1.1 Control Panel'!$E$41*12,0,PMT('1.1 Control Panel'!$K12/12,'1.1 Control Panel'!$E$41*12,$K$20))</f>
        <v>0</v>
      </c>
      <c r="AL28" s="376">
        <f ca="1">IF(COUNTA($K18:AL18)&gt;'1.1 Control Panel'!$E$41*12,0,PMT('1.1 Control Panel'!$K12/12,'1.1 Control Panel'!$E$41*12,$K$20))</f>
        <v>0</v>
      </c>
      <c r="AM28" s="376">
        <f ca="1">IF(COUNTA($K18:AM18)&gt;'1.1 Control Panel'!$E$41*12,0,PMT('1.1 Control Panel'!$K12/12,'1.1 Control Panel'!$E$41*12,$K$20))</f>
        <v>0</v>
      </c>
      <c r="AN28" s="376">
        <f ca="1">IF(COUNTA($K18:AN18)&gt;'1.1 Control Panel'!$E$41*12,0,PMT('1.1 Control Panel'!$K12/12,'1.1 Control Panel'!$E$41*12,$K$20))</f>
        <v>0</v>
      </c>
      <c r="AP28" s="21"/>
    </row>
    <row r="29" spans="2:42" ht="11.5" customHeight="1" x14ac:dyDescent="0.25">
      <c r="C29" s="659">
        <v>45900</v>
      </c>
      <c r="D29" s="38" t="s">
        <v>46</v>
      </c>
      <c r="E29" s="376"/>
      <c r="F29" s="376"/>
      <c r="G29" s="376"/>
      <c r="H29" s="376"/>
      <c r="I29" s="376"/>
      <c r="J29" s="376"/>
      <c r="K29" s="376"/>
      <c r="L29" s="376">
        <f ca="1">IF(COUNTA($L18:L18)&gt;'1.1 Control Panel'!$E$41*12,0,PMT('1.1 Control Panel'!$L12/12,'1.1 Control Panel'!$E$41*12,$L$20))</f>
        <v>0</v>
      </c>
      <c r="M29" s="376">
        <f ca="1">IF(COUNTA($L18:M18)&gt;'1.1 Control Panel'!$E$41*12,0,PMT('1.1 Control Panel'!$L12/12,'1.1 Control Panel'!$E$41*12,$L$20))</f>
        <v>0</v>
      </c>
      <c r="N29" s="376">
        <f ca="1">IF(COUNTA($L18:N18)&gt;'1.1 Control Panel'!$E$41*12,0,PMT('1.1 Control Panel'!$L12/12,'1.1 Control Panel'!$E$41*12,$L$20))</f>
        <v>0</v>
      </c>
      <c r="O29" s="376">
        <f ca="1">IF(COUNTA($L18:O18)&gt;'1.1 Control Panel'!$E$41*12,0,PMT('1.1 Control Panel'!$L12/12,'1.1 Control Panel'!$E$41*12,$L$20))</f>
        <v>0</v>
      </c>
      <c r="P29" s="376">
        <f ca="1">IF(COUNTA($L18:P18)&gt;'1.1 Control Panel'!$E$41*12,0,PMT('1.1 Control Panel'!$L12/12,'1.1 Control Panel'!$E$41*12,$L$20))</f>
        <v>0</v>
      </c>
      <c r="Q29" s="376">
        <f ca="1">IF(COUNTA($L18:Q18)&gt;'1.1 Control Panel'!$E$41*12,0,PMT('1.1 Control Panel'!$L12/12,'1.1 Control Panel'!$E$41*12,$L$20))</f>
        <v>0</v>
      </c>
      <c r="R29" s="376">
        <f ca="1">IF(COUNTA($L18:R18)&gt;'1.1 Control Panel'!$E$41*12,0,PMT('1.1 Control Panel'!$L12/12,'1.1 Control Panel'!$E$41*12,$L$20))</f>
        <v>0</v>
      </c>
      <c r="S29" s="376">
        <f ca="1">IF(COUNTA($L18:S18)&gt;'1.1 Control Panel'!$E$41*12,0,PMT('1.1 Control Panel'!$L12/12,'1.1 Control Panel'!$E$41*12,$L$20))</f>
        <v>0</v>
      </c>
      <c r="T29" s="376">
        <f ca="1">IF(COUNTA($L18:T18)&gt;'1.1 Control Panel'!$E$41*12,0,PMT('1.1 Control Panel'!$L12/12,'1.1 Control Panel'!$E$41*12,$L$20))</f>
        <v>0</v>
      </c>
      <c r="U29" s="376">
        <f ca="1">IF(COUNTA($L18:U18)&gt;'1.1 Control Panel'!$E$41*12,0,PMT('1.1 Control Panel'!$L12/12,'1.1 Control Panel'!$E$41*12,$L$20))</f>
        <v>0</v>
      </c>
      <c r="V29" s="376">
        <f ca="1">IF(COUNTA($L18:V18)&gt;'1.1 Control Panel'!$E$41*12,0,PMT('1.1 Control Panel'!$L12/12,'1.1 Control Panel'!$E$41*12,$L$20))</f>
        <v>0</v>
      </c>
      <c r="W29" s="376">
        <f ca="1">IF(COUNTA($L18:W18)&gt;'1.1 Control Panel'!$E$41*12,0,PMT('1.1 Control Panel'!$L12/12,'1.1 Control Panel'!$E$41*12,$L$20))</f>
        <v>0</v>
      </c>
      <c r="X29" s="376">
        <f ca="1">IF(COUNTA($L18:X18)&gt;'1.1 Control Panel'!$E$41*12,0,PMT('1.1 Control Panel'!$L12/12,'1.1 Control Panel'!$E$41*12,$L$20))</f>
        <v>0</v>
      </c>
      <c r="Y29" s="376">
        <f ca="1">IF(COUNTA($L18:Y18)&gt;'1.1 Control Panel'!$E$41*12,0,PMT('1.1 Control Panel'!$L12/12,'1.1 Control Panel'!$E$41*12,$L$20))</f>
        <v>0</v>
      </c>
      <c r="Z29" s="376">
        <f ca="1">IF(COUNTA($L18:Z18)&gt;'1.1 Control Panel'!$E$41*12,0,PMT('1.1 Control Panel'!$L12/12,'1.1 Control Panel'!$E$41*12,$L$20))</f>
        <v>0</v>
      </c>
      <c r="AA29" s="376">
        <f ca="1">IF(COUNTA($L18:AA18)&gt;'1.1 Control Panel'!$E$41*12,0,PMT('1.1 Control Panel'!$L12/12,'1.1 Control Panel'!$E$41*12,$L$20))</f>
        <v>0</v>
      </c>
      <c r="AB29" s="376">
        <f ca="1">IF(COUNTA($L18:AB18)&gt;'1.1 Control Panel'!$E$41*12,0,PMT('1.1 Control Panel'!$L12/12,'1.1 Control Panel'!$E$41*12,$L$20))</f>
        <v>0</v>
      </c>
      <c r="AC29" s="376">
        <f ca="1">IF(COUNTA($L18:AC18)&gt;'1.1 Control Panel'!$E$41*12,0,PMT('1.1 Control Panel'!$L12/12,'1.1 Control Panel'!$E$41*12,$L$20))</f>
        <v>0</v>
      </c>
      <c r="AD29" s="376">
        <f ca="1">IF(COUNTA($L18:AD18)&gt;'1.1 Control Panel'!$E$41*12,0,PMT('1.1 Control Panel'!$L12/12,'1.1 Control Panel'!$E$41*12,$L$20))</f>
        <v>0</v>
      </c>
      <c r="AE29" s="376">
        <f ca="1">IF(COUNTA($L18:AE18)&gt;'1.1 Control Panel'!$E$41*12,0,PMT('1.1 Control Panel'!$L12/12,'1.1 Control Panel'!$E$41*12,$L$20))</f>
        <v>0</v>
      </c>
      <c r="AF29" s="376">
        <f ca="1">IF(COUNTA($L18:AF18)&gt;'1.1 Control Panel'!$E$41*12,0,PMT('1.1 Control Panel'!$L12/12,'1.1 Control Panel'!$E$41*12,$L$20))</f>
        <v>0</v>
      </c>
      <c r="AG29" s="376">
        <f ca="1">IF(COUNTA($L18:AG18)&gt;'1.1 Control Panel'!$E$41*12,0,PMT('1.1 Control Panel'!$L12/12,'1.1 Control Panel'!$E$41*12,$L$20))</f>
        <v>0</v>
      </c>
      <c r="AH29" s="376">
        <f ca="1">IF(COUNTA($L18:AH18)&gt;'1.1 Control Panel'!$E$41*12,0,PMT('1.1 Control Panel'!$L12/12,'1.1 Control Panel'!$E$41*12,$L$20))</f>
        <v>0</v>
      </c>
      <c r="AI29" s="376">
        <f ca="1">IF(COUNTA($L18:AI18)&gt;'1.1 Control Panel'!$E$41*12,0,PMT('1.1 Control Panel'!$L12/12,'1.1 Control Panel'!$E$41*12,$L$20))</f>
        <v>0</v>
      </c>
      <c r="AJ29" s="376">
        <f ca="1">IF(COUNTA($L18:AJ18)&gt;'1.1 Control Panel'!$E$41*12,0,PMT('1.1 Control Panel'!$L12/12,'1.1 Control Panel'!$E$41*12,$L$20))</f>
        <v>0</v>
      </c>
      <c r="AK29" s="376">
        <f ca="1">IF(COUNTA($L18:AK18)&gt;'1.1 Control Panel'!$E$41*12,0,PMT('1.1 Control Panel'!$L12/12,'1.1 Control Panel'!$E$41*12,$L$20))</f>
        <v>0</v>
      </c>
      <c r="AL29" s="376">
        <f ca="1">IF(COUNTA($L18:AL18)&gt;'1.1 Control Panel'!$E$41*12,0,PMT('1.1 Control Panel'!$L12/12,'1.1 Control Panel'!$E$41*12,$L$20))</f>
        <v>0</v>
      </c>
      <c r="AM29" s="376">
        <f ca="1">IF(COUNTA($L18:AM18)&gt;'1.1 Control Panel'!$E$41*12,0,PMT('1.1 Control Panel'!$L12/12,'1.1 Control Panel'!$E$41*12,$L$20))</f>
        <v>0</v>
      </c>
      <c r="AN29" s="376">
        <f ca="1">IF(COUNTA($L18:AN18)&gt;'1.1 Control Panel'!$E$41*12,0,PMT('1.1 Control Panel'!$L12/12,'1.1 Control Panel'!$E$41*12,$L$20))</f>
        <v>0</v>
      </c>
      <c r="AP29" s="21"/>
    </row>
    <row r="30" spans="2:42" ht="11.5" customHeight="1" x14ac:dyDescent="0.25">
      <c r="C30" s="659">
        <v>45930</v>
      </c>
      <c r="D30" s="38" t="s">
        <v>46</v>
      </c>
      <c r="E30" s="376"/>
      <c r="F30" s="376"/>
      <c r="G30" s="376"/>
      <c r="H30" s="376"/>
      <c r="I30" s="376"/>
      <c r="J30" s="376"/>
      <c r="K30" s="376"/>
      <c r="L30" s="376"/>
      <c r="M30" s="376">
        <f ca="1">IF(COUNTA($M18:M18)&gt;'1.1 Control Panel'!$E$41*12,0,PMT('1.1 Control Panel'!$M12/12,'1.1 Control Panel'!$E$41*12,$M$20))</f>
        <v>0</v>
      </c>
      <c r="N30" s="376">
        <f ca="1">IF(COUNTA($M18:N18)&gt;'1.1 Control Panel'!$E$41*12,0,PMT('1.1 Control Panel'!$M12/12,'1.1 Control Panel'!$E$41*12,$M$20))</f>
        <v>0</v>
      </c>
      <c r="O30" s="376">
        <f ca="1">IF(COUNTA($M18:O18)&gt;'1.1 Control Panel'!$E$41*12,0,PMT('1.1 Control Panel'!$M12/12,'1.1 Control Panel'!$E$41*12,$M$20))</f>
        <v>0</v>
      </c>
      <c r="P30" s="376">
        <f ca="1">IF(COUNTA($M18:P18)&gt;'1.1 Control Panel'!$E$41*12,0,PMT('1.1 Control Panel'!$M12/12,'1.1 Control Panel'!$E$41*12,$M$20))</f>
        <v>0</v>
      </c>
      <c r="Q30" s="376">
        <f ca="1">IF(COUNTA($M18:Q18)&gt;'1.1 Control Panel'!$E$41*12,0,PMT('1.1 Control Panel'!$M12/12,'1.1 Control Panel'!$E$41*12,$M$20))</f>
        <v>0</v>
      </c>
      <c r="R30" s="376">
        <f ca="1">IF(COUNTA($M18:R18)&gt;'1.1 Control Panel'!$E$41*12,0,PMT('1.1 Control Panel'!$M12/12,'1.1 Control Panel'!$E$41*12,$M$20))</f>
        <v>0</v>
      </c>
      <c r="S30" s="376">
        <f ca="1">IF(COUNTA($M18:S18)&gt;'1.1 Control Panel'!$E$41*12,0,PMT('1.1 Control Panel'!$M12/12,'1.1 Control Panel'!$E$41*12,$M$20))</f>
        <v>0</v>
      </c>
      <c r="T30" s="376">
        <f ca="1">IF(COUNTA($M18:T18)&gt;'1.1 Control Panel'!$E$41*12,0,PMT('1.1 Control Panel'!$M12/12,'1.1 Control Panel'!$E$41*12,$M$20))</f>
        <v>0</v>
      </c>
      <c r="U30" s="376">
        <f ca="1">IF(COUNTA($M18:U18)&gt;'1.1 Control Panel'!$E$41*12,0,PMT('1.1 Control Panel'!$M12/12,'1.1 Control Panel'!$E$41*12,$M$20))</f>
        <v>0</v>
      </c>
      <c r="V30" s="376">
        <f ca="1">IF(COUNTA($M18:V18)&gt;'1.1 Control Panel'!$E$41*12,0,PMT('1.1 Control Panel'!$M12/12,'1.1 Control Panel'!$E$41*12,$M$20))</f>
        <v>0</v>
      </c>
      <c r="W30" s="376">
        <f ca="1">IF(COUNTA($M18:W18)&gt;'1.1 Control Panel'!$E$41*12,0,PMT('1.1 Control Panel'!$M12/12,'1.1 Control Panel'!$E$41*12,$M$20))</f>
        <v>0</v>
      </c>
      <c r="X30" s="376">
        <f ca="1">IF(COUNTA($M18:X18)&gt;'1.1 Control Panel'!$E$41*12,0,PMT('1.1 Control Panel'!$M12/12,'1.1 Control Panel'!$E$41*12,$M$20))</f>
        <v>0</v>
      </c>
      <c r="Y30" s="376">
        <f ca="1">IF(COUNTA($M18:Y18)&gt;'1.1 Control Panel'!$E$41*12,0,PMT('1.1 Control Panel'!$M12/12,'1.1 Control Panel'!$E$41*12,$M$20))</f>
        <v>0</v>
      </c>
      <c r="Z30" s="376">
        <f ca="1">IF(COUNTA($M18:Z18)&gt;'1.1 Control Panel'!$E$41*12,0,PMT('1.1 Control Panel'!$M12/12,'1.1 Control Panel'!$E$41*12,$M$20))</f>
        <v>0</v>
      </c>
      <c r="AA30" s="376">
        <f ca="1">IF(COUNTA($M18:AA18)&gt;'1.1 Control Panel'!$E$41*12,0,PMT('1.1 Control Panel'!$M12/12,'1.1 Control Panel'!$E$41*12,$M$20))</f>
        <v>0</v>
      </c>
      <c r="AB30" s="376">
        <f ca="1">IF(COUNTA($M18:AB18)&gt;'1.1 Control Panel'!$E$41*12,0,PMT('1.1 Control Panel'!$M12/12,'1.1 Control Panel'!$E$41*12,$M$20))</f>
        <v>0</v>
      </c>
      <c r="AC30" s="376">
        <f ca="1">IF(COUNTA($M18:AC18)&gt;'1.1 Control Panel'!$E$41*12,0,PMT('1.1 Control Panel'!$M12/12,'1.1 Control Panel'!$E$41*12,$M$20))</f>
        <v>0</v>
      </c>
      <c r="AD30" s="376">
        <f ca="1">IF(COUNTA($M18:AD18)&gt;'1.1 Control Panel'!$E$41*12,0,PMT('1.1 Control Panel'!$M12/12,'1.1 Control Panel'!$E$41*12,$M$20))</f>
        <v>0</v>
      </c>
      <c r="AE30" s="376">
        <f ca="1">IF(COUNTA($M18:AE18)&gt;'1.1 Control Panel'!$E$41*12,0,PMT('1.1 Control Panel'!$M12/12,'1.1 Control Panel'!$E$41*12,$M$20))</f>
        <v>0</v>
      </c>
      <c r="AF30" s="376">
        <f ca="1">IF(COUNTA($M18:AF18)&gt;'1.1 Control Panel'!$E$41*12,0,PMT('1.1 Control Panel'!$M12/12,'1.1 Control Panel'!$E$41*12,$M$20))</f>
        <v>0</v>
      </c>
      <c r="AG30" s="376">
        <f ca="1">IF(COUNTA($M18:AG18)&gt;'1.1 Control Panel'!$E$41*12,0,PMT('1.1 Control Panel'!$M12/12,'1.1 Control Panel'!$E$41*12,$M$20))</f>
        <v>0</v>
      </c>
      <c r="AH30" s="376">
        <f ca="1">IF(COUNTA($M18:AH18)&gt;'1.1 Control Panel'!$E$41*12,0,PMT('1.1 Control Panel'!$M12/12,'1.1 Control Panel'!$E$41*12,$M$20))</f>
        <v>0</v>
      </c>
      <c r="AI30" s="376">
        <f ca="1">IF(COUNTA($M18:AI18)&gt;'1.1 Control Panel'!$E$41*12,0,PMT('1.1 Control Panel'!$M12/12,'1.1 Control Panel'!$E$41*12,$M$20))</f>
        <v>0</v>
      </c>
      <c r="AJ30" s="376">
        <f ca="1">IF(COUNTA($M18:AJ18)&gt;'1.1 Control Panel'!$E$41*12,0,PMT('1.1 Control Panel'!$M12/12,'1.1 Control Panel'!$E$41*12,$M$20))</f>
        <v>0</v>
      </c>
      <c r="AK30" s="376">
        <f ca="1">IF(COUNTA($M18:AK18)&gt;'1.1 Control Panel'!$E$41*12,0,PMT('1.1 Control Panel'!$M12/12,'1.1 Control Panel'!$E$41*12,$M$20))</f>
        <v>0</v>
      </c>
      <c r="AL30" s="376">
        <f ca="1">IF(COUNTA($M18:AL18)&gt;'1.1 Control Panel'!$E$41*12,0,PMT('1.1 Control Panel'!$M12/12,'1.1 Control Panel'!$E$41*12,$M$20))</f>
        <v>0</v>
      </c>
      <c r="AM30" s="376">
        <f ca="1">IF(COUNTA($M18:AM18)&gt;'1.1 Control Panel'!$E$41*12,0,PMT('1.1 Control Panel'!$M12/12,'1.1 Control Panel'!$E$41*12,$M$20))</f>
        <v>0</v>
      </c>
      <c r="AN30" s="376">
        <f ca="1">IF(COUNTA($M18:AN18)&gt;'1.1 Control Panel'!$E$41*12,0,PMT('1.1 Control Panel'!$M12/12,'1.1 Control Panel'!$E$41*12,$M$20))</f>
        <v>0</v>
      </c>
      <c r="AP30" s="21"/>
    </row>
    <row r="31" spans="2:42" ht="11.5" customHeight="1" x14ac:dyDescent="0.25">
      <c r="C31" s="659">
        <v>45961</v>
      </c>
      <c r="D31" s="38" t="s">
        <v>46</v>
      </c>
      <c r="E31" s="376"/>
      <c r="F31" s="376"/>
      <c r="G31" s="376"/>
      <c r="H31" s="376"/>
      <c r="I31" s="376"/>
      <c r="J31" s="376"/>
      <c r="K31" s="376"/>
      <c r="L31" s="376"/>
      <c r="M31" s="376"/>
      <c r="N31" s="376">
        <f ca="1">IF(COUNTA($N18:N18)&gt;'1.1 Control Panel'!$E$41*12,0,PMT('1.1 Control Panel'!$N12/12,'1.1 Control Panel'!$E$41*12,$N$20))</f>
        <v>0</v>
      </c>
      <c r="O31" s="376">
        <f ca="1">IF(COUNTA($N18:O18)&gt;'1.1 Control Panel'!$E$41*12,0,PMT('1.1 Control Panel'!$N12/12,'1.1 Control Panel'!$E$41*12,$N$20))</f>
        <v>0</v>
      </c>
      <c r="P31" s="376">
        <f ca="1">IF(COUNTA($N18:P18)&gt;'1.1 Control Panel'!$E$41*12,0,PMT('1.1 Control Panel'!$N12/12,'1.1 Control Panel'!$E$41*12,$N$20))</f>
        <v>0</v>
      </c>
      <c r="Q31" s="376">
        <f ca="1">IF(COUNTA($N18:Q18)&gt;'1.1 Control Panel'!$E$41*12,0,PMT('1.1 Control Panel'!$N12/12,'1.1 Control Panel'!$E$41*12,$N$20))</f>
        <v>0</v>
      </c>
      <c r="R31" s="376">
        <f ca="1">IF(COUNTA($N18:R18)&gt;'1.1 Control Panel'!$E$41*12,0,PMT('1.1 Control Panel'!$N12/12,'1.1 Control Panel'!$E$41*12,$N$20))</f>
        <v>0</v>
      </c>
      <c r="S31" s="376">
        <f ca="1">IF(COUNTA($N18:S18)&gt;'1.1 Control Panel'!$E$41*12,0,PMT('1.1 Control Panel'!$N12/12,'1.1 Control Panel'!$E$41*12,$N$20))</f>
        <v>0</v>
      </c>
      <c r="T31" s="376">
        <f ca="1">IF(COUNTA($N18:T18)&gt;'1.1 Control Panel'!$E$41*12,0,PMT('1.1 Control Panel'!$N12/12,'1.1 Control Panel'!$E$41*12,$N$20))</f>
        <v>0</v>
      </c>
      <c r="U31" s="376">
        <f ca="1">IF(COUNTA($N18:U18)&gt;'1.1 Control Panel'!$E$41*12,0,PMT('1.1 Control Panel'!$N12/12,'1.1 Control Panel'!$E$41*12,$N$20))</f>
        <v>0</v>
      </c>
      <c r="V31" s="376">
        <f ca="1">IF(COUNTA($N18:V18)&gt;'1.1 Control Panel'!$E$41*12,0,PMT('1.1 Control Panel'!$N12/12,'1.1 Control Panel'!$E$41*12,$N$20))</f>
        <v>0</v>
      </c>
      <c r="W31" s="376">
        <f ca="1">IF(COUNTA($N18:W18)&gt;'1.1 Control Panel'!$E$41*12,0,PMT('1.1 Control Panel'!$N12/12,'1.1 Control Panel'!$E$41*12,$N$20))</f>
        <v>0</v>
      </c>
      <c r="X31" s="376">
        <f ca="1">IF(COUNTA($N18:X18)&gt;'1.1 Control Panel'!$E$41*12,0,PMT('1.1 Control Panel'!$N12/12,'1.1 Control Panel'!$E$41*12,$N$20))</f>
        <v>0</v>
      </c>
      <c r="Y31" s="376">
        <f ca="1">IF(COUNTA($N18:Y18)&gt;'1.1 Control Panel'!$E$41*12,0,PMT('1.1 Control Panel'!$N12/12,'1.1 Control Panel'!$E$41*12,$N$20))</f>
        <v>0</v>
      </c>
      <c r="Z31" s="376">
        <f ca="1">IF(COUNTA($N18:Z18)&gt;'1.1 Control Panel'!$E$41*12,0,PMT('1.1 Control Panel'!$N12/12,'1.1 Control Panel'!$E$41*12,$N$20))</f>
        <v>0</v>
      </c>
      <c r="AA31" s="376">
        <f ca="1">IF(COUNTA($N18:AA18)&gt;'1.1 Control Panel'!$E$41*12,0,PMT('1.1 Control Panel'!$N12/12,'1.1 Control Panel'!$E$41*12,$N$20))</f>
        <v>0</v>
      </c>
      <c r="AB31" s="376">
        <f ca="1">IF(COUNTA($N18:AB18)&gt;'1.1 Control Panel'!$E$41*12,0,PMT('1.1 Control Panel'!$N12/12,'1.1 Control Panel'!$E$41*12,$N$20))</f>
        <v>0</v>
      </c>
      <c r="AC31" s="376">
        <f ca="1">IF(COUNTA($N18:AC18)&gt;'1.1 Control Panel'!$E$41*12,0,PMT('1.1 Control Panel'!$N12/12,'1.1 Control Panel'!$E$41*12,$N$20))</f>
        <v>0</v>
      </c>
      <c r="AD31" s="376">
        <f ca="1">IF(COUNTA($N18:AD18)&gt;'1.1 Control Panel'!$E$41*12,0,PMT('1.1 Control Panel'!$N12/12,'1.1 Control Panel'!$E$41*12,$N$20))</f>
        <v>0</v>
      </c>
      <c r="AE31" s="376">
        <f ca="1">IF(COUNTA($N18:AE18)&gt;'1.1 Control Panel'!$E$41*12,0,PMT('1.1 Control Panel'!$N12/12,'1.1 Control Panel'!$E$41*12,$N$20))</f>
        <v>0</v>
      </c>
      <c r="AF31" s="376">
        <f ca="1">IF(COUNTA($N18:AF18)&gt;'1.1 Control Panel'!$E$41*12,0,PMT('1.1 Control Panel'!$N12/12,'1.1 Control Panel'!$E$41*12,$N$20))</f>
        <v>0</v>
      </c>
      <c r="AG31" s="376">
        <f ca="1">IF(COUNTA($N18:AG18)&gt;'1.1 Control Panel'!$E$41*12,0,PMT('1.1 Control Panel'!$N12/12,'1.1 Control Panel'!$E$41*12,$N$20))</f>
        <v>0</v>
      </c>
      <c r="AH31" s="376">
        <f ca="1">IF(COUNTA($N18:AH18)&gt;'1.1 Control Panel'!$E$41*12,0,PMT('1.1 Control Panel'!$N12/12,'1.1 Control Panel'!$E$41*12,$N$20))</f>
        <v>0</v>
      </c>
      <c r="AI31" s="376">
        <f ca="1">IF(COUNTA($N18:AI18)&gt;'1.1 Control Panel'!$E$41*12,0,PMT('1.1 Control Panel'!$N12/12,'1.1 Control Panel'!$E$41*12,$N$20))</f>
        <v>0</v>
      </c>
      <c r="AJ31" s="376">
        <f ca="1">IF(COUNTA($N18:AJ18)&gt;'1.1 Control Panel'!$E$41*12,0,PMT('1.1 Control Panel'!$N12/12,'1.1 Control Panel'!$E$41*12,$N$20))</f>
        <v>0</v>
      </c>
      <c r="AK31" s="376">
        <f ca="1">IF(COUNTA($N18:AK18)&gt;'1.1 Control Panel'!$E$41*12,0,PMT('1.1 Control Panel'!$N12/12,'1.1 Control Panel'!$E$41*12,$N$20))</f>
        <v>0</v>
      </c>
      <c r="AL31" s="376">
        <f ca="1">IF(COUNTA($N18:AL18)&gt;'1.1 Control Panel'!$E$41*12,0,PMT('1.1 Control Panel'!$N12/12,'1.1 Control Panel'!$E$41*12,$N$20))</f>
        <v>0</v>
      </c>
      <c r="AM31" s="376">
        <f ca="1">IF(COUNTA($N18:AM18)&gt;'1.1 Control Panel'!$E$41*12,0,PMT('1.1 Control Panel'!$N12/12,'1.1 Control Panel'!$E$41*12,$N$20))</f>
        <v>0</v>
      </c>
      <c r="AN31" s="376">
        <f ca="1">IF(COUNTA($N18:AN18)&gt;'1.1 Control Panel'!$E$41*12,0,PMT('1.1 Control Panel'!$N12/12,'1.1 Control Panel'!$E$41*12,$N$20))</f>
        <v>0</v>
      </c>
      <c r="AP31" s="21"/>
    </row>
    <row r="32" spans="2:42" ht="11.5" customHeight="1" x14ac:dyDescent="0.25">
      <c r="C32" s="659">
        <v>45991</v>
      </c>
      <c r="D32" s="38" t="s">
        <v>46</v>
      </c>
      <c r="E32" s="376"/>
      <c r="F32" s="376"/>
      <c r="G32" s="376"/>
      <c r="H32" s="376"/>
      <c r="I32" s="376"/>
      <c r="J32" s="376"/>
      <c r="K32" s="376"/>
      <c r="L32" s="376"/>
      <c r="M32" s="376"/>
      <c r="N32" s="376"/>
      <c r="O32" s="376">
        <f ca="1">IF(COUNTA($O18:O18)&gt;'1.1 Control Panel'!$E$41*12,0,PMT('1.1 Control Panel'!$O12/12,'1.1 Control Panel'!$E$41*12,$O$20))</f>
        <v>0</v>
      </c>
      <c r="P32" s="376">
        <f ca="1">IF(COUNTA($O18:P18)&gt;'1.1 Control Panel'!$E$41*12,0,PMT('1.1 Control Panel'!$O12/12,'1.1 Control Panel'!$E$41*12,$O$20))</f>
        <v>0</v>
      </c>
      <c r="Q32" s="376">
        <f ca="1">IF(COUNTA($O18:Q18)&gt;'1.1 Control Panel'!$E$41*12,0,PMT('1.1 Control Panel'!$O12/12,'1.1 Control Panel'!$E$41*12,$O$20))</f>
        <v>0</v>
      </c>
      <c r="R32" s="376">
        <f ca="1">IF(COUNTA($O18:R18)&gt;'1.1 Control Panel'!$E$41*12,0,PMT('1.1 Control Panel'!$O12/12,'1.1 Control Panel'!$E$41*12,$O$20))</f>
        <v>0</v>
      </c>
      <c r="S32" s="376">
        <f ca="1">IF(COUNTA($O18:S18)&gt;'1.1 Control Panel'!$E$41*12,0,PMT('1.1 Control Panel'!$O12/12,'1.1 Control Panel'!$E$41*12,$O$20))</f>
        <v>0</v>
      </c>
      <c r="T32" s="376">
        <f ca="1">IF(COUNTA($O18:T18)&gt;'1.1 Control Panel'!$E$41*12,0,PMT('1.1 Control Panel'!$O12/12,'1.1 Control Panel'!$E$41*12,$O$20))</f>
        <v>0</v>
      </c>
      <c r="U32" s="376">
        <f ca="1">IF(COUNTA($O18:U18)&gt;'1.1 Control Panel'!$E$41*12,0,PMT('1.1 Control Panel'!$O12/12,'1.1 Control Panel'!$E$41*12,$O$20))</f>
        <v>0</v>
      </c>
      <c r="V32" s="376">
        <f ca="1">IF(COUNTA($O18:V18)&gt;'1.1 Control Panel'!$E$41*12,0,PMT('1.1 Control Panel'!$O12/12,'1.1 Control Panel'!$E$41*12,$O$20))</f>
        <v>0</v>
      </c>
      <c r="W32" s="376">
        <f ca="1">IF(COUNTA($O18:W18)&gt;'1.1 Control Panel'!$E$41*12,0,PMT('1.1 Control Panel'!$O12/12,'1.1 Control Panel'!$E$41*12,$O$20))</f>
        <v>0</v>
      </c>
      <c r="X32" s="376">
        <f ca="1">IF(COUNTA($O18:X18)&gt;'1.1 Control Panel'!$E$41*12,0,PMT('1.1 Control Panel'!$O12/12,'1.1 Control Panel'!$E$41*12,$O$20))</f>
        <v>0</v>
      </c>
      <c r="Y32" s="376">
        <f ca="1">IF(COUNTA($O18:Y18)&gt;'1.1 Control Panel'!$E$41*12,0,PMT('1.1 Control Panel'!$O12/12,'1.1 Control Panel'!$E$41*12,$O$20))</f>
        <v>0</v>
      </c>
      <c r="Z32" s="376">
        <f ca="1">IF(COUNTA($O18:Z18)&gt;'1.1 Control Panel'!$E$41*12,0,PMT('1.1 Control Panel'!$O12/12,'1.1 Control Panel'!$E$41*12,$O$20))</f>
        <v>0</v>
      </c>
      <c r="AA32" s="376">
        <f ca="1">IF(COUNTA($O18:AA18)&gt;'1.1 Control Panel'!$E$41*12,0,PMT('1.1 Control Panel'!$O12/12,'1.1 Control Panel'!$E$41*12,$O$20))</f>
        <v>0</v>
      </c>
      <c r="AB32" s="376">
        <f ca="1">IF(COUNTA($O18:AB18)&gt;'1.1 Control Panel'!$E$41*12,0,PMT('1.1 Control Panel'!$O12/12,'1.1 Control Panel'!$E$41*12,$O$20))</f>
        <v>0</v>
      </c>
      <c r="AC32" s="376">
        <f ca="1">IF(COUNTA($O18:AC18)&gt;'1.1 Control Panel'!$E$41*12,0,PMT('1.1 Control Panel'!$O12/12,'1.1 Control Panel'!$E$41*12,$O$20))</f>
        <v>0</v>
      </c>
      <c r="AD32" s="376">
        <f ca="1">IF(COUNTA($O18:AD18)&gt;'1.1 Control Panel'!$E$41*12,0,PMT('1.1 Control Panel'!$O12/12,'1.1 Control Panel'!$E$41*12,$O$20))</f>
        <v>0</v>
      </c>
      <c r="AE32" s="376">
        <f ca="1">IF(COUNTA($O18:AE18)&gt;'1.1 Control Panel'!$E$41*12,0,PMT('1.1 Control Panel'!$O12/12,'1.1 Control Panel'!$E$41*12,$O$20))</f>
        <v>0</v>
      </c>
      <c r="AF32" s="376">
        <f ca="1">IF(COUNTA($O18:AF18)&gt;'1.1 Control Panel'!$E$41*12,0,PMT('1.1 Control Panel'!$O12/12,'1.1 Control Panel'!$E$41*12,$O$20))</f>
        <v>0</v>
      </c>
      <c r="AG32" s="376">
        <f ca="1">IF(COUNTA($O18:AG18)&gt;'1.1 Control Panel'!$E$41*12,0,PMT('1.1 Control Panel'!$O12/12,'1.1 Control Panel'!$E$41*12,$O$20))</f>
        <v>0</v>
      </c>
      <c r="AH32" s="376">
        <f ca="1">IF(COUNTA($O18:AH18)&gt;'1.1 Control Panel'!$E$41*12,0,PMT('1.1 Control Panel'!$O12/12,'1.1 Control Panel'!$E$41*12,$O$20))</f>
        <v>0</v>
      </c>
      <c r="AI32" s="376">
        <f ca="1">IF(COUNTA($O18:AI18)&gt;'1.1 Control Panel'!$E$41*12,0,PMT('1.1 Control Panel'!$O12/12,'1.1 Control Panel'!$E$41*12,$O$20))</f>
        <v>0</v>
      </c>
      <c r="AJ32" s="376">
        <f ca="1">IF(COUNTA($O18:AJ18)&gt;'1.1 Control Panel'!$E$41*12,0,PMT('1.1 Control Panel'!$O12/12,'1.1 Control Panel'!$E$41*12,$O$20))</f>
        <v>0</v>
      </c>
      <c r="AK32" s="376">
        <f ca="1">IF(COUNTA($O18:AK18)&gt;'1.1 Control Panel'!$E$41*12,0,PMT('1.1 Control Panel'!$O12/12,'1.1 Control Panel'!$E$41*12,$O$20))</f>
        <v>0</v>
      </c>
      <c r="AL32" s="376">
        <f ca="1">IF(COUNTA($O18:AL18)&gt;'1.1 Control Panel'!$E$41*12,0,PMT('1.1 Control Panel'!$O12/12,'1.1 Control Panel'!$E$41*12,$O$20))</f>
        <v>0</v>
      </c>
      <c r="AM32" s="376">
        <f ca="1">IF(COUNTA($O18:AM18)&gt;'1.1 Control Panel'!$E$41*12,0,PMT('1.1 Control Panel'!$O12/12,'1.1 Control Panel'!$E$41*12,$O$20))</f>
        <v>0</v>
      </c>
      <c r="AN32" s="376">
        <f ca="1">IF(COUNTA($O18:AN18)&gt;'1.1 Control Panel'!$E$41*12,0,PMT('1.1 Control Panel'!$O12/12,'1.1 Control Panel'!$E$41*12,$O$20))</f>
        <v>0</v>
      </c>
      <c r="AP32" s="21"/>
    </row>
    <row r="33" spans="3:42" ht="11.5" customHeight="1" x14ac:dyDescent="0.25">
      <c r="C33" s="659">
        <v>46022</v>
      </c>
      <c r="D33" s="38" t="s">
        <v>46</v>
      </c>
      <c r="E33" s="376"/>
      <c r="F33" s="376"/>
      <c r="G33" s="376"/>
      <c r="H33" s="376"/>
      <c r="I33" s="376"/>
      <c r="J33" s="376"/>
      <c r="K33" s="376"/>
      <c r="L33" s="376"/>
      <c r="M33" s="376"/>
      <c r="N33" s="376"/>
      <c r="O33" s="376"/>
      <c r="P33" s="376">
        <f ca="1">IF(COUNTA($P18:P18)&gt;'1.1 Control Panel'!$E$41*12,0,PMT('1.1 Control Panel'!$P12/12,'1.1 Control Panel'!$E$41*12,$P$20))</f>
        <v>0</v>
      </c>
      <c r="Q33" s="376">
        <f ca="1">IF(COUNTA($P18:Q18)&gt;'1.1 Control Panel'!$E$41*12,0,PMT('1.1 Control Panel'!$P12/12,'1.1 Control Panel'!$E$41*12,$P$20))</f>
        <v>0</v>
      </c>
      <c r="R33" s="376">
        <f ca="1">IF(COUNTA($P18:R18)&gt;'1.1 Control Panel'!$E$41*12,0,PMT('1.1 Control Panel'!$P12/12,'1.1 Control Panel'!$E$41*12,$P$20))</f>
        <v>0</v>
      </c>
      <c r="S33" s="376">
        <f ca="1">IF(COUNTA($P18:S18)&gt;'1.1 Control Panel'!$E$41*12,0,PMT('1.1 Control Panel'!$P12/12,'1.1 Control Panel'!$E$41*12,$P$20))</f>
        <v>0</v>
      </c>
      <c r="T33" s="376">
        <f ca="1">IF(COUNTA($P18:T18)&gt;'1.1 Control Panel'!$E$41*12,0,PMT('1.1 Control Panel'!$P12/12,'1.1 Control Panel'!$E$41*12,$P$20))</f>
        <v>0</v>
      </c>
      <c r="U33" s="376">
        <f ca="1">IF(COUNTA($P18:U18)&gt;'1.1 Control Panel'!$E$41*12,0,PMT('1.1 Control Panel'!$P12/12,'1.1 Control Panel'!$E$41*12,$P$20))</f>
        <v>0</v>
      </c>
      <c r="V33" s="376">
        <f ca="1">IF(COUNTA($P18:V18)&gt;'1.1 Control Panel'!$E$41*12,0,PMT('1.1 Control Panel'!$P12/12,'1.1 Control Panel'!$E$41*12,$P$20))</f>
        <v>0</v>
      </c>
      <c r="W33" s="376">
        <f ca="1">IF(COUNTA($P18:W18)&gt;'1.1 Control Panel'!$E$41*12,0,PMT('1.1 Control Panel'!$P12/12,'1.1 Control Panel'!$E$41*12,$P$20))</f>
        <v>0</v>
      </c>
      <c r="X33" s="376">
        <f ca="1">IF(COUNTA($P18:X18)&gt;'1.1 Control Panel'!$E$41*12,0,PMT('1.1 Control Panel'!$P12/12,'1.1 Control Panel'!$E$41*12,$P$20))</f>
        <v>0</v>
      </c>
      <c r="Y33" s="376">
        <f ca="1">IF(COUNTA($P18:Y18)&gt;'1.1 Control Panel'!$E$41*12,0,PMT('1.1 Control Panel'!$P12/12,'1.1 Control Panel'!$E$41*12,$P$20))</f>
        <v>0</v>
      </c>
      <c r="Z33" s="376">
        <f ca="1">IF(COUNTA($P18:Z18)&gt;'1.1 Control Panel'!$E$41*12,0,PMT('1.1 Control Panel'!$P12/12,'1.1 Control Panel'!$E$41*12,$P$20))</f>
        <v>0</v>
      </c>
      <c r="AA33" s="376">
        <f ca="1">IF(COUNTA($P18:AA18)&gt;'1.1 Control Panel'!$E$41*12,0,PMT('1.1 Control Panel'!$P12/12,'1.1 Control Panel'!$E$41*12,$P$20))</f>
        <v>0</v>
      </c>
      <c r="AB33" s="376">
        <f ca="1">IF(COUNTA($P18:AB18)&gt;'1.1 Control Panel'!$E$41*12,0,PMT('1.1 Control Panel'!$P12/12,'1.1 Control Panel'!$E$41*12,$P$20))</f>
        <v>0</v>
      </c>
      <c r="AC33" s="376">
        <f ca="1">IF(COUNTA($P18:AC18)&gt;'1.1 Control Panel'!$E$41*12,0,PMT('1.1 Control Panel'!$P12/12,'1.1 Control Panel'!$E$41*12,$P$20))</f>
        <v>0</v>
      </c>
      <c r="AD33" s="376">
        <f ca="1">IF(COUNTA($P18:AD18)&gt;'1.1 Control Panel'!$E$41*12,0,PMT('1.1 Control Panel'!$P12/12,'1.1 Control Panel'!$E$41*12,$P$20))</f>
        <v>0</v>
      </c>
      <c r="AE33" s="376">
        <f ca="1">IF(COUNTA($P18:AE18)&gt;'1.1 Control Panel'!$E$41*12,0,PMT('1.1 Control Panel'!$P12/12,'1.1 Control Panel'!$E$41*12,$P$20))</f>
        <v>0</v>
      </c>
      <c r="AF33" s="376">
        <f ca="1">IF(COUNTA($P18:AF18)&gt;'1.1 Control Panel'!$E$41*12,0,PMT('1.1 Control Panel'!$P12/12,'1.1 Control Panel'!$E$41*12,$P$20))</f>
        <v>0</v>
      </c>
      <c r="AG33" s="376">
        <f ca="1">IF(COUNTA($P18:AG18)&gt;'1.1 Control Panel'!$E$41*12,0,PMT('1.1 Control Panel'!$P12/12,'1.1 Control Panel'!$E$41*12,$P$20))</f>
        <v>0</v>
      </c>
      <c r="AH33" s="376">
        <f ca="1">IF(COUNTA($P18:AH18)&gt;'1.1 Control Panel'!$E$41*12,0,PMT('1.1 Control Panel'!$P12/12,'1.1 Control Panel'!$E$41*12,$P$20))</f>
        <v>0</v>
      </c>
      <c r="AI33" s="376">
        <f ca="1">IF(COUNTA($P18:AI18)&gt;'1.1 Control Panel'!$E$41*12,0,PMT('1.1 Control Panel'!$P12/12,'1.1 Control Panel'!$E$41*12,$P$20))</f>
        <v>0</v>
      </c>
      <c r="AJ33" s="376">
        <f ca="1">IF(COUNTA($P18:AJ18)&gt;'1.1 Control Panel'!$E$41*12,0,PMT('1.1 Control Panel'!$P12/12,'1.1 Control Panel'!$E$41*12,$P$20))</f>
        <v>0</v>
      </c>
      <c r="AK33" s="376">
        <f ca="1">IF(COUNTA($P18:AK18)&gt;'1.1 Control Panel'!$E$41*12,0,PMT('1.1 Control Panel'!$P12/12,'1.1 Control Panel'!$E$41*12,$P$20))</f>
        <v>0</v>
      </c>
      <c r="AL33" s="376">
        <f ca="1">IF(COUNTA($P18:AL18)&gt;'1.1 Control Panel'!$E$41*12,0,PMT('1.1 Control Panel'!$P12/12,'1.1 Control Panel'!$E$41*12,$P$20))</f>
        <v>0</v>
      </c>
      <c r="AM33" s="376">
        <f ca="1">IF(COUNTA($P18:AM18)&gt;'1.1 Control Panel'!$E$41*12,0,PMT('1.1 Control Panel'!$P12/12,'1.1 Control Panel'!$E$41*12,$P$20))</f>
        <v>0</v>
      </c>
      <c r="AN33" s="376">
        <f ca="1">IF(COUNTA($P18:AN18)&gt;'1.1 Control Panel'!$E$41*12,0,PMT('1.1 Control Panel'!$P12/12,'1.1 Control Panel'!$E$41*12,$P$20))</f>
        <v>0</v>
      </c>
      <c r="AP33" s="21"/>
    </row>
    <row r="34" spans="3:42" ht="11.5" customHeight="1" x14ac:dyDescent="0.25">
      <c r="C34" s="659">
        <v>46053.25</v>
      </c>
      <c r="D34" s="38" t="s">
        <v>46</v>
      </c>
      <c r="E34" s="376"/>
      <c r="F34" s="376"/>
      <c r="G34" s="376"/>
      <c r="H34" s="376"/>
      <c r="I34" s="376"/>
      <c r="J34" s="376"/>
      <c r="K34" s="376"/>
      <c r="L34" s="376"/>
      <c r="M34" s="376"/>
      <c r="N34" s="376"/>
      <c r="O34" s="376"/>
      <c r="P34" s="376"/>
      <c r="Q34" s="376">
        <f ca="1">IF(COUNTA($Q18:Q18)&gt;'1.1 Control Panel'!$E$41*12,0,PMT('1.1 Control Panel'!$Q12/12,'1.1 Control Panel'!$E$41*12,$Q$20))</f>
        <v>0</v>
      </c>
      <c r="R34" s="376">
        <f ca="1">IF(COUNTA($Q18:R18)&gt;'1.1 Control Panel'!$E$41*12,0,PMT('1.1 Control Panel'!$Q12/12,'1.1 Control Panel'!$E$41*12,$Q$20))</f>
        <v>0</v>
      </c>
      <c r="S34" s="376">
        <f ca="1">IF(COUNTA($Q18:S18)&gt;'1.1 Control Panel'!$E$41*12,0,PMT('1.1 Control Panel'!$Q12/12,'1.1 Control Panel'!$E$41*12,$Q$20))</f>
        <v>0</v>
      </c>
      <c r="T34" s="376">
        <f ca="1">IF(COUNTA($Q18:T18)&gt;'1.1 Control Panel'!$E$41*12,0,PMT('1.1 Control Panel'!$Q12/12,'1.1 Control Panel'!$E$41*12,$Q$20))</f>
        <v>0</v>
      </c>
      <c r="U34" s="376">
        <f ca="1">IF(COUNTA($Q18:U18)&gt;'1.1 Control Panel'!$E$41*12,0,PMT('1.1 Control Panel'!$Q12/12,'1.1 Control Panel'!$E$41*12,$Q$20))</f>
        <v>0</v>
      </c>
      <c r="V34" s="376">
        <f ca="1">IF(COUNTA($Q18:V18)&gt;'1.1 Control Panel'!$E$41*12,0,PMT('1.1 Control Panel'!$Q12/12,'1.1 Control Panel'!$E$41*12,$Q$20))</f>
        <v>0</v>
      </c>
      <c r="W34" s="376">
        <f ca="1">IF(COUNTA($Q18:W18)&gt;'1.1 Control Panel'!$E$41*12,0,PMT('1.1 Control Panel'!$Q12/12,'1.1 Control Panel'!$E$41*12,$Q$20))</f>
        <v>0</v>
      </c>
      <c r="X34" s="376">
        <f ca="1">IF(COUNTA($Q18:X18)&gt;'1.1 Control Panel'!$E$41*12,0,PMT('1.1 Control Panel'!$Q12/12,'1.1 Control Panel'!$E$41*12,$Q$20))</f>
        <v>0</v>
      </c>
      <c r="Y34" s="376">
        <f ca="1">IF(COUNTA($Q18:Y18)&gt;'1.1 Control Panel'!$E$41*12,0,PMT('1.1 Control Panel'!$Q12/12,'1.1 Control Panel'!$E$41*12,$Q$20))</f>
        <v>0</v>
      </c>
      <c r="Z34" s="376">
        <f ca="1">IF(COUNTA($Q18:Z18)&gt;'1.1 Control Panel'!$E$41*12,0,PMT('1.1 Control Panel'!$Q12/12,'1.1 Control Panel'!$E$41*12,$Q$20))</f>
        <v>0</v>
      </c>
      <c r="AA34" s="376">
        <f ca="1">IF(COUNTA($Q18:AA18)&gt;'1.1 Control Panel'!$E$41*12,0,PMT('1.1 Control Panel'!$Q12/12,'1.1 Control Panel'!$E$41*12,$Q$20))</f>
        <v>0</v>
      </c>
      <c r="AB34" s="376">
        <f ca="1">IF(COUNTA($Q18:AB18)&gt;'1.1 Control Panel'!$E$41*12,0,PMT('1.1 Control Panel'!$Q12/12,'1.1 Control Panel'!$E$41*12,$Q$20))</f>
        <v>0</v>
      </c>
      <c r="AC34" s="376">
        <f ca="1">IF(COUNTA($Q18:AC18)&gt;'1.1 Control Panel'!$E$41*12,0,PMT('1.1 Control Panel'!$Q12/12,'1.1 Control Panel'!$E$41*12,$Q$20))</f>
        <v>0</v>
      </c>
      <c r="AD34" s="376">
        <f ca="1">IF(COUNTA($Q18:AD18)&gt;'1.1 Control Panel'!$E$41*12,0,PMT('1.1 Control Panel'!$Q12/12,'1.1 Control Panel'!$E$41*12,$Q$20))</f>
        <v>0</v>
      </c>
      <c r="AE34" s="376">
        <f ca="1">IF(COUNTA($Q18:AE18)&gt;'1.1 Control Panel'!$E$41*12,0,PMT('1.1 Control Panel'!$Q12/12,'1.1 Control Panel'!$E$41*12,$Q$20))</f>
        <v>0</v>
      </c>
      <c r="AF34" s="376">
        <f ca="1">IF(COUNTA($Q18:AF18)&gt;'1.1 Control Panel'!$E$41*12,0,PMT('1.1 Control Panel'!$Q12/12,'1.1 Control Panel'!$E$41*12,$Q$20))</f>
        <v>0</v>
      </c>
      <c r="AG34" s="376">
        <f ca="1">IF(COUNTA($Q18:AG18)&gt;'1.1 Control Panel'!$E$41*12,0,PMT('1.1 Control Panel'!$Q12/12,'1.1 Control Panel'!$E$41*12,$Q$20))</f>
        <v>0</v>
      </c>
      <c r="AH34" s="376">
        <f ca="1">IF(COUNTA($Q18:AH18)&gt;'1.1 Control Panel'!$E$41*12,0,PMT('1.1 Control Panel'!$Q12/12,'1.1 Control Panel'!$E$41*12,$Q$20))</f>
        <v>0</v>
      </c>
      <c r="AI34" s="376">
        <f ca="1">IF(COUNTA($Q18:AI18)&gt;'1.1 Control Panel'!$E$41*12,0,PMT('1.1 Control Panel'!$Q12/12,'1.1 Control Panel'!$E$41*12,$Q$20))</f>
        <v>0</v>
      </c>
      <c r="AJ34" s="376">
        <f ca="1">IF(COUNTA($Q18:AJ18)&gt;'1.1 Control Panel'!$E$41*12,0,PMT('1.1 Control Panel'!$Q12/12,'1.1 Control Panel'!$E$41*12,$Q$20))</f>
        <v>0</v>
      </c>
      <c r="AK34" s="376">
        <f ca="1">IF(COUNTA($Q18:AK18)&gt;'1.1 Control Panel'!$E$41*12,0,PMT('1.1 Control Panel'!$Q12/12,'1.1 Control Panel'!$E$41*12,$Q$20))</f>
        <v>0</v>
      </c>
      <c r="AL34" s="376">
        <f ca="1">IF(COUNTA($Q18:AL18)&gt;'1.1 Control Panel'!$E$41*12,0,PMT('1.1 Control Panel'!$Q12/12,'1.1 Control Panel'!$E$41*12,$Q$20))</f>
        <v>0</v>
      </c>
      <c r="AM34" s="376">
        <f ca="1">IF(COUNTA($Q18:AM18)&gt;'1.1 Control Panel'!$E$41*12,0,PMT('1.1 Control Panel'!$Q12/12,'1.1 Control Panel'!$E$41*12,$Q$20))</f>
        <v>0</v>
      </c>
      <c r="AN34" s="376">
        <f ca="1">IF(COUNTA($Q18:AN18)&gt;'1.1 Control Panel'!$E$41*12,0,PMT('1.1 Control Panel'!$Q12/12,'1.1 Control Panel'!$E$41*12,$Q$20))</f>
        <v>0</v>
      </c>
      <c r="AP34" s="21"/>
    </row>
    <row r="35" spans="3:42" ht="11.5" customHeight="1" x14ac:dyDescent="0.25">
      <c r="C35" s="659">
        <v>46081.25</v>
      </c>
      <c r="D35" s="38" t="s">
        <v>46</v>
      </c>
      <c r="E35" s="376"/>
      <c r="F35" s="376"/>
      <c r="G35" s="376"/>
      <c r="H35" s="376"/>
      <c r="I35" s="376"/>
      <c r="J35" s="376"/>
      <c r="K35" s="376"/>
      <c r="L35" s="376"/>
      <c r="M35" s="376"/>
      <c r="N35" s="376"/>
      <c r="O35" s="376"/>
      <c r="P35" s="376"/>
      <c r="Q35" s="376"/>
      <c r="R35" s="376">
        <f ca="1">IF(COUNTA($R18:R18)&gt;'1.1 Control Panel'!$E$41*12,0,PMT('1.1 Control Panel'!$R12/12,'1.1 Control Panel'!$E$41*12,$R$20))</f>
        <v>0</v>
      </c>
      <c r="S35" s="376">
        <f ca="1">IF(COUNTA($R18:S18)&gt;'1.1 Control Panel'!$E$41*12,0,PMT('1.1 Control Panel'!$R12/12,'1.1 Control Panel'!$E$41*12,$R$20))</f>
        <v>0</v>
      </c>
      <c r="T35" s="376">
        <f ca="1">IF(COUNTA($R18:T18)&gt;'1.1 Control Panel'!$E$41*12,0,PMT('1.1 Control Panel'!$R12/12,'1.1 Control Panel'!$E$41*12,$R$20))</f>
        <v>0</v>
      </c>
      <c r="U35" s="376">
        <f ca="1">IF(COUNTA($R18:U18)&gt;'1.1 Control Panel'!$E$41*12,0,PMT('1.1 Control Panel'!$R12/12,'1.1 Control Panel'!$E$41*12,$R$20))</f>
        <v>0</v>
      </c>
      <c r="V35" s="376">
        <f ca="1">IF(COUNTA($R18:V18)&gt;'1.1 Control Panel'!$E$41*12,0,PMT('1.1 Control Panel'!$R12/12,'1.1 Control Panel'!$E$41*12,$R$20))</f>
        <v>0</v>
      </c>
      <c r="W35" s="376">
        <f ca="1">IF(COUNTA($R18:W18)&gt;'1.1 Control Panel'!$E$41*12,0,PMT('1.1 Control Panel'!$R12/12,'1.1 Control Panel'!$E$41*12,$R$20))</f>
        <v>0</v>
      </c>
      <c r="X35" s="376">
        <f ca="1">IF(COUNTA($R18:X18)&gt;'1.1 Control Panel'!$E$41*12,0,PMT('1.1 Control Panel'!$R12/12,'1.1 Control Panel'!$E$41*12,$R$20))</f>
        <v>0</v>
      </c>
      <c r="Y35" s="376">
        <f ca="1">IF(COUNTA($R18:Y18)&gt;'1.1 Control Panel'!$E$41*12,0,PMT('1.1 Control Panel'!$R12/12,'1.1 Control Panel'!$E$41*12,$R$20))</f>
        <v>0</v>
      </c>
      <c r="Z35" s="376">
        <f ca="1">IF(COUNTA($R18:Z18)&gt;'1.1 Control Panel'!$E$41*12,0,PMT('1.1 Control Panel'!$R12/12,'1.1 Control Panel'!$E$41*12,$R$20))</f>
        <v>0</v>
      </c>
      <c r="AA35" s="376">
        <f ca="1">IF(COUNTA($R18:AA18)&gt;'1.1 Control Panel'!$E$41*12,0,PMT('1.1 Control Panel'!$R12/12,'1.1 Control Panel'!$E$41*12,$R$20))</f>
        <v>0</v>
      </c>
      <c r="AB35" s="376">
        <f ca="1">IF(COUNTA($R18:AB18)&gt;'1.1 Control Panel'!$E$41*12,0,PMT('1.1 Control Panel'!$R12/12,'1.1 Control Panel'!$E$41*12,$R$20))</f>
        <v>0</v>
      </c>
      <c r="AC35" s="376">
        <f ca="1">IF(COUNTA($R18:AC18)&gt;'1.1 Control Panel'!$E$41*12,0,PMT('1.1 Control Panel'!$R12/12,'1.1 Control Panel'!$E$41*12,$R$20))</f>
        <v>0</v>
      </c>
      <c r="AD35" s="376">
        <f ca="1">IF(COUNTA($R18:AD18)&gt;'1.1 Control Panel'!$E$41*12,0,PMT('1.1 Control Panel'!$R12/12,'1.1 Control Panel'!$E$41*12,$R$20))</f>
        <v>0</v>
      </c>
      <c r="AE35" s="376">
        <f ca="1">IF(COUNTA($R18:AE18)&gt;'1.1 Control Panel'!$E$41*12,0,PMT('1.1 Control Panel'!$R12/12,'1.1 Control Panel'!$E$41*12,$R$20))</f>
        <v>0</v>
      </c>
      <c r="AF35" s="376">
        <f ca="1">IF(COUNTA($R18:AF18)&gt;'1.1 Control Panel'!$E$41*12,0,PMT('1.1 Control Panel'!$R12/12,'1.1 Control Panel'!$E$41*12,$R$20))</f>
        <v>0</v>
      </c>
      <c r="AG35" s="376">
        <f ca="1">IF(COUNTA($R18:AG18)&gt;'1.1 Control Panel'!$E$41*12,0,PMT('1.1 Control Panel'!$R12/12,'1.1 Control Panel'!$E$41*12,$R$20))</f>
        <v>0</v>
      </c>
      <c r="AH35" s="376">
        <f ca="1">IF(COUNTA($R18:AH18)&gt;'1.1 Control Panel'!$E$41*12,0,PMT('1.1 Control Panel'!$R12/12,'1.1 Control Panel'!$E$41*12,$R$20))</f>
        <v>0</v>
      </c>
      <c r="AI35" s="376">
        <f ca="1">IF(COUNTA($R18:AI18)&gt;'1.1 Control Panel'!$E$41*12,0,PMT('1.1 Control Panel'!$R12/12,'1.1 Control Panel'!$E$41*12,$R$20))</f>
        <v>0</v>
      </c>
      <c r="AJ35" s="376">
        <f ca="1">IF(COUNTA($R18:AJ18)&gt;'1.1 Control Panel'!$E$41*12,0,PMT('1.1 Control Panel'!$R12/12,'1.1 Control Panel'!$E$41*12,$R$20))</f>
        <v>0</v>
      </c>
      <c r="AK35" s="376">
        <f ca="1">IF(COUNTA($R18:AK18)&gt;'1.1 Control Panel'!$E$41*12,0,PMT('1.1 Control Panel'!$R12/12,'1.1 Control Panel'!$E$41*12,$R$20))</f>
        <v>0</v>
      </c>
      <c r="AL35" s="376">
        <f ca="1">IF(COUNTA($R18:AL18)&gt;'1.1 Control Panel'!$E$41*12,0,PMT('1.1 Control Panel'!$R12/12,'1.1 Control Panel'!$E$41*12,$R$20))</f>
        <v>0</v>
      </c>
      <c r="AM35" s="376">
        <f ca="1">IF(COUNTA($R18:AM18)&gt;'1.1 Control Panel'!$E$41*12,0,PMT('1.1 Control Panel'!$R12/12,'1.1 Control Panel'!$E$41*12,$R$20))</f>
        <v>0</v>
      </c>
      <c r="AN35" s="376">
        <f ca="1">IF(COUNTA($R18:AN18)&gt;'1.1 Control Panel'!$E$41*12,0,PMT('1.1 Control Panel'!$R12/12,'1.1 Control Panel'!$E$41*12,$R$20))</f>
        <v>0</v>
      </c>
      <c r="AP35" s="21"/>
    </row>
    <row r="36" spans="3:42" ht="11.5" customHeight="1" x14ac:dyDescent="0.25">
      <c r="C36" s="659">
        <v>46112.25</v>
      </c>
      <c r="D36" s="38" t="s">
        <v>46</v>
      </c>
      <c r="E36" s="376"/>
      <c r="F36" s="376"/>
      <c r="G36" s="376"/>
      <c r="H36" s="376"/>
      <c r="I36" s="376"/>
      <c r="J36" s="376"/>
      <c r="K36" s="376"/>
      <c r="L36" s="376"/>
      <c r="M36" s="376"/>
      <c r="N36" s="376"/>
      <c r="O36" s="376"/>
      <c r="P36" s="376"/>
      <c r="Q36" s="376"/>
      <c r="R36" s="376"/>
      <c r="S36" s="376">
        <f ca="1">IF(COUNTA($S18:S18)&gt;'1.1 Control Panel'!$E$41*12,0,PMT('1.1 Control Panel'!$S12/12,'1.1 Control Panel'!$E$41*12,$S$20))</f>
        <v>0</v>
      </c>
      <c r="T36" s="376">
        <f ca="1">IF(COUNTA($S18:T18)&gt;'1.1 Control Panel'!$E$41*12,0,PMT('1.1 Control Panel'!$S12/12,'1.1 Control Panel'!$E$41*12,$S$20))</f>
        <v>0</v>
      </c>
      <c r="U36" s="376">
        <f ca="1">IF(COUNTA($S18:U18)&gt;'1.1 Control Panel'!$E$41*12,0,PMT('1.1 Control Panel'!$S12/12,'1.1 Control Panel'!$E$41*12,$S$20))</f>
        <v>0</v>
      </c>
      <c r="V36" s="376">
        <f ca="1">IF(COUNTA($S18:V18)&gt;'1.1 Control Panel'!$E$41*12,0,PMT('1.1 Control Panel'!$S12/12,'1.1 Control Panel'!$E$41*12,$S$20))</f>
        <v>0</v>
      </c>
      <c r="W36" s="376">
        <f ca="1">IF(COUNTA($S18:W18)&gt;'1.1 Control Panel'!$E$41*12,0,PMT('1.1 Control Panel'!$S12/12,'1.1 Control Panel'!$E$41*12,$S$20))</f>
        <v>0</v>
      </c>
      <c r="X36" s="376">
        <f ca="1">IF(COUNTA($S18:X18)&gt;'1.1 Control Panel'!$E$41*12,0,PMT('1.1 Control Panel'!$S12/12,'1.1 Control Panel'!$E$41*12,$S$20))</f>
        <v>0</v>
      </c>
      <c r="Y36" s="376">
        <f ca="1">IF(COUNTA($S18:Y18)&gt;'1.1 Control Panel'!$E$41*12,0,PMT('1.1 Control Panel'!$S12/12,'1.1 Control Panel'!$E$41*12,$S$20))</f>
        <v>0</v>
      </c>
      <c r="Z36" s="376">
        <f ca="1">IF(COUNTA($S18:Z18)&gt;'1.1 Control Panel'!$E$41*12,0,PMT('1.1 Control Panel'!$S12/12,'1.1 Control Panel'!$E$41*12,$S$20))</f>
        <v>0</v>
      </c>
      <c r="AA36" s="376">
        <f ca="1">IF(COUNTA($S18:AA18)&gt;'1.1 Control Panel'!$E$41*12,0,PMT('1.1 Control Panel'!$S12/12,'1.1 Control Panel'!$E$41*12,$S$20))</f>
        <v>0</v>
      </c>
      <c r="AB36" s="376">
        <f ca="1">IF(COUNTA($S18:AB18)&gt;'1.1 Control Panel'!$E$41*12,0,PMT('1.1 Control Panel'!$S12/12,'1.1 Control Panel'!$E$41*12,$S$20))</f>
        <v>0</v>
      </c>
      <c r="AC36" s="376">
        <f ca="1">IF(COUNTA($S18:AC18)&gt;'1.1 Control Panel'!$E$41*12,0,PMT('1.1 Control Panel'!$S12/12,'1.1 Control Panel'!$E$41*12,$S$20))</f>
        <v>0</v>
      </c>
      <c r="AD36" s="376">
        <f ca="1">IF(COUNTA($S18:AD18)&gt;'1.1 Control Panel'!$E$41*12,0,PMT('1.1 Control Panel'!$S12/12,'1.1 Control Panel'!$E$41*12,$S$20))</f>
        <v>0</v>
      </c>
      <c r="AE36" s="376">
        <f ca="1">IF(COUNTA($S18:AE18)&gt;'1.1 Control Panel'!$E$41*12,0,PMT('1.1 Control Panel'!$S12/12,'1.1 Control Panel'!$E$41*12,$S$20))</f>
        <v>0</v>
      </c>
      <c r="AF36" s="376">
        <f ca="1">IF(COUNTA($S18:AF18)&gt;'1.1 Control Panel'!$E$41*12,0,PMT('1.1 Control Panel'!$S12/12,'1.1 Control Panel'!$E$41*12,$S$20))</f>
        <v>0</v>
      </c>
      <c r="AG36" s="376">
        <f ca="1">IF(COUNTA($S18:AG18)&gt;'1.1 Control Panel'!$E$41*12,0,PMT('1.1 Control Panel'!$S12/12,'1.1 Control Panel'!$E$41*12,$S$20))</f>
        <v>0</v>
      </c>
      <c r="AH36" s="376">
        <f ca="1">IF(COUNTA($S18:AH18)&gt;'1.1 Control Panel'!$E$41*12,0,PMT('1.1 Control Panel'!$S12/12,'1.1 Control Panel'!$E$41*12,$S$20))</f>
        <v>0</v>
      </c>
      <c r="AI36" s="376">
        <f ca="1">IF(COUNTA($S18:AI18)&gt;'1.1 Control Panel'!$E$41*12,0,PMT('1.1 Control Panel'!$S12/12,'1.1 Control Panel'!$E$41*12,$S$20))</f>
        <v>0</v>
      </c>
      <c r="AJ36" s="376">
        <f ca="1">IF(COUNTA($S18:AJ18)&gt;'1.1 Control Panel'!$E$41*12,0,PMT('1.1 Control Panel'!$S12/12,'1.1 Control Panel'!$E$41*12,$S$20))</f>
        <v>0</v>
      </c>
      <c r="AK36" s="376">
        <f ca="1">IF(COUNTA($S18:AK18)&gt;'1.1 Control Panel'!$E$41*12,0,PMT('1.1 Control Panel'!$S12/12,'1.1 Control Panel'!$E$41*12,$S$20))</f>
        <v>0</v>
      </c>
      <c r="AL36" s="376">
        <f ca="1">IF(COUNTA($S18:AL18)&gt;'1.1 Control Panel'!$E$41*12,0,PMT('1.1 Control Panel'!$S12/12,'1.1 Control Panel'!$E$41*12,$S$20))</f>
        <v>0</v>
      </c>
      <c r="AM36" s="376">
        <f ca="1">IF(COUNTA($S18:AM18)&gt;'1.1 Control Panel'!$E$41*12,0,PMT('1.1 Control Panel'!$S12/12,'1.1 Control Panel'!$E$41*12,$S$20))</f>
        <v>0</v>
      </c>
      <c r="AN36" s="376">
        <f ca="1">IF(COUNTA($S18:AN18)&gt;'1.1 Control Panel'!$E$41*12,0,PMT('1.1 Control Panel'!$S12/12,'1.1 Control Panel'!$E$41*12,$S$20))</f>
        <v>0</v>
      </c>
      <c r="AP36" s="21"/>
    </row>
    <row r="37" spans="3:42" ht="11.5" customHeight="1" x14ac:dyDescent="0.25">
      <c r="C37" s="659">
        <v>46142.25</v>
      </c>
      <c r="D37" s="38" t="s">
        <v>46</v>
      </c>
      <c r="E37" s="376"/>
      <c r="F37" s="376"/>
      <c r="G37" s="376"/>
      <c r="H37" s="376"/>
      <c r="I37" s="376"/>
      <c r="J37" s="376"/>
      <c r="K37" s="376"/>
      <c r="L37" s="376"/>
      <c r="M37" s="376"/>
      <c r="N37" s="376"/>
      <c r="O37" s="376"/>
      <c r="P37" s="376"/>
      <c r="Q37" s="376"/>
      <c r="R37" s="376"/>
      <c r="S37" s="376"/>
      <c r="T37" s="376">
        <f ca="1">IF(COUNTA($T18:T18)&gt;'1.1 Control Panel'!$E$41*12,0,PMT('1.1 Control Panel'!$T12/12,'1.1 Control Panel'!$E$41*12,$T$20))</f>
        <v>0</v>
      </c>
      <c r="U37" s="376">
        <f ca="1">IF(COUNTA($T18:U18)&gt;'1.1 Control Panel'!$E$41*12,0,PMT('1.1 Control Panel'!$T12/12,'1.1 Control Panel'!$E$41*12,$T$20))</f>
        <v>0</v>
      </c>
      <c r="V37" s="376">
        <f ca="1">IF(COUNTA($T18:V18)&gt;'1.1 Control Panel'!$E$41*12,0,PMT('1.1 Control Panel'!$T12/12,'1.1 Control Panel'!$E$41*12,$T$20))</f>
        <v>0</v>
      </c>
      <c r="W37" s="376">
        <f ca="1">IF(COUNTA($T18:W18)&gt;'1.1 Control Panel'!$E$41*12,0,PMT('1.1 Control Panel'!$T12/12,'1.1 Control Panel'!$E$41*12,$T$20))</f>
        <v>0</v>
      </c>
      <c r="X37" s="376">
        <f ca="1">IF(COUNTA($T18:X18)&gt;'1.1 Control Panel'!$E$41*12,0,PMT('1.1 Control Panel'!$T12/12,'1.1 Control Panel'!$E$41*12,$T$20))</f>
        <v>0</v>
      </c>
      <c r="Y37" s="376">
        <f ca="1">IF(COUNTA($T18:Y18)&gt;'1.1 Control Panel'!$E$41*12,0,PMT('1.1 Control Panel'!$T12/12,'1.1 Control Panel'!$E$41*12,$T$20))</f>
        <v>0</v>
      </c>
      <c r="Z37" s="376">
        <f ca="1">IF(COUNTA($T18:Z18)&gt;'1.1 Control Panel'!$E$41*12,0,PMT('1.1 Control Panel'!$T12/12,'1.1 Control Panel'!$E$41*12,$T$20))</f>
        <v>0</v>
      </c>
      <c r="AA37" s="376">
        <f ca="1">IF(COUNTA($T18:AA18)&gt;'1.1 Control Panel'!$E$41*12,0,PMT('1.1 Control Panel'!$T12/12,'1.1 Control Panel'!$E$41*12,$T$20))</f>
        <v>0</v>
      </c>
      <c r="AB37" s="376">
        <f ca="1">IF(COUNTA($T18:AB18)&gt;'1.1 Control Panel'!$E$41*12,0,PMT('1.1 Control Panel'!$T12/12,'1.1 Control Panel'!$E$41*12,$T$20))</f>
        <v>0</v>
      </c>
      <c r="AC37" s="376">
        <f ca="1">IF(COUNTA($T18:AC18)&gt;'1.1 Control Panel'!$E$41*12,0,PMT('1.1 Control Panel'!$T12/12,'1.1 Control Panel'!$E$41*12,$T$20))</f>
        <v>0</v>
      </c>
      <c r="AD37" s="376">
        <f ca="1">IF(COUNTA($T18:AD18)&gt;'1.1 Control Panel'!$E$41*12,0,PMT('1.1 Control Panel'!$T12/12,'1.1 Control Panel'!$E$41*12,$T$20))</f>
        <v>0</v>
      </c>
      <c r="AE37" s="376">
        <f ca="1">IF(COUNTA($T18:AE18)&gt;'1.1 Control Panel'!$E$41*12,0,PMT('1.1 Control Panel'!$T12/12,'1.1 Control Panel'!$E$41*12,$T$20))</f>
        <v>0</v>
      </c>
      <c r="AF37" s="376">
        <f ca="1">IF(COUNTA($T18:AF18)&gt;'1.1 Control Panel'!$E$41*12,0,PMT('1.1 Control Panel'!$T12/12,'1.1 Control Panel'!$E$41*12,$T$20))</f>
        <v>0</v>
      </c>
      <c r="AG37" s="376">
        <f ca="1">IF(COUNTA($T18:AG18)&gt;'1.1 Control Panel'!$E$41*12,0,PMT('1.1 Control Panel'!$T12/12,'1.1 Control Panel'!$E$41*12,$T$20))</f>
        <v>0</v>
      </c>
      <c r="AH37" s="376">
        <f ca="1">IF(COUNTA($T18:AH18)&gt;'1.1 Control Panel'!$E$41*12,0,PMT('1.1 Control Panel'!$T12/12,'1.1 Control Panel'!$E$41*12,$T$20))</f>
        <v>0</v>
      </c>
      <c r="AI37" s="376">
        <f ca="1">IF(COUNTA($T18:AI18)&gt;'1.1 Control Panel'!$E$41*12,0,PMT('1.1 Control Panel'!$T12/12,'1.1 Control Panel'!$E$41*12,$T$20))</f>
        <v>0</v>
      </c>
      <c r="AJ37" s="376">
        <f ca="1">IF(COUNTA($T18:AJ18)&gt;'1.1 Control Panel'!$E$41*12,0,PMT('1.1 Control Panel'!$T12/12,'1.1 Control Panel'!$E$41*12,$T$20))</f>
        <v>0</v>
      </c>
      <c r="AK37" s="376">
        <f ca="1">IF(COUNTA($T18:AK18)&gt;'1.1 Control Panel'!$E$41*12,0,PMT('1.1 Control Panel'!$T12/12,'1.1 Control Panel'!$E$41*12,$T$20))</f>
        <v>0</v>
      </c>
      <c r="AL37" s="376">
        <f ca="1">IF(COUNTA($T18:AL18)&gt;'1.1 Control Panel'!$E$41*12,0,PMT('1.1 Control Panel'!$T12/12,'1.1 Control Panel'!$E$41*12,$T$20))</f>
        <v>0</v>
      </c>
      <c r="AM37" s="376">
        <f ca="1">IF(COUNTA($T18:AM18)&gt;'1.1 Control Panel'!$E$41*12,0,PMT('1.1 Control Panel'!$T12/12,'1.1 Control Panel'!$E$41*12,$T$20))</f>
        <v>0</v>
      </c>
      <c r="AN37" s="376">
        <f ca="1">IF(COUNTA($T18:AN18)&gt;'1.1 Control Panel'!$E$41*12,0,PMT('1.1 Control Panel'!$T12/12,'1.1 Control Panel'!$E$41*12,$T$20))</f>
        <v>0</v>
      </c>
      <c r="AP37" s="21"/>
    </row>
    <row r="38" spans="3:42" ht="11.5" customHeight="1" x14ac:dyDescent="0.25">
      <c r="C38" s="659">
        <v>46173.25</v>
      </c>
      <c r="D38" s="38" t="s">
        <v>46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376"/>
      <c r="Q38" s="376"/>
      <c r="R38" s="376"/>
      <c r="S38" s="376"/>
      <c r="T38" s="376"/>
      <c r="U38" s="376">
        <f ca="1">IF(COUNTA($U18:U18)&gt;'1.1 Control Panel'!$E$41*12,0,PMT('1.1 Control Panel'!$U12/12,'1.1 Control Panel'!$E$41*12,$U$20))</f>
        <v>0</v>
      </c>
      <c r="V38" s="376">
        <f ca="1">IF(COUNTA($U18:V18)&gt;'1.1 Control Panel'!$E$41*12,0,PMT('1.1 Control Panel'!$U12/12,'1.1 Control Panel'!$E$41*12,$U$20))</f>
        <v>0</v>
      </c>
      <c r="W38" s="376">
        <f ca="1">IF(COUNTA($U18:W18)&gt;'1.1 Control Panel'!$E$41*12,0,PMT('1.1 Control Panel'!$U12/12,'1.1 Control Panel'!$E$41*12,$U$20))</f>
        <v>0</v>
      </c>
      <c r="X38" s="376">
        <f ca="1">IF(COUNTA($U18:X18)&gt;'1.1 Control Panel'!$E$41*12,0,PMT('1.1 Control Panel'!$U12/12,'1.1 Control Panel'!$E$41*12,$U$20))</f>
        <v>0</v>
      </c>
      <c r="Y38" s="376">
        <f ca="1">IF(COUNTA($U18:Y18)&gt;'1.1 Control Panel'!$E$41*12,0,PMT('1.1 Control Panel'!$U12/12,'1.1 Control Panel'!$E$41*12,$U$20))</f>
        <v>0</v>
      </c>
      <c r="Z38" s="376">
        <f ca="1">IF(COUNTA($U18:Z18)&gt;'1.1 Control Panel'!$E$41*12,0,PMT('1.1 Control Panel'!$U12/12,'1.1 Control Panel'!$E$41*12,$U$20))</f>
        <v>0</v>
      </c>
      <c r="AA38" s="376">
        <f ca="1">IF(COUNTA($U18:AA18)&gt;'1.1 Control Panel'!$E$41*12,0,PMT('1.1 Control Panel'!$U12/12,'1.1 Control Panel'!$E$41*12,$U$20))</f>
        <v>0</v>
      </c>
      <c r="AB38" s="376">
        <f ca="1">IF(COUNTA($U18:AB18)&gt;'1.1 Control Panel'!$E$41*12,0,PMT('1.1 Control Panel'!$U12/12,'1.1 Control Panel'!$E$41*12,$U$20))</f>
        <v>0</v>
      </c>
      <c r="AC38" s="376">
        <f ca="1">IF(COUNTA($U18:AC18)&gt;'1.1 Control Panel'!$E$41*12,0,PMT('1.1 Control Panel'!$U12/12,'1.1 Control Panel'!$E$41*12,$U$20))</f>
        <v>0</v>
      </c>
      <c r="AD38" s="376">
        <f ca="1">IF(COUNTA($U18:AD18)&gt;'1.1 Control Panel'!$E$41*12,0,PMT('1.1 Control Panel'!$U12/12,'1.1 Control Panel'!$E$41*12,$U$20))</f>
        <v>0</v>
      </c>
      <c r="AE38" s="376">
        <f ca="1">IF(COUNTA($U18:AE18)&gt;'1.1 Control Panel'!$E$41*12,0,PMT('1.1 Control Panel'!$U12/12,'1.1 Control Panel'!$E$41*12,$U$20))</f>
        <v>0</v>
      </c>
      <c r="AF38" s="376">
        <f ca="1">IF(COUNTA($U18:AF18)&gt;'1.1 Control Panel'!$E$41*12,0,PMT('1.1 Control Panel'!$U12/12,'1.1 Control Panel'!$E$41*12,$U$20))</f>
        <v>0</v>
      </c>
      <c r="AG38" s="376">
        <f ca="1">IF(COUNTA($U18:AG18)&gt;'1.1 Control Panel'!$E$41*12,0,PMT('1.1 Control Panel'!$U12/12,'1.1 Control Panel'!$E$41*12,$U$20))</f>
        <v>0</v>
      </c>
      <c r="AH38" s="376">
        <f ca="1">IF(COUNTA($U18:AH18)&gt;'1.1 Control Panel'!$E$41*12,0,PMT('1.1 Control Panel'!$U12/12,'1.1 Control Panel'!$E$41*12,$U$20))</f>
        <v>0</v>
      </c>
      <c r="AI38" s="376">
        <f ca="1">IF(COUNTA($U18:AI18)&gt;'1.1 Control Panel'!$E$41*12,0,PMT('1.1 Control Panel'!$U12/12,'1.1 Control Panel'!$E$41*12,$U$20))</f>
        <v>0</v>
      </c>
      <c r="AJ38" s="376">
        <f ca="1">IF(COUNTA($U18:AJ18)&gt;'1.1 Control Panel'!$E$41*12,0,PMT('1.1 Control Panel'!$U12/12,'1.1 Control Panel'!$E$41*12,$U$20))</f>
        <v>0</v>
      </c>
      <c r="AK38" s="376">
        <f ca="1">IF(COUNTA($U18:AK18)&gt;'1.1 Control Panel'!$E$41*12,0,PMT('1.1 Control Panel'!$U12/12,'1.1 Control Panel'!$E$41*12,$U$20))</f>
        <v>0</v>
      </c>
      <c r="AL38" s="376">
        <f ca="1">IF(COUNTA($U18:AL18)&gt;'1.1 Control Panel'!$E$41*12,0,PMT('1.1 Control Panel'!$U12/12,'1.1 Control Panel'!$E$41*12,$U$20))</f>
        <v>0</v>
      </c>
      <c r="AM38" s="376">
        <f ca="1">IF(COUNTA($U18:AM18)&gt;'1.1 Control Panel'!$E$41*12,0,PMT('1.1 Control Panel'!$U12/12,'1.1 Control Panel'!$E$41*12,$U$20))</f>
        <v>0</v>
      </c>
      <c r="AN38" s="376">
        <f ca="1">IF(COUNTA($U18:AN18)&gt;'1.1 Control Panel'!$E$41*12,0,PMT('1.1 Control Panel'!$U12/12,'1.1 Control Panel'!$E$41*12,$U$20))</f>
        <v>0</v>
      </c>
      <c r="AP38" s="21"/>
    </row>
    <row r="39" spans="3:42" ht="11.5" customHeight="1" x14ac:dyDescent="0.25">
      <c r="C39" s="659">
        <v>46203.25</v>
      </c>
      <c r="D39" s="38" t="s">
        <v>46</v>
      </c>
      <c r="E39" s="376"/>
      <c r="F39" s="376"/>
      <c r="G39" s="376"/>
      <c r="H39" s="376"/>
      <c r="I39" s="376"/>
      <c r="J39" s="376"/>
      <c r="K39" s="376"/>
      <c r="L39" s="376"/>
      <c r="M39" s="376"/>
      <c r="N39" s="376"/>
      <c r="O39" s="376"/>
      <c r="P39" s="376"/>
      <c r="Q39" s="376"/>
      <c r="R39" s="376"/>
      <c r="S39" s="376"/>
      <c r="T39" s="376"/>
      <c r="U39" s="376"/>
      <c r="V39" s="376">
        <f ca="1">IF(COUNTA($V18:V18)&gt;'1.1 Control Panel'!$E$41*12,0,PMT('1.1 Control Panel'!$V12/12,'1.1 Control Panel'!$E$41*12,$V$20))</f>
        <v>0</v>
      </c>
      <c r="W39" s="376">
        <f ca="1">IF(COUNTA($V18:W18)&gt;'1.1 Control Panel'!$E$41*12,0,PMT('1.1 Control Panel'!$V12/12,'1.1 Control Panel'!$E$41*12,$V$20))</f>
        <v>0</v>
      </c>
      <c r="X39" s="376">
        <f ca="1">IF(COUNTA($V18:X18)&gt;'1.1 Control Panel'!$E$41*12,0,PMT('1.1 Control Panel'!$V12/12,'1.1 Control Panel'!$E$41*12,$V$20))</f>
        <v>0</v>
      </c>
      <c r="Y39" s="376">
        <f ca="1">IF(COUNTA($V18:Y18)&gt;'1.1 Control Panel'!$E$41*12,0,PMT('1.1 Control Panel'!$V12/12,'1.1 Control Panel'!$E$41*12,$V$20))</f>
        <v>0</v>
      </c>
      <c r="Z39" s="376">
        <f ca="1">IF(COUNTA($V18:Z18)&gt;'1.1 Control Panel'!$E$41*12,0,PMT('1.1 Control Panel'!$V12/12,'1.1 Control Panel'!$E$41*12,$V$20))</f>
        <v>0</v>
      </c>
      <c r="AA39" s="376">
        <f ca="1">IF(COUNTA($V18:AA18)&gt;'1.1 Control Panel'!$E$41*12,0,PMT('1.1 Control Panel'!$V12/12,'1.1 Control Panel'!$E$41*12,$V$20))</f>
        <v>0</v>
      </c>
      <c r="AB39" s="376">
        <f ca="1">IF(COUNTA($V18:AB18)&gt;'1.1 Control Panel'!$E$41*12,0,PMT('1.1 Control Panel'!$V12/12,'1.1 Control Panel'!$E$41*12,$V$20))</f>
        <v>0</v>
      </c>
      <c r="AC39" s="376">
        <f ca="1">IF(COUNTA($V18:AC18)&gt;'1.1 Control Panel'!$E$41*12,0,PMT('1.1 Control Panel'!$V12/12,'1.1 Control Panel'!$E$41*12,$V$20))</f>
        <v>0</v>
      </c>
      <c r="AD39" s="376">
        <f ca="1">IF(COUNTA($V18:AD18)&gt;'1.1 Control Panel'!$E$41*12,0,PMT('1.1 Control Panel'!$V12/12,'1.1 Control Panel'!$E$41*12,$V$20))</f>
        <v>0</v>
      </c>
      <c r="AE39" s="376">
        <f ca="1">IF(COUNTA($V18:AE18)&gt;'1.1 Control Panel'!$E$41*12,0,PMT('1.1 Control Panel'!$V12/12,'1.1 Control Panel'!$E$41*12,$V$20))</f>
        <v>0</v>
      </c>
      <c r="AF39" s="376">
        <f ca="1">IF(COUNTA($V18:AF18)&gt;'1.1 Control Panel'!$E$41*12,0,PMT('1.1 Control Panel'!$V12/12,'1.1 Control Panel'!$E$41*12,$V$20))</f>
        <v>0</v>
      </c>
      <c r="AG39" s="376">
        <f ca="1">IF(COUNTA($V18:AG18)&gt;'1.1 Control Panel'!$E$41*12,0,PMT('1.1 Control Panel'!$V12/12,'1.1 Control Panel'!$E$41*12,$V$20))</f>
        <v>0</v>
      </c>
      <c r="AH39" s="376">
        <f ca="1">IF(COUNTA($V18:AH18)&gt;'1.1 Control Panel'!$E$41*12,0,PMT('1.1 Control Panel'!$V12/12,'1.1 Control Panel'!$E$41*12,$V$20))</f>
        <v>0</v>
      </c>
      <c r="AI39" s="376">
        <f ca="1">IF(COUNTA($V18:AI18)&gt;'1.1 Control Panel'!$E$41*12,0,PMT('1.1 Control Panel'!$V12/12,'1.1 Control Panel'!$E$41*12,$V$20))</f>
        <v>0</v>
      </c>
      <c r="AJ39" s="376">
        <f ca="1">IF(COUNTA($V18:AJ18)&gt;'1.1 Control Panel'!$E$41*12,0,PMT('1.1 Control Panel'!$V12/12,'1.1 Control Panel'!$E$41*12,$V$20))</f>
        <v>0</v>
      </c>
      <c r="AK39" s="376">
        <f ca="1">IF(COUNTA($V18:AK18)&gt;'1.1 Control Panel'!$E$41*12,0,PMT('1.1 Control Panel'!$V12/12,'1.1 Control Panel'!$E$41*12,$V$20))</f>
        <v>0</v>
      </c>
      <c r="AL39" s="376">
        <f ca="1">IF(COUNTA($V18:AL18)&gt;'1.1 Control Panel'!$E$41*12,0,PMT('1.1 Control Panel'!$V12/12,'1.1 Control Panel'!$E$41*12,$V$20))</f>
        <v>0</v>
      </c>
      <c r="AM39" s="376">
        <f ca="1">IF(COUNTA($V18:AM18)&gt;'1.1 Control Panel'!$E$41*12,0,PMT('1.1 Control Panel'!$V12/12,'1.1 Control Panel'!$E$41*12,$V$20))</f>
        <v>0</v>
      </c>
      <c r="AN39" s="376">
        <f ca="1">IF(COUNTA($V18:AN18)&gt;'1.1 Control Panel'!$E$41*12,0,PMT('1.1 Control Panel'!$V12/12,'1.1 Control Panel'!$E$41*12,$V$20))</f>
        <v>0</v>
      </c>
      <c r="AP39" s="21"/>
    </row>
    <row r="40" spans="3:42" ht="11.5" customHeight="1" x14ac:dyDescent="0.25">
      <c r="C40" s="659">
        <v>46234.25</v>
      </c>
      <c r="D40" s="38" t="s">
        <v>46</v>
      </c>
      <c r="E40" s="376"/>
      <c r="F40" s="376"/>
      <c r="G40" s="376"/>
      <c r="H40" s="376"/>
      <c r="I40" s="376"/>
      <c r="J40" s="376"/>
      <c r="K40" s="376"/>
      <c r="L40" s="376"/>
      <c r="M40" s="376"/>
      <c r="N40" s="376"/>
      <c r="O40" s="376"/>
      <c r="P40" s="376"/>
      <c r="Q40" s="376"/>
      <c r="R40" s="376"/>
      <c r="S40" s="376"/>
      <c r="T40" s="376"/>
      <c r="U40" s="376"/>
      <c r="V40" s="376"/>
      <c r="W40" s="376">
        <f ca="1">IF(COUNTA($W18:W18)&gt;'1.1 Control Panel'!$E$41*12,0,PMT('1.1 Control Panel'!$W12/12,'1.1 Control Panel'!$E$41*12,$W$20))</f>
        <v>0</v>
      </c>
      <c r="X40" s="376">
        <f ca="1">IF(COUNTA($W18:X18)&gt;'1.1 Control Panel'!$E$41*12,0,PMT('1.1 Control Panel'!$W12/12,'1.1 Control Panel'!$E$41*12,$W$20))</f>
        <v>0</v>
      </c>
      <c r="Y40" s="376">
        <f ca="1">IF(COUNTA($W18:Y18)&gt;'1.1 Control Panel'!$E$41*12,0,PMT('1.1 Control Panel'!$W12/12,'1.1 Control Panel'!$E$41*12,$W$20))</f>
        <v>0</v>
      </c>
      <c r="Z40" s="376">
        <f ca="1">IF(COUNTA($W18:Z18)&gt;'1.1 Control Panel'!$E$41*12,0,PMT('1.1 Control Panel'!$W12/12,'1.1 Control Panel'!$E$41*12,$W$20))</f>
        <v>0</v>
      </c>
      <c r="AA40" s="376">
        <f ca="1">IF(COUNTA($W18:AA18)&gt;'1.1 Control Panel'!$E$41*12,0,PMT('1.1 Control Panel'!$W12/12,'1.1 Control Panel'!$E$41*12,$W$20))</f>
        <v>0</v>
      </c>
      <c r="AB40" s="376">
        <f ca="1">IF(COUNTA($W18:AB18)&gt;'1.1 Control Panel'!$E$41*12,0,PMT('1.1 Control Panel'!$W12/12,'1.1 Control Panel'!$E$41*12,$W$20))</f>
        <v>0</v>
      </c>
      <c r="AC40" s="376">
        <f ca="1">IF(COUNTA($W18:AC18)&gt;'1.1 Control Panel'!$E$41*12,0,PMT('1.1 Control Panel'!$W12/12,'1.1 Control Panel'!$E$41*12,$W$20))</f>
        <v>0</v>
      </c>
      <c r="AD40" s="376">
        <f ca="1">IF(COUNTA($W18:AD18)&gt;'1.1 Control Panel'!$E$41*12,0,PMT('1.1 Control Panel'!$W12/12,'1.1 Control Panel'!$E$41*12,$W$20))</f>
        <v>0</v>
      </c>
      <c r="AE40" s="376">
        <f ca="1">IF(COUNTA($W18:AE18)&gt;'1.1 Control Panel'!$E$41*12,0,PMT('1.1 Control Panel'!$W12/12,'1.1 Control Panel'!$E$41*12,$W$20))</f>
        <v>0</v>
      </c>
      <c r="AF40" s="376">
        <f ca="1">IF(COUNTA($W18:AF18)&gt;'1.1 Control Panel'!$E$41*12,0,PMT('1.1 Control Panel'!$W12/12,'1.1 Control Panel'!$E$41*12,$W$20))</f>
        <v>0</v>
      </c>
      <c r="AG40" s="376">
        <f ca="1">IF(COUNTA($W18:AG18)&gt;'1.1 Control Panel'!$E$41*12,0,PMT('1.1 Control Panel'!$W12/12,'1.1 Control Panel'!$E$41*12,$W$20))</f>
        <v>0</v>
      </c>
      <c r="AH40" s="376">
        <f ca="1">IF(COUNTA($W18:AH18)&gt;'1.1 Control Panel'!$E$41*12,0,PMT('1.1 Control Panel'!$W12/12,'1.1 Control Panel'!$E$41*12,$W$20))</f>
        <v>0</v>
      </c>
      <c r="AI40" s="376">
        <f ca="1">IF(COUNTA($W18:AI18)&gt;'1.1 Control Panel'!$E$41*12,0,PMT('1.1 Control Panel'!$W12/12,'1.1 Control Panel'!$E$41*12,$W$20))</f>
        <v>0</v>
      </c>
      <c r="AJ40" s="376">
        <f ca="1">IF(COUNTA($W18:AJ18)&gt;'1.1 Control Panel'!$E$41*12,0,PMT('1.1 Control Panel'!$W12/12,'1.1 Control Panel'!$E$41*12,$W$20))</f>
        <v>0</v>
      </c>
      <c r="AK40" s="376">
        <f ca="1">IF(COUNTA($W18:AK18)&gt;'1.1 Control Panel'!$E$41*12,0,PMT('1.1 Control Panel'!$W12/12,'1.1 Control Panel'!$E$41*12,$W$20))</f>
        <v>0</v>
      </c>
      <c r="AL40" s="376">
        <f ca="1">IF(COUNTA($W18:AL18)&gt;'1.1 Control Panel'!$E$41*12,0,PMT('1.1 Control Panel'!$W12/12,'1.1 Control Panel'!$E$41*12,$W$20))</f>
        <v>0</v>
      </c>
      <c r="AM40" s="376">
        <f ca="1">IF(COUNTA($W18:AM18)&gt;'1.1 Control Panel'!$E$41*12,0,PMT('1.1 Control Panel'!$W12/12,'1.1 Control Panel'!$E$41*12,$W$20))</f>
        <v>0</v>
      </c>
      <c r="AN40" s="376">
        <f ca="1">IF(COUNTA($W18:AN18)&gt;'1.1 Control Panel'!$E$41*12,0,PMT('1.1 Control Panel'!$W12/12,'1.1 Control Panel'!$E$41*12,$W$20))</f>
        <v>0</v>
      </c>
      <c r="AP40" s="21"/>
    </row>
    <row r="41" spans="3:42" ht="11.5" customHeight="1" x14ac:dyDescent="0.25">
      <c r="C41" s="659">
        <v>46265.25</v>
      </c>
      <c r="D41" s="38" t="s">
        <v>46</v>
      </c>
      <c r="E41" s="376"/>
      <c r="F41" s="376"/>
      <c r="G41" s="376"/>
      <c r="H41" s="376"/>
      <c r="I41" s="376"/>
      <c r="J41" s="376"/>
      <c r="K41" s="376"/>
      <c r="L41" s="376"/>
      <c r="M41" s="376"/>
      <c r="N41" s="376"/>
      <c r="O41" s="376"/>
      <c r="P41" s="376"/>
      <c r="Q41" s="376"/>
      <c r="R41" s="376"/>
      <c r="S41" s="376"/>
      <c r="T41" s="376"/>
      <c r="U41" s="376"/>
      <c r="V41" s="376"/>
      <c r="W41" s="376"/>
      <c r="X41" s="376">
        <f ca="1">IF(COUNTA($X18:X18)&gt;'1.1 Control Panel'!$E$41*12,0,PMT('1.1 Control Panel'!$X12/12,'1.1 Control Panel'!$E$41*12,$X$20))</f>
        <v>0</v>
      </c>
      <c r="Y41" s="376">
        <f ca="1">IF(COUNTA($X18:Y18)&gt;'1.1 Control Panel'!$E$41*12,0,PMT('1.1 Control Panel'!$X12/12,'1.1 Control Panel'!$E$41*12,$X$20))</f>
        <v>0</v>
      </c>
      <c r="Z41" s="376">
        <f ca="1">IF(COUNTA($X18:Z18)&gt;'1.1 Control Panel'!$E$41*12,0,PMT('1.1 Control Panel'!$X12/12,'1.1 Control Panel'!$E$41*12,$X$20))</f>
        <v>0</v>
      </c>
      <c r="AA41" s="376">
        <f ca="1">IF(COUNTA($X18:AA18)&gt;'1.1 Control Panel'!$E$41*12,0,PMT('1.1 Control Panel'!$X12/12,'1.1 Control Panel'!$E$41*12,$X$20))</f>
        <v>0</v>
      </c>
      <c r="AB41" s="376">
        <f ca="1">IF(COUNTA($X18:AB18)&gt;'1.1 Control Panel'!$E$41*12,0,PMT('1.1 Control Panel'!$X12/12,'1.1 Control Panel'!$E$41*12,$X$20))</f>
        <v>0</v>
      </c>
      <c r="AC41" s="376">
        <f ca="1">IF(COUNTA($X18:AC18)&gt;'1.1 Control Panel'!$E$41*12,0,PMT('1.1 Control Panel'!$X12/12,'1.1 Control Panel'!$E$41*12,$X$20))</f>
        <v>0</v>
      </c>
      <c r="AD41" s="376">
        <f ca="1">IF(COUNTA($X18:AD18)&gt;'1.1 Control Panel'!$E$41*12,0,PMT('1.1 Control Panel'!$X12/12,'1.1 Control Panel'!$E$41*12,$X$20))</f>
        <v>0</v>
      </c>
      <c r="AE41" s="376">
        <f ca="1">IF(COUNTA($X18:AE18)&gt;'1.1 Control Panel'!$E$41*12,0,PMT('1.1 Control Panel'!$X12/12,'1.1 Control Panel'!$E$41*12,$X$20))</f>
        <v>0</v>
      </c>
      <c r="AF41" s="376">
        <f ca="1">IF(COUNTA($X18:AF18)&gt;'1.1 Control Panel'!$E$41*12,0,PMT('1.1 Control Panel'!$X12/12,'1.1 Control Panel'!$E$41*12,$X$20))</f>
        <v>0</v>
      </c>
      <c r="AG41" s="376">
        <f ca="1">IF(COUNTA($X18:AG18)&gt;'1.1 Control Panel'!$E$41*12,0,PMT('1.1 Control Panel'!$X12/12,'1.1 Control Panel'!$E$41*12,$X$20))</f>
        <v>0</v>
      </c>
      <c r="AH41" s="376">
        <f ca="1">IF(COUNTA($X18:AH18)&gt;'1.1 Control Panel'!$E$41*12,0,PMT('1.1 Control Panel'!$X12/12,'1.1 Control Panel'!$E$41*12,$X$20))</f>
        <v>0</v>
      </c>
      <c r="AI41" s="376">
        <f ca="1">IF(COUNTA($X18:AI18)&gt;'1.1 Control Panel'!$E$41*12,0,PMT('1.1 Control Panel'!$X12/12,'1.1 Control Panel'!$E$41*12,$X$20))</f>
        <v>0</v>
      </c>
      <c r="AJ41" s="376">
        <f ca="1">IF(COUNTA($X18:AJ18)&gt;'1.1 Control Panel'!$E$41*12,0,PMT('1.1 Control Panel'!$X12/12,'1.1 Control Panel'!$E$41*12,$X$20))</f>
        <v>0</v>
      </c>
      <c r="AK41" s="376">
        <f ca="1">IF(COUNTA($X18:AK18)&gt;'1.1 Control Panel'!$E$41*12,0,PMT('1.1 Control Panel'!$X12/12,'1.1 Control Panel'!$E$41*12,$X$20))</f>
        <v>0</v>
      </c>
      <c r="AL41" s="376">
        <f ca="1">IF(COUNTA($X18:AL18)&gt;'1.1 Control Panel'!$E$41*12,0,PMT('1.1 Control Panel'!$X12/12,'1.1 Control Panel'!$E$41*12,$X$20))</f>
        <v>0</v>
      </c>
      <c r="AM41" s="376">
        <f ca="1">IF(COUNTA($X18:AM18)&gt;'1.1 Control Panel'!$E$41*12,0,PMT('1.1 Control Panel'!$X12/12,'1.1 Control Panel'!$E$41*12,$X$20))</f>
        <v>0</v>
      </c>
      <c r="AN41" s="376">
        <f ca="1">IF(COUNTA($X18:AN18)&gt;'1.1 Control Panel'!$E$41*12,0,PMT('1.1 Control Panel'!$X12/12,'1.1 Control Panel'!$E$41*12,$X$20))</f>
        <v>0</v>
      </c>
      <c r="AP41" s="21"/>
    </row>
    <row r="42" spans="3:42" ht="11.5" customHeight="1" x14ac:dyDescent="0.25">
      <c r="C42" s="659">
        <v>46295.25</v>
      </c>
      <c r="D42" s="38" t="s">
        <v>46</v>
      </c>
      <c r="E42" s="376"/>
      <c r="F42" s="376"/>
      <c r="G42" s="376"/>
      <c r="H42" s="376"/>
      <c r="I42" s="376"/>
      <c r="J42" s="376"/>
      <c r="K42" s="376"/>
      <c r="L42" s="376"/>
      <c r="M42" s="376"/>
      <c r="N42" s="376"/>
      <c r="O42" s="376"/>
      <c r="P42" s="376"/>
      <c r="Q42" s="376"/>
      <c r="R42" s="376"/>
      <c r="S42" s="376"/>
      <c r="T42" s="376"/>
      <c r="U42" s="376"/>
      <c r="V42" s="376"/>
      <c r="W42" s="376"/>
      <c r="X42" s="376"/>
      <c r="Y42" s="376">
        <f ca="1">IF(COUNTA($Y18:Y18)&gt;'1.1 Control Panel'!$E$41*12,0,PMT('1.1 Control Panel'!$Y12/12,'1.1 Control Panel'!$E$41*12,$Y$20))</f>
        <v>0</v>
      </c>
      <c r="Z42" s="376">
        <f ca="1">IF(COUNTA($Y18:Z18)&gt;'1.1 Control Panel'!$E$41*12,0,PMT('1.1 Control Panel'!$Y12/12,'1.1 Control Panel'!$E$41*12,$Y$20))</f>
        <v>0</v>
      </c>
      <c r="AA42" s="376">
        <f ca="1">IF(COUNTA($Y18:AA18)&gt;'1.1 Control Panel'!$E$41*12,0,PMT('1.1 Control Panel'!$Y12/12,'1.1 Control Panel'!$E$41*12,$Y$20))</f>
        <v>0</v>
      </c>
      <c r="AB42" s="376">
        <f ca="1">IF(COUNTA($Y18:AB18)&gt;'1.1 Control Panel'!$E$41*12,0,PMT('1.1 Control Panel'!$Y12/12,'1.1 Control Panel'!$E$41*12,$Y$20))</f>
        <v>0</v>
      </c>
      <c r="AC42" s="376">
        <f ca="1">IF(COUNTA($Y18:AC18)&gt;'1.1 Control Panel'!$E$41*12,0,PMT('1.1 Control Panel'!$Y12/12,'1.1 Control Panel'!$E$41*12,$Y$20))</f>
        <v>0</v>
      </c>
      <c r="AD42" s="376">
        <f ca="1">IF(COUNTA($Y18:AD18)&gt;'1.1 Control Panel'!$E$41*12,0,PMT('1.1 Control Panel'!$Y12/12,'1.1 Control Panel'!$E$41*12,$Y$20))</f>
        <v>0</v>
      </c>
      <c r="AE42" s="376">
        <f ca="1">IF(COUNTA($Y18:AE18)&gt;'1.1 Control Panel'!$E$41*12,0,PMT('1.1 Control Panel'!$Y12/12,'1.1 Control Panel'!$E$41*12,$Y$20))</f>
        <v>0</v>
      </c>
      <c r="AF42" s="376">
        <f ca="1">IF(COUNTA($Y18:AF18)&gt;'1.1 Control Panel'!$E$41*12,0,PMT('1.1 Control Panel'!$Y12/12,'1.1 Control Panel'!$E$41*12,$Y$20))</f>
        <v>0</v>
      </c>
      <c r="AG42" s="376">
        <f ca="1">IF(COUNTA($Y18:AG18)&gt;'1.1 Control Panel'!$E$41*12,0,PMT('1.1 Control Panel'!$Y12/12,'1.1 Control Panel'!$E$41*12,$Y$20))</f>
        <v>0</v>
      </c>
      <c r="AH42" s="376">
        <f ca="1">IF(COUNTA($Y18:AH18)&gt;'1.1 Control Panel'!$E$41*12,0,PMT('1.1 Control Panel'!$Y12/12,'1.1 Control Panel'!$E$41*12,$Y$20))</f>
        <v>0</v>
      </c>
      <c r="AI42" s="376">
        <f ca="1">IF(COUNTA($Y18:AI18)&gt;'1.1 Control Panel'!$E$41*12,0,PMT('1.1 Control Panel'!$Y12/12,'1.1 Control Panel'!$E$41*12,$Y$20))</f>
        <v>0</v>
      </c>
      <c r="AJ42" s="376">
        <f ca="1">IF(COUNTA($Y18:AJ18)&gt;'1.1 Control Panel'!$E$41*12,0,PMT('1.1 Control Panel'!$Y12/12,'1.1 Control Panel'!$E$41*12,$Y$20))</f>
        <v>0</v>
      </c>
      <c r="AK42" s="376">
        <f ca="1">IF(COUNTA($Y18:AK18)&gt;'1.1 Control Panel'!$E$41*12,0,PMT('1.1 Control Panel'!$Y12/12,'1.1 Control Panel'!$E$41*12,$Y$20))</f>
        <v>0</v>
      </c>
      <c r="AL42" s="376">
        <f ca="1">IF(COUNTA($Y18:AL18)&gt;'1.1 Control Panel'!$E$41*12,0,PMT('1.1 Control Panel'!$Y12/12,'1.1 Control Panel'!$E$41*12,$Y$20))</f>
        <v>0</v>
      </c>
      <c r="AM42" s="376">
        <f ca="1">IF(COUNTA($Y18:AM18)&gt;'1.1 Control Panel'!$E$41*12,0,PMT('1.1 Control Panel'!$Y12/12,'1.1 Control Panel'!$E$41*12,$Y$20))</f>
        <v>0</v>
      </c>
      <c r="AN42" s="376">
        <f ca="1">IF(COUNTA($Y18:AN18)&gt;'1.1 Control Panel'!$E$41*12,0,PMT('1.1 Control Panel'!$Y12/12,'1.1 Control Panel'!$E$41*12,$Y$20))</f>
        <v>0</v>
      </c>
      <c r="AP42" s="21"/>
    </row>
    <row r="43" spans="3:42" ht="11.5" customHeight="1" x14ac:dyDescent="0.25">
      <c r="C43" s="659">
        <v>46326.25</v>
      </c>
      <c r="D43" s="38" t="s">
        <v>46</v>
      </c>
      <c r="E43" s="376"/>
      <c r="F43" s="376"/>
      <c r="G43" s="376"/>
      <c r="H43" s="376"/>
      <c r="I43" s="376"/>
      <c r="J43" s="376"/>
      <c r="K43" s="376"/>
      <c r="L43" s="376"/>
      <c r="M43" s="376"/>
      <c r="N43" s="376"/>
      <c r="O43" s="376"/>
      <c r="P43" s="376"/>
      <c r="Q43" s="376"/>
      <c r="R43" s="376"/>
      <c r="S43" s="376"/>
      <c r="T43" s="376"/>
      <c r="U43" s="376"/>
      <c r="V43" s="376"/>
      <c r="W43" s="376"/>
      <c r="X43" s="376"/>
      <c r="Y43" s="376"/>
      <c r="Z43" s="376">
        <f ca="1">IF(COUNTA($Z18:Z18)&gt;'1.1 Control Panel'!$E$41*12,0,PMT('1.1 Control Panel'!$Z12/12,'1.1 Control Panel'!$E$41*12,$Z$20))</f>
        <v>0</v>
      </c>
      <c r="AA43" s="376">
        <f ca="1">IF(COUNTA($Z18:AA18)&gt;'1.1 Control Panel'!$E$41*12,0,PMT('1.1 Control Panel'!$Z12/12,'1.1 Control Panel'!$E$41*12,$Z$20))</f>
        <v>0</v>
      </c>
      <c r="AB43" s="376">
        <f ca="1">IF(COUNTA($Z18:AB18)&gt;'1.1 Control Panel'!$E$41*12,0,PMT('1.1 Control Panel'!$Z12/12,'1.1 Control Panel'!$E$41*12,$Z$20))</f>
        <v>0</v>
      </c>
      <c r="AC43" s="376">
        <f ca="1">IF(COUNTA($Z18:AC18)&gt;'1.1 Control Panel'!$E$41*12,0,PMT('1.1 Control Panel'!$Z12/12,'1.1 Control Panel'!$E$41*12,$Z$20))</f>
        <v>0</v>
      </c>
      <c r="AD43" s="376">
        <f ca="1">IF(COUNTA($Z18:AD18)&gt;'1.1 Control Panel'!$E$41*12,0,PMT('1.1 Control Panel'!$Z12/12,'1.1 Control Panel'!$E$41*12,$Z$20))</f>
        <v>0</v>
      </c>
      <c r="AE43" s="376">
        <f ca="1">IF(COUNTA($Z18:AE18)&gt;'1.1 Control Panel'!$E$41*12,0,PMT('1.1 Control Panel'!$Z12/12,'1.1 Control Panel'!$E$41*12,$Z$20))</f>
        <v>0</v>
      </c>
      <c r="AF43" s="376">
        <f ca="1">IF(COUNTA($Z18:AF18)&gt;'1.1 Control Panel'!$E$41*12,0,PMT('1.1 Control Panel'!$Z12/12,'1.1 Control Panel'!$E$41*12,$Z$20))</f>
        <v>0</v>
      </c>
      <c r="AG43" s="376">
        <f ca="1">IF(COUNTA($Z18:AG18)&gt;'1.1 Control Panel'!$E$41*12,0,PMT('1.1 Control Panel'!$Z12/12,'1.1 Control Panel'!$E$41*12,$Z$20))</f>
        <v>0</v>
      </c>
      <c r="AH43" s="376">
        <f ca="1">IF(COUNTA($Z18:AH18)&gt;'1.1 Control Panel'!$E$41*12,0,PMT('1.1 Control Panel'!$Z12/12,'1.1 Control Panel'!$E$41*12,$Z$20))</f>
        <v>0</v>
      </c>
      <c r="AI43" s="376">
        <f ca="1">IF(COUNTA($Z18:AI18)&gt;'1.1 Control Panel'!$E$41*12,0,PMT('1.1 Control Panel'!$Z12/12,'1.1 Control Panel'!$E$41*12,$Z$20))</f>
        <v>0</v>
      </c>
      <c r="AJ43" s="376">
        <f ca="1">IF(COUNTA($Z18:AJ18)&gt;'1.1 Control Panel'!$E$41*12,0,PMT('1.1 Control Panel'!$Z12/12,'1.1 Control Panel'!$E$41*12,$Z$20))</f>
        <v>0</v>
      </c>
      <c r="AK43" s="376">
        <f ca="1">IF(COUNTA($Z18:AK18)&gt;'1.1 Control Panel'!$E$41*12,0,PMT('1.1 Control Panel'!$Z12/12,'1.1 Control Panel'!$E$41*12,$Z$20))</f>
        <v>0</v>
      </c>
      <c r="AL43" s="376">
        <f ca="1">IF(COUNTA($Z18:AL18)&gt;'1.1 Control Panel'!$E$41*12,0,PMT('1.1 Control Panel'!$Z12/12,'1.1 Control Panel'!$E$41*12,$Z$20))</f>
        <v>0</v>
      </c>
      <c r="AM43" s="376">
        <f ca="1">IF(COUNTA($Z18:AM18)&gt;'1.1 Control Panel'!$E$41*12,0,PMT('1.1 Control Panel'!$Z12/12,'1.1 Control Panel'!$E$41*12,$Z$20))</f>
        <v>0</v>
      </c>
      <c r="AN43" s="376">
        <f ca="1">IF(COUNTA($Z18:AN18)&gt;'1.1 Control Panel'!$E$41*12,0,PMT('1.1 Control Panel'!$Z12/12,'1.1 Control Panel'!$E$41*12,$Z$20))</f>
        <v>0</v>
      </c>
      <c r="AP43" s="21"/>
    </row>
    <row r="44" spans="3:42" ht="11.5" customHeight="1" x14ac:dyDescent="0.25">
      <c r="C44" s="659">
        <v>46356.25</v>
      </c>
      <c r="D44" s="38" t="s">
        <v>46</v>
      </c>
      <c r="E44" s="376"/>
      <c r="F44" s="376"/>
      <c r="G44" s="376"/>
      <c r="H44" s="376"/>
      <c r="I44" s="376"/>
      <c r="J44" s="376"/>
      <c r="K44" s="376"/>
      <c r="L44" s="376"/>
      <c r="M44" s="376"/>
      <c r="N44" s="376"/>
      <c r="O44" s="376"/>
      <c r="P44" s="376"/>
      <c r="Q44" s="376"/>
      <c r="R44" s="376"/>
      <c r="S44" s="376"/>
      <c r="T44" s="376"/>
      <c r="U44" s="376"/>
      <c r="V44" s="376"/>
      <c r="W44" s="376"/>
      <c r="X44" s="376"/>
      <c r="Y44" s="376"/>
      <c r="Z44" s="376"/>
      <c r="AA44" s="376">
        <f ca="1">IF(COUNTA($AA18:AA18)&gt;'1.1 Control Panel'!$E$41*12,0,PMT('1.1 Control Panel'!$AA12/12,'1.1 Control Panel'!$E$41*12,$AA$20))</f>
        <v>0</v>
      </c>
      <c r="AB44" s="376">
        <f ca="1">IF(COUNTA($AA18:AB18)&gt;'1.1 Control Panel'!$E$41*12,0,PMT('1.1 Control Panel'!$AA12/12,'1.1 Control Panel'!$E$41*12,$AA$20))</f>
        <v>0</v>
      </c>
      <c r="AC44" s="376">
        <f ca="1">IF(COUNTA($AA18:AC18)&gt;'1.1 Control Panel'!$E$41*12,0,PMT('1.1 Control Panel'!$AA12/12,'1.1 Control Panel'!$E$41*12,$AA$20))</f>
        <v>0</v>
      </c>
      <c r="AD44" s="376">
        <f ca="1">IF(COUNTA($AA18:AD18)&gt;'1.1 Control Panel'!$E$41*12,0,PMT('1.1 Control Panel'!$AA12/12,'1.1 Control Panel'!$E$41*12,$AA$20))</f>
        <v>0</v>
      </c>
      <c r="AE44" s="376">
        <f ca="1">IF(COUNTA($AA18:AE18)&gt;'1.1 Control Panel'!$E$41*12,0,PMT('1.1 Control Panel'!$AA12/12,'1.1 Control Panel'!$E$41*12,$AA$20))</f>
        <v>0</v>
      </c>
      <c r="AF44" s="376">
        <f ca="1">IF(COUNTA($AA18:AF18)&gt;'1.1 Control Panel'!$E$41*12,0,PMT('1.1 Control Panel'!$AA12/12,'1.1 Control Panel'!$E$41*12,$AA$20))</f>
        <v>0</v>
      </c>
      <c r="AG44" s="376">
        <f ca="1">IF(COUNTA($AA18:AG18)&gt;'1.1 Control Panel'!$E$41*12,0,PMT('1.1 Control Panel'!$AA12/12,'1.1 Control Panel'!$E$41*12,$AA$20))</f>
        <v>0</v>
      </c>
      <c r="AH44" s="376">
        <f ca="1">IF(COUNTA($AA18:AH18)&gt;'1.1 Control Panel'!$E$41*12,0,PMT('1.1 Control Panel'!$AA12/12,'1.1 Control Panel'!$E$41*12,$AA$20))</f>
        <v>0</v>
      </c>
      <c r="AI44" s="376">
        <f ca="1">IF(COUNTA($AA18:AI18)&gt;'1.1 Control Panel'!$E$41*12,0,PMT('1.1 Control Panel'!$AA12/12,'1.1 Control Panel'!$E$41*12,$AA$20))</f>
        <v>0</v>
      </c>
      <c r="AJ44" s="376">
        <f ca="1">IF(COUNTA($AA18:AJ18)&gt;'1.1 Control Panel'!$E$41*12,0,PMT('1.1 Control Panel'!$AA12/12,'1.1 Control Panel'!$E$41*12,$AA$20))</f>
        <v>0</v>
      </c>
      <c r="AK44" s="376">
        <f ca="1">IF(COUNTA($AA18:AK18)&gt;'1.1 Control Panel'!$E$41*12,0,PMT('1.1 Control Panel'!$AA12/12,'1.1 Control Panel'!$E$41*12,$AA$20))</f>
        <v>0</v>
      </c>
      <c r="AL44" s="376">
        <f ca="1">IF(COUNTA($AA18:AL18)&gt;'1.1 Control Panel'!$E$41*12,0,PMT('1.1 Control Panel'!$AA12/12,'1.1 Control Panel'!$E$41*12,$AA$20))</f>
        <v>0</v>
      </c>
      <c r="AM44" s="376">
        <f ca="1">IF(COUNTA($AA18:AM18)&gt;'1.1 Control Panel'!$E$41*12,0,PMT('1.1 Control Panel'!$AA12/12,'1.1 Control Panel'!$E$41*12,$AA$20))</f>
        <v>0</v>
      </c>
      <c r="AN44" s="376">
        <f ca="1">IF(COUNTA($AA18:AN18)&gt;'1.1 Control Panel'!$E$41*12,0,PMT('1.1 Control Panel'!$AA12/12,'1.1 Control Panel'!$E$41*12,$AA$20))</f>
        <v>0</v>
      </c>
      <c r="AP44" s="21"/>
    </row>
    <row r="45" spans="3:42" ht="11.5" customHeight="1" x14ac:dyDescent="0.25">
      <c r="C45" s="659">
        <v>46387.25</v>
      </c>
      <c r="D45" s="38" t="s">
        <v>46</v>
      </c>
      <c r="E45" s="376"/>
      <c r="F45" s="376"/>
      <c r="G45" s="376"/>
      <c r="H45" s="376"/>
      <c r="I45" s="376"/>
      <c r="J45" s="376"/>
      <c r="K45" s="376"/>
      <c r="L45" s="376"/>
      <c r="M45" s="376"/>
      <c r="N45" s="376"/>
      <c r="O45" s="376"/>
      <c r="P45" s="376"/>
      <c r="Q45" s="376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>
        <f ca="1">IF(COUNTA($AB18:AB18)&gt;'1.1 Control Panel'!$E$41*12,0,PMT('1.1 Control Panel'!$AB12/12,'1.1 Control Panel'!$E$41*12,$AB$20))</f>
        <v>0</v>
      </c>
      <c r="AC45" s="376">
        <f ca="1">IF(COUNTA($AB18:AC18)&gt;'1.1 Control Panel'!$E$41*12,0,PMT('1.1 Control Panel'!$AB12/12,'1.1 Control Panel'!$E$41*12,$AB$20))</f>
        <v>0</v>
      </c>
      <c r="AD45" s="376">
        <f ca="1">IF(COUNTA($AB18:AD18)&gt;'1.1 Control Panel'!$E$41*12,0,PMT('1.1 Control Panel'!$AB12/12,'1.1 Control Panel'!$E$41*12,$AB$20))</f>
        <v>0</v>
      </c>
      <c r="AE45" s="376">
        <f ca="1">IF(COUNTA($AB18:AE18)&gt;'1.1 Control Panel'!$E$41*12,0,PMT('1.1 Control Panel'!$AB12/12,'1.1 Control Panel'!$E$41*12,$AB$20))</f>
        <v>0</v>
      </c>
      <c r="AF45" s="376">
        <f ca="1">IF(COUNTA($AB18:AF18)&gt;'1.1 Control Panel'!$E$41*12,0,PMT('1.1 Control Panel'!$AB12/12,'1.1 Control Panel'!$E$41*12,$AB$20))</f>
        <v>0</v>
      </c>
      <c r="AG45" s="376">
        <f ca="1">IF(COUNTA($AB18:AG18)&gt;'1.1 Control Panel'!$E$41*12,0,PMT('1.1 Control Panel'!$AB12/12,'1.1 Control Panel'!$E$41*12,$AB$20))</f>
        <v>0</v>
      </c>
      <c r="AH45" s="376">
        <f ca="1">IF(COUNTA($AB18:AH18)&gt;'1.1 Control Panel'!$E$41*12,0,PMT('1.1 Control Panel'!$AB12/12,'1.1 Control Panel'!$E$41*12,$AB$20))</f>
        <v>0</v>
      </c>
      <c r="AI45" s="376">
        <f ca="1">IF(COUNTA($AB18:AI18)&gt;'1.1 Control Panel'!$E$41*12,0,PMT('1.1 Control Panel'!$AB12/12,'1.1 Control Panel'!$E$41*12,$AB$20))</f>
        <v>0</v>
      </c>
      <c r="AJ45" s="376">
        <f ca="1">IF(COUNTA($AB18:AJ18)&gt;'1.1 Control Panel'!$E$41*12,0,PMT('1.1 Control Panel'!$AB12/12,'1.1 Control Panel'!$E$41*12,$AB$20))</f>
        <v>0</v>
      </c>
      <c r="AK45" s="376">
        <f ca="1">IF(COUNTA($AB18:AK18)&gt;'1.1 Control Panel'!$E$41*12,0,PMT('1.1 Control Panel'!$AB12/12,'1.1 Control Panel'!$E$41*12,$AB$20))</f>
        <v>0</v>
      </c>
      <c r="AL45" s="376">
        <f ca="1">IF(COUNTA($AB18:AL18)&gt;'1.1 Control Panel'!$E$41*12,0,PMT('1.1 Control Panel'!$AB12/12,'1.1 Control Panel'!$E$41*12,$AB$20))</f>
        <v>0</v>
      </c>
      <c r="AM45" s="376">
        <f ca="1">IF(COUNTA($AB18:AM18)&gt;'1.1 Control Panel'!$E$41*12,0,PMT('1.1 Control Panel'!$AB12/12,'1.1 Control Panel'!$E$41*12,$AB$20))</f>
        <v>0</v>
      </c>
      <c r="AN45" s="376">
        <f ca="1">IF(COUNTA($AB18:AN18)&gt;'1.1 Control Panel'!$E$41*12,0,PMT('1.1 Control Panel'!$AB12/12,'1.1 Control Panel'!$E$41*12,$AB$20))</f>
        <v>0</v>
      </c>
      <c r="AP45" s="21"/>
    </row>
    <row r="46" spans="3:42" ht="11.5" customHeight="1" x14ac:dyDescent="0.25">
      <c r="C46" s="659">
        <v>46418.5</v>
      </c>
      <c r="D46" s="38" t="s">
        <v>46</v>
      </c>
      <c r="E46" s="376"/>
      <c r="F46" s="376"/>
      <c r="G46" s="376"/>
      <c r="H46" s="376"/>
      <c r="I46" s="376"/>
      <c r="J46" s="376"/>
      <c r="K46" s="376"/>
      <c r="L46" s="376"/>
      <c r="M46" s="376"/>
      <c r="N46" s="376"/>
      <c r="O46" s="376"/>
      <c r="P46" s="376"/>
      <c r="Q46" s="376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>
        <f ca="1">IF(COUNTA($AC18:AC18)&gt;'1.1 Control Panel'!$E$41*12,0,PMT('1.1 Control Panel'!$AC12/12,'1.1 Control Panel'!$E$41*12,$AC$20))</f>
        <v>0</v>
      </c>
      <c r="AD46" s="376">
        <f ca="1">IF(COUNTA($AC18:AD18)&gt;'1.1 Control Panel'!$E$41*12,0,PMT('1.1 Control Panel'!$AC12/12,'1.1 Control Panel'!$E$41*12,$AC$20))</f>
        <v>0</v>
      </c>
      <c r="AE46" s="376">
        <f ca="1">IF(COUNTA($AC18:AE18)&gt;'1.1 Control Panel'!$E$41*12,0,PMT('1.1 Control Panel'!$AC12/12,'1.1 Control Panel'!$E$41*12,$AC$20))</f>
        <v>0</v>
      </c>
      <c r="AF46" s="376">
        <f ca="1">IF(COUNTA($AC18:AF18)&gt;'1.1 Control Panel'!$E$41*12,0,PMT('1.1 Control Panel'!$AC12/12,'1.1 Control Panel'!$E$41*12,$AC$20))</f>
        <v>0</v>
      </c>
      <c r="AG46" s="376">
        <f ca="1">IF(COUNTA($AC18:AG18)&gt;'1.1 Control Panel'!$E$41*12,0,PMT('1.1 Control Panel'!$AC12/12,'1.1 Control Panel'!$E$41*12,$AC$20))</f>
        <v>0</v>
      </c>
      <c r="AH46" s="376">
        <f ca="1">IF(COUNTA($AC18:AH18)&gt;'1.1 Control Panel'!$E$41*12,0,PMT('1.1 Control Panel'!$AC12/12,'1.1 Control Panel'!$E$41*12,$AC$20))</f>
        <v>0</v>
      </c>
      <c r="AI46" s="376">
        <f ca="1">IF(COUNTA($AC18:AI18)&gt;'1.1 Control Panel'!$E$41*12,0,PMT('1.1 Control Panel'!$AC12/12,'1.1 Control Panel'!$E$41*12,$AC$20))</f>
        <v>0</v>
      </c>
      <c r="AJ46" s="376">
        <f ca="1">IF(COUNTA($AC18:AJ18)&gt;'1.1 Control Panel'!$E$41*12,0,PMT('1.1 Control Panel'!$AC12/12,'1.1 Control Panel'!$E$41*12,$AC$20))</f>
        <v>0</v>
      </c>
      <c r="AK46" s="376">
        <f ca="1">IF(COUNTA($AC18:AK18)&gt;'1.1 Control Panel'!$E$41*12,0,PMT('1.1 Control Panel'!$AC12/12,'1.1 Control Panel'!$E$41*12,$AC$20))</f>
        <v>0</v>
      </c>
      <c r="AL46" s="376">
        <f ca="1">IF(COUNTA($AC18:AL18)&gt;'1.1 Control Panel'!$E$41*12,0,PMT('1.1 Control Panel'!$AC12/12,'1.1 Control Panel'!$E$41*12,$AC$20))</f>
        <v>0</v>
      </c>
      <c r="AM46" s="376">
        <f ca="1">IF(COUNTA($AC18:AM18)&gt;'1.1 Control Panel'!$E$41*12,0,PMT('1.1 Control Panel'!$AC12/12,'1.1 Control Panel'!$E$41*12,$AC$20))</f>
        <v>0</v>
      </c>
      <c r="AN46" s="376">
        <f ca="1">IF(COUNTA($AC18:AN18)&gt;'1.1 Control Panel'!$E$41*12,0,PMT('1.1 Control Panel'!$AC12/12,'1.1 Control Panel'!$E$41*12,$AC$20))</f>
        <v>0</v>
      </c>
      <c r="AP46" s="21"/>
    </row>
    <row r="47" spans="3:42" ht="11.5" customHeight="1" x14ac:dyDescent="0.25">
      <c r="C47" s="659">
        <v>46446.5</v>
      </c>
      <c r="D47" s="38" t="s">
        <v>46</v>
      </c>
      <c r="E47" s="376"/>
      <c r="F47" s="376"/>
      <c r="G47" s="376"/>
      <c r="H47" s="376"/>
      <c r="I47" s="376"/>
      <c r="J47" s="376"/>
      <c r="K47" s="376"/>
      <c r="L47" s="376"/>
      <c r="M47" s="376"/>
      <c r="N47" s="376"/>
      <c r="O47" s="376"/>
      <c r="P47" s="376"/>
      <c r="Q47" s="376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>
        <f ca="1">IF(COUNTA($AD18:AD18)&gt;'1.1 Control Panel'!$E$41*12,0,PMT('1.1 Control Panel'!$AD12/12,'1.1 Control Panel'!$E$41*12,$AD$20))</f>
        <v>0</v>
      </c>
      <c r="AE47" s="376">
        <f ca="1">IF(COUNTA($AD18:AE18)&gt;'1.1 Control Panel'!$E$41*12,0,PMT('1.1 Control Panel'!$AD12/12,'1.1 Control Panel'!$E$41*12,$AD$20))</f>
        <v>0</v>
      </c>
      <c r="AF47" s="376">
        <f ca="1">IF(COUNTA($AD18:AF18)&gt;'1.1 Control Panel'!$E$41*12,0,PMT('1.1 Control Panel'!$AD12/12,'1.1 Control Panel'!$E$41*12,$AD$20))</f>
        <v>0</v>
      </c>
      <c r="AG47" s="376">
        <f ca="1">IF(COUNTA($AD18:AG18)&gt;'1.1 Control Panel'!$E$41*12,0,PMT('1.1 Control Panel'!$AD12/12,'1.1 Control Panel'!$E$41*12,$AD$20))</f>
        <v>0</v>
      </c>
      <c r="AH47" s="376">
        <f ca="1">IF(COUNTA($AD18:AH18)&gt;'1.1 Control Panel'!$E$41*12,0,PMT('1.1 Control Panel'!$AD12/12,'1.1 Control Panel'!$E$41*12,$AD$20))</f>
        <v>0</v>
      </c>
      <c r="AI47" s="376">
        <f ca="1">IF(COUNTA($AD18:AI18)&gt;'1.1 Control Panel'!$E$41*12,0,PMT('1.1 Control Panel'!$AD12/12,'1.1 Control Panel'!$E$41*12,$AD$20))</f>
        <v>0</v>
      </c>
      <c r="AJ47" s="376">
        <f ca="1">IF(COUNTA($AD18:AJ18)&gt;'1.1 Control Panel'!$E$41*12,0,PMT('1.1 Control Panel'!$AD12/12,'1.1 Control Panel'!$E$41*12,$AD$20))</f>
        <v>0</v>
      </c>
      <c r="AK47" s="376">
        <f ca="1">IF(COUNTA($AD18:AK18)&gt;'1.1 Control Panel'!$E$41*12,0,PMT('1.1 Control Panel'!$AD12/12,'1.1 Control Panel'!$E$41*12,$AD$20))</f>
        <v>0</v>
      </c>
      <c r="AL47" s="376">
        <f ca="1">IF(COUNTA($AD18:AL18)&gt;'1.1 Control Panel'!$E$41*12,0,PMT('1.1 Control Panel'!$AD12/12,'1.1 Control Panel'!$E$41*12,$AD$20))</f>
        <v>0</v>
      </c>
      <c r="AM47" s="376">
        <f ca="1">IF(COUNTA($AD18:AM18)&gt;'1.1 Control Panel'!$E$41*12,0,PMT('1.1 Control Panel'!$AD12/12,'1.1 Control Panel'!$E$41*12,$AD$20))</f>
        <v>0</v>
      </c>
      <c r="AN47" s="376">
        <f ca="1">IF(COUNTA($AD18:AN18)&gt;'1.1 Control Panel'!$E$41*12,0,PMT('1.1 Control Panel'!$AD12/12,'1.1 Control Panel'!$E$41*12,$AD$20))</f>
        <v>0</v>
      </c>
      <c r="AP47" s="21"/>
    </row>
    <row r="48" spans="3:42" ht="11.5" customHeight="1" x14ac:dyDescent="0.25">
      <c r="C48" s="659">
        <v>46477.5</v>
      </c>
      <c r="D48" s="38" t="s">
        <v>46</v>
      </c>
      <c r="E48" s="376"/>
      <c r="F48" s="376"/>
      <c r="G48" s="376"/>
      <c r="H48" s="376"/>
      <c r="I48" s="376"/>
      <c r="J48" s="376"/>
      <c r="K48" s="376"/>
      <c r="L48" s="376"/>
      <c r="M48" s="376"/>
      <c r="N48" s="376"/>
      <c r="O48" s="376"/>
      <c r="P48" s="376"/>
      <c r="Q48" s="376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>
        <f ca="1">IF(COUNTA($AE18:AE18)&gt;'1.1 Control Panel'!$E$41*12,0,PMT('1.1 Control Panel'!$AE12/12,'1.1 Control Panel'!$E$41*12,$AE$20))</f>
        <v>0</v>
      </c>
      <c r="AF48" s="376">
        <f ca="1">IF(COUNTA($AE18:AF18)&gt;'1.1 Control Panel'!$E$41*12,0,PMT('1.1 Control Panel'!$AE12/12,'1.1 Control Panel'!$E$41*12,$AE$20))</f>
        <v>0</v>
      </c>
      <c r="AG48" s="376">
        <f ca="1">IF(COUNTA($AE18:AG18)&gt;'1.1 Control Panel'!$E$41*12,0,PMT('1.1 Control Panel'!$AE12/12,'1.1 Control Panel'!$E$41*12,$AE$20))</f>
        <v>0</v>
      </c>
      <c r="AH48" s="376">
        <f ca="1">IF(COUNTA($AE18:AH18)&gt;'1.1 Control Panel'!$E$41*12,0,PMT('1.1 Control Panel'!$AE12/12,'1.1 Control Panel'!$E$41*12,$AE$20))</f>
        <v>0</v>
      </c>
      <c r="AI48" s="376">
        <f ca="1">IF(COUNTA($AE18:AI18)&gt;'1.1 Control Panel'!$E$41*12,0,PMT('1.1 Control Panel'!$AE12/12,'1.1 Control Panel'!$E$41*12,$AE$20))</f>
        <v>0</v>
      </c>
      <c r="AJ48" s="376">
        <f ca="1">IF(COUNTA($AE18:AJ18)&gt;'1.1 Control Panel'!$E$41*12,0,PMT('1.1 Control Panel'!$AE12/12,'1.1 Control Panel'!$E$41*12,$AE$20))</f>
        <v>0</v>
      </c>
      <c r="AK48" s="376">
        <f ca="1">IF(COUNTA($AE18:AK18)&gt;'1.1 Control Panel'!$E$41*12,0,PMT('1.1 Control Panel'!$AE12/12,'1.1 Control Panel'!$E$41*12,$AE$20))</f>
        <v>0</v>
      </c>
      <c r="AL48" s="376">
        <f ca="1">IF(COUNTA($AE18:AL18)&gt;'1.1 Control Panel'!$E$41*12,0,PMT('1.1 Control Panel'!$AE12/12,'1.1 Control Panel'!$E$41*12,$AE$20))</f>
        <v>0</v>
      </c>
      <c r="AM48" s="376">
        <f ca="1">IF(COUNTA($AE18:AM18)&gt;'1.1 Control Panel'!$E$41*12,0,PMT('1.1 Control Panel'!$AE12/12,'1.1 Control Panel'!$E$41*12,$AE$20))</f>
        <v>0</v>
      </c>
      <c r="AN48" s="376">
        <f ca="1">IF(COUNTA($AE18:AN18)&gt;'1.1 Control Panel'!$E$41*12,0,PMT('1.1 Control Panel'!$AE12/12,'1.1 Control Panel'!$E$41*12,$AE$20))</f>
        <v>0</v>
      </c>
      <c r="AP48" s="21"/>
    </row>
    <row r="49" spans="3:42" ht="11.5" customHeight="1" x14ac:dyDescent="0.25">
      <c r="C49" s="659">
        <v>46507.5</v>
      </c>
      <c r="D49" s="38" t="s">
        <v>46</v>
      </c>
      <c r="E49" s="376"/>
      <c r="F49" s="376"/>
      <c r="G49" s="376"/>
      <c r="H49" s="376"/>
      <c r="I49" s="376"/>
      <c r="J49" s="376"/>
      <c r="K49" s="376"/>
      <c r="L49" s="376"/>
      <c r="M49" s="376"/>
      <c r="N49" s="376"/>
      <c r="O49" s="376"/>
      <c r="P49" s="376"/>
      <c r="Q49" s="376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>
        <f ca="1">IF(COUNTA($AF18:AF18)&gt;'1.1 Control Panel'!$E$41*12,0,PMT('1.1 Control Panel'!$AF12/12,'1.1 Control Panel'!$E$41*12,$AF$20))</f>
        <v>0</v>
      </c>
      <c r="AG49" s="376">
        <f ca="1">IF(COUNTA($AF18:AG18)&gt;'1.1 Control Panel'!$E$41*12,0,PMT('1.1 Control Panel'!$AF12/12,'1.1 Control Panel'!$E$41*12,$AF$20))</f>
        <v>0</v>
      </c>
      <c r="AH49" s="376">
        <f ca="1">IF(COUNTA($AF18:AH18)&gt;'1.1 Control Panel'!$E$41*12,0,PMT('1.1 Control Panel'!$AF12/12,'1.1 Control Panel'!$E$41*12,$AF$20))</f>
        <v>0</v>
      </c>
      <c r="AI49" s="376">
        <f ca="1">IF(COUNTA($AF18:AI18)&gt;'1.1 Control Panel'!$E$41*12,0,PMT('1.1 Control Panel'!$AF12/12,'1.1 Control Panel'!$E$41*12,$AF$20))</f>
        <v>0</v>
      </c>
      <c r="AJ49" s="376">
        <f ca="1">IF(COUNTA($AF18:AJ18)&gt;'1.1 Control Panel'!$E$41*12,0,PMT('1.1 Control Panel'!$AF12/12,'1.1 Control Panel'!$E$41*12,$AF$20))</f>
        <v>0</v>
      </c>
      <c r="AK49" s="376">
        <f ca="1">IF(COUNTA($AF18:AK18)&gt;'1.1 Control Panel'!$E$41*12,0,PMT('1.1 Control Panel'!$AF12/12,'1.1 Control Panel'!$E$41*12,$AF$20))</f>
        <v>0</v>
      </c>
      <c r="AL49" s="376">
        <f ca="1">IF(COUNTA($AF18:AL18)&gt;'1.1 Control Panel'!$E$41*12,0,PMT('1.1 Control Panel'!$AF12/12,'1.1 Control Panel'!$E$41*12,$AF$20))</f>
        <v>0</v>
      </c>
      <c r="AM49" s="376">
        <f ca="1">IF(COUNTA($AF18:AM18)&gt;'1.1 Control Panel'!$E$41*12,0,PMT('1.1 Control Panel'!$AF12/12,'1.1 Control Panel'!$E$41*12,$AF$20))</f>
        <v>0</v>
      </c>
      <c r="AN49" s="376">
        <f ca="1">IF(COUNTA($AF18:AN18)&gt;'1.1 Control Panel'!$E$41*12,0,PMT('1.1 Control Panel'!$AF12/12,'1.1 Control Panel'!$E$41*12,$AF$20))</f>
        <v>0</v>
      </c>
      <c r="AP49" s="21"/>
    </row>
    <row r="50" spans="3:42" ht="11.5" customHeight="1" x14ac:dyDescent="0.25">
      <c r="C50" s="659">
        <v>46538.5</v>
      </c>
      <c r="D50" s="38" t="s">
        <v>46</v>
      </c>
      <c r="E50" s="376"/>
      <c r="F50" s="376"/>
      <c r="G50" s="376"/>
      <c r="H50" s="376"/>
      <c r="I50" s="376"/>
      <c r="J50" s="376"/>
      <c r="K50" s="376"/>
      <c r="L50" s="376"/>
      <c r="M50" s="376"/>
      <c r="N50" s="376"/>
      <c r="O50" s="376"/>
      <c r="P50" s="376"/>
      <c r="Q50" s="376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>
        <f ca="1">IF(COUNTA($AG18:AG18)&gt;'1.1 Control Panel'!$E$41*12,0,PMT('1.1 Control Panel'!$AG12/12,'1.1 Control Panel'!$E$41*12,$AG$20))</f>
        <v>0</v>
      </c>
      <c r="AH50" s="376">
        <f ca="1">IF(COUNTA($AG18:AH18)&gt;'1.1 Control Panel'!$E$41*12,0,PMT('1.1 Control Panel'!$AG12/12,'1.1 Control Panel'!$E$41*12,$AG$20))</f>
        <v>0</v>
      </c>
      <c r="AI50" s="376">
        <f ca="1">IF(COUNTA($AG18:AI18)&gt;'1.1 Control Panel'!$E$41*12,0,PMT('1.1 Control Panel'!$AG12/12,'1.1 Control Panel'!$E$41*12,$AG$20))</f>
        <v>0</v>
      </c>
      <c r="AJ50" s="376">
        <f ca="1">IF(COUNTA($AG18:AJ18)&gt;'1.1 Control Panel'!$E$41*12,0,PMT('1.1 Control Panel'!$AG12/12,'1.1 Control Panel'!$E$41*12,$AG$20))</f>
        <v>0</v>
      </c>
      <c r="AK50" s="376">
        <f ca="1">IF(COUNTA($AG18:AK18)&gt;'1.1 Control Panel'!$E$41*12,0,PMT('1.1 Control Panel'!$AG12/12,'1.1 Control Panel'!$E$41*12,$AG$20))</f>
        <v>0</v>
      </c>
      <c r="AL50" s="376">
        <f ca="1">IF(COUNTA($AG18:AL18)&gt;'1.1 Control Panel'!$E$41*12,0,PMT('1.1 Control Panel'!$AG12/12,'1.1 Control Panel'!$E$41*12,$AG$20))</f>
        <v>0</v>
      </c>
      <c r="AM50" s="376">
        <f ca="1">IF(COUNTA($AG18:AM18)&gt;'1.1 Control Panel'!$E$41*12,0,PMT('1.1 Control Panel'!$AG12/12,'1.1 Control Panel'!$E$41*12,$AG$20))</f>
        <v>0</v>
      </c>
      <c r="AN50" s="376">
        <f ca="1">IF(COUNTA($AG18:AN18)&gt;'1.1 Control Panel'!$E$41*12,0,PMT('1.1 Control Panel'!$AG12/12,'1.1 Control Panel'!$E$41*12,$AG$20))</f>
        <v>0</v>
      </c>
      <c r="AP50" s="21"/>
    </row>
    <row r="51" spans="3:42" ht="11.5" customHeight="1" x14ac:dyDescent="0.25">
      <c r="C51" s="659">
        <v>46568.5</v>
      </c>
      <c r="D51" s="38" t="s">
        <v>46</v>
      </c>
      <c r="E51" s="376"/>
      <c r="F51" s="376"/>
      <c r="G51" s="376"/>
      <c r="H51" s="376"/>
      <c r="I51" s="376"/>
      <c r="J51" s="376"/>
      <c r="K51" s="376"/>
      <c r="L51" s="376"/>
      <c r="M51" s="376"/>
      <c r="N51" s="376"/>
      <c r="O51" s="376"/>
      <c r="P51" s="376"/>
      <c r="Q51" s="376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>
        <f ca="1">IF(COUNTA($AH18:AH18)&gt;'1.1 Control Panel'!$E$41*12,0,PMT('1.1 Control Panel'!$AH12/12,'1.1 Control Panel'!$E$41*12,$AH$20))</f>
        <v>0</v>
      </c>
      <c r="AI51" s="376">
        <f ca="1">IF(COUNTA($AH18:AI18)&gt;'1.1 Control Panel'!$E$41*12,0,PMT('1.1 Control Panel'!$AH12/12,'1.1 Control Panel'!$E$41*12,$AH$20))</f>
        <v>0</v>
      </c>
      <c r="AJ51" s="376">
        <f ca="1">IF(COUNTA($AH18:AJ18)&gt;'1.1 Control Panel'!$E$41*12,0,PMT('1.1 Control Panel'!$AH12/12,'1.1 Control Panel'!$E$41*12,$AH$20))</f>
        <v>0</v>
      </c>
      <c r="AK51" s="376">
        <f ca="1">IF(COUNTA($AH18:AK18)&gt;'1.1 Control Panel'!$E$41*12,0,PMT('1.1 Control Panel'!$AH12/12,'1.1 Control Panel'!$E$41*12,$AH$20))</f>
        <v>0</v>
      </c>
      <c r="AL51" s="376">
        <f ca="1">IF(COUNTA($AH18:AL18)&gt;'1.1 Control Panel'!$E$41*12,0,PMT('1.1 Control Panel'!$AH12/12,'1.1 Control Panel'!$E$41*12,$AH$20))</f>
        <v>0</v>
      </c>
      <c r="AM51" s="376">
        <f ca="1">IF(COUNTA($AH18:AM18)&gt;'1.1 Control Panel'!$E$41*12,0,PMT('1.1 Control Panel'!$AH12/12,'1.1 Control Panel'!$E$41*12,$AH$20))</f>
        <v>0</v>
      </c>
      <c r="AN51" s="376">
        <f ca="1">IF(COUNTA($AH18:AN18)&gt;'1.1 Control Panel'!$E$41*12,0,PMT('1.1 Control Panel'!$AH12/12,'1.1 Control Panel'!$E$41*12,$AH$20))</f>
        <v>0</v>
      </c>
      <c r="AP51" s="21"/>
    </row>
    <row r="52" spans="3:42" ht="11.5" customHeight="1" x14ac:dyDescent="0.25">
      <c r="C52" s="659">
        <v>46599.5</v>
      </c>
      <c r="D52" s="38" t="s">
        <v>46</v>
      </c>
      <c r="E52" s="376"/>
      <c r="F52" s="376"/>
      <c r="G52" s="376"/>
      <c r="H52" s="376"/>
      <c r="I52" s="376"/>
      <c r="J52" s="376"/>
      <c r="K52" s="376"/>
      <c r="L52" s="376"/>
      <c r="M52" s="376"/>
      <c r="N52" s="376"/>
      <c r="O52" s="376"/>
      <c r="P52" s="376"/>
      <c r="Q52" s="376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>
        <f ca="1">IF(COUNTA($AI18:AI18)&gt;'1.1 Control Panel'!$E$41*12,0,PMT('1.1 Control Panel'!$AI12/12,'1.1 Control Panel'!$E$41*12,$AI$20))</f>
        <v>0</v>
      </c>
      <c r="AJ52" s="376">
        <f ca="1">IF(COUNTA($AI18:AJ18)&gt;'1.1 Control Panel'!$E$41*12,0,PMT('1.1 Control Panel'!$AI12/12,'1.1 Control Panel'!$E$41*12,$AI$20))</f>
        <v>0</v>
      </c>
      <c r="AK52" s="376">
        <f ca="1">IF(COUNTA($AI18:AK18)&gt;'1.1 Control Panel'!$E$41*12,0,PMT('1.1 Control Panel'!$AI12/12,'1.1 Control Panel'!$E$41*12,$AI$20))</f>
        <v>0</v>
      </c>
      <c r="AL52" s="376">
        <f ca="1">IF(COUNTA($AI18:AL18)&gt;'1.1 Control Panel'!$E$41*12,0,PMT('1.1 Control Panel'!$AI12/12,'1.1 Control Panel'!$E$41*12,$AI$20))</f>
        <v>0</v>
      </c>
      <c r="AM52" s="376">
        <f ca="1">IF(COUNTA($AI18:AM18)&gt;'1.1 Control Panel'!$E$41*12,0,PMT('1.1 Control Panel'!$AI12/12,'1.1 Control Panel'!$E$41*12,$AI$20))</f>
        <v>0</v>
      </c>
      <c r="AN52" s="376">
        <f ca="1">IF(COUNTA($AI18:AN18)&gt;'1.1 Control Panel'!$E$41*12,0,PMT('1.1 Control Panel'!$AI12/12,'1.1 Control Panel'!$E$41*12,$AI$20))</f>
        <v>0</v>
      </c>
      <c r="AP52" s="21"/>
    </row>
    <row r="53" spans="3:42" ht="11.5" customHeight="1" x14ac:dyDescent="0.25">
      <c r="C53" s="659">
        <v>46630.5</v>
      </c>
      <c r="D53" s="38" t="s">
        <v>46</v>
      </c>
      <c r="E53" s="376"/>
      <c r="F53" s="376"/>
      <c r="G53" s="376"/>
      <c r="H53" s="376"/>
      <c r="I53" s="376"/>
      <c r="J53" s="376"/>
      <c r="K53" s="376"/>
      <c r="L53" s="376"/>
      <c r="M53" s="376"/>
      <c r="N53" s="376"/>
      <c r="O53" s="376"/>
      <c r="P53" s="376"/>
      <c r="Q53" s="376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>
        <f ca="1">IF(COUNTA($AJ18:AJ18)&gt;'1.1 Control Panel'!$E$41*12,0,PMT('1.1 Control Panel'!$AJ12/12,'1.1 Control Panel'!$E$41*12,$AJ$20))</f>
        <v>0</v>
      </c>
      <c r="AK53" s="376">
        <f ca="1">IF(COUNTA($AJ18:AK18)&gt;'1.1 Control Panel'!$E$41*12,0,PMT('1.1 Control Panel'!$AJ12/12,'1.1 Control Panel'!$E$41*12,$AJ$20))</f>
        <v>0</v>
      </c>
      <c r="AL53" s="376">
        <f ca="1">IF(COUNTA($AJ18:AL18)&gt;'1.1 Control Panel'!$E$41*12,0,PMT('1.1 Control Panel'!$AJ12/12,'1.1 Control Panel'!$E$41*12,$AJ$20))</f>
        <v>0</v>
      </c>
      <c r="AM53" s="376">
        <f ca="1">IF(COUNTA($AJ18:AM18)&gt;'1.1 Control Panel'!$E$41*12,0,PMT('1.1 Control Panel'!$AJ12/12,'1.1 Control Panel'!$E$41*12,$AJ$20))</f>
        <v>0</v>
      </c>
      <c r="AN53" s="376">
        <f ca="1">IF(COUNTA($AJ18:AN18)&gt;'1.1 Control Panel'!$E$41*12,0,PMT('1.1 Control Panel'!$AJ12/12,'1.1 Control Panel'!$E$41*12,$AJ$20))</f>
        <v>0</v>
      </c>
      <c r="AP53" s="21"/>
    </row>
    <row r="54" spans="3:42" ht="11.5" customHeight="1" x14ac:dyDescent="0.25">
      <c r="C54" s="659">
        <v>46660.5</v>
      </c>
      <c r="D54" s="38" t="s">
        <v>46</v>
      </c>
      <c r="E54" s="376"/>
      <c r="F54" s="376"/>
      <c r="G54" s="376"/>
      <c r="H54" s="376"/>
      <c r="I54" s="376"/>
      <c r="J54" s="376"/>
      <c r="K54" s="376"/>
      <c r="L54" s="376"/>
      <c r="M54" s="376"/>
      <c r="N54" s="376"/>
      <c r="O54" s="376"/>
      <c r="P54" s="376"/>
      <c r="Q54" s="376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>
        <f ca="1">IF(COUNTA($AK18:AK18)&gt;'1.1 Control Panel'!$E$41*12,0,PMT('1.1 Control Panel'!$AK12/12,'1.1 Control Panel'!$E$41*12,$AK$20))</f>
        <v>0</v>
      </c>
      <c r="AL54" s="376">
        <f ca="1">IF(COUNTA($AK18:AL18)&gt;'1.1 Control Panel'!$E$41*12,0,PMT('1.1 Control Panel'!$AK12/12,'1.1 Control Panel'!$E$41*12,$AK$20))</f>
        <v>0</v>
      </c>
      <c r="AM54" s="376">
        <f ca="1">IF(COUNTA($AK18:AM18)&gt;'1.1 Control Panel'!$E$41*12,0,PMT('1.1 Control Panel'!$AK12/12,'1.1 Control Panel'!$E$41*12,$AK$20))</f>
        <v>0</v>
      </c>
      <c r="AN54" s="376">
        <f ca="1">IF(COUNTA($AK18:AN18)&gt;'1.1 Control Panel'!$E$41*12,0,PMT('1.1 Control Panel'!$AK12/12,'1.1 Control Panel'!$E$41*12,$AK$20))</f>
        <v>0</v>
      </c>
      <c r="AP54" s="21"/>
    </row>
    <row r="55" spans="3:42" ht="11.5" customHeight="1" x14ac:dyDescent="0.25">
      <c r="C55" s="659">
        <v>46691.5</v>
      </c>
      <c r="D55" s="38" t="s">
        <v>46</v>
      </c>
      <c r="E55" s="376"/>
      <c r="F55" s="376"/>
      <c r="G55" s="376"/>
      <c r="H55" s="376"/>
      <c r="I55" s="376"/>
      <c r="J55" s="376"/>
      <c r="K55" s="376"/>
      <c r="L55" s="376"/>
      <c r="M55" s="376"/>
      <c r="N55" s="376"/>
      <c r="O55" s="376"/>
      <c r="P55" s="376"/>
      <c r="Q55" s="376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>
        <f ca="1">IF(COUNTA($AL18:AL18)&gt;'1.1 Control Panel'!$E$41*12,0,PMT('1.1 Control Panel'!$AL12/12,'1.1 Control Panel'!$E$41*12,$AL$20))</f>
        <v>0</v>
      </c>
      <c r="AM55" s="376">
        <f ca="1">IF(COUNTA($AL18:AM18)&gt;'1.1 Control Panel'!$E$41*12,0,PMT('1.1 Control Panel'!$AL12/12,'1.1 Control Panel'!$E$41*12,$AL$20))</f>
        <v>0</v>
      </c>
      <c r="AN55" s="376">
        <f ca="1">IF(COUNTA($AL18:AN18)&gt;'1.1 Control Panel'!$E$41*12,0,PMT('1.1 Control Panel'!$AL12/12,'1.1 Control Panel'!$E$41*12,$AL$20))</f>
        <v>0</v>
      </c>
      <c r="AP55" s="21"/>
    </row>
    <row r="56" spans="3:42" ht="11.5" customHeight="1" x14ac:dyDescent="0.25">
      <c r="C56" s="659">
        <v>46721.5</v>
      </c>
      <c r="D56" s="38" t="s">
        <v>46</v>
      </c>
      <c r="E56" s="376"/>
      <c r="F56" s="376"/>
      <c r="G56" s="376"/>
      <c r="H56" s="376"/>
      <c r="I56" s="376"/>
      <c r="J56" s="376"/>
      <c r="K56" s="376"/>
      <c r="L56" s="376"/>
      <c r="M56" s="376"/>
      <c r="N56" s="376"/>
      <c r="O56" s="376"/>
      <c r="P56" s="376"/>
      <c r="Q56" s="376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>
        <f ca="1">IF(COUNTA($AM18:AM18)&gt;'1.1 Control Panel'!$E$41*12,0,PMT('1.1 Control Panel'!$AM12/12,'1.1 Control Panel'!$E$41*12,$AM$20))</f>
        <v>0</v>
      </c>
      <c r="AN56" s="376">
        <f ca="1">IF(COUNTA($AM18:AN18)&gt;'1.1 Control Panel'!$E$41*12,0,PMT('1.1 Control Panel'!$AM12/12,'1.1 Control Panel'!$E$41*12,$AM$20))</f>
        <v>0</v>
      </c>
      <c r="AP56" s="21"/>
    </row>
    <row r="57" spans="3:42" ht="11.5" customHeight="1" x14ac:dyDescent="0.25">
      <c r="C57" s="660">
        <v>46752.5</v>
      </c>
      <c r="D57" s="96" t="s">
        <v>46</v>
      </c>
      <c r="E57" s="530"/>
      <c r="F57" s="530"/>
      <c r="G57" s="530"/>
      <c r="H57" s="530"/>
      <c r="I57" s="530"/>
      <c r="J57" s="530"/>
      <c r="K57" s="530"/>
      <c r="L57" s="530"/>
      <c r="M57" s="530"/>
      <c r="N57" s="530"/>
      <c r="O57" s="530"/>
      <c r="P57" s="530"/>
      <c r="Q57" s="530"/>
      <c r="R57" s="530"/>
      <c r="S57" s="530"/>
      <c r="T57" s="530"/>
      <c r="U57" s="530"/>
      <c r="V57" s="530"/>
      <c r="W57" s="530"/>
      <c r="X57" s="530"/>
      <c r="Y57" s="530"/>
      <c r="Z57" s="530"/>
      <c r="AA57" s="530"/>
      <c r="AB57" s="530"/>
      <c r="AC57" s="530"/>
      <c r="AD57" s="530"/>
      <c r="AE57" s="530"/>
      <c r="AF57" s="530"/>
      <c r="AG57" s="530"/>
      <c r="AH57" s="530"/>
      <c r="AI57" s="530"/>
      <c r="AJ57" s="530"/>
      <c r="AK57" s="530"/>
      <c r="AL57" s="530"/>
      <c r="AM57" s="530"/>
      <c r="AN57" s="530">
        <f ca="1">IF(COUNTA($AN18:AN18)&gt;'1.1 Control Panel'!$E$41*12,0,PMT('1.1 Control Panel'!$AN12/12,'1.1 Control Panel'!$E$41*12,$AN$20))</f>
        <v>0</v>
      </c>
      <c r="AP57" s="22"/>
    </row>
    <row r="58" spans="3:42" ht="3" customHeight="1" x14ac:dyDescent="0.25">
      <c r="C58" s="665"/>
      <c r="D58" s="236"/>
    </row>
    <row r="59" spans="3:42" ht="11.5" customHeight="1" x14ac:dyDescent="0.25">
      <c r="C59" s="662" t="s">
        <v>890</v>
      </c>
      <c r="D59" s="661" t="s">
        <v>46</v>
      </c>
      <c r="E59" s="667">
        <f ca="1">SUM(E60:E95)</f>
        <v>-1283.9123145604456</v>
      </c>
      <c r="F59" s="667">
        <f t="shared" ref="F59:AN59" ca="1" si="89">SUM(F60:F95)</f>
        <v>-1294.6115838484493</v>
      </c>
      <c r="G59" s="667">
        <f t="shared" ca="1" si="89"/>
        <v>-1305.400013713853</v>
      </c>
      <c r="H59" s="667">
        <f t="shared" ca="1" si="89"/>
        <v>-1316.2783471614684</v>
      </c>
      <c r="I59" s="667">
        <f t="shared" ca="1" si="89"/>
        <v>-1327.247333387814</v>
      </c>
      <c r="J59" s="667">
        <f t="shared" ca="1" si="89"/>
        <v>-1338.3077278327125</v>
      </c>
      <c r="K59" s="667">
        <f t="shared" ca="1" si="89"/>
        <v>-1349.4602922313184</v>
      </c>
      <c r="L59" s="667">
        <f t="shared" ca="1" si="89"/>
        <v>-1360.7057946665793</v>
      </c>
      <c r="M59" s="667">
        <f t="shared" ca="1" si="89"/>
        <v>-1372.0450096221341</v>
      </c>
      <c r="N59" s="667">
        <f t="shared" ca="1" si="89"/>
        <v>-1383.478718035652</v>
      </c>
      <c r="O59" s="667">
        <f t="shared" ca="1" si="89"/>
        <v>-1395.0077073526159</v>
      </c>
      <c r="P59" s="667">
        <f t="shared" ca="1" si="89"/>
        <v>-1406.6327715805542</v>
      </c>
      <c r="Q59" s="667">
        <f t="shared" ca="1" si="89"/>
        <v>-1418.3547113437255</v>
      </c>
      <c r="R59" s="667">
        <f t="shared" ca="1" si="89"/>
        <v>-1430.1743339382565</v>
      </c>
      <c r="S59" s="667">
        <f t="shared" ca="1" si="89"/>
        <v>-1442.0924533877421</v>
      </c>
      <c r="T59" s="667">
        <f t="shared" ca="1" si="89"/>
        <v>-1454.1098904993066</v>
      </c>
      <c r="U59" s="667">
        <f t="shared" ca="1" si="89"/>
        <v>-1466.227472920134</v>
      </c>
      <c r="V59" s="667">
        <f t="shared" ca="1" si="89"/>
        <v>-1478.4460351944685</v>
      </c>
      <c r="W59" s="667">
        <f t="shared" ca="1" si="89"/>
        <v>-1490.766418821089</v>
      </c>
      <c r="X59" s="667">
        <f t="shared" ca="1" si="89"/>
        <v>-1503.1894723112648</v>
      </c>
      <c r="Y59" s="667">
        <f t="shared" ca="1" si="89"/>
        <v>-1515.7160512471919</v>
      </c>
      <c r="Z59" s="667">
        <f t="shared" ca="1" si="89"/>
        <v>-1528.3470183409186</v>
      </c>
      <c r="AA59" s="667">
        <f t="shared" ca="1" si="89"/>
        <v>-1541.0832434937597</v>
      </c>
      <c r="AB59" s="667">
        <f t="shared" ca="1" si="89"/>
        <v>-1553.9256038562075</v>
      </c>
      <c r="AC59" s="667">
        <f t="shared" ca="1" si="89"/>
        <v>-1566.8749838883427</v>
      </c>
      <c r="AD59" s="667">
        <f t="shared" ca="1" si="89"/>
        <v>-1579.9322754207456</v>
      </c>
      <c r="AE59" s="667">
        <f t="shared" ca="1" si="89"/>
        <v>-1593.0983777159183</v>
      </c>
      <c r="AF59" s="667">
        <f t="shared" ca="1" si="89"/>
        <v>-1606.3741975302178</v>
      </c>
      <c r="AG59" s="667">
        <f t="shared" ca="1" si="89"/>
        <v>-1619.7606491763029</v>
      </c>
      <c r="AH59" s="667">
        <f t="shared" ca="1" si="89"/>
        <v>-1633.2586545861054</v>
      </c>
      <c r="AI59" s="667">
        <f t="shared" ca="1" si="89"/>
        <v>-1646.8691433743229</v>
      </c>
      <c r="AJ59" s="667">
        <f t="shared" ca="1" si="89"/>
        <v>-1660.5930529024422</v>
      </c>
      <c r="AK59" s="667">
        <f t="shared" ca="1" si="89"/>
        <v>-1674.4313283432959</v>
      </c>
      <c r="AL59" s="667">
        <f t="shared" ca="1" si="89"/>
        <v>-1688.3849227461567</v>
      </c>
      <c r="AM59" s="667">
        <f t="shared" ca="1" si="89"/>
        <v>-1702.4547971023746</v>
      </c>
      <c r="AN59" s="667">
        <f t="shared" ca="1" si="89"/>
        <v>-1716.6419204115612</v>
      </c>
      <c r="AO59" s="16"/>
      <c r="AP59" s="657"/>
    </row>
    <row r="60" spans="3:42" ht="11.5" customHeight="1" x14ac:dyDescent="0.25">
      <c r="C60" s="658">
        <v>45688</v>
      </c>
      <c r="D60" s="34" t="s">
        <v>46</v>
      </c>
      <c r="E60" s="28">
        <f ca="1">E22-E98</f>
        <v>-1283.9123145604456</v>
      </c>
      <c r="F60" s="28">
        <f t="shared" ref="F60:AN60" ca="1" si="90">F22-F98</f>
        <v>-1294.6115838484493</v>
      </c>
      <c r="G60" s="28">
        <f t="shared" ca="1" si="90"/>
        <v>-1305.400013713853</v>
      </c>
      <c r="H60" s="28">
        <f t="shared" ca="1" si="90"/>
        <v>-1316.2783471614684</v>
      </c>
      <c r="I60" s="28">
        <f t="shared" ca="1" si="90"/>
        <v>-1327.247333387814</v>
      </c>
      <c r="J60" s="28">
        <f t="shared" ca="1" si="90"/>
        <v>-1338.3077278327125</v>
      </c>
      <c r="K60" s="28">
        <f t="shared" ca="1" si="90"/>
        <v>-1349.4602922313184</v>
      </c>
      <c r="L60" s="28">
        <f t="shared" ca="1" si="90"/>
        <v>-1360.7057946665793</v>
      </c>
      <c r="M60" s="28">
        <f t="shared" ca="1" si="90"/>
        <v>-1372.0450096221341</v>
      </c>
      <c r="N60" s="28">
        <f t="shared" ca="1" si="90"/>
        <v>-1383.478718035652</v>
      </c>
      <c r="O60" s="28">
        <f t="shared" ca="1" si="90"/>
        <v>-1395.0077073526159</v>
      </c>
      <c r="P60" s="28">
        <f t="shared" ca="1" si="90"/>
        <v>-1406.6327715805542</v>
      </c>
      <c r="Q60" s="28">
        <f t="shared" ca="1" si="90"/>
        <v>-1418.3547113437255</v>
      </c>
      <c r="R60" s="28">
        <f t="shared" ca="1" si="90"/>
        <v>-1430.1743339382565</v>
      </c>
      <c r="S60" s="28">
        <f t="shared" ca="1" si="90"/>
        <v>-1442.0924533877421</v>
      </c>
      <c r="T60" s="28">
        <f t="shared" ca="1" si="90"/>
        <v>-1454.1098904993066</v>
      </c>
      <c r="U60" s="28">
        <f t="shared" ca="1" si="90"/>
        <v>-1466.227472920134</v>
      </c>
      <c r="V60" s="28">
        <f t="shared" ca="1" si="90"/>
        <v>-1478.4460351944685</v>
      </c>
      <c r="W60" s="28">
        <f t="shared" ca="1" si="90"/>
        <v>-1490.766418821089</v>
      </c>
      <c r="X60" s="28">
        <f t="shared" ca="1" si="90"/>
        <v>-1503.1894723112648</v>
      </c>
      <c r="Y60" s="28">
        <f t="shared" ca="1" si="90"/>
        <v>-1515.7160512471919</v>
      </c>
      <c r="Z60" s="28">
        <f t="shared" ca="1" si="90"/>
        <v>-1528.3470183409186</v>
      </c>
      <c r="AA60" s="28">
        <f t="shared" ca="1" si="90"/>
        <v>-1541.0832434937597</v>
      </c>
      <c r="AB60" s="28">
        <f t="shared" ca="1" si="90"/>
        <v>-1553.9256038562075</v>
      </c>
      <c r="AC60" s="28">
        <f t="shared" ca="1" si="90"/>
        <v>-1566.8749838883427</v>
      </c>
      <c r="AD60" s="28">
        <f t="shared" ca="1" si="90"/>
        <v>-1579.9322754207456</v>
      </c>
      <c r="AE60" s="28">
        <f t="shared" ca="1" si="90"/>
        <v>-1593.0983777159183</v>
      </c>
      <c r="AF60" s="28">
        <f t="shared" ca="1" si="90"/>
        <v>-1606.3741975302178</v>
      </c>
      <c r="AG60" s="28">
        <f t="shared" ca="1" si="90"/>
        <v>-1619.7606491763029</v>
      </c>
      <c r="AH60" s="28">
        <f t="shared" ca="1" si="90"/>
        <v>-1633.2586545861054</v>
      </c>
      <c r="AI60" s="28">
        <f t="shared" ca="1" si="90"/>
        <v>-1646.8691433743229</v>
      </c>
      <c r="AJ60" s="28">
        <f t="shared" ca="1" si="90"/>
        <v>-1660.5930529024422</v>
      </c>
      <c r="AK60" s="28">
        <f t="shared" ca="1" si="90"/>
        <v>-1674.4313283432959</v>
      </c>
      <c r="AL60" s="28">
        <f t="shared" ca="1" si="90"/>
        <v>-1688.3849227461567</v>
      </c>
      <c r="AM60" s="28">
        <f t="shared" ca="1" si="90"/>
        <v>-1702.4547971023746</v>
      </c>
      <c r="AN60" s="28">
        <f t="shared" ca="1" si="90"/>
        <v>-1716.6419204115612</v>
      </c>
      <c r="AP60" s="20"/>
    </row>
    <row r="61" spans="3:42" ht="11.5" customHeight="1" x14ac:dyDescent="0.25">
      <c r="C61" s="659">
        <v>45716</v>
      </c>
      <c r="D61" s="38" t="s">
        <v>46</v>
      </c>
      <c r="E61" s="376"/>
      <c r="F61" s="28">
        <f ca="1">F23-F99</f>
        <v>0</v>
      </c>
      <c r="G61" s="28">
        <f t="shared" ref="G61:AN61" ca="1" si="91">G23-G99</f>
        <v>0</v>
      </c>
      <c r="H61" s="28">
        <f t="shared" ca="1" si="91"/>
        <v>0</v>
      </c>
      <c r="I61" s="28">
        <f t="shared" ca="1" si="91"/>
        <v>0</v>
      </c>
      <c r="J61" s="28">
        <f t="shared" ca="1" si="91"/>
        <v>0</v>
      </c>
      <c r="K61" s="28">
        <f t="shared" ca="1" si="91"/>
        <v>0</v>
      </c>
      <c r="L61" s="28">
        <f t="shared" ca="1" si="91"/>
        <v>0</v>
      </c>
      <c r="M61" s="28">
        <f t="shared" ca="1" si="91"/>
        <v>0</v>
      </c>
      <c r="N61" s="28">
        <f t="shared" ca="1" si="91"/>
        <v>0</v>
      </c>
      <c r="O61" s="28">
        <f t="shared" ca="1" si="91"/>
        <v>0</v>
      </c>
      <c r="P61" s="28">
        <f t="shared" ca="1" si="91"/>
        <v>0</v>
      </c>
      <c r="Q61" s="28">
        <f t="shared" ca="1" si="91"/>
        <v>0</v>
      </c>
      <c r="R61" s="28">
        <f t="shared" ca="1" si="91"/>
        <v>0</v>
      </c>
      <c r="S61" s="28">
        <f t="shared" ca="1" si="91"/>
        <v>0</v>
      </c>
      <c r="T61" s="28">
        <f t="shared" ca="1" si="91"/>
        <v>0</v>
      </c>
      <c r="U61" s="28">
        <f t="shared" ca="1" si="91"/>
        <v>0</v>
      </c>
      <c r="V61" s="28">
        <f t="shared" ca="1" si="91"/>
        <v>0</v>
      </c>
      <c r="W61" s="28">
        <f t="shared" ca="1" si="91"/>
        <v>0</v>
      </c>
      <c r="X61" s="28">
        <f t="shared" ca="1" si="91"/>
        <v>0</v>
      </c>
      <c r="Y61" s="28">
        <f t="shared" ca="1" si="91"/>
        <v>0</v>
      </c>
      <c r="Z61" s="28">
        <f t="shared" ca="1" si="91"/>
        <v>0</v>
      </c>
      <c r="AA61" s="28">
        <f t="shared" ca="1" si="91"/>
        <v>0</v>
      </c>
      <c r="AB61" s="28">
        <f t="shared" ca="1" si="91"/>
        <v>0</v>
      </c>
      <c r="AC61" s="28">
        <f t="shared" ca="1" si="91"/>
        <v>0</v>
      </c>
      <c r="AD61" s="28">
        <f t="shared" ca="1" si="91"/>
        <v>0</v>
      </c>
      <c r="AE61" s="28">
        <f t="shared" ca="1" si="91"/>
        <v>0</v>
      </c>
      <c r="AF61" s="28">
        <f t="shared" ca="1" si="91"/>
        <v>0</v>
      </c>
      <c r="AG61" s="28">
        <f t="shared" ca="1" si="91"/>
        <v>0</v>
      </c>
      <c r="AH61" s="28">
        <f t="shared" ca="1" si="91"/>
        <v>0</v>
      </c>
      <c r="AI61" s="28">
        <f t="shared" ca="1" si="91"/>
        <v>0</v>
      </c>
      <c r="AJ61" s="28">
        <f t="shared" ca="1" si="91"/>
        <v>0</v>
      </c>
      <c r="AK61" s="28">
        <f t="shared" ca="1" si="91"/>
        <v>0</v>
      </c>
      <c r="AL61" s="28">
        <f t="shared" ca="1" si="91"/>
        <v>0</v>
      </c>
      <c r="AM61" s="28">
        <f t="shared" ca="1" si="91"/>
        <v>0</v>
      </c>
      <c r="AN61" s="28">
        <f t="shared" ca="1" si="91"/>
        <v>0</v>
      </c>
      <c r="AP61" s="21"/>
    </row>
    <row r="62" spans="3:42" ht="11.5" customHeight="1" x14ac:dyDescent="0.25">
      <c r="C62" s="659">
        <v>45747</v>
      </c>
      <c r="D62" s="38" t="s">
        <v>46</v>
      </c>
      <c r="E62" s="376"/>
      <c r="F62" s="376"/>
      <c r="G62" s="28">
        <f ca="1">G24-G100</f>
        <v>0</v>
      </c>
      <c r="H62" s="28">
        <f t="shared" ref="H62:AN62" ca="1" si="92">H24-H100</f>
        <v>0</v>
      </c>
      <c r="I62" s="28">
        <f t="shared" ca="1" si="92"/>
        <v>0</v>
      </c>
      <c r="J62" s="28">
        <f t="shared" ca="1" si="92"/>
        <v>0</v>
      </c>
      <c r="K62" s="28">
        <f t="shared" ca="1" si="92"/>
        <v>0</v>
      </c>
      <c r="L62" s="28">
        <f t="shared" ca="1" si="92"/>
        <v>0</v>
      </c>
      <c r="M62" s="28">
        <f t="shared" ca="1" si="92"/>
        <v>0</v>
      </c>
      <c r="N62" s="28">
        <f t="shared" ca="1" si="92"/>
        <v>0</v>
      </c>
      <c r="O62" s="28">
        <f t="shared" ca="1" si="92"/>
        <v>0</v>
      </c>
      <c r="P62" s="28">
        <f t="shared" ca="1" si="92"/>
        <v>0</v>
      </c>
      <c r="Q62" s="28">
        <f t="shared" ca="1" si="92"/>
        <v>0</v>
      </c>
      <c r="R62" s="28">
        <f t="shared" ca="1" si="92"/>
        <v>0</v>
      </c>
      <c r="S62" s="28">
        <f t="shared" ca="1" si="92"/>
        <v>0</v>
      </c>
      <c r="T62" s="28">
        <f t="shared" ca="1" si="92"/>
        <v>0</v>
      </c>
      <c r="U62" s="28">
        <f t="shared" ca="1" si="92"/>
        <v>0</v>
      </c>
      <c r="V62" s="28">
        <f t="shared" ca="1" si="92"/>
        <v>0</v>
      </c>
      <c r="W62" s="28">
        <f t="shared" ca="1" si="92"/>
        <v>0</v>
      </c>
      <c r="X62" s="28">
        <f t="shared" ca="1" si="92"/>
        <v>0</v>
      </c>
      <c r="Y62" s="28">
        <f t="shared" ca="1" si="92"/>
        <v>0</v>
      </c>
      <c r="Z62" s="28">
        <f t="shared" ca="1" si="92"/>
        <v>0</v>
      </c>
      <c r="AA62" s="28">
        <f t="shared" ca="1" si="92"/>
        <v>0</v>
      </c>
      <c r="AB62" s="28">
        <f t="shared" ca="1" si="92"/>
        <v>0</v>
      </c>
      <c r="AC62" s="28">
        <f t="shared" ca="1" si="92"/>
        <v>0</v>
      </c>
      <c r="AD62" s="28">
        <f t="shared" ca="1" si="92"/>
        <v>0</v>
      </c>
      <c r="AE62" s="28">
        <f t="shared" ca="1" si="92"/>
        <v>0</v>
      </c>
      <c r="AF62" s="28">
        <f t="shared" ca="1" si="92"/>
        <v>0</v>
      </c>
      <c r="AG62" s="28">
        <f t="shared" ca="1" si="92"/>
        <v>0</v>
      </c>
      <c r="AH62" s="28">
        <f t="shared" ca="1" si="92"/>
        <v>0</v>
      </c>
      <c r="AI62" s="28">
        <f t="shared" ca="1" si="92"/>
        <v>0</v>
      </c>
      <c r="AJ62" s="28">
        <f t="shared" ca="1" si="92"/>
        <v>0</v>
      </c>
      <c r="AK62" s="28">
        <f t="shared" ca="1" si="92"/>
        <v>0</v>
      </c>
      <c r="AL62" s="28">
        <f t="shared" ca="1" si="92"/>
        <v>0</v>
      </c>
      <c r="AM62" s="28">
        <f t="shared" ca="1" si="92"/>
        <v>0</v>
      </c>
      <c r="AN62" s="28">
        <f t="shared" ca="1" si="92"/>
        <v>0</v>
      </c>
      <c r="AP62" s="21"/>
    </row>
    <row r="63" spans="3:42" ht="11.5" customHeight="1" x14ac:dyDescent="0.25">
      <c r="C63" s="659">
        <v>45777</v>
      </c>
      <c r="D63" s="38" t="s">
        <v>46</v>
      </c>
      <c r="E63" s="376"/>
      <c r="F63" s="376"/>
      <c r="G63" s="376"/>
      <c r="H63" s="28">
        <f ca="1">H25-H101</f>
        <v>0</v>
      </c>
      <c r="I63" s="28">
        <f t="shared" ref="I63:AN63" ca="1" si="93">I25-I101</f>
        <v>0</v>
      </c>
      <c r="J63" s="28">
        <f t="shared" ca="1" si="93"/>
        <v>0</v>
      </c>
      <c r="K63" s="28">
        <f t="shared" ca="1" si="93"/>
        <v>0</v>
      </c>
      <c r="L63" s="28">
        <f t="shared" ca="1" si="93"/>
        <v>0</v>
      </c>
      <c r="M63" s="28">
        <f t="shared" ca="1" si="93"/>
        <v>0</v>
      </c>
      <c r="N63" s="28">
        <f t="shared" ca="1" si="93"/>
        <v>0</v>
      </c>
      <c r="O63" s="28">
        <f t="shared" ca="1" si="93"/>
        <v>0</v>
      </c>
      <c r="P63" s="28">
        <f t="shared" ca="1" si="93"/>
        <v>0</v>
      </c>
      <c r="Q63" s="28">
        <f t="shared" ca="1" si="93"/>
        <v>0</v>
      </c>
      <c r="R63" s="28">
        <f t="shared" ca="1" si="93"/>
        <v>0</v>
      </c>
      <c r="S63" s="28">
        <f t="shared" ca="1" si="93"/>
        <v>0</v>
      </c>
      <c r="T63" s="28">
        <f t="shared" ca="1" si="93"/>
        <v>0</v>
      </c>
      <c r="U63" s="28">
        <f t="shared" ca="1" si="93"/>
        <v>0</v>
      </c>
      <c r="V63" s="28">
        <f t="shared" ca="1" si="93"/>
        <v>0</v>
      </c>
      <c r="W63" s="28">
        <f t="shared" ca="1" si="93"/>
        <v>0</v>
      </c>
      <c r="X63" s="28">
        <f t="shared" ca="1" si="93"/>
        <v>0</v>
      </c>
      <c r="Y63" s="28">
        <f t="shared" ca="1" si="93"/>
        <v>0</v>
      </c>
      <c r="Z63" s="28">
        <f t="shared" ca="1" si="93"/>
        <v>0</v>
      </c>
      <c r="AA63" s="28">
        <f t="shared" ca="1" si="93"/>
        <v>0</v>
      </c>
      <c r="AB63" s="28">
        <f t="shared" ca="1" si="93"/>
        <v>0</v>
      </c>
      <c r="AC63" s="28">
        <f t="shared" ca="1" si="93"/>
        <v>0</v>
      </c>
      <c r="AD63" s="28">
        <f t="shared" ca="1" si="93"/>
        <v>0</v>
      </c>
      <c r="AE63" s="28">
        <f t="shared" ca="1" si="93"/>
        <v>0</v>
      </c>
      <c r="AF63" s="28">
        <f t="shared" ca="1" si="93"/>
        <v>0</v>
      </c>
      <c r="AG63" s="28">
        <f t="shared" ca="1" si="93"/>
        <v>0</v>
      </c>
      <c r="AH63" s="28">
        <f t="shared" ca="1" si="93"/>
        <v>0</v>
      </c>
      <c r="AI63" s="28">
        <f t="shared" ca="1" si="93"/>
        <v>0</v>
      </c>
      <c r="AJ63" s="28">
        <f t="shared" ca="1" si="93"/>
        <v>0</v>
      </c>
      <c r="AK63" s="28">
        <f t="shared" ca="1" si="93"/>
        <v>0</v>
      </c>
      <c r="AL63" s="28">
        <f t="shared" ca="1" si="93"/>
        <v>0</v>
      </c>
      <c r="AM63" s="28">
        <f t="shared" ca="1" si="93"/>
        <v>0</v>
      </c>
      <c r="AN63" s="28">
        <f t="shared" ca="1" si="93"/>
        <v>0</v>
      </c>
      <c r="AP63" s="21"/>
    </row>
    <row r="64" spans="3:42" ht="11.5" customHeight="1" x14ac:dyDescent="0.25">
      <c r="C64" s="659">
        <v>45808</v>
      </c>
      <c r="D64" s="38" t="s">
        <v>46</v>
      </c>
      <c r="E64" s="376"/>
      <c r="F64" s="376"/>
      <c r="G64" s="376"/>
      <c r="H64" s="376"/>
      <c r="I64" s="28">
        <f ca="1">I26-I102</f>
        <v>0</v>
      </c>
      <c r="J64" s="28">
        <f t="shared" ref="J64:AN64" ca="1" si="94">J26-J102</f>
        <v>0</v>
      </c>
      <c r="K64" s="28">
        <f t="shared" ca="1" si="94"/>
        <v>0</v>
      </c>
      <c r="L64" s="28">
        <f t="shared" ca="1" si="94"/>
        <v>0</v>
      </c>
      <c r="M64" s="28">
        <f t="shared" ca="1" si="94"/>
        <v>0</v>
      </c>
      <c r="N64" s="28">
        <f t="shared" ca="1" si="94"/>
        <v>0</v>
      </c>
      <c r="O64" s="28">
        <f t="shared" ca="1" si="94"/>
        <v>0</v>
      </c>
      <c r="P64" s="28">
        <f t="shared" ca="1" si="94"/>
        <v>0</v>
      </c>
      <c r="Q64" s="28">
        <f t="shared" ca="1" si="94"/>
        <v>0</v>
      </c>
      <c r="R64" s="28">
        <f t="shared" ca="1" si="94"/>
        <v>0</v>
      </c>
      <c r="S64" s="28">
        <f t="shared" ca="1" si="94"/>
        <v>0</v>
      </c>
      <c r="T64" s="28">
        <f t="shared" ca="1" si="94"/>
        <v>0</v>
      </c>
      <c r="U64" s="28">
        <f t="shared" ca="1" si="94"/>
        <v>0</v>
      </c>
      <c r="V64" s="28">
        <f t="shared" ca="1" si="94"/>
        <v>0</v>
      </c>
      <c r="W64" s="28">
        <f t="shared" ca="1" si="94"/>
        <v>0</v>
      </c>
      <c r="X64" s="28">
        <f t="shared" ca="1" si="94"/>
        <v>0</v>
      </c>
      <c r="Y64" s="28">
        <f t="shared" ca="1" si="94"/>
        <v>0</v>
      </c>
      <c r="Z64" s="28">
        <f t="shared" ca="1" si="94"/>
        <v>0</v>
      </c>
      <c r="AA64" s="28">
        <f t="shared" ca="1" si="94"/>
        <v>0</v>
      </c>
      <c r="AB64" s="28">
        <f t="shared" ca="1" si="94"/>
        <v>0</v>
      </c>
      <c r="AC64" s="28">
        <f t="shared" ca="1" si="94"/>
        <v>0</v>
      </c>
      <c r="AD64" s="28">
        <f t="shared" ca="1" si="94"/>
        <v>0</v>
      </c>
      <c r="AE64" s="28">
        <f t="shared" ca="1" si="94"/>
        <v>0</v>
      </c>
      <c r="AF64" s="28">
        <f t="shared" ca="1" si="94"/>
        <v>0</v>
      </c>
      <c r="AG64" s="28">
        <f t="shared" ca="1" si="94"/>
        <v>0</v>
      </c>
      <c r="AH64" s="28">
        <f t="shared" ca="1" si="94"/>
        <v>0</v>
      </c>
      <c r="AI64" s="28">
        <f t="shared" ca="1" si="94"/>
        <v>0</v>
      </c>
      <c r="AJ64" s="28">
        <f t="shared" ca="1" si="94"/>
        <v>0</v>
      </c>
      <c r="AK64" s="28">
        <f t="shared" ca="1" si="94"/>
        <v>0</v>
      </c>
      <c r="AL64" s="28">
        <f t="shared" ca="1" si="94"/>
        <v>0</v>
      </c>
      <c r="AM64" s="28">
        <f t="shared" ca="1" si="94"/>
        <v>0</v>
      </c>
      <c r="AN64" s="28">
        <f t="shared" ca="1" si="94"/>
        <v>0</v>
      </c>
      <c r="AP64" s="21"/>
    </row>
    <row r="65" spans="3:42" ht="11.5" customHeight="1" x14ac:dyDescent="0.25">
      <c r="C65" s="659">
        <v>45838</v>
      </c>
      <c r="D65" s="38" t="s">
        <v>46</v>
      </c>
      <c r="E65" s="376"/>
      <c r="F65" s="376"/>
      <c r="G65" s="376"/>
      <c r="H65" s="376"/>
      <c r="I65" s="376"/>
      <c r="J65" s="28">
        <f ca="1">J27-J103</f>
        <v>0</v>
      </c>
      <c r="K65" s="28">
        <f t="shared" ref="K65:AN65" ca="1" si="95">K27-K103</f>
        <v>0</v>
      </c>
      <c r="L65" s="28">
        <f t="shared" ca="1" si="95"/>
        <v>0</v>
      </c>
      <c r="M65" s="28">
        <f t="shared" ca="1" si="95"/>
        <v>0</v>
      </c>
      <c r="N65" s="28">
        <f t="shared" ca="1" si="95"/>
        <v>0</v>
      </c>
      <c r="O65" s="28">
        <f t="shared" ca="1" si="95"/>
        <v>0</v>
      </c>
      <c r="P65" s="28">
        <f t="shared" ca="1" si="95"/>
        <v>0</v>
      </c>
      <c r="Q65" s="28">
        <f t="shared" ca="1" si="95"/>
        <v>0</v>
      </c>
      <c r="R65" s="28">
        <f t="shared" ca="1" si="95"/>
        <v>0</v>
      </c>
      <c r="S65" s="28">
        <f t="shared" ca="1" si="95"/>
        <v>0</v>
      </c>
      <c r="T65" s="28">
        <f t="shared" ca="1" si="95"/>
        <v>0</v>
      </c>
      <c r="U65" s="28">
        <f t="shared" ca="1" si="95"/>
        <v>0</v>
      </c>
      <c r="V65" s="28">
        <f t="shared" ca="1" si="95"/>
        <v>0</v>
      </c>
      <c r="W65" s="28">
        <f t="shared" ca="1" si="95"/>
        <v>0</v>
      </c>
      <c r="X65" s="28">
        <f t="shared" ca="1" si="95"/>
        <v>0</v>
      </c>
      <c r="Y65" s="28">
        <f t="shared" ca="1" si="95"/>
        <v>0</v>
      </c>
      <c r="Z65" s="28">
        <f t="shared" ca="1" si="95"/>
        <v>0</v>
      </c>
      <c r="AA65" s="28">
        <f t="shared" ca="1" si="95"/>
        <v>0</v>
      </c>
      <c r="AB65" s="28">
        <f t="shared" ca="1" si="95"/>
        <v>0</v>
      </c>
      <c r="AC65" s="28">
        <f t="shared" ca="1" si="95"/>
        <v>0</v>
      </c>
      <c r="AD65" s="28">
        <f t="shared" ca="1" si="95"/>
        <v>0</v>
      </c>
      <c r="AE65" s="28">
        <f t="shared" ca="1" si="95"/>
        <v>0</v>
      </c>
      <c r="AF65" s="28">
        <f t="shared" ca="1" si="95"/>
        <v>0</v>
      </c>
      <c r="AG65" s="28">
        <f t="shared" ca="1" si="95"/>
        <v>0</v>
      </c>
      <c r="AH65" s="28">
        <f t="shared" ca="1" si="95"/>
        <v>0</v>
      </c>
      <c r="AI65" s="28">
        <f t="shared" ca="1" si="95"/>
        <v>0</v>
      </c>
      <c r="AJ65" s="28">
        <f t="shared" ca="1" si="95"/>
        <v>0</v>
      </c>
      <c r="AK65" s="28">
        <f t="shared" ca="1" si="95"/>
        <v>0</v>
      </c>
      <c r="AL65" s="28">
        <f t="shared" ca="1" si="95"/>
        <v>0</v>
      </c>
      <c r="AM65" s="28">
        <f t="shared" ca="1" si="95"/>
        <v>0</v>
      </c>
      <c r="AN65" s="28">
        <f t="shared" ca="1" si="95"/>
        <v>0</v>
      </c>
      <c r="AP65" s="21"/>
    </row>
    <row r="66" spans="3:42" ht="11.5" customHeight="1" x14ac:dyDescent="0.25">
      <c r="C66" s="659">
        <v>45869</v>
      </c>
      <c r="D66" s="38" t="s">
        <v>46</v>
      </c>
      <c r="E66" s="376"/>
      <c r="F66" s="376"/>
      <c r="G66" s="376"/>
      <c r="H66" s="376"/>
      <c r="I66" s="376"/>
      <c r="J66" s="376"/>
      <c r="K66" s="28">
        <f ca="1">K28-K104</f>
        <v>0</v>
      </c>
      <c r="L66" s="28">
        <f t="shared" ref="L66:AN66" ca="1" si="96">L28-L104</f>
        <v>0</v>
      </c>
      <c r="M66" s="28">
        <f t="shared" ca="1" si="96"/>
        <v>0</v>
      </c>
      <c r="N66" s="28">
        <f t="shared" ca="1" si="96"/>
        <v>0</v>
      </c>
      <c r="O66" s="28">
        <f t="shared" ca="1" si="96"/>
        <v>0</v>
      </c>
      <c r="P66" s="28">
        <f t="shared" ca="1" si="96"/>
        <v>0</v>
      </c>
      <c r="Q66" s="28">
        <f t="shared" ca="1" si="96"/>
        <v>0</v>
      </c>
      <c r="R66" s="28">
        <f t="shared" ca="1" si="96"/>
        <v>0</v>
      </c>
      <c r="S66" s="28">
        <f t="shared" ca="1" si="96"/>
        <v>0</v>
      </c>
      <c r="T66" s="28">
        <f t="shared" ca="1" si="96"/>
        <v>0</v>
      </c>
      <c r="U66" s="28">
        <f t="shared" ca="1" si="96"/>
        <v>0</v>
      </c>
      <c r="V66" s="28">
        <f t="shared" ca="1" si="96"/>
        <v>0</v>
      </c>
      <c r="W66" s="28">
        <f t="shared" ca="1" si="96"/>
        <v>0</v>
      </c>
      <c r="X66" s="28">
        <f t="shared" ca="1" si="96"/>
        <v>0</v>
      </c>
      <c r="Y66" s="28">
        <f t="shared" ca="1" si="96"/>
        <v>0</v>
      </c>
      <c r="Z66" s="28">
        <f t="shared" ca="1" si="96"/>
        <v>0</v>
      </c>
      <c r="AA66" s="28">
        <f t="shared" ca="1" si="96"/>
        <v>0</v>
      </c>
      <c r="AB66" s="28">
        <f t="shared" ca="1" si="96"/>
        <v>0</v>
      </c>
      <c r="AC66" s="28">
        <f t="shared" ca="1" si="96"/>
        <v>0</v>
      </c>
      <c r="AD66" s="28">
        <f t="shared" ca="1" si="96"/>
        <v>0</v>
      </c>
      <c r="AE66" s="28">
        <f t="shared" ca="1" si="96"/>
        <v>0</v>
      </c>
      <c r="AF66" s="28">
        <f t="shared" ca="1" si="96"/>
        <v>0</v>
      </c>
      <c r="AG66" s="28">
        <f t="shared" ca="1" si="96"/>
        <v>0</v>
      </c>
      <c r="AH66" s="28">
        <f t="shared" ca="1" si="96"/>
        <v>0</v>
      </c>
      <c r="AI66" s="28">
        <f t="shared" ca="1" si="96"/>
        <v>0</v>
      </c>
      <c r="AJ66" s="28">
        <f t="shared" ca="1" si="96"/>
        <v>0</v>
      </c>
      <c r="AK66" s="28">
        <f t="shared" ca="1" si="96"/>
        <v>0</v>
      </c>
      <c r="AL66" s="28">
        <f t="shared" ca="1" si="96"/>
        <v>0</v>
      </c>
      <c r="AM66" s="28">
        <f t="shared" ca="1" si="96"/>
        <v>0</v>
      </c>
      <c r="AN66" s="28">
        <f t="shared" ca="1" si="96"/>
        <v>0</v>
      </c>
      <c r="AP66" s="21"/>
    </row>
    <row r="67" spans="3:42" ht="11.5" customHeight="1" x14ac:dyDescent="0.25">
      <c r="C67" s="659">
        <v>45900</v>
      </c>
      <c r="D67" s="38" t="s">
        <v>46</v>
      </c>
      <c r="E67" s="376"/>
      <c r="F67" s="376"/>
      <c r="G67" s="376"/>
      <c r="H67" s="376"/>
      <c r="I67" s="376"/>
      <c r="J67" s="376"/>
      <c r="K67" s="376"/>
      <c r="L67" s="28">
        <f ca="1">L29-L105</f>
        <v>0</v>
      </c>
      <c r="M67" s="28">
        <f t="shared" ref="M67:AN67" ca="1" si="97">M29-M105</f>
        <v>0</v>
      </c>
      <c r="N67" s="28">
        <f t="shared" ca="1" si="97"/>
        <v>0</v>
      </c>
      <c r="O67" s="28">
        <f t="shared" ca="1" si="97"/>
        <v>0</v>
      </c>
      <c r="P67" s="28">
        <f t="shared" ca="1" si="97"/>
        <v>0</v>
      </c>
      <c r="Q67" s="28">
        <f t="shared" ca="1" si="97"/>
        <v>0</v>
      </c>
      <c r="R67" s="28">
        <f t="shared" ca="1" si="97"/>
        <v>0</v>
      </c>
      <c r="S67" s="28">
        <f t="shared" ca="1" si="97"/>
        <v>0</v>
      </c>
      <c r="T67" s="28">
        <f t="shared" ca="1" si="97"/>
        <v>0</v>
      </c>
      <c r="U67" s="28">
        <f t="shared" ca="1" si="97"/>
        <v>0</v>
      </c>
      <c r="V67" s="28">
        <f t="shared" ca="1" si="97"/>
        <v>0</v>
      </c>
      <c r="W67" s="28">
        <f t="shared" ca="1" si="97"/>
        <v>0</v>
      </c>
      <c r="X67" s="28">
        <f t="shared" ca="1" si="97"/>
        <v>0</v>
      </c>
      <c r="Y67" s="28">
        <f t="shared" ca="1" si="97"/>
        <v>0</v>
      </c>
      <c r="Z67" s="28">
        <f t="shared" ca="1" si="97"/>
        <v>0</v>
      </c>
      <c r="AA67" s="28">
        <f t="shared" ca="1" si="97"/>
        <v>0</v>
      </c>
      <c r="AB67" s="28">
        <f t="shared" ca="1" si="97"/>
        <v>0</v>
      </c>
      <c r="AC67" s="28">
        <f t="shared" ca="1" si="97"/>
        <v>0</v>
      </c>
      <c r="AD67" s="28">
        <f t="shared" ca="1" si="97"/>
        <v>0</v>
      </c>
      <c r="AE67" s="28">
        <f t="shared" ca="1" si="97"/>
        <v>0</v>
      </c>
      <c r="AF67" s="28">
        <f t="shared" ca="1" si="97"/>
        <v>0</v>
      </c>
      <c r="AG67" s="28">
        <f t="shared" ca="1" si="97"/>
        <v>0</v>
      </c>
      <c r="AH67" s="28">
        <f t="shared" ca="1" si="97"/>
        <v>0</v>
      </c>
      <c r="AI67" s="28">
        <f t="shared" ca="1" si="97"/>
        <v>0</v>
      </c>
      <c r="AJ67" s="28">
        <f t="shared" ca="1" si="97"/>
        <v>0</v>
      </c>
      <c r="AK67" s="28">
        <f t="shared" ca="1" si="97"/>
        <v>0</v>
      </c>
      <c r="AL67" s="28">
        <f t="shared" ca="1" si="97"/>
        <v>0</v>
      </c>
      <c r="AM67" s="28">
        <f t="shared" ca="1" si="97"/>
        <v>0</v>
      </c>
      <c r="AN67" s="28">
        <f t="shared" ca="1" si="97"/>
        <v>0</v>
      </c>
      <c r="AP67" s="21"/>
    </row>
    <row r="68" spans="3:42" ht="11.5" customHeight="1" x14ac:dyDescent="0.25">
      <c r="C68" s="659">
        <v>45930</v>
      </c>
      <c r="D68" s="38" t="s">
        <v>46</v>
      </c>
      <c r="E68" s="376"/>
      <c r="F68" s="376"/>
      <c r="G68" s="376"/>
      <c r="H68" s="376"/>
      <c r="I68" s="376"/>
      <c r="J68" s="376"/>
      <c r="K68" s="376"/>
      <c r="L68" s="376"/>
      <c r="M68" s="28">
        <f ca="1">M30-M106</f>
        <v>0</v>
      </c>
      <c r="N68" s="28">
        <f t="shared" ref="N68:AN68" ca="1" si="98">N30-N106</f>
        <v>0</v>
      </c>
      <c r="O68" s="28">
        <f t="shared" ca="1" si="98"/>
        <v>0</v>
      </c>
      <c r="P68" s="28">
        <f t="shared" ca="1" si="98"/>
        <v>0</v>
      </c>
      <c r="Q68" s="28">
        <f t="shared" ca="1" si="98"/>
        <v>0</v>
      </c>
      <c r="R68" s="28">
        <f t="shared" ca="1" si="98"/>
        <v>0</v>
      </c>
      <c r="S68" s="28">
        <f t="shared" ca="1" si="98"/>
        <v>0</v>
      </c>
      <c r="T68" s="28">
        <f t="shared" ca="1" si="98"/>
        <v>0</v>
      </c>
      <c r="U68" s="28">
        <f t="shared" ca="1" si="98"/>
        <v>0</v>
      </c>
      <c r="V68" s="28">
        <f t="shared" ca="1" si="98"/>
        <v>0</v>
      </c>
      <c r="W68" s="28">
        <f t="shared" ca="1" si="98"/>
        <v>0</v>
      </c>
      <c r="X68" s="28">
        <f t="shared" ca="1" si="98"/>
        <v>0</v>
      </c>
      <c r="Y68" s="28">
        <f t="shared" ca="1" si="98"/>
        <v>0</v>
      </c>
      <c r="Z68" s="28">
        <f t="shared" ca="1" si="98"/>
        <v>0</v>
      </c>
      <c r="AA68" s="28">
        <f t="shared" ca="1" si="98"/>
        <v>0</v>
      </c>
      <c r="AB68" s="28">
        <f t="shared" ca="1" si="98"/>
        <v>0</v>
      </c>
      <c r="AC68" s="28">
        <f t="shared" ca="1" si="98"/>
        <v>0</v>
      </c>
      <c r="AD68" s="28">
        <f t="shared" ca="1" si="98"/>
        <v>0</v>
      </c>
      <c r="AE68" s="28">
        <f t="shared" ca="1" si="98"/>
        <v>0</v>
      </c>
      <c r="AF68" s="28">
        <f t="shared" ca="1" si="98"/>
        <v>0</v>
      </c>
      <c r="AG68" s="28">
        <f t="shared" ca="1" si="98"/>
        <v>0</v>
      </c>
      <c r="AH68" s="28">
        <f t="shared" ca="1" si="98"/>
        <v>0</v>
      </c>
      <c r="AI68" s="28">
        <f t="shared" ca="1" si="98"/>
        <v>0</v>
      </c>
      <c r="AJ68" s="28">
        <f t="shared" ca="1" si="98"/>
        <v>0</v>
      </c>
      <c r="AK68" s="28">
        <f t="shared" ca="1" si="98"/>
        <v>0</v>
      </c>
      <c r="AL68" s="28">
        <f t="shared" ca="1" si="98"/>
        <v>0</v>
      </c>
      <c r="AM68" s="28">
        <f t="shared" ca="1" si="98"/>
        <v>0</v>
      </c>
      <c r="AN68" s="28">
        <f t="shared" ca="1" si="98"/>
        <v>0</v>
      </c>
      <c r="AP68" s="21"/>
    </row>
    <row r="69" spans="3:42" ht="11.5" customHeight="1" x14ac:dyDescent="0.25">
      <c r="C69" s="659">
        <v>45961</v>
      </c>
      <c r="D69" s="38" t="s">
        <v>46</v>
      </c>
      <c r="E69" s="376"/>
      <c r="F69" s="376"/>
      <c r="G69" s="376"/>
      <c r="H69" s="376"/>
      <c r="I69" s="376"/>
      <c r="J69" s="376"/>
      <c r="K69" s="376"/>
      <c r="L69" s="376"/>
      <c r="M69" s="376"/>
      <c r="N69" s="28">
        <f ca="1">N31-N107</f>
        <v>0</v>
      </c>
      <c r="O69" s="28">
        <f t="shared" ref="O69:AN69" ca="1" si="99">O31-O107</f>
        <v>0</v>
      </c>
      <c r="P69" s="28">
        <f t="shared" ca="1" si="99"/>
        <v>0</v>
      </c>
      <c r="Q69" s="28">
        <f t="shared" ca="1" si="99"/>
        <v>0</v>
      </c>
      <c r="R69" s="28">
        <f t="shared" ca="1" si="99"/>
        <v>0</v>
      </c>
      <c r="S69" s="28">
        <f t="shared" ca="1" si="99"/>
        <v>0</v>
      </c>
      <c r="T69" s="28">
        <f t="shared" ca="1" si="99"/>
        <v>0</v>
      </c>
      <c r="U69" s="28">
        <f t="shared" ca="1" si="99"/>
        <v>0</v>
      </c>
      <c r="V69" s="28">
        <f t="shared" ca="1" si="99"/>
        <v>0</v>
      </c>
      <c r="W69" s="28">
        <f t="shared" ca="1" si="99"/>
        <v>0</v>
      </c>
      <c r="X69" s="28">
        <f t="shared" ca="1" si="99"/>
        <v>0</v>
      </c>
      <c r="Y69" s="28">
        <f t="shared" ca="1" si="99"/>
        <v>0</v>
      </c>
      <c r="Z69" s="28">
        <f t="shared" ca="1" si="99"/>
        <v>0</v>
      </c>
      <c r="AA69" s="28">
        <f t="shared" ca="1" si="99"/>
        <v>0</v>
      </c>
      <c r="AB69" s="28">
        <f t="shared" ca="1" si="99"/>
        <v>0</v>
      </c>
      <c r="AC69" s="28">
        <f t="shared" ca="1" si="99"/>
        <v>0</v>
      </c>
      <c r="AD69" s="28">
        <f t="shared" ca="1" si="99"/>
        <v>0</v>
      </c>
      <c r="AE69" s="28">
        <f t="shared" ca="1" si="99"/>
        <v>0</v>
      </c>
      <c r="AF69" s="28">
        <f t="shared" ca="1" si="99"/>
        <v>0</v>
      </c>
      <c r="AG69" s="28">
        <f t="shared" ca="1" si="99"/>
        <v>0</v>
      </c>
      <c r="AH69" s="28">
        <f t="shared" ca="1" si="99"/>
        <v>0</v>
      </c>
      <c r="AI69" s="28">
        <f t="shared" ca="1" si="99"/>
        <v>0</v>
      </c>
      <c r="AJ69" s="28">
        <f t="shared" ca="1" si="99"/>
        <v>0</v>
      </c>
      <c r="AK69" s="28">
        <f t="shared" ca="1" si="99"/>
        <v>0</v>
      </c>
      <c r="AL69" s="28">
        <f t="shared" ca="1" si="99"/>
        <v>0</v>
      </c>
      <c r="AM69" s="28">
        <f t="shared" ca="1" si="99"/>
        <v>0</v>
      </c>
      <c r="AN69" s="28">
        <f t="shared" ca="1" si="99"/>
        <v>0</v>
      </c>
      <c r="AP69" s="21"/>
    </row>
    <row r="70" spans="3:42" ht="11.5" customHeight="1" x14ac:dyDescent="0.25">
      <c r="C70" s="659">
        <v>45991</v>
      </c>
      <c r="D70" s="38" t="s">
        <v>46</v>
      </c>
      <c r="E70" s="376"/>
      <c r="F70" s="376"/>
      <c r="G70" s="376"/>
      <c r="H70" s="376"/>
      <c r="I70" s="376"/>
      <c r="J70" s="376"/>
      <c r="K70" s="376"/>
      <c r="L70" s="376"/>
      <c r="M70" s="376"/>
      <c r="N70" s="376"/>
      <c r="O70" s="28">
        <f ca="1">O32-O108</f>
        <v>0</v>
      </c>
      <c r="P70" s="28">
        <f t="shared" ref="P70:AN70" ca="1" si="100">P32-P108</f>
        <v>0</v>
      </c>
      <c r="Q70" s="28">
        <f t="shared" ca="1" si="100"/>
        <v>0</v>
      </c>
      <c r="R70" s="28">
        <f t="shared" ca="1" si="100"/>
        <v>0</v>
      </c>
      <c r="S70" s="28">
        <f t="shared" ca="1" si="100"/>
        <v>0</v>
      </c>
      <c r="T70" s="28">
        <f t="shared" ca="1" si="100"/>
        <v>0</v>
      </c>
      <c r="U70" s="28">
        <f t="shared" ca="1" si="100"/>
        <v>0</v>
      </c>
      <c r="V70" s="28">
        <f t="shared" ca="1" si="100"/>
        <v>0</v>
      </c>
      <c r="W70" s="28">
        <f t="shared" ca="1" si="100"/>
        <v>0</v>
      </c>
      <c r="X70" s="28">
        <f t="shared" ca="1" si="100"/>
        <v>0</v>
      </c>
      <c r="Y70" s="28">
        <f t="shared" ca="1" si="100"/>
        <v>0</v>
      </c>
      <c r="Z70" s="28">
        <f t="shared" ca="1" si="100"/>
        <v>0</v>
      </c>
      <c r="AA70" s="28">
        <f t="shared" ca="1" si="100"/>
        <v>0</v>
      </c>
      <c r="AB70" s="28">
        <f t="shared" ca="1" si="100"/>
        <v>0</v>
      </c>
      <c r="AC70" s="28">
        <f t="shared" ca="1" si="100"/>
        <v>0</v>
      </c>
      <c r="AD70" s="28">
        <f t="shared" ca="1" si="100"/>
        <v>0</v>
      </c>
      <c r="AE70" s="28">
        <f t="shared" ca="1" si="100"/>
        <v>0</v>
      </c>
      <c r="AF70" s="28">
        <f t="shared" ca="1" si="100"/>
        <v>0</v>
      </c>
      <c r="AG70" s="28">
        <f t="shared" ca="1" si="100"/>
        <v>0</v>
      </c>
      <c r="AH70" s="28">
        <f t="shared" ca="1" si="100"/>
        <v>0</v>
      </c>
      <c r="AI70" s="28">
        <f t="shared" ca="1" si="100"/>
        <v>0</v>
      </c>
      <c r="AJ70" s="28">
        <f t="shared" ca="1" si="100"/>
        <v>0</v>
      </c>
      <c r="AK70" s="28">
        <f t="shared" ca="1" si="100"/>
        <v>0</v>
      </c>
      <c r="AL70" s="28">
        <f t="shared" ca="1" si="100"/>
        <v>0</v>
      </c>
      <c r="AM70" s="28">
        <f t="shared" ca="1" si="100"/>
        <v>0</v>
      </c>
      <c r="AN70" s="28">
        <f t="shared" ca="1" si="100"/>
        <v>0</v>
      </c>
      <c r="AP70" s="21"/>
    </row>
    <row r="71" spans="3:42" ht="11.5" customHeight="1" x14ac:dyDescent="0.25">
      <c r="C71" s="659">
        <v>46022</v>
      </c>
      <c r="D71" s="38" t="s">
        <v>46</v>
      </c>
      <c r="E71" s="376"/>
      <c r="F71" s="376"/>
      <c r="G71" s="376"/>
      <c r="H71" s="376"/>
      <c r="I71" s="376"/>
      <c r="J71" s="376"/>
      <c r="K71" s="376"/>
      <c r="L71" s="376"/>
      <c r="M71" s="376"/>
      <c r="N71" s="376"/>
      <c r="O71" s="376"/>
      <c r="P71" s="28">
        <f ca="1">P33-P109</f>
        <v>0</v>
      </c>
      <c r="Q71" s="28">
        <f t="shared" ref="Q71:AN71" ca="1" si="101">Q33-Q109</f>
        <v>0</v>
      </c>
      <c r="R71" s="28">
        <f t="shared" ca="1" si="101"/>
        <v>0</v>
      </c>
      <c r="S71" s="28">
        <f t="shared" ca="1" si="101"/>
        <v>0</v>
      </c>
      <c r="T71" s="28">
        <f t="shared" ca="1" si="101"/>
        <v>0</v>
      </c>
      <c r="U71" s="28">
        <f t="shared" ca="1" si="101"/>
        <v>0</v>
      </c>
      <c r="V71" s="28">
        <f t="shared" ca="1" si="101"/>
        <v>0</v>
      </c>
      <c r="W71" s="28">
        <f t="shared" ca="1" si="101"/>
        <v>0</v>
      </c>
      <c r="X71" s="28">
        <f t="shared" ca="1" si="101"/>
        <v>0</v>
      </c>
      <c r="Y71" s="28">
        <f t="shared" ca="1" si="101"/>
        <v>0</v>
      </c>
      <c r="Z71" s="28">
        <f t="shared" ca="1" si="101"/>
        <v>0</v>
      </c>
      <c r="AA71" s="28">
        <f t="shared" ca="1" si="101"/>
        <v>0</v>
      </c>
      <c r="AB71" s="28">
        <f t="shared" ca="1" si="101"/>
        <v>0</v>
      </c>
      <c r="AC71" s="28">
        <f t="shared" ca="1" si="101"/>
        <v>0</v>
      </c>
      <c r="AD71" s="28">
        <f t="shared" ca="1" si="101"/>
        <v>0</v>
      </c>
      <c r="AE71" s="28">
        <f t="shared" ca="1" si="101"/>
        <v>0</v>
      </c>
      <c r="AF71" s="28">
        <f t="shared" ca="1" si="101"/>
        <v>0</v>
      </c>
      <c r="AG71" s="28">
        <f t="shared" ca="1" si="101"/>
        <v>0</v>
      </c>
      <c r="AH71" s="28">
        <f t="shared" ca="1" si="101"/>
        <v>0</v>
      </c>
      <c r="AI71" s="28">
        <f t="shared" ca="1" si="101"/>
        <v>0</v>
      </c>
      <c r="AJ71" s="28">
        <f t="shared" ca="1" si="101"/>
        <v>0</v>
      </c>
      <c r="AK71" s="28">
        <f t="shared" ca="1" si="101"/>
        <v>0</v>
      </c>
      <c r="AL71" s="28">
        <f t="shared" ca="1" si="101"/>
        <v>0</v>
      </c>
      <c r="AM71" s="28">
        <f t="shared" ca="1" si="101"/>
        <v>0</v>
      </c>
      <c r="AN71" s="28">
        <f t="shared" ca="1" si="101"/>
        <v>0</v>
      </c>
      <c r="AP71" s="21"/>
    </row>
    <row r="72" spans="3:42" ht="11.5" customHeight="1" x14ac:dyDescent="0.25">
      <c r="C72" s="659">
        <v>46053.25</v>
      </c>
      <c r="D72" s="38" t="s">
        <v>46</v>
      </c>
      <c r="E72" s="376"/>
      <c r="F72" s="376"/>
      <c r="G72" s="376"/>
      <c r="H72" s="376"/>
      <c r="I72" s="376"/>
      <c r="J72" s="376"/>
      <c r="K72" s="376"/>
      <c r="L72" s="376"/>
      <c r="M72" s="376"/>
      <c r="N72" s="376"/>
      <c r="O72" s="376"/>
      <c r="P72" s="376"/>
      <c r="Q72" s="28">
        <f ca="1">Q34-Q110</f>
        <v>0</v>
      </c>
      <c r="R72" s="28">
        <f t="shared" ref="R72:AN72" ca="1" si="102">R34-R110</f>
        <v>0</v>
      </c>
      <c r="S72" s="28">
        <f t="shared" ca="1" si="102"/>
        <v>0</v>
      </c>
      <c r="T72" s="28">
        <f t="shared" ca="1" si="102"/>
        <v>0</v>
      </c>
      <c r="U72" s="28">
        <f t="shared" ca="1" si="102"/>
        <v>0</v>
      </c>
      <c r="V72" s="28">
        <f t="shared" ca="1" si="102"/>
        <v>0</v>
      </c>
      <c r="W72" s="28">
        <f t="shared" ca="1" si="102"/>
        <v>0</v>
      </c>
      <c r="X72" s="28">
        <f t="shared" ca="1" si="102"/>
        <v>0</v>
      </c>
      <c r="Y72" s="28">
        <f t="shared" ca="1" si="102"/>
        <v>0</v>
      </c>
      <c r="Z72" s="28">
        <f t="shared" ca="1" si="102"/>
        <v>0</v>
      </c>
      <c r="AA72" s="28">
        <f t="shared" ca="1" si="102"/>
        <v>0</v>
      </c>
      <c r="AB72" s="28">
        <f t="shared" ca="1" si="102"/>
        <v>0</v>
      </c>
      <c r="AC72" s="28">
        <f t="shared" ca="1" si="102"/>
        <v>0</v>
      </c>
      <c r="AD72" s="28">
        <f t="shared" ca="1" si="102"/>
        <v>0</v>
      </c>
      <c r="AE72" s="28">
        <f t="shared" ca="1" si="102"/>
        <v>0</v>
      </c>
      <c r="AF72" s="28">
        <f t="shared" ca="1" si="102"/>
        <v>0</v>
      </c>
      <c r="AG72" s="28">
        <f t="shared" ca="1" si="102"/>
        <v>0</v>
      </c>
      <c r="AH72" s="28">
        <f t="shared" ca="1" si="102"/>
        <v>0</v>
      </c>
      <c r="AI72" s="28">
        <f t="shared" ca="1" si="102"/>
        <v>0</v>
      </c>
      <c r="AJ72" s="28">
        <f t="shared" ca="1" si="102"/>
        <v>0</v>
      </c>
      <c r="AK72" s="28">
        <f t="shared" ca="1" si="102"/>
        <v>0</v>
      </c>
      <c r="AL72" s="28">
        <f t="shared" ca="1" si="102"/>
        <v>0</v>
      </c>
      <c r="AM72" s="28">
        <f t="shared" ca="1" si="102"/>
        <v>0</v>
      </c>
      <c r="AN72" s="28">
        <f t="shared" ca="1" si="102"/>
        <v>0</v>
      </c>
      <c r="AP72" s="21"/>
    </row>
    <row r="73" spans="3:42" ht="11.5" customHeight="1" x14ac:dyDescent="0.25">
      <c r="C73" s="659">
        <v>46081.25</v>
      </c>
      <c r="D73" s="38" t="s">
        <v>46</v>
      </c>
      <c r="E73" s="376"/>
      <c r="F73" s="376"/>
      <c r="G73" s="376"/>
      <c r="H73" s="376"/>
      <c r="I73" s="376"/>
      <c r="J73" s="376"/>
      <c r="K73" s="376"/>
      <c r="L73" s="376"/>
      <c r="M73" s="376"/>
      <c r="N73" s="376"/>
      <c r="O73" s="376"/>
      <c r="P73" s="376"/>
      <c r="Q73" s="376"/>
      <c r="R73" s="28">
        <f ca="1">R35-R111</f>
        <v>0</v>
      </c>
      <c r="S73" s="28">
        <f t="shared" ref="S73:AN73" ca="1" si="103">S35-S111</f>
        <v>0</v>
      </c>
      <c r="T73" s="28">
        <f t="shared" ca="1" si="103"/>
        <v>0</v>
      </c>
      <c r="U73" s="28">
        <f t="shared" ca="1" si="103"/>
        <v>0</v>
      </c>
      <c r="V73" s="28">
        <f t="shared" ca="1" si="103"/>
        <v>0</v>
      </c>
      <c r="W73" s="28">
        <f t="shared" ca="1" si="103"/>
        <v>0</v>
      </c>
      <c r="X73" s="28">
        <f t="shared" ca="1" si="103"/>
        <v>0</v>
      </c>
      <c r="Y73" s="28">
        <f t="shared" ca="1" si="103"/>
        <v>0</v>
      </c>
      <c r="Z73" s="28">
        <f t="shared" ca="1" si="103"/>
        <v>0</v>
      </c>
      <c r="AA73" s="28">
        <f t="shared" ca="1" si="103"/>
        <v>0</v>
      </c>
      <c r="AB73" s="28">
        <f t="shared" ca="1" si="103"/>
        <v>0</v>
      </c>
      <c r="AC73" s="28">
        <f t="shared" ca="1" si="103"/>
        <v>0</v>
      </c>
      <c r="AD73" s="28">
        <f t="shared" ca="1" si="103"/>
        <v>0</v>
      </c>
      <c r="AE73" s="28">
        <f t="shared" ca="1" si="103"/>
        <v>0</v>
      </c>
      <c r="AF73" s="28">
        <f t="shared" ca="1" si="103"/>
        <v>0</v>
      </c>
      <c r="AG73" s="28">
        <f t="shared" ca="1" si="103"/>
        <v>0</v>
      </c>
      <c r="AH73" s="28">
        <f t="shared" ca="1" si="103"/>
        <v>0</v>
      </c>
      <c r="AI73" s="28">
        <f t="shared" ca="1" si="103"/>
        <v>0</v>
      </c>
      <c r="AJ73" s="28">
        <f t="shared" ca="1" si="103"/>
        <v>0</v>
      </c>
      <c r="AK73" s="28">
        <f t="shared" ca="1" si="103"/>
        <v>0</v>
      </c>
      <c r="AL73" s="28">
        <f t="shared" ca="1" si="103"/>
        <v>0</v>
      </c>
      <c r="AM73" s="28">
        <f t="shared" ca="1" si="103"/>
        <v>0</v>
      </c>
      <c r="AN73" s="28">
        <f t="shared" ca="1" si="103"/>
        <v>0</v>
      </c>
      <c r="AP73" s="21"/>
    </row>
    <row r="74" spans="3:42" ht="11.5" customHeight="1" x14ac:dyDescent="0.25">
      <c r="C74" s="659">
        <v>46112.25</v>
      </c>
      <c r="D74" s="38" t="s">
        <v>46</v>
      </c>
      <c r="E74" s="376"/>
      <c r="F74" s="376"/>
      <c r="G74" s="376"/>
      <c r="H74" s="376"/>
      <c r="I74" s="376"/>
      <c r="J74" s="376"/>
      <c r="K74" s="376"/>
      <c r="L74" s="376"/>
      <c r="M74" s="376"/>
      <c r="N74" s="376"/>
      <c r="O74" s="376"/>
      <c r="P74" s="376"/>
      <c r="Q74" s="376"/>
      <c r="R74" s="376"/>
      <c r="S74" s="28">
        <f ca="1">S36-S112</f>
        <v>0</v>
      </c>
      <c r="T74" s="28">
        <f t="shared" ref="T74:AN74" ca="1" si="104">T36-T112</f>
        <v>0</v>
      </c>
      <c r="U74" s="28">
        <f t="shared" ca="1" si="104"/>
        <v>0</v>
      </c>
      <c r="V74" s="28">
        <f t="shared" ca="1" si="104"/>
        <v>0</v>
      </c>
      <c r="W74" s="28">
        <f t="shared" ca="1" si="104"/>
        <v>0</v>
      </c>
      <c r="X74" s="28">
        <f t="shared" ca="1" si="104"/>
        <v>0</v>
      </c>
      <c r="Y74" s="28">
        <f t="shared" ca="1" si="104"/>
        <v>0</v>
      </c>
      <c r="Z74" s="28">
        <f t="shared" ca="1" si="104"/>
        <v>0</v>
      </c>
      <c r="AA74" s="28">
        <f t="shared" ca="1" si="104"/>
        <v>0</v>
      </c>
      <c r="AB74" s="28">
        <f t="shared" ca="1" si="104"/>
        <v>0</v>
      </c>
      <c r="AC74" s="28">
        <f t="shared" ca="1" si="104"/>
        <v>0</v>
      </c>
      <c r="AD74" s="28">
        <f t="shared" ca="1" si="104"/>
        <v>0</v>
      </c>
      <c r="AE74" s="28">
        <f t="shared" ca="1" si="104"/>
        <v>0</v>
      </c>
      <c r="AF74" s="28">
        <f t="shared" ca="1" si="104"/>
        <v>0</v>
      </c>
      <c r="AG74" s="28">
        <f t="shared" ca="1" si="104"/>
        <v>0</v>
      </c>
      <c r="AH74" s="28">
        <f t="shared" ca="1" si="104"/>
        <v>0</v>
      </c>
      <c r="AI74" s="28">
        <f t="shared" ca="1" si="104"/>
        <v>0</v>
      </c>
      <c r="AJ74" s="28">
        <f t="shared" ca="1" si="104"/>
        <v>0</v>
      </c>
      <c r="AK74" s="28">
        <f t="shared" ca="1" si="104"/>
        <v>0</v>
      </c>
      <c r="AL74" s="28">
        <f t="shared" ca="1" si="104"/>
        <v>0</v>
      </c>
      <c r="AM74" s="28">
        <f t="shared" ca="1" si="104"/>
        <v>0</v>
      </c>
      <c r="AN74" s="28">
        <f t="shared" ca="1" si="104"/>
        <v>0</v>
      </c>
      <c r="AP74" s="21"/>
    </row>
    <row r="75" spans="3:42" ht="11.5" customHeight="1" x14ac:dyDescent="0.25">
      <c r="C75" s="659">
        <v>46142.25</v>
      </c>
      <c r="D75" s="38" t="s">
        <v>46</v>
      </c>
      <c r="E75" s="376"/>
      <c r="F75" s="376"/>
      <c r="G75" s="376"/>
      <c r="H75" s="376"/>
      <c r="I75" s="376"/>
      <c r="J75" s="376"/>
      <c r="K75" s="376"/>
      <c r="L75" s="376"/>
      <c r="M75" s="376"/>
      <c r="N75" s="376"/>
      <c r="O75" s="376"/>
      <c r="P75" s="376"/>
      <c r="Q75" s="376"/>
      <c r="R75" s="376"/>
      <c r="S75" s="376"/>
      <c r="T75" s="28">
        <f ca="1">T37-T113</f>
        <v>0</v>
      </c>
      <c r="U75" s="28">
        <f t="shared" ref="U75:AN75" ca="1" si="105">U37-U113</f>
        <v>0</v>
      </c>
      <c r="V75" s="28">
        <f t="shared" ca="1" si="105"/>
        <v>0</v>
      </c>
      <c r="W75" s="28">
        <f t="shared" ca="1" si="105"/>
        <v>0</v>
      </c>
      <c r="X75" s="28">
        <f t="shared" ca="1" si="105"/>
        <v>0</v>
      </c>
      <c r="Y75" s="28">
        <f t="shared" ca="1" si="105"/>
        <v>0</v>
      </c>
      <c r="Z75" s="28">
        <f t="shared" ca="1" si="105"/>
        <v>0</v>
      </c>
      <c r="AA75" s="28">
        <f t="shared" ca="1" si="105"/>
        <v>0</v>
      </c>
      <c r="AB75" s="28">
        <f t="shared" ca="1" si="105"/>
        <v>0</v>
      </c>
      <c r="AC75" s="28">
        <f t="shared" ca="1" si="105"/>
        <v>0</v>
      </c>
      <c r="AD75" s="28">
        <f t="shared" ca="1" si="105"/>
        <v>0</v>
      </c>
      <c r="AE75" s="28">
        <f t="shared" ca="1" si="105"/>
        <v>0</v>
      </c>
      <c r="AF75" s="28">
        <f t="shared" ca="1" si="105"/>
        <v>0</v>
      </c>
      <c r="AG75" s="28">
        <f t="shared" ca="1" si="105"/>
        <v>0</v>
      </c>
      <c r="AH75" s="28">
        <f t="shared" ca="1" si="105"/>
        <v>0</v>
      </c>
      <c r="AI75" s="28">
        <f t="shared" ca="1" si="105"/>
        <v>0</v>
      </c>
      <c r="AJ75" s="28">
        <f t="shared" ca="1" si="105"/>
        <v>0</v>
      </c>
      <c r="AK75" s="28">
        <f t="shared" ca="1" si="105"/>
        <v>0</v>
      </c>
      <c r="AL75" s="28">
        <f t="shared" ca="1" si="105"/>
        <v>0</v>
      </c>
      <c r="AM75" s="28">
        <f t="shared" ca="1" si="105"/>
        <v>0</v>
      </c>
      <c r="AN75" s="28">
        <f t="shared" ca="1" si="105"/>
        <v>0</v>
      </c>
      <c r="AP75" s="21"/>
    </row>
    <row r="76" spans="3:42" ht="11.5" customHeight="1" x14ac:dyDescent="0.25">
      <c r="C76" s="659">
        <v>46173.25</v>
      </c>
      <c r="D76" s="38" t="s">
        <v>46</v>
      </c>
      <c r="E76" s="376"/>
      <c r="F76" s="376"/>
      <c r="G76" s="376"/>
      <c r="H76" s="376"/>
      <c r="I76" s="376"/>
      <c r="J76" s="376"/>
      <c r="K76" s="376"/>
      <c r="L76" s="376"/>
      <c r="M76" s="376"/>
      <c r="N76" s="376"/>
      <c r="O76" s="376"/>
      <c r="P76" s="376"/>
      <c r="Q76" s="376"/>
      <c r="R76" s="376"/>
      <c r="S76" s="376"/>
      <c r="T76" s="376"/>
      <c r="U76" s="28">
        <f ca="1">U38-U114</f>
        <v>0</v>
      </c>
      <c r="V76" s="28">
        <f t="shared" ref="V76:AN76" ca="1" si="106">V38-V114</f>
        <v>0</v>
      </c>
      <c r="W76" s="28">
        <f t="shared" ca="1" si="106"/>
        <v>0</v>
      </c>
      <c r="X76" s="28">
        <f t="shared" ca="1" si="106"/>
        <v>0</v>
      </c>
      <c r="Y76" s="28">
        <f t="shared" ca="1" si="106"/>
        <v>0</v>
      </c>
      <c r="Z76" s="28">
        <f t="shared" ca="1" si="106"/>
        <v>0</v>
      </c>
      <c r="AA76" s="28">
        <f t="shared" ca="1" si="106"/>
        <v>0</v>
      </c>
      <c r="AB76" s="28">
        <f t="shared" ca="1" si="106"/>
        <v>0</v>
      </c>
      <c r="AC76" s="28">
        <f t="shared" ca="1" si="106"/>
        <v>0</v>
      </c>
      <c r="AD76" s="28">
        <f t="shared" ca="1" si="106"/>
        <v>0</v>
      </c>
      <c r="AE76" s="28">
        <f t="shared" ca="1" si="106"/>
        <v>0</v>
      </c>
      <c r="AF76" s="28">
        <f t="shared" ca="1" si="106"/>
        <v>0</v>
      </c>
      <c r="AG76" s="28">
        <f t="shared" ca="1" si="106"/>
        <v>0</v>
      </c>
      <c r="AH76" s="28">
        <f t="shared" ca="1" si="106"/>
        <v>0</v>
      </c>
      <c r="AI76" s="28">
        <f t="shared" ca="1" si="106"/>
        <v>0</v>
      </c>
      <c r="AJ76" s="28">
        <f t="shared" ca="1" si="106"/>
        <v>0</v>
      </c>
      <c r="AK76" s="28">
        <f t="shared" ca="1" si="106"/>
        <v>0</v>
      </c>
      <c r="AL76" s="28">
        <f t="shared" ca="1" si="106"/>
        <v>0</v>
      </c>
      <c r="AM76" s="28">
        <f t="shared" ca="1" si="106"/>
        <v>0</v>
      </c>
      <c r="AN76" s="28">
        <f t="shared" ca="1" si="106"/>
        <v>0</v>
      </c>
      <c r="AP76" s="21"/>
    </row>
    <row r="77" spans="3:42" ht="11.5" customHeight="1" x14ac:dyDescent="0.25">
      <c r="C77" s="659">
        <v>46203.25</v>
      </c>
      <c r="D77" s="38" t="s">
        <v>46</v>
      </c>
      <c r="E77" s="376"/>
      <c r="F77" s="376"/>
      <c r="G77" s="376"/>
      <c r="H77" s="376"/>
      <c r="I77" s="376"/>
      <c r="J77" s="376"/>
      <c r="K77" s="376"/>
      <c r="L77" s="376"/>
      <c r="M77" s="376"/>
      <c r="N77" s="376"/>
      <c r="O77" s="376"/>
      <c r="P77" s="376"/>
      <c r="Q77" s="376"/>
      <c r="R77" s="376"/>
      <c r="S77" s="376"/>
      <c r="T77" s="376"/>
      <c r="U77" s="376"/>
      <c r="V77" s="28">
        <f ca="1">V39-V115</f>
        <v>0</v>
      </c>
      <c r="W77" s="28">
        <f t="shared" ref="W77:AN77" ca="1" si="107">W39-W115</f>
        <v>0</v>
      </c>
      <c r="X77" s="28">
        <f t="shared" ca="1" si="107"/>
        <v>0</v>
      </c>
      <c r="Y77" s="28">
        <f t="shared" ca="1" si="107"/>
        <v>0</v>
      </c>
      <c r="Z77" s="28">
        <f t="shared" ca="1" si="107"/>
        <v>0</v>
      </c>
      <c r="AA77" s="28">
        <f t="shared" ca="1" si="107"/>
        <v>0</v>
      </c>
      <c r="AB77" s="28">
        <f t="shared" ca="1" si="107"/>
        <v>0</v>
      </c>
      <c r="AC77" s="28">
        <f t="shared" ca="1" si="107"/>
        <v>0</v>
      </c>
      <c r="AD77" s="28">
        <f t="shared" ca="1" si="107"/>
        <v>0</v>
      </c>
      <c r="AE77" s="28">
        <f t="shared" ca="1" si="107"/>
        <v>0</v>
      </c>
      <c r="AF77" s="28">
        <f t="shared" ca="1" si="107"/>
        <v>0</v>
      </c>
      <c r="AG77" s="28">
        <f t="shared" ca="1" si="107"/>
        <v>0</v>
      </c>
      <c r="AH77" s="28">
        <f t="shared" ca="1" si="107"/>
        <v>0</v>
      </c>
      <c r="AI77" s="28">
        <f t="shared" ca="1" si="107"/>
        <v>0</v>
      </c>
      <c r="AJ77" s="28">
        <f t="shared" ca="1" si="107"/>
        <v>0</v>
      </c>
      <c r="AK77" s="28">
        <f t="shared" ca="1" si="107"/>
        <v>0</v>
      </c>
      <c r="AL77" s="28">
        <f t="shared" ca="1" si="107"/>
        <v>0</v>
      </c>
      <c r="AM77" s="28">
        <f t="shared" ca="1" si="107"/>
        <v>0</v>
      </c>
      <c r="AN77" s="28">
        <f t="shared" ca="1" si="107"/>
        <v>0</v>
      </c>
      <c r="AP77" s="21"/>
    </row>
    <row r="78" spans="3:42" ht="11.5" customHeight="1" x14ac:dyDescent="0.25">
      <c r="C78" s="659">
        <v>46234.25</v>
      </c>
      <c r="D78" s="38" t="s">
        <v>46</v>
      </c>
      <c r="E78" s="376"/>
      <c r="F78" s="376"/>
      <c r="G78" s="376"/>
      <c r="H78" s="376"/>
      <c r="I78" s="376"/>
      <c r="J78" s="376"/>
      <c r="K78" s="376"/>
      <c r="L78" s="376"/>
      <c r="M78" s="376"/>
      <c r="N78" s="376"/>
      <c r="O78" s="376"/>
      <c r="P78" s="376"/>
      <c r="Q78" s="376"/>
      <c r="R78" s="376"/>
      <c r="S78" s="376"/>
      <c r="T78" s="376"/>
      <c r="U78" s="376"/>
      <c r="V78" s="376"/>
      <c r="W78" s="28">
        <f ca="1">W40-W116</f>
        <v>0</v>
      </c>
      <c r="X78" s="28">
        <f t="shared" ref="X78:AN78" ca="1" si="108">X40-X116</f>
        <v>0</v>
      </c>
      <c r="Y78" s="28">
        <f t="shared" ca="1" si="108"/>
        <v>0</v>
      </c>
      <c r="Z78" s="28">
        <f t="shared" ca="1" si="108"/>
        <v>0</v>
      </c>
      <c r="AA78" s="28">
        <f t="shared" ca="1" si="108"/>
        <v>0</v>
      </c>
      <c r="AB78" s="28">
        <f t="shared" ca="1" si="108"/>
        <v>0</v>
      </c>
      <c r="AC78" s="28">
        <f t="shared" ca="1" si="108"/>
        <v>0</v>
      </c>
      <c r="AD78" s="28">
        <f t="shared" ca="1" si="108"/>
        <v>0</v>
      </c>
      <c r="AE78" s="28">
        <f t="shared" ca="1" si="108"/>
        <v>0</v>
      </c>
      <c r="AF78" s="28">
        <f t="shared" ca="1" si="108"/>
        <v>0</v>
      </c>
      <c r="AG78" s="28">
        <f t="shared" ca="1" si="108"/>
        <v>0</v>
      </c>
      <c r="AH78" s="28">
        <f t="shared" ca="1" si="108"/>
        <v>0</v>
      </c>
      <c r="AI78" s="28">
        <f t="shared" ca="1" si="108"/>
        <v>0</v>
      </c>
      <c r="AJ78" s="28">
        <f t="shared" ca="1" si="108"/>
        <v>0</v>
      </c>
      <c r="AK78" s="28">
        <f t="shared" ca="1" si="108"/>
        <v>0</v>
      </c>
      <c r="AL78" s="28">
        <f t="shared" ca="1" si="108"/>
        <v>0</v>
      </c>
      <c r="AM78" s="28">
        <f t="shared" ca="1" si="108"/>
        <v>0</v>
      </c>
      <c r="AN78" s="28">
        <f t="shared" ca="1" si="108"/>
        <v>0</v>
      </c>
      <c r="AP78" s="21"/>
    </row>
    <row r="79" spans="3:42" ht="11.5" customHeight="1" x14ac:dyDescent="0.25">
      <c r="C79" s="659">
        <v>46265.25</v>
      </c>
      <c r="D79" s="38" t="s">
        <v>46</v>
      </c>
      <c r="E79" s="376"/>
      <c r="F79" s="376"/>
      <c r="G79" s="376"/>
      <c r="H79" s="376"/>
      <c r="I79" s="376"/>
      <c r="J79" s="376"/>
      <c r="K79" s="376"/>
      <c r="L79" s="376"/>
      <c r="M79" s="376"/>
      <c r="N79" s="376"/>
      <c r="O79" s="376"/>
      <c r="P79" s="376"/>
      <c r="Q79" s="376"/>
      <c r="R79" s="376"/>
      <c r="S79" s="376"/>
      <c r="T79" s="376"/>
      <c r="U79" s="376"/>
      <c r="V79" s="376"/>
      <c r="W79" s="376"/>
      <c r="X79" s="28">
        <f ca="1">X41-X117</f>
        <v>0</v>
      </c>
      <c r="Y79" s="28">
        <f t="shared" ref="Y79:AN79" ca="1" si="109">Y41-Y117</f>
        <v>0</v>
      </c>
      <c r="Z79" s="28">
        <f t="shared" ca="1" si="109"/>
        <v>0</v>
      </c>
      <c r="AA79" s="28">
        <f t="shared" ca="1" si="109"/>
        <v>0</v>
      </c>
      <c r="AB79" s="28">
        <f t="shared" ca="1" si="109"/>
        <v>0</v>
      </c>
      <c r="AC79" s="28">
        <f t="shared" ca="1" si="109"/>
        <v>0</v>
      </c>
      <c r="AD79" s="28">
        <f t="shared" ca="1" si="109"/>
        <v>0</v>
      </c>
      <c r="AE79" s="28">
        <f t="shared" ca="1" si="109"/>
        <v>0</v>
      </c>
      <c r="AF79" s="28">
        <f t="shared" ca="1" si="109"/>
        <v>0</v>
      </c>
      <c r="AG79" s="28">
        <f t="shared" ca="1" si="109"/>
        <v>0</v>
      </c>
      <c r="AH79" s="28">
        <f t="shared" ca="1" si="109"/>
        <v>0</v>
      </c>
      <c r="AI79" s="28">
        <f t="shared" ca="1" si="109"/>
        <v>0</v>
      </c>
      <c r="AJ79" s="28">
        <f t="shared" ca="1" si="109"/>
        <v>0</v>
      </c>
      <c r="AK79" s="28">
        <f t="shared" ca="1" si="109"/>
        <v>0</v>
      </c>
      <c r="AL79" s="28">
        <f t="shared" ca="1" si="109"/>
        <v>0</v>
      </c>
      <c r="AM79" s="28">
        <f t="shared" ca="1" si="109"/>
        <v>0</v>
      </c>
      <c r="AN79" s="28">
        <f t="shared" ca="1" si="109"/>
        <v>0</v>
      </c>
      <c r="AP79" s="21"/>
    </row>
    <row r="80" spans="3:42" ht="11.5" customHeight="1" x14ac:dyDescent="0.25">
      <c r="C80" s="659">
        <v>46295.25</v>
      </c>
      <c r="D80" s="38" t="s">
        <v>46</v>
      </c>
      <c r="E80" s="376"/>
      <c r="F80" s="376"/>
      <c r="G80" s="376"/>
      <c r="H80" s="376"/>
      <c r="I80" s="376"/>
      <c r="J80" s="376"/>
      <c r="K80" s="376"/>
      <c r="L80" s="376"/>
      <c r="M80" s="376"/>
      <c r="N80" s="376"/>
      <c r="O80" s="376"/>
      <c r="P80" s="376"/>
      <c r="Q80" s="376"/>
      <c r="R80" s="376"/>
      <c r="S80" s="376"/>
      <c r="T80" s="376"/>
      <c r="U80" s="376"/>
      <c r="V80" s="376"/>
      <c r="W80" s="376"/>
      <c r="X80" s="376"/>
      <c r="Y80" s="28">
        <f ca="1">Y42-Y118</f>
        <v>0</v>
      </c>
      <c r="Z80" s="28">
        <f t="shared" ref="Z80:AN80" ca="1" si="110">Z42-Z118</f>
        <v>0</v>
      </c>
      <c r="AA80" s="28">
        <f t="shared" ca="1" si="110"/>
        <v>0</v>
      </c>
      <c r="AB80" s="28">
        <f t="shared" ca="1" si="110"/>
        <v>0</v>
      </c>
      <c r="AC80" s="28">
        <f t="shared" ca="1" si="110"/>
        <v>0</v>
      </c>
      <c r="AD80" s="28">
        <f t="shared" ca="1" si="110"/>
        <v>0</v>
      </c>
      <c r="AE80" s="28">
        <f t="shared" ca="1" si="110"/>
        <v>0</v>
      </c>
      <c r="AF80" s="28">
        <f t="shared" ca="1" si="110"/>
        <v>0</v>
      </c>
      <c r="AG80" s="28">
        <f t="shared" ca="1" si="110"/>
        <v>0</v>
      </c>
      <c r="AH80" s="28">
        <f t="shared" ca="1" si="110"/>
        <v>0</v>
      </c>
      <c r="AI80" s="28">
        <f t="shared" ca="1" si="110"/>
        <v>0</v>
      </c>
      <c r="AJ80" s="28">
        <f t="shared" ca="1" si="110"/>
        <v>0</v>
      </c>
      <c r="AK80" s="28">
        <f t="shared" ca="1" si="110"/>
        <v>0</v>
      </c>
      <c r="AL80" s="28">
        <f t="shared" ca="1" si="110"/>
        <v>0</v>
      </c>
      <c r="AM80" s="28">
        <f t="shared" ca="1" si="110"/>
        <v>0</v>
      </c>
      <c r="AN80" s="28">
        <f t="shared" ca="1" si="110"/>
        <v>0</v>
      </c>
      <c r="AP80" s="21"/>
    </row>
    <row r="81" spans="3:42" ht="11.5" customHeight="1" x14ac:dyDescent="0.25">
      <c r="C81" s="659">
        <v>46326.25</v>
      </c>
      <c r="D81" s="38" t="s">
        <v>46</v>
      </c>
      <c r="E81" s="376"/>
      <c r="F81" s="376"/>
      <c r="G81" s="376"/>
      <c r="H81" s="376"/>
      <c r="I81" s="376"/>
      <c r="J81" s="376"/>
      <c r="K81" s="376"/>
      <c r="L81" s="376"/>
      <c r="M81" s="376"/>
      <c r="N81" s="376"/>
      <c r="O81" s="376"/>
      <c r="P81" s="376"/>
      <c r="Q81" s="376"/>
      <c r="R81" s="376"/>
      <c r="S81" s="376"/>
      <c r="T81" s="376"/>
      <c r="U81" s="376"/>
      <c r="V81" s="376"/>
      <c r="W81" s="376"/>
      <c r="X81" s="376"/>
      <c r="Y81" s="376"/>
      <c r="Z81" s="28">
        <f ca="1">Z43-Z119</f>
        <v>0</v>
      </c>
      <c r="AA81" s="28">
        <f t="shared" ref="AA81:AN81" ca="1" si="111">AA43-AA119</f>
        <v>0</v>
      </c>
      <c r="AB81" s="28">
        <f t="shared" ca="1" si="111"/>
        <v>0</v>
      </c>
      <c r="AC81" s="28">
        <f t="shared" ca="1" si="111"/>
        <v>0</v>
      </c>
      <c r="AD81" s="28">
        <f t="shared" ca="1" si="111"/>
        <v>0</v>
      </c>
      <c r="AE81" s="28">
        <f t="shared" ca="1" si="111"/>
        <v>0</v>
      </c>
      <c r="AF81" s="28">
        <f t="shared" ca="1" si="111"/>
        <v>0</v>
      </c>
      <c r="AG81" s="28">
        <f t="shared" ca="1" si="111"/>
        <v>0</v>
      </c>
      <c r="AH81" s="28">
        <f t="shared" ca="1" si="111"/>
        <v>0</v>
      </c>
      <c r="AI81" s="28">
        <f t="shared" ca="1" si="111"/>
        <v>0</v>
      </c>
      <c r="AJ81" s="28">
        <f t="shared" ca="1" si="111"/>
        <v>0</v>
      </c>
      <c r="AK81" s="28">
        <f t="shared" ca="1" si="111"/>
        <v>0</v>
      </c>
      <c r="AL81" s="28">
        <f t="shared" ca="1" si="111"/>
        <v>0</v>
      </c>
      <c r="AM81" s="28">
        <f t="shared" ca="1" si="111"/>
        <v>0</v>
      </c>
      <c r="AN81" s="28">
        <f t="shared" ca="1" si="111"/>
        <v>0</v>
      </c>
      <c r="AP81" s="21"/>
    </row>
    <row r="82" spans="3:42" ht="11.5" customHeight="1" x14ac:dyDescent="0.25">
      <c r="C82" s="659">
        <v>46356.25</v>
      </c>
      <c r="D82" s="38" t="s">
        <v>46</v>
      </c>
      <c r="E82" s="376"/>
      <c r="F82" s="376"/>
      <c r="G82" s="376"/>
      <c r="H82" s="376"/>
      <c r="I82" s="376"/>
      <c r="J82" s="376"/>
      <c r="K82" s="376"/>
      <c r="L82" s="376"/>
      <c r="M82" s="376"/>
      <c r="N82" s="376"/>
      <c r="O82" s="376"/>
      <c r="P82" s="376"/>
      <c r="Q82" s="376"/>
      <c r="R82" s="376"/>
      <c r="S82" s="376"/>
      <c r="T82" s="376"/>
      <c r="U82" s="376"/>
      <c r="V82" s="376"/>
      <c r="W82" s="376"/>
      <c r="X82" s="376"/>
      <c r="Y82" s="376"/>
      <c r="Z82" s="376"/>
      <c r="AA82" s="28">
        <f ca="1">AA44-AA120</f>
        <v>0</v>
      </c>
      <c r="AB82" s="28">
        <f t="shared" ref="AB82:AN82" ca="1" si="112">AB44-AB120</f>
        <v>0</v>
      </c>
      <c r="AC82" s="28">
        <f t="shared" ca="1" si="112"/>
        <v>0</v>
      </c>
      <c r="AD82" s="28">
        <f t="shared" ca="1" si="112"/>
        <v>0</v>
      </c>
      <c r="AE82" s="28">
        <f t="shared" ca="1" si="112"/>
        <v>0</v>
      </c>
      <c r="AF82" s="28">
        <f t="shared" ca="1" si="112"/>
        <v>0</v>
      </c>
      <c r="AG82" s="28">
        <f t="shared" ca="1" si="112"/>
        <v>0</v>
      </c>
      <c r="AH82" s="28">
        <f t="shared" ca="1" si="112"/>
        <v>0</v>
      </c>
      <c r="AI82" s="28">
        <f t="shared" ca="1" si="112"/>
        <v>0</v>
      </c>
      <c r="AJ82" s="28">
        <f t="shared" ca="1" si="112"/>
        <v>0</v>
      </c>
      <c r="AK82" s="28">
        <f t="shared" ca="1" si="112"/>
        <v>0</v>
      </c>
      <c r="AL82" s="28">
        <f t="shared" ca="1" si="112"/>
        <v>0</v>
      </c>
      <c r="AM82" s="28">
        <f t="shared" ca="1" si="112"/>
        <v>0</v>
      </c>
      <c r="AN82" s="28">
        <f t="shared" ca="1" si="112"/>
        <v>0</v>
      </c>
      <c r="AP82" s="21"/>
    </row>
    <row r="83" spans="3:42" ht="11.5" customHeight="1" x14ac:dyDescent="0.25">
      <c r="C83" s="659">
        <v>46387.25</v>
      </c>
      <c r="D83" s="38" t="s">
        <v>46</v>
      </c>
      <c r="E83" s="376"/>
      <c r="F83" s="376"/>
      <c r="G83" s="376"/>
      <c r="H83" s="376"/>
      <c r="I83" s="376"/>
      <c r="J83" s="376"/>
      <c r="K83" s="376"/>
      <c r="L83" s="376"/>
      <c r="M83" s="376"/>
      <c r="N83" s="376"/>
      <c r="O83" s="376"/>
      <c r="P83" s="376"/>
      <c r="Q83" s="376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28">
        <f ca="1">AB45-AB121</f>
        <v>0</v>
      </c>
      <c r="AC83" s="28">
        <f t="shared" ref="AC83:AN83" ca="1" si="113">AC45-AC121</f>
        <v>0</v>
      </c>
      <c r="AD83" s="28">
        <f t="shared" ca="1" si="113"/>
        <v>0</v>
      </c>
      <c r="AE83" s="28">
        <f t="shared" ca="1" si="113"/>
        <v>0</v>
      </c>
      <c r="AF83" s="28">
        <f t="shared" ca="1" si="113"/>
        <v>0</v>
      </c>
      <c r="AG83" s="28">
        <f t="shared" ca="1" si="113"/>
        <v>0</v>
      </c>
      <c r="AH83" s="28">
        <f t="shared" ca="1" si="113"/>
        <v>0</v>
      </c>
      <c r="AI83" s="28">
        <f t="shared" ca="1" si="113"/>
        <v>0</v>
      </c>
      <c r="AJ83" s="28">
        <f t="shared" ca="1" si="113"/>
        <v>0</v>
      </c>
      <c r="AK83" s="28">
        <f t="shared" ca="1" si="113"/>
        <v>0</v>
      </c>
      <c r="AL83" s="28">
        <f t="shared" ca="1" si="113"/>
        <v>0</v>
      </c>
      <c r="AM83" s="28">
        <f t="shared" ca="1" si="113"/>
        <v>0</v>
      </c>
      <c r="AN83" s="28">
        <f t="shared" ca="1" si="113"/>
        <v>0</v>
      </c>
      <c r="AP83" s="21"/>
    </row>
    <row r="84" spans="3:42" ht="11.5" customHeight="1" x14ac:dyDescent="0.25">
      <c r="C84" s="659">
        <v>46418.5</v>
      </c>
      <c r="D84" s="38" t="s">
        <v>46</v>
      </c>
      <c r="E84" s="376"/>
      <c r="F84" s="376"/>
      <c r="G84" s="376"/>
      <c r="H84" s="376"/>
      <c r="I84" s="376"/>
      <c r="J84" s="376"/>
      <c r="K84" s="376"/>
      <c r="L84" s="376"/>
      <c r="M84" s="376"/>
      <c r="N84" s="376"/>
      <c r="O84" s="376"/>
      <c r="P84" s="376"/>
      <c r="Q84" s="376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28">
        <f ca="1">AC46-AC122</f>
        <v>0</v>
      </c>
      <c r="AD84" s="28">
        <f t="shared" ref="AD84:AN84" ca="1" si="114">AD46-AD122</f>
        <v>0</v>
      </c>
      <c r="AE84" s="28">
        <f t="shared" ca="1" si="114"/>
        <v>0</v>
      </c>
      <c r="AF84" s="28">
        <f t="shared" ca="1" si="114"/>
        <v>0</v>
      </c>
      <c r="AG84" s="28">
        <f t="shared" ca="1" si="114"/>
        <v>0</v>
      </c>
      <c r="AH84" s="28">
        <f t="shared" ca="1" si="114"/>
        <v>0</v>
      </c>
      <c r="AI84" s="28">
        <f t="shared" ca="1" si="114"/>
        <v>0</v>
      </c>
      <c r="AJ84" s="28">
        <f t="shared" ca="1" si="114"/>
        <v>0</v>
      </c>
      <c r="AK84" s="28">
        <f t="shared" ca="1" si="114"/>
        <v>0</v>
      </c>
      <c r="AL84" s="28">
        <f t="shared" ca="1" si="114"/>
        <v>0</v>
      </c>
      <c r="AM84" s="28">
        <f t="shared" ca="1" si="114"/>
        <v>0</v>
      </c>
      <c r="AN84" s="28">
        <f t="shared" ca="1" si="114"/>
        <v>0</v>
      </c>
      <c r="AP84" s="21"/>
    </row>
    <row r="85" spans="3:42" ht="11.5" customHeight="1" x14ac:dyDescent="0.25">
      <c r="C85" s="659">
        <v>46446.5</v>
      </c>
      <c r="D85" s="38" t="s">
        <v>46</v>
      </c>
      <c r="E85" s="376"/>
      <c r="F85" s="376"/>
      <c r="G85" s="376"/>
      <c r="H85" s="376"/>
      <c r="I85" s="376"/>
      <c r="J85" s="376"/>
      <c r="K85" s="376"/>
      <c r="L85" s="376"/>
      <c r="M85" s="376"/>
      <c r="N85" s="376"/>
      <c r="O85" s="376"/>
      <c r="P85" s="376"/>
      <c r="Q85" s="376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28">
        <f ca="1">AD47-AD123</f>
        <v>0</v>
      </c>
      <c r="AE85" s="28">
        <f t="shared" ref="AE85:AN85" ca="1" si="115">AE47-AE123</f>
        <v>0</v>
      </c>
      <c r="AF85" s="28">
        <f t="shared" ca="1" si="115"/>
        <v>0</v>
      </c>
      <c r="AG85" s="28">
        <f t="shared" ca="1" si="115"/>
        <v>0</v>
      </c>
      <c r="AH85" s="28">
        <f t="shared" ca="1" si="115"/>
        <v>0</v>
      </c>
      <c r="AI85" s="28">
        <f t="shared" ca="1" si="115"/>
        <v>0</v>
      </c>
      <c r="AJ85" s="28">
        <f t="shared" ca="1" si="115"/>
        <v>0</v>
      </c>
      <c r="AK85" s="28">
        <f t="shared" ca="1" si="115"/>
        <v>0</v>
      </c>
      <c r="AL85" s="28">
        <f t="shared" ca="1" si="115"/>
        <v>0</v>
      </c>
      <c r="AM85" s="28">
        <f t="shared" ca="1" si="115"/>
        <v>0</v>
      </c>
      <c r="AN85" s="28">
        <f t="shared" ca="1" si="115"/>
        <v>0</v>
      </c>
      <c r="AP85" s="21"/>
    </row>
    <row r="86" spans="3:42" ht="11.5" customHeight="1" x14ac:dyDescent="0.25">
      <c r="C86" s="659">
        <v>46477.5</v>
      </c>
      <c r="D86" s="38" t="s">
        <v>46</v>
      </c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76"/>
      <c r="Q86" s="376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28">
        <f ca="1">AE48-AE124</f>
        <v>0</v>
      </c>
      <c r="AF86" s="28">
        <f t="shared" ref="AF86:AN86" ca="1" si="116">AF48-AF124</f>
        <v>0</v>
      </c>
      <c r="AG86" s="28">
        <f t="shared" ca="1" si="116"/>
        <v>0</v>
      </c>
      <c r="AH86" s="28">
        <f t="shared" ca="1" si="116"/>
        <v>0</v>
      </c>
      <c r="AI86" s="28">
        <f t="shared" ca="1" si="116"/>
        <v>0</v>
      </c>
      <c r="AJ86" s="28">
        <f t="shared" ca="1" si="116"/>
        <v>0</v>
      </c>
      <c r="AK86" s="28">
        <f t="shared" ca="1" si="116"/>
        <v>0</v>
      </c>
      <c r="AL86" s="28">
        <f t="shared" ca="1" si="116"/>
        <v>0</v>
      </c>
      <c r="AM86" s="28">
        <f t="shared" ca="1" si="116"/>
        <v>0</v>
      </c>
      <c r="AN86" s="28">
        <f t="shared" ca="1" si="116"/>
        <v>0</v>
      </c>
      <c r="AP86" s="21"/>
    </row>
    <row r="87" spans="3:42" ht="11.5" customHeight="1" x14ac:dyDescent="0.25">
      <c r="C87" s="659">
        <v>46507.5</v>
      </c>
      <c r="D87" s="38" t="s">
        <v>46</v>
      </c>
      <c r="E87" s="376"/>
      <c r="F87" s="376"/>
      <c r="G87" s="376"/>
      <c r="H87" s="376"/>
      <c r="I87" s="376"/>
      <c r="J87" s="376"/>
      <c r="K87" s="376"/>
      <c r="L87" s="376"/>
      <c r="M87" s="376"/>
      <c r="N87" s="376"/>
      <c r="O87" s="376"/>
      <c r="P87" s="376"/>
      <c r="Q87" s="376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28">
        <f ca="1">AF49-AF125</f>
        <v>0</v>
      </c>
      <c r="AG87" s="28">
        <f t="shared" ref="AG87:AN87" ca="1" si="117">AG49-AG125</f>
        <v>0</v>
      </c>
      <c r="AH87" s="28">
        <f t="shared" ca="1" si="117"/>
        <v>0</v>
      </c>
      <c r="AI87" s="28">
        <f t="shared" ca="1" si="117"/>
        <v>0</v>
      </c>
      <c r="AJ87" s="28">
        <f t="shared" ca="1" si="117"/>
        <v>0</v>
      </c>
      <c r="AK87" s="28">
        <f t="shared" ca="1" si="117"/>
        <v>0</v>
      </c>
      <c r="AL87" s="28">
        <f t="shared" ca="1" si="117"/>
        <v>0</v>
      </c>
      <c r="AM87" s="28">
        <f t="shared" ca="1" si="117"/>
        <v>0</v>
      </c>
      <c r="AN87" s="28">
        <f t="shared" ca="1" si="117"/>
        <v>0</v>
      </c>
      <c r="AP87" s="21"/>
    </row>
    <row r="88" spans="3:42" ht="11.5" customHeight="1" x14ac:dyDescent="0.25">
      <c r="C88" s="659">
        <v>46538.5</v>
      </c>
      <c r="D88" s="38" t="s">
        <v>46</v>
      </c>
      <c r="E88" s="376"/>
      <c r="F88" s="376"/>
      <c r="G88" s="376"/>
      <c r="H88" s="376"/>
      <c r="I88" s="376"/>
      <c r="J88" s="376"/>
      <c r="K88" s="376"/>
      <c r="L88" s="376"/>
      <c r="M88" s="376"/>
      <c r="N88" s="376"/>
      <c r="O88" s="376"/>
      <c r="P88" s="376"/>
      <c r="Q88" s="376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28">
        <f ca="1">AG50-AG126</f>
        <v>0</v>
      </c>
      <c r="AH88" s="28">
        <f t="shared" ref="AH88:AN88" ca="1" si="118">AH50-AH126</f>
        <v>0</v>
      </c>
      <c r="AI88" s="28">
        <f t="shared" ca="1" si="118"/>
        <v>0</v>
      </c>
      <c r="AJ88" s="28">
        <f t="shared" ca="1" si="118"/>
        <v>0</v>
      </c>
      <c r="AK88" s="28">
        <f t="shared" ca="1" si="118"/>
        <v>0</v>
      </c>
      <c r="AL88" s="28">
        <f t="shared" ca="1" si="118"/>
        <v>0</v>
      </c>
      <c r="AM88" s="28">
        <f t="shared" ca="1" si="118"/>
        <v>0</v>
      </c>
      <c r="AN88" s="28">
        <f t="shared" ca="1" si="118"/>
        <v>0</v>
      </c>
      <c r="AP88" s="21"/>
    </row>
    <row r="89" spans="3:42" ht="11.5" customHeight="1" x14ac:dyDescent="0.25">
      <c r="C89" s="659">
        <v>46568.5</v>
      </c>
      <c r="D89" s="38" t="s">
        <v>46</v>
      </c>
      <c r="E89" s="376"/>
      <c r="F89" s="376"/>
      <c r="G89" s="376"/>
      <c r="H89" s="376"/>
      <c r="I89" s="376"/>
      <c r="J89" s="376"/>
      <c r="K89" s="376"/>
      <c r="L89" s="376"/>
      <c r="M89" s="376"/>
      <c r="N89" s="376"/>
      <c r="O89" s="376"/>
      <c r="P89" s="376"/>
      <c r="Q89" s="376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28">
        <f ca="1">AH51-AH127</f>
        <v>0</v>
      </c>
      <c r="AI89" s="28">
        <f t="shared" ref="AI89:AN89" ca="1" si="119">AI51-AI127</f>
        <v>0</v>
      </c>
      <c r="AJ89" s="28">
        <f t="shared" ca="1" si="119"/>
        <v>0</v>
      </c>
      <c r="AK89" s="28">
        <f t="shared" ca="1" si="119"/>
        <v>0</v>
      </c>
      <c r="AL89" s="28">
        <f t="shared" ca="1" si="119"/>
        <v>0</v>
      </c>
      <c r="AM89" s="28">
        <f t="shared" ca="1" si="119"/>
        <v>0</v>
      </c>
      <c r="AN89" s="28">
        <f t="shared" ca="1" si="119"/>
        <v>0</v>
      </c>
      <c r="AP89" s="21"/>
    </row>
    <row r="90" spans="3:42" ht="11.5" customHeight="1" x14ac:dyDescent="0.25">
      <c r="C90" s="659">
        <v>46599.5</v>
      </c>
      <c r="D90" s="38" t="s">
        <v>46</v>
      </c>
      <c r="E90" s="376"/>
      <c r="F90" s="376"/>
      <c r="G90" s="376"/>
      <c r="H90" s="376"/>
      <c r="I90" s="376"/>
      <c r="J90" s="376"/>
      <c r="K90" s="376"/>
      <c r="L90" s="376"/>
      <c r="M90" s="376"/>
      <c r="N90" s="376"/>
      <c r="O90" s="376"/>
      <c r="P90" s="376"/>
      <c r="Q90" s="376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28">
        <f ca="1">AI52-AI128</f>
        <v>0</v>
      </c>
      <c r="AJ90" s="28">
        <f t="shared" ref="AJ90:AN90" ca="1" si="120">AJ52-AJ128</f>
        <v>0</v>
      </c>
      <c r="AK90" s="28">
        <f t="shared" ca="1" si="120"/>
        <v>0</v>
      </c>
      <c r="AL90" s="28">
        <f t="shared" ca="1" si="120"/>
        <v>0</v>
      </c>
      <c r="AM90" s="28">
        <f t="shared" ca="1" si="120"/>
        <v>0</v>
      </c>
      <c r="AN90" s="28">
        <f t="shared" ca="1" si="120"/>
        <v>0</v>
      </c>
      <c r="AP90" s="21"/>
    </row>
    <row r="91" spans="3:42" ht="11.5" customHeight="1" x14ac:dyDescent="0.25">
      <c r="C91" s="659">
        <v>46630.5</v>
      </c>
      <c r="D91" s="38" t="s">
        <v>46</v>
      </c>
      <c r="E91" s="376"/>
      <c r="F91" s="376"/>
      <c r="G91" s="376"/>
      <c r="H91" s="376"/>
      <c r="I91" s="376"/>
      <c r="J91" s="376"/>
      <c r="K91" s="376"/>
      <c r="L91" s="376"/>
      <c r="M91" s="376"/>
      <c r="N91" s="376"/>
      <c r="O91" s="376"/>
      <c r="P91" s="376"/>
      <c r="Q91" s="376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28">
        <f ca="1">AJ53-AJ129</f>
        <v>0</v>
      </c>
      <c r="AK91" s="28">
        <f t="shared" ref="AK91:AN91" ca="1" si="121">AK53-AK129</f>
        <v>0</v>
      </c>
      <c r="AL91" s="28">
        <f t="shared" ca="1" si="121"/>
        <v>0</v>
      </c>
      <c r="AM91" s="28">
        <f t="shared" ca="1" si="121"/>
        <v>0</v>
      </c>
      <c r="AN91" s="28">
        <f t="shared" ca="1" si="121"/>
        <v>0</v>
      </c>
      <c r="AP91" s="21"/>
    </row>
    <row r="92" spans="3:42" ht="11.5" customHeight="1" x14ac:dyDescent="0.25">
      <c r="C92" s="659">
        <v>46660.5</v>
      </c>
      <c r="D92" s="38" t="s">
        <v>46</v>
      </c>
      <c r="E92" s="376"/>
      <c r="F92" s="376"/>
      <c r="G92" s="376"/>
      <c r="H92" s="376"/>
      <c r="I92" s="376"/>
      <c r="J92" s="376"/>
      <c r="K92" s="376"/>
      <c r="L92" s="376"/>
      <c r="M92" s="376"/>
      <c r="N92" s="376"/>
      <c r="O92" s="376"/>
      <c r="P92" s="376"/>
      <c r="Q92" s="376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28">
        <f ca="1">AK54-AK130</f>
        <v>0</v>
      </c>
      <c r="AL92" s="28">
        <f t="shared" ref="AL92:AN92" ca="1" si="122">AL54-AL130</f>
        <v>0</v>
      </c>
      <c r="AM92" s="28">
        <f t="shared" ca="1" si="122"/>
        <v>0</v>
      </c>
      <c r="AN92" s="28">
        <f t="shared" ca="1" si="122"/>
        <v>0</v>
      </c>
      <c r="AP92" s="21"/>
    </row>
    <row r="93" spans="3:42" ht="11.5" customHeight="1" x14ac:dyDescent="0.25">
      <c r="C93" s="659">
        <v>46691.5</v>
      </c>
      <c r="D93" s="38" t="s">
        <v>46</v>
      </c>
      <c r="E93" s="376"/>
      <c r="F93" s="376"/>
      <c r="G93" s="376"/>
      <c r="H93" s="376"/>
      <c r="I93" s="376"/>
      <c r="J93" s="376"/>
      <c r="K93" s="376"/>
      <c r="L93" s="376"/>
      <c r="M93" s="376"/>
      <c r="N93" s="376"/>
      <c r="O93" s="376"/>
      <c r="P93" s="376"/>
      <c r="Q93" s="376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28">
        <f ca="1">AL55-AL131</f>
        <v>0</v>
      </c>
      <c r="AM93" s="28">
        <f t="shared" ref="AM93:AN93" ca="1" si="123">AM55-AM131</f>
        <v>0</v>
      </c>
      <c r="AN93" s="28">
        <f t="shared" ca="1" si="123"/>
        <v>0</v>
      </c>
      <c r="AP93" s="21"/>
    </row>
    <row r="94" spans="3:42" ht="11.5" customHeight="1" x14ac:dyDescent="0.25">
      <c r="C94" s="659">
        <v>46721.5</v>
      </c>
      <c r="D94" s="38" t="s">
        <v>46</v>
      </c>
      <c r="E94" s="376"/>
      <c r="F94" s="376"/>
      <c r="G94" s="376"/>
      <c r="H94" s="376"/>
      <c r="I94" s="376"/>
      <c r="J94" s="376"/>
      <c r="K94" s="376"/>
      <c r="L94" s="376"/>
      <c r="M94" s="376"/>
      <c r="N94" s="376"/>
      <c r="O94" s="376"/>
      <c r="P94" s="376"/>
      <c r="Q94" s="376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28">
        <f ca="1">AM56-AM132</f>
        <v>0</v>
      </c>
      <c r="AN94" s="28">
        <f ca="1">AN56-AN132</f>
        <v>0</v>
      </c>
      <c r="AP94" s="21"/>
    </row>
    <row r="95" spans="3:42" ht="11.5" customHeight="1" x14ac:dyDescent="0.25">
      <c r="C95" s="670">
        <v>46752.5</v>
      </c>
      <c r="D95" s="96" t="s">
        <v>46</v>
      </c>
      <c r="E95" s="530"/>
      <c r="F95" s="530"/>
      <c r="G95" s="530"/>
      <c r="H95" s="530"/>
      <c r="I95" s="530"/>
      <c r="J95" s="530"/>
      <c r="K95" s="530"/>
      <c r="L95" s="530"/>
      <c r="M95" s="530"/>
      <c r="N95" s="530"/>
      <c r="O95" s="530"/>
      <c r="P95" s="530"/>
      <c r="Q95" s="530"/>
      <c r="R95" s="530"/>
      <c r="S95" s="530"/>
      <c r="T95" s="530"/>
      <c r="U95" s="530"/>
      <c r="V95" s="530"/>
      <c r="W95" s="530"/>
      <c r="X95" s="530"/>
      <c r="Y95" s="530"/>
      <c r="Z95" s="530"/>
      <c r="AA95" s="530"/>
      <c r="AB95" s="530"/>
      <c r="AC95" s="530"/>
      <c r="AD95" s="530"/>
      <c r="AE95" s="530"/>
      <c r="AF95" s="530"/>
      <c r="AG95" s="530"/>
      <c r="AH95" s="530"/>
      <c r="AI95" s="530"/>
      <c r="AJ95" s="530"/>
      <c r="AK95" s="530"/>
      <c r="AL95" s="530"/>
      <c r="AM95" s="530"/>
      <c r="AN95" s="2">
        <f ca="1">AN57-AN133</f>
        <v>0</v>
      </c>
      <c r="AP95" s="22"/>
    </row>
    <row r="96" spans="3:42" ht="3" customHeight="1" x14ac:dyDescent="0.25">
      <c r="C96" s="665"/>
      <c r="D96" s="236"/>
    </row>
    <row r="97" spans="3:42" ht="11.5" customHeight="1" x14ac:dyDescent="0.25">
      <c r="C97" s="671" t="s">
        <v>885</v>
      </c>
      <c r="D97" s="672" t="s">
        <v>46</v>
      </c>
      <c r="E97" s="669">
        <f ca="1">SUM(E98:E133)</f>
        <v>-447.03495518787878</v>
      </c>
      <c r="F97" s="669">
        <f t="shared" ref="F97:AN97" ca="1" si="124">SUM(F98:F133)</f>
        <v>-436.33568589987505</v>
      </c>
      <c r="G97" s="669">
        <f t="shared" ca="1" si="124"/>
        <v>-425.54725603447133</v>
      </c>
      <c r="H97" s="669">
        <f t="shared" ca="1" si="124"/>
        <v>-414.66892258685584</v>
      </c>
      <c r="I97" s="669">
        <f t="shared" ca="1" si="124"/>
        <v>-403.69993636051026</v>
      </c>
      <c r="J97" s="669">
        <f t="shared" ca="1" si="124"/>
        <v>-392.6395419156118</v>
      </c>
      <c r="K97" s="669">
        <f t="shared" ca="1" si="124"/>
        <v>-381.48697751700593</v>
      </c>
      <c r="L97" s="669">
        <f t="shared" ca="1" si="124"/>
        <v>-370.24147508174491</v>
      </c>
      <c r="M97" s="669">
        <f t="shared" ca="1" si="124"/>
        <v>-358.90226012619013</v>
      </c>
      <c r="N97" s="669">
        <f t="shared" ca="1" si="124"/>
        <v>-347.46855171267231</v>
      </c>
      <c r="O97" s="669">
        <f t="shared" ca="1" si="124"/>
        <v>-335.93956239570855</v>
      </c>
      <c r="P97" s="669">
        <f t="shared" ca="1" si="124"/>
        <v>-324.31449816777013</v>
      </c>
      <c r="Q97" s="669">
        <f t="shared" ca="1" si="124"/>
        <v>-312.59255840459883</v>
      </c>
      <c r="R97" s="669">
        <f t="shared" ca="1" si="124"/>
        <v>-300.77293581006774</v>
      </c>
      <c r="S97" s="669">
        <f t="shared" ca="1" si="124"/>
        <v>-288.85481636058222</v>
      </c>
      <c r="T97" s="669">
        <f t="shared" ca="1" si="124"/>
        <v>-276.83737924901772</v>
      </c>
      <c r="U97" s="669">
        <f t="shared" ca="1" si="124"/>
        <v>-264.71979682819023</v>
      </c>
      <c r="V97" s="669">
        <f t="shared" ca="1" si="124"/>
        <v>-252.50123455385577</v>
      </c>
      <c r="W97" s="669">
        <f t="shared" ca="1" si="124"/>
        <v>-240.18085092723518</v>
      </c>
      <c r="X97" s="669">
        <f t="shared" ca="1" si="124"/>
        <v>-227.75779743705948</v>
      </c>
      <c r="Y97" s="669">
        <f t="shared" ca="1" si="124"/>
        <v>-215.23121850113228</v>
      </c>
      <c r="Z97" s="669">
        <f t="shared" ca="1" si="124"/>
        <v>-202.60025140740569</v>
      </c>
      <c r="AA97" s="669">
        <f t="shared" ca="1" si="124"/>
        <v>-189.86402625456469</v>
      </c>
      <c r="AB97" s="669">
        <f t="shared" ca="1" si="124"/>
        <v>-177.02166589211672</v>
      </c>
      <c r="AC97" s="669">
        <f t="shared" ca="1" si="124"/>
        <v>-164.07228585998163</v>
      </c>
      <c r="AD97" s="669">
        <f t="shared" ca="1" si="124"/>
        <v>-151.01499432757876</v>
      </c>
      <c r="AE97" s="669">
        <f t="shared" ca="1" si="124"/>
        <v>-137.84889203240587</v>
      </c>
      <c r="AF97" s="669">
        <f t="shared" ca="1" si="124"/>
        <v>-124.57307221810656</v>
      </c>
      <c r="AG97" s="669">
        <f t="shared" ca="1" si="124"/>
        <v>-111.18662057202141</v>
      </c>
      <c r="AH97" s="669">
        <f t="shared" ca="1" si="124"/>
        <v>-97.688615162218909</v>
      </c>
      <c r="AI97" s="669">
        <f t="shared" ca="1" si="124"/>
        <v>-84.078126374001357</v>
      </c>
      <c r="AJ97" s="669">
        <f t="shared" ca="1" si="124"/>
        <v>-70.354216845882007</v>
      </c>
      <c r="AK97" s="669">
        <f t="shared" ca="1" si="124"/>
        <v>-56.515941405028336</v>
      </c>
      <c r="AL97" s="669">
        <f t="shared" ca="1" si="124"/>
        <v>-42.562347002167556</v>
      </c>
      <c r="AM97" s="669">
        <f t="shared" ca="1" si="124"/>
        <v>-28.492472645949604</v>
      </c>
      <c r="AN97" s="669">
        <f t="shared" ca="1" si="124"/>
        <v>-14.305349336763177</v>
      </c>
      <c r="AP97" s="673"/>
    </row>
    <row r="98" spans="3:42" ht="11.5" customHeight="1" x14ac:dyDescent="0.25">
      <c r="C98" s="658">
        <v>45688</v>
      </c>
      <c r="D98" s="34" t="s">
        <v>46</v>
      </c>
      <c r="E98" s="28">
        <f ca="1">-E20*'1.1 Control Panel'!E12/12</f>
        <v>-447.03495518787878</v>
      </c>
      <c r="F98" s="28">
        <f ca="1">-IF(F22=0,0,($E$20+SUM($E$60:E$60))*'1.1 Control Panel'!$E$12/12)</f>
        <v>-436.33568589987505</v>
      </c>
      <c r="G98" s="28">
        <f ca="1">-IF(G22=0,0,($E$20+SUM($E$60:F$60))*'1.1 Control Panel'!$E$12/12)</f>
        <v>-425.54725603447133</v>
      </c>
      <c r="H98" s="28">
        <f ca="1">-IF(H22=0,0,($E$20+SUM($E$60:G$60))*'1.1 Control Panel'!$E$12/12)</f>
        <v>-414.66892258685584</v>
      </c>
      <c r="I98" s="28">
        <f ca="1">-IF(I22=0,0,($E$20+SUM($E$60:H$60))*'1.1 Control Panel'!$E$12/12)</f>
        <v>-403.69993636051026</v>
      </c>
      <c r="J98" s="28">
        <f ca="1">-IF(J22=0,0,($E$20+SUM($E$60:I$60))*'1.1 Control Panel'!$E$12/12)</f>
        <v>-392.6395419156118</v>
      </c>
      <c r="K98" s="28">
        <f ca="1">-IF(K22=0,0,($E$20+SUM($E$60:J$60))*'1.1 Control Panel'!$E$12/12)</f>
        <v>-381.48697751700593</v>
      </c>
      <c r="L98" s="28">
        <f ca="1">-IF(L22=0,0,($E$20+SUM($E$60:K$60))*'1.1 Control Panel'!$E$12/12)</f>
        <v>-370.24147508174491</v>
      </c>
      <c r="M98" s="28">
        <f ca="1">-IF(M22=0,0,($E$20+SUM($E$60:L$60))*'1.1 Control Panel'!$E$12/12)</f>
        <v>-358.90226012619013</v>
      </c>
      <c r="N98" s="28">
        <f ca="1">-IF(N22=0,0,($E$20+SUM($E$60:M$60))*'1.1 Control Panel'!$E$12/12)</f>
        <v>-347.46855171267231</v>
      </c>
      <c r="O98" s="28">
        <f ca="1">-IF(O22=0,0,($E$20+SUM($E$60:N$60))*'1.1 Control Panel'!$E$12/12)</f>
        <v>-335.93956239570855</v>
      </c>
      <c r="P98" s="28">
        <f ca="1">-IF(P22=0,0,($E$20+SUM($E$60:O$60))*'1.1 Control Panel'!$E$12/12)</f>
        <v>-324.31449816777013</v>
      </c>
      <c r="Q98" s="28">
        <f ca="1">-IF(Q22=0,0,($E$20+SUM($E$60:P$60))*'1.1 Control Panel'!$E$12/12)</f>
        <v>-312.59255840459883</v>
      </c>
      <c r="R98" s="28">
        <f ca="1">-IF(R22=0,0,($E$20+SUM($E$60:Q$60))*'1.1 Control Panel'!$E$12/12)</f>
        <v>-300.77293581006774</v>
      </c>
      <c r="S98" s="28">
        <f ca="1">-IF(S22=0,0,($E$20+SUM($E$60:R$60))*'1.1 Control Panel'!$E$12/12)</f>
        <v>-288.85481636058222</v>
      </c>
      <c r="T98" s="28">
        <f ca="1">-IF(T22=0,0,($E$20+SUM($E$60:S$60))*'1.1 Control Panel'!$E$12/12)</f>
        <v>-276.83737924901772</v>
      </c>
      <c r="U98" s="28">
        <f ca="1">-IF(U22=0,0,($E$20+SUM($E$60:T$60))*'1.1 Control Panel'!$E$12/12)</f>
        <v>-264.71979682819023</v>
      </c>
      <c r="V98" s="28">
        <f ca="1">-IF(V22=0,0,($E$20+SUM($E$60:U$60))*'1.1 Control Panel'!$E$12/12)</f>
        <v>-252.50123455385577</v>
      </c>
      <c r="W98" s="28">
        <f ca="1">-IF(W22=0,0,($E$20+SUM($E$60:V$60))*'1.1 Control Panel'!$E$12/12)</f>
        <v>-240.18085092723518</v>
      </c>
      <c r="X98" s="28">
        <f ca="1">-IF(X22=0,0,($E$20+SUM($E$60:W$60))*'1.1 Control Panel'!$E$12/12)</f>
        <v>-227.75779743705948</v>
      </c>
      <c r="Y98" s="28">
        <f ca="1">-IF(Y22=0,0,($E$20+SUM($E$60:X$60))*'1.1 Control Panel'!$E$12/12)</f>
        <v>-215.23121850113228</v>
      </c>
      <c r="Z98" s="28">
        <f ca="1">-IF(Z22=0,0,($E$20+SUM($E$60:Y$60))*'1.1 Control Panel'!$E$12/12)</f>
        <v>-202.60025140740569</v>
      </c>
      <c r="AA98" s="28">
        <f ca="1">-IF(AA22=0,0,($E$20+SUM($E$60:Z$60))*'1.1 Control Panel'!$E$12/12)</f>
        <v>-189.86402625456469</v>
      </c>
      <c r="AB98" s="28">
        <f ca="1">-IF(AB22=0,0,($E$20+SUM($E$60:AA$60))*'1.1 Control Panel'!$E$12/12)</f>
        <v>-177.02166589211672</v>
      </c>
      <c r="AC98" s="28">
        <f ca="1">-IF(AC22=0,0,($E$20+SUM($E$60:AB$60))*'1.1 Control Panel'!$E$12/12)</f>
        <v>-164.07228585998163</v>
      </c>
      <c r="AD98" s="28">
        <f ca="1">-IF(AD22=0,0,($E$20+SUM($E$60:AC$60))*'1.1 Control Panel'!$E$12/12)</f>
        <v>-151.01499432757876</v>
      </c>
      <c r="AE98" s="28">
        <f ca="1">-IF(AE22=0,0,($E$20+SUM($E$60:AD$60))*'1.1 Control Panel'!$E$12/12)</f>
        <v>-137.84889203240587</v>
      </c>
      <c r="AF98" s="28">
        <f ca="1">-IF(AF22=0,0,($E$20+SUM($E$60:AE$60))*'1.1 Control Panel'!$E$12/12)</f>
        <v>-124.57307221810656</v>
      </c>
      <c r="AG98" s="28">
        <f ca="1">-IF(AG22=0,0,($E$20+SUM($E$60:AF$60))*'1.1 Control Panel'!$E$12/12)</f>
        <v>-111.18662057202141</v>
      </c>
      <c r="AH98" s="28">
        <f ca="1">-IF(AH22=0,0,($E$20+SUM($E$60:AG$60))*'1.1 Control Panel'!$E$12/12)</f>
        <v>-97.688615162218909</v>
      </c>
      <c r="AI98" s="28">
        <f ca="1">-IF(AI22=0,0,($E$20+SUM($E$60:AH$60))*'1.1 Control Panel'!$E$12/12)</f>
        <v>-84.078126374001357</v>
      </c>
      <c r="AJ98" s="28">
        <f ca="1">-IF(AJ22=0,0,($E$20+SUM($E$60:AI$60))*'1.1 Control Panel'!$E$12/12)</f>
        <v>-70.354216845882007</v>
      </c>
      <c r="AK98" s="28">
        <f ca="1">-IF(AK22=0,0,($E$20+SUM($E$60:AJ$60))*'1.1 Control Panel'!$E$12/12)</f>
        <v>-56.515941405028336</v>
      </c>
      <c r="AL98" s="28">
        <f ca="1">-IF(AL22=0,0,($E$20+SUM($E$60:AK$60))*'1.1 Control Panel'!$E$12/12)</f>
        <v>-42.562347002167556</v>
      </c>
      <c r="AM98" s="28">
        <f ca="1">-IF(AM22=0,0,($E$20+SUM($E$60:AL$60))*'1.1 Control Panel'!$E$12/12)</f>
        <v>-28.492472645949604</v>
      </c>
      <c r="AN98" s="28">
        <f ca="1">-IF(AN22=0,0,($E$20+SUM($E$60:AM$60))*'1.1 Control Panel'!$E$12/12)</f>
        <v>-14.305349336763177</v>
      </c>
      <c r="AP98" s="20"/>
    </row>
    <row r="99" spans="3:42" ht="11.5" customHeight="1" x14ac:dyDescent="0.25">
      <c r="C99" s="659">
        <v>45716</v>
      </c>
      <c r="D99" s="38" t="s">
        <v>46</v>
      </c>
      <c r="E99" s="376"/>
      <c r="F99" s="376">
        <f ca="1">-F20*'1.1 Control Panel'!F12/12</f>
        <v>0</v>
      </c>
      <c r="G99" s="376">
        <f ca="1">-IF(G23=0,0,($F$20+SUM($F$61:F$61))*'1.1 Control Panel'!$F$12/12)</f>
        <v>0</v>
      </c>
      <c r="H99" s="376">
        <f ca="1">-IF(H23=0,0,($F$20+SUM($F$61:G$61))*'1.1 Control Panel'!$F$12/12)</f>
        <v>0</v>
      </c>
      <c r="I99" s="376">
        <f ca="1">-IF(I23=0,0,($F$20+SUM($F$61:H$61))*'1.1 Control Panel'!$F$12/12)</f>
        <v>0</v>
      </c>
      <c r="J99" s="376">
        <f ca="1">-IF(J23=0,0,($F$20+SUM($F$61:I$61))*'1.1 Control Panel'!$F$12/12)</f>
        <v>0</v>
      </c>
      <c r="K99" s="376">
        <f ca="1">-IF(K23=0,0,($F$20+SUM($F$61:J$61))*'1.1 Control Panel'!$F$12/12)</f>
        <v>0</v>
      </c>
      <c r="L99" s="376">
        <f ca="1">-IF(L23=0,0,($F$20+SUM($F$61:K$61))*'1.1 Control Panel'!$F$12/12)</f>
        <v>0</v>
      </c>
      <c r="M99" s="376">
        <f ca="1">-IF(M23=0,0,($F$20+SUM($F$61:L$61))*'1.1 Control Panel'!$F$12/12)</f>
        <v>0</v>
      </c>
      <c r="N99" s="376">
        <f ca="1">-IF(N23=0,0,($F$20+SUM($F$61:M$61))*'1.1 Control Panel'!$F$12/12)</f>
        <v>0</v>
      </c>
      <c r="O99" s="376">
        <f ca="1">-IF(O23=0,0,($F$20+SUM($F$61:N$61))*'1.1 Control Panel'!$F$12/12)</f>
        <v>0</v>
      </c>
      <c r="P99" s="376">
        <f ca="1">-IF(P23=0,0,($F$20+SUM($F$61:O$61))*'1.1 Control Panel'!$F$12/12)</f>
        <v>0</v>
      </c>
      <c r="Q99" s="376">
        <f ca="1">-IF(Q23=0,0,($F$20+SUM($F$61:P$61))*'1.1 Control Panel'!$F$12/12)</f>
        <v>0</v>
      </c>
      <c r="R99" s="376">
        <f ca="1">-IF(R23=0,0,($F$20+SUM($F$61:Q$61))*'1.1 Control Panel'!$F$12/12)</f>
        <v>0</v>
      </c>
      <c r="S99" s="376">
        <f ca="1">-IF(S23=0,0,($F$20+SUM($F$61:R$61))*'1.1 Control Panel'!$F$12/12)</f>
        <v>0</v>
      </c>
      <c r="T99" s="376">
        <f ca="1">-IF(T23=0,0,($F$20+SUM($F$61:S$61))*'1.1 Control Panel'!$F$12/12)</f>
        <v>0</v>
      </c>
      <c r="U99" s="376">
        <f ca="1">-IF(U23=0,0,($F$20+SUM($F$61:T$61))*'1.1 Control Panel'!$F$12/12)</f>
        <v>0</v>
      </c>
      <c r="V99" s="376">
        <f ca="1">-IF(V23=0,0,($F$20+SUM($F$61:U$61))*'1.1 Control Panel'!$F$12/12)</f>
        <v>0</v>
      </c>
      <c r="W99" s="376">
        <f ca="1">-IF(W23=0,0,($F$20+SUM($F$61:V$61))*'1.1 Control Panel'!$F$12/12)</f>
        <v>0</v>
      </c>
      <c r="X99" s="376">
        <f ca="1">-IF(X23=0,0,($F$20+SUM($F$61:W$61))*'1.1 Control Panel'!$F$12/12)</f>
        <v>0</v>
      </c>
      <c r="Y99" s="376">
        <f ca="1">-IF(Y23=0,0,($F$20+SUM($F$61:X$61))*'1.1 Control Panel'!$F$12/12)</f>
        <v>0</v>
      </c>
      <c r="Z99" s="376">
        <f ca="1">-IF(Z23=0,0,($F$20+SUM($F$61:Y$61))*'1.1 Control Panel'!$F$12/12)</f>
        <v>0</v>
      </c>
      <c r="AA99" s="376">
        <f ca="1">-IF(AA23=0,0,($F$20+SUM($F$61:Z$61))*'1.1 Control Panel'!$F$12/12)</f>
        <v>0</v>
      </c>
      <c r="AB99" s="376">
        <f ca="1">-IF(AB23=0,0,($F$20+SUM($F$61:AA$61))*'1.1 Control Panel'!$F$12/12)</f>
        <v>0</v>
      </c>
      <c r="AC99" s="376">
        <f ca="1">-IF(AC23=0,0,($F$20+SUM($F$61:AB$61))*'1.1 Control Panel'!$F$12/12)</f>
        <v>0</v>
      </c>
      <c r="AD99" s="376">
        <f ca="1">-IF(AD23=0,0,($F$20+SUM($F$61:AC$61))*'1.1 Control Panel'!$F$12/12)</f>
        <v>0</v>
      </c>
      <c r="AE99" s="376">
        <f ca="1">-IF(AE23=0,0,($F$20+SUM($F$61:AD$61))*'1.1 Control Panel'!$F$12/12)</f>
        <v>0</v>
      </c>
      <c r="AF99" s="376">
        <f ca="1">-IF(AF23=0,0,($F$20+SUM($F$61:AE$61))*'1.1 Control Panel'!$F$12/12)</f>
        <v>0</v>
      </c>
      <c r="AG99" s="376">
        <f ca="1">-IF(AG23=0,0,($F$20+SUM($F$61:AF$61))*'1.1 Control Panel'!$F$12/12)</f>
        <v>0</v>
      </c>
      <c r="AH99" s="376">
        <f ca="1">-IF(AH23=0,0,($F$20+SUM($F$61:AG$61))*'1.1 Control Panel'!$F$12/12)</f>
        <v>0</v>
      </c>
      <c r="AI99" s="376">
        <f ca="1">-IF(AI23=0,0,($F$20+SUM($F$61:AH$61))*'1.1 Control Panel'!$F$12/12)</f>
        <v>0</v>
      </c>
      <c r="AJ99" s="376">
        <f ca="1">-IF(AJ23=0,0,($F$20+SUM($F$61:AI$61))*'1.1 Control Panel'!$F$12/12)</f>
        <v>0</v>
      </c>
      <c r="AK99" s="376">
        <f ca="1">-IF(AK23=0,0,($F$20+SUM($F$61:AJ$61))*'1.1 Control Panel'!$F$12/12)</f>
        <v>0</v>
      </c>
      <c r="AL99" s="376">
        <f ca="1">-IF(AL23=0,0,($F$20+SUM($F$61:AK$61))*'1.1 Control Panel'!$F$12/12)</f>
        <v>0</v>
      </c>
      <c r="AM99" s="376">
        <f ca="1">-IF(AM23=0,0,($F$20+SUM($F$61:AL$61))*'1.1 Control Panel'!$F$12/12)</f>
        <v>0</v>
      </c>
      <c r="AN99" s="376">
        <f ca="1">-IF(AN23=0,0,($F$20+SUM($F$61:AM$61))*'1.1 Control Panel'!$F$12/12)</f>
        <v>0</v>
      </c>
      <c r="AP99" s="21"/>
    </row>
    <row r="100" spans="3:42" ht="11.5" customHeight="1" x14ac:dyDescent="0.25">
      <c r="C100" s="659">
        <v>45747</v>
      </c>
      <c r="D100" s="38" t="s">
        <v>46</v>
      </c>
      <c r="E100" s="376"/>
      <c r="F100" s="376"/>
      <c r="G100" s="376">
        <f ca="1">-G20*'1.1 Control Panel'!G12/12</f>
        <v>0</v>
      </c>
      <c r="H100" s="376">
        <f ca="1">-IF(H24=0,0,($G$20+SUM($G$62:G$62))*'1.1 Control Panel'!$G$12/12)</f>
        <v>0</v>
      </c>
      <c r="I100" s="376">
        <f ca="1">-IF(I24=0,0,($G$20+SUM($G$62:H$62))*'1.1 Control Panel'!$G$12/12)</f>
        <v>0</v>
      </c>
      <c r="J100" s="376">
        <f ca="1">-IF(J24=0,0,($G$20+SUM($G$62:I$62))*'1.1 Control Panel'!$G$12/12)</f>
        <v>0</v>
      </c>
      <c r="K100" s="376">
        <f ca="1">-IF(K24=0,0,($G$20+SUM($G$62:J$62))*'1.1 Control Panel'!$G$12/12)</f>
        <v>0</v>
      </c>
      <c r="L100" s="376">
        <f ca="1">-IF(L24=0,0,($G$20+SUM($G$62:K$62))*'1.1 Control Panel'!$G$12/12)</f>
        <v>0</v>
      </c>
      <c r="M100" s="376">
        <f ca="1">-IF(M24=0,0,($G$20+SUM($G$62:L$62))*'1.1 Control Panel'!$G$12/12)</f>
        <v>0</v>
      </c>
      <c r="N100" s="376">
        <f ca="1">-IF(N24=0,0,($G$20+SUM($G$62:M$62))*'1.1 Control Panel'!$G$12/12)</f>
        <v>0</v>
      </c>
      <c r="O100" s="376">
        <f ca="1">-IF(O24=0,0,($G$20+SUM($G$62:N$62))*'1.1 Control Panel'!$G$12/12)</f>
        <v>0</v>
      </c>
      <c r="P100" s="376">
        <f ca="1">-IF(P24=0,0,($G$20+SUM($G$62:O$62))*'1.1 Control Panel'!$G$12/12)</f>
        <v>0</v>
      </c>
      <c r="Q100" s="376">
        <f ca="1">-IF(Q24=0,0,($G$20+SUM($G$62:P$62))*'1.1 Control Panel'!$G$12/12)</f>
        <v>0</v>
      </c>
      <c r="R100" s="376">
        <f ca="1">-IF(R24=0,0,($G$20+SUM($G$62:Q$62))*'1.1 Control Panel'!$G$12/12)</f>
        <v>0</v>
      </c>
      <c r="S100" s="376">
        <f ca="1">-IF(S24=0,0,($G$20+SUM($G$62:R$62))*'1.1 Control Panel'!$G$12/12)</f>
        <v>0</v>
      </c>
      <c r="T100" s="376">
        <f ca="1">-IF(T24=0,0,($G$20+SUM($G$62:S$62))*'1.1 Control Panel'!$G$12/12)</f>
        <v>0</v>
      </c>
      <c r="U100" s="376">
        <f ca="1">-IF(U24=0,0,($G$20+SUM($G$62:T$62))*'1.1 Control Panel'!$G$12/12)</f>
        <v>0</v>
      </c>
      <c r="V100" s="376">
        <f ca="1">-IF(V24=0,0,($G$20+SUM($G$62:U$62))*'1.1 Control Panel'!$G$12/12)</f>
        <v>0</v>
      </c>
      <c r="W100" s="376">
        <f ca="1">-IF(W24=0,0,($G$20+SUM($G$62:V$62))*'1.1 Control Panel'!$G$12/12)</f>
        <v>0</v>
      </c>
      <c r="X100" s="376">
        <f ca="1">-IF(X24=0,0,($G$20+SUM($G$62:W$62))*'1.1 Control Panel'!$G$12/12)</f>
        <v>0</v>
      </c>
      <c r="Y100" s="376">
        <f ca="1">-IF(Y24=0,0,($G$20+SUM($G$62:X$62))*'1.1 Control Panel'!$G$12/12)</f>
        <v>0</v>
      </c>
      <c r="Z100" s="376">
        <f ca="1">-IF(Z24=0,0,($G$20+SUM($G$62:Y$62))*'1.1 Control Panel'!$G$12/12)</f>
        <v>0</v>
      </c>
      <c r="AA100" s="376">
        <f ca="1">-IF(AA24=0,0,($G$20+SUM($G$62:Z$62))*'1.1 Control Panel'!$G$12/12)</f>
        <v>0</v>
      </c>
      <c r="AB100" s="376">
        <f ca="1">-IF(AB24=0,0,($G$20+SUM($G$62:AA$62))*'1.1 Control Panel'!$G$12/12)</f>
        <v>0</v>
      </c>
      <c r="AC100" s="376">
        <f ca="1">-IF(AC24=0,0,($G$20+SUM($G$62:AB$62))*'1.1 Control Panel'!$G$12/12)</f>
        <v>0</v>
      </c>
      <c r="AD100" s="376">
        <f ca="1">-IF(AD24=0,0,($G$20+SUM($G$62:AC$62))*'1.1 Control Panel'!$G$12/12)</f>
        <v>0</v>
      </c>
      <c r="AE100" s="376">
        <f ca="1">-IF(AE24=0,0,($G$20+SUM($G$62:AD$62))*'1.1 Control Panel'!$G$12/12)</f>
        <v>0</v>
      </c>
      <c r="AF100" s="376">
        <f ca="1">-IF(AF24=0,0,($G$20+SUM($G$62:AE$62))*'1.1 Control Panel'!$G$12/12)</f>
        <v>0</v>
      </c>
      <c r="AG100" s="376">
        <f ca="1">-IF(AG24=0,0,($G$20+SUM($G$62:AF$62))*'1.1 Control Panel'!$G$12/12)</f>
        <v>0</v>
      </c>
      <c r="AH100" s="376">
        <f ca="1">-IF(AH24=0,0,($G$20+SUM($G$62:AG$62))*'1.1 Control Panel'!$G$12/12)</f>
        <v>0</v>
      </c>
      <c r="AI100" s="376">
        <f ca="1">-IF(AI24=0,0,($G$20+SUM($G$62:AH$62))*'1.1 Control Panel'!$G$12/12)</f>
        <v>0</v>
      </c>
      <c r="AJ100" s="376">
        <f ca="1">-IF(AJ24=0,0,($G$20+SUM($G$62:AI$62))*'1.1 Control Panel'!$G$12/12)</f>
        <v>0</v>
      </c>
      <c r="AK100" s="376">
        <f ca="1">-IF(AK24=0,0,($G$20+SUM($G$62:AJ$62))*'1.1 Control Panel'!$G$12/12)</f>
        <v>0</v>
      </c>
      <c r="AL100" s="376">
        <f ca="1">-IF(AL24=0,0,($G$20+SUM($G$62:AK$62))*'1.1 Control Panel'!$G$12/12)</f>
        <v>0</v>
      </c>
      <c r="AM100" s="376">
        <f ca="1">-IF(AM24=0,0,($G$20+SUM($G$62:AL$62))*'1.1 Control Panel'!$G$12/12)</f>
        <v>0</v>
      </c>
      <c r="AN100" s="376">
        <f ca="1">-IF(AN24=0,0,($G$20+SUM($G$62:AM$62))*'1.1 Control Panel'!$G$12/12)</f>
        <v>0</v>
      </c>
      <c r="AP100" s="21"/>
    </row>
    <row r="101" spans="3:42" ht="11.5" customHeight="1" x14ac:dyDescent="0.25">
      <c r="C101" s="659">
        <v>45777</v>
      </c>
      <c r="D101" s="38" t="s">
        <v>46</v>
      </c>
      <c r="E101" s="376"/>
      <c r="F101" s="376"/>
      <c r="G101" s="376"/>
      <c r="H101" s="376">
        <f ca="1">-H20*'1.1 Control Panel'!H12/12</f>
        <v>0</v>
      </c>
      <c r="I101" s="376">
        <f ca="1">-IF(I25=0,0,($H$20+SUM($H$63:H$63))*'1.1 Control Panel'!$H$12/12)</f>
        <v>0</v>
      </c>
      <c r="J101" s="376">
        <f ca="1">-IF(J25=0,0,($H$20+SUM($H$63:I$63))*'1.1 Control Panel'!$H$12/12)</f>
        <v>0</v>
      </c>
      <c r="K101" s="376">
        <f ca="1">-IF(K25=0,0,($H$20+SUM($H$63:J$63))*'1.1 Control Panel'!$H$12/12)</f>
        <v>0</v>
      </c>
      <c r="L101" s="376">
        <f ca="1">-IF(L25=0,0,($H$20+SUM($H$63:K$63))*'1.1 Control Panel'!$H$12/12)</f>
        <v>0</v>
      </c>
      <c r="M101" s="376">
        <f ca="1">-IF(M25=0,0,($H$20+SUM($H$63:L$63))*'1.1 Control Panel'!$H$12/12)</f>
        <v>0</v>
      </c>
      <c r="N101" s="376">
        <f ca="1">-IF(N25=0,0,($H$20+SUM($H$63:M$63))*'1.1 Control Panel'!$H$12/12)</f>
        <v>0</v>
      </c>
      <c r="O101" s="376">
        <f ca="1">-IF(O25=0,0,($H$20+SUM($H$63:N$63))*'1.1 Control Panel'!$H$12/12)</f>
        <v>0</v>
      </c>
      <c r="P101" s="376">
        <f ca="1">-IF(P25=0,0,($H$20+SUM($H$63:O$63))*'1.1 Control Panel'!$H$12/12)</f>
        <v>0</v>
      </c>
      <c r="Q101" s="376">
        <f ca="1">-IF(Q25=0,0,($H$20+SUM($H$63:P$63))*'1.1 Control Panel'!$H$12/12)</f>
        <v>0</v>
      </c>
      <c r="R101" s="376">
        <f ca="1">-IF(R25=0,0,($H$20+SUM($H$63:Q$63))*'1.1 Control Panel'!$H$12/12)</f>
        <v>0</v>
      </c>
      <c r="S101" s="376">
        <f ca="1">-IF(S25=0,0,($H$20+SUM($H$63:R$63))*'1.1 Control Panel'!$H$12/12)</f>
        <v>0</v>
      </c>
      <c r="T101" s="376">
        <f ca="1">-IF(T25=0,0,($H$20+SUM($H$63:S$63))*'1.1 Control Panel'!$H$12/12)</f>
        <v>0</v>
      </c>
      <c r="U101" s="376">
        <f ca="1">-IF(U25=0,0,($H$20+SUM($H$63:T$63))*'1.1 Control Panel'!$H$12/12)</f>
        <v>0</v>
      </c>
      <c r="V101" s="376">
        <f ca="1">-IF(V25=0,0,($H$20+SUM($H$63:U$63))*'1.1 Control Panel'!$H$12/12)</f>
        <v>0</v>
      </c>
      <c r="W101" s="376">
        <f ca="1">-IF(W25=0,0,($H$20+SUM($H$63:V$63))*'1.1 Control Panel'!$H$12/12)</f>
        <v>0</v>
      </c>
      <c r="X101" s="376">
        <f ca="1">-IF(X25=0,0,($H$20+SUM($H$63:W$63))*'1.1 Control Panel'!$H$12/12)</f>
        <v>0</v>
      </c>
      <c r="Y101" s="376">
        <f ca="1">-IF(Y25=0,0,($H$20+SUM($H$63:X$63))*'1.1 Control Panel'!$H$12/12)</f>
        <v>0</v>
      </c>
      <c r="Z101" s="376">
        <f ca="1">-IF(Z25=0,0,($H$20+SUM($H$63:Y$63))*'1.1 Control Panel'!$H$12/12)</f>
        <v>0</v>
      </c>
      <c r="AA101" s="376">
        <f ca="1">-IF(AA25=0,0,($H$20+SUM($H$63:Z$63))*'1.1 Control Panel'!$H$12/12)</f>
        <v>0</v>
      </c>
      <c r="AB101" s="376">
        <f ca="1">-IF(AB25=0,0,($H$20+SUM($H$63:AA$63))*'1.1 Control Panel'!$H$12/12)</f>
        <v>0</v>
      </c>
      <c r="AC101" s="376">
        <f ca="1">-IF(AC25=0,0,($H$20+SUM($H$63:AB$63))*'1.1 Control Panel'!$H$12/12)</f>
        <v>0</v>
      </c>
      <c r="AD101" s="376">
        <f ca="1">-IF(AD25=0,0,($H$20+SUM($H$63:AC$63))*'1.1 Control Panel'!$H$12/12)</f>
        <v>0</v>
      </c>
      <c r="AE101" s="376">
        <f ca="1">-IF(AE25=0,0,($H$20+SUM($H$63:AD$63))*'1.1 Control Panel'!$H$12/12)</f>
        <v>0</v>
      </c>
      <c r="AF101" s="376">
        <f ca="1">-IF(AF25=0,0,($H$20+SUM($H$63:AE$63))*'1.1 Control Panel'!$H$12/12)</f>
        <v>0</v>
      </c>
      <c r="AG101" s="376">
        <f ca="1">-IF(AG25=0,0,($H$20+SUM($H$63:AF$63))*'1.1 Control Panel'!$H$12/12)</f>
        <v>0</v>
      </c>
      <c r="AH101" s="376">
        <f ca="1">-IF(AH25=0,0,($H$20+SUM($H$63:AG$63))*'1.1 Control Panel'!$H$12/12)</f>
        <v>0</v>
      </c>
      <c r="AI101" s="376">
        <f ca="1">-IF(AI25=0,0,($H$20+SUM($H$63:AH$63))*'1.1 Control Panel'!$H$12/12)</f>
        <v>0</v>
      </c>
      <c r="AJ101" s="376">
        <f ca="1">-IF(AJ25=0,0,($H$20+SUM($H$63:AI$63))*'1.1 Control Panel'!$H$12/12)</f>
        <v>0</v>
      </c>
      <c r="AK101" s="376">
        <f ca="1">-IF(AK25=0,0,($H$20+SUM($H$63:AJ$63))*'1.1 Control Panel'!$H$12/12)</f>
        <v>0</v>
      </c>
      <c r="AL101" s="376">
        <f ca="1">-IF(AL25=0,0,($H$20+SUM($H$63:AK$63))*'1.1 Control Panel'!$H$12/12)</f>
        <v>0</v>
      </c>
      <c r="AM101" s="376">
        <f ca="1">-IF(AM25=0,0,($H$20+SUM($H$63:AL$63))*'1.1 Control Panel'!$H$12/12)</f>
        <v>0</v>
      </c>
      <c r="AN101" s="376">
        <f ca="1">-IF(AN25=0,0,($H$20+SUM($H$63:AM$63))*'1.1 Control Panel'!$H$12/12)</f>
        <v>0</v>
      </c>
      <c r="AP101" s="21"/>
    </row>
    <row r="102" spans="3:42" ht="11.5" customHeight="1" x14ac:dyDescent="0.25">
      <c r="C102" s="659">
        <v>45808</v>
      </c>
      <c r="D102" s="38" t="s">
        <v>46</v>
      </c>
      <c r="E102" s="376"/>
      <c r="F102" s="376"/>
      <c r="G102" s="376"/>
      <c r="H102" s="376"/>
      <c r="I102" s="376">
        <f ca="1">-I20*'1.1 Control Panel'!I12/12</f>
        <v>0</v>
      </c>
      <c r="J102" s="376">
        <f ca="1">-IF(J26=0,0,($I$20+SUM($I$64:I$64))*'1.1 Control Panel'!$I$12/12)</f>
        <v>0</v>
      </c>
      <c r="K102" s="376">
        <f ca="1">-IF(K26=0,0,($I$20+SUM($I$64:J$64))*'1.1 Control Panel'!$I$12/12)</f>
        <v>0</v>
      </c>
      <c r="L102" s="376">
        <f ca="1">-IF(L26=0,0,($I$20+SUM($I$64:K$64))*'1.1 Control Panel'!$I$12/12)</f>
        <v>0</v>
      </c>
      <c r="M102" s="376">
        <f ca="1">-IF(M26=0,0,($I$20+SUM($I$64:L$64))*'1.1 Control Panel'!$I$12/12)</f>
        <v>0</v>
      </c>
      <c r="N102" s="376">
        <f ca="1">-IF(N26=0,0,($I$20+SUM($I$64:M$64))*'1.1 Control Panel'!$I$12/12)</f>
        <v>0</v>
      </c>
      <c r="O102" s="376">
        <f ca="1">-IF(O26=0,0,($I$20+SUM($I$64:N$64))*'1.1 Control Panel'!$I$12/12)</f>
        <v>0</v>
      </c>
      <c r="P102" s="376">
        <f ca="1">-IF(P26=0,0,($I$20+SUM($I$64:O$64))*'1.1 Control Panel'!$I$12/12)</f>
        <v>0</v>
      </c>
      <c r="Q102" s="376">
        <f ca="1">-IF(Q26=0,0,($I$20+SUM($I$64:P$64))*'1.1 Control Panel'!$I$12/12)</f>
        <v>0</v>
      </c>
      <c r="R102" s="376">
        <f ca="1">-IF(R26=0,0,($I$20+SUM($I$64:Q$64))*'1.1 Control Panel'!$I$12/12)</f>
        <v>0</v>
      </c>
      <c r="S102" s="376">
        <f ca="1">-IF(S26=0,0,($I$20+SUM($I$64:R$64))*'1.1 Control Panel'!$I$12/12)</f>
        <v>0</v>
      </c>
      <c r="T102" s="376">
        <f ca="1">-IF(T26=0,0,($I$20+SUM($I$64:S$64))*'1.1 Control Panel'!$I$12/12)</f>
        <v>0</v>
      </c>
      <c r="U102" s="376">
        <f ca="1">-IF(U26=0,0,($I$20+SUM($I$64:T$64))*'1.1 Control Panel'!$I$12/12)</f>
        <v>0</v>
      </c>
      <c r="V102" s="376">
        <f ca="1">-IF(V26=0,0,($I$20+SUM($I$64:U$64))*'1.1 Control Panel'!$I$12/12)</f>
        <v>0</v>
      </c>
      <c r="W102" s="376">
        <f ca="1">-IF(W26=0,0,($I$20+SUM($I$64:V$64))*'1.1 Control Panel'!$I$12/12)</f>
        <v>0</v>
      </c>
      <c r="X102" s="376">
        <f ca="1">-IF(X26=0,0,($I$20+SUM($I$64:W$64))*'1.1 Control Panel'!$I$12/12)</f>
        <v>0</v>
      </c>
      <c r="Y102" s="376">
        <f ca="1">-IF(Y26=0,0,($I$20+SUM($I$64:X$64))*'1.1 Control Panel'!$I$12/12)</f>
        <v>0</v>
      </c>
      <c r="Z102" s="376">
        <f ca="1">-IF(Z26=0,0,($I$20+SUM($I$64:Y$64))*'1.1 Control Panel'!$I$12/12)</f>
        <v>0</v>
      </c>
      <c r="AA102" s="376">
        <f ca="1">-IF(AA26=0,0,($I$20+SUM($I$64:Z$64))*'1.1 Control Panel'!$I$12/12)</f>
        <v>0</v>
      </c>
      <c r="AB102" s="376">
        <f ca="1">-IF(AB26=0,0,($I$20+SUM($I$64:AA$64))*'1.1 Control Panel'!$I$12/12)</f>
        <v>0</v>
      </c>
      <c r="AC102" s="376">
        <f ca="1">-IF(AC26=0,0,($I$20+SUM($I$64:AB$64))*'1.1 Control Panel'!$I$12/12)</f>
        <v>0</v>
      </c>
      <c r="AD102" s="376">
        <f ca="1">-IF(AD26=0,0,($I$20+SUM($I$64:AC$64))*'1.1 Control Panel'!$I$12/12)</f>
        <v>0</v>
      </c>
      <c r="AE102" s="376">
        <f ca="1">-IF(AE26=0,0,($I$20+SUM($I$64:AD$64))*'1.1 Control Panel'!$I$12/12)</f>
        <v>0</v>
      </c>
      <c r="AF102" s="376">
        <f ca="1">-IF(AF26=0,0,($I$20+SUM($I$64:AE$64))*'1.1 Control Panel'!$I$12/12)</f>
        <v>0</v>
      </c>
      <c r="AG102" s="376">
        <f ca="1">-IF(AG26=0,0,($I$20+SUM($I$64:AF$64))*'1.1 Control Panel'!$I$12/12)</f>
        <v>0</v>
      </c>
      <c r="AH102" s="376">
        <f ca="1">-IF(AH26=0,0,($I$20+SUM($I$64:AG$64))*'1.1 Control Panel'!$I$12/12)</f>
        <v>0</v>
      </c>
      <c r="AI102" s="376">
        <f ca="1">-IF(AI26=0,0,($I$20+SUM($I$64:AH$64))*'1.1 Control Panel'!$I$12/12)</f>
        <v>0</v>
      </c>
      <c r="AJ102" s="376">
        <f ca="1">-IF(AJ26=0,0,($I$20+SUM($I$64:AI$64))*'1.1 Control Panel'!$I$12/12)</f>
        <v>0</v>
      </c>
      <c r="AK102" s="376">
        <f ca="1">-IF(AK26=0,0,($I$20+SUM($I$64:AJ$64))*'1.1 Control Panel'!$I$12/12)</f>
        <v>0</v>
      </c>
      <c r="AL102" s="376">
        <f ca="1">-IF(AL26=0,0,($I$20+SUM($I$64:AK$64))*'1.1 Control Panel'!$I$12/12)</f>
        <v>0</v>
      </c>
      <c r="AM102" s="376">
        <f ca="1">-IF(AM26=0,0,($I$20+SUM($I$64:AL$64))*'1.1 Control Panel'!$I$12/12)</f>
        <v>0</v>
      </c>
      <c r="AN102" s="376">
        <f ca="1">-IF(AN26=0,0,($I$20+SUM($I$64:AM$64))*'1.1 Control Panel'!$I$12/12)</f>
        <v>0</v>
      </c>
      <c r="AP102" s="21"/>
    </row>
    <row r="103" spans="3:42" ht="11.5" customHeight="1" x14ac:dyDescent="0.25">
      <c r="C103" s="659">
        <v>45838</v>
      </c>
      <c r="D103" s="38" t="s">
        <v>46</v>
      </c>
      <c r="E103" s="376"/>
      <c r="F103" s="376"/>
      <c r="G103" s="376"/>
      <c r="H103" s="376"/>
      <c r="I103" s="376"/>
      <c r="J103" s="376">
        <f ca="1">-J20*'1.1 Control Panel'!J12/12</f>
        <v>0</v>
      </c>
      <c r="K103" s="376">
        <f ca="1">-IF(K27=0,0,($J$20+SUM($J$65:J$65))*'1.1 Control Panel'!$J$12/12)</f>
        <v>0</v>
      </c>
      <c r="L103" s="376">
        <f ca="1">-IF(L27=0,0,($J$20+SUM($J$65:K$65))*'1.1 Control Panel'!$J$12/12)</f>
        <v>0</v>
      </c>
      <c r="M103" s="376">
        <f ca="1">-IF(M27=0,0,($J$20+SUM($J$65:L$65))*'1.1 Control Panel'!$J$12/12)</f>
        <v>0</v>
      </c>
      <c r="N103" s="376">
        <f ca="1">-IF(N27=0,0,($J$20+SUM($J$65:M$65))*'1.1 Control Panel'!$J$12/12)</f>
        <v>0</v>
      </c>
      <c r="O103" s="376">
        <f ca="1">-IF(O27=0,0,($J$20+SUM($J$65:N$65))*'1.1 Control Panel'!$J$12/12)</f>
        <v>0</v>
      </c>
      <c r="P103" s="376">
        <f ca="1">-IF(P27=0,0,($J$20+SUM($J$65:O$65))*'1.1 Control Panel'!$J$12/12)</f>
        <v>0</v>
      </c>
      <c r="Q103" s="376">
        <f ca="1">-IF(Q27=0,0,($J$20+SUM($J$65:P$65))*'1.1 Control Panel'!$J$12/12)</f>
        <v>0</v>
      </c>
      <c r="R103" s="376">
        <f ca="1">-IF(R27=0,0,($J$20+SUM($J$65:Q$65))*'1.1 Control Panel'!$J$12/12)</f>
        <v>0</v>
      </c>
      <c r="S103" s="376">
        <f ca="1">-IF(S27=0,0,($J$20+SUM($J$65:R$65))*'1.1 Control Panel'!$J$12/12)</f>
        <v>0</v>
      </c>
      <c r="T103" s="376">
        <f ca="1">-IF(T27=0,0,($J$20+SUM($J$65:S$65))*'1.1 Control Panel'!$J$12/12)</f>
        <v>0</v>
      </c>
      <c r="U103" s="376">
        <f ca="1">-IF(U27=0,0,($J$20+SUM($J$65:T$65))*'1.1 Control Panel'!$J$12/12)</f>
        <v>0</v>
      </c>
      <c r="V103" s="376">
        <f ca="1">-IF(V27=0,0,($J$20+SUM($J$65:U$65))*'1.1 Control Panel'!$J$12/12)</f>
        <v>0</v>
      </c>
      <c r="W103" s="376">
        <f ca="1">-IF(W27=0,0,($J$20+SUM($J$65:V$65))*'1.1 Control Panel'!$J$12/12)</f>
        <v>0</v>
      </c>
      <c r="X103" s="376">
        <f ca="1">-IF(X27=0,0,($J$20+SUM($J$65:W$65))*'1.1 Control Panel'!$J$12/12)</f>
        <v>0</v>
      </c>
      <c r="Y103" s="376">
        <f ca="1">-IF(Y27=0,0,($J$20+SUM($J$65:X$65))*'1.1 Control Panel'!$J$12/12)</f>
        <v>0</v>
      </c>
      <c r="Z103" s="376">
        <f ca="1">-IF(Z27=0,0,($J$20+SUM($J$65:Y$65))*'1.1 Control Panel'!$J$12/12)</f>
        <v>0</v>
      </c>
      <c r="AA103" s="376">
        <f ca="1">-IF(AA27=0,0,($J$20+SUM($J$65:Z$65))*'1.1 Control Panel'!$J$12/12)</f>
        <v>0</v>
      </c>
      <c r="AB103" s="376">
        <f ca="1">-IF(AB27=0,0,($J$20+SUM($J$65:AA$65))*'1.1 Control Panel'!$J$12/12)</f>
        <v>0</v>
      </c>
      <c r="AC103" s="376">
        <f ca="1">-IF(AC27=0,0,($J$20+SUM($J$65:AB$65))*'1.1 Control Panel'!$J$12/12)</f>
        <v>0</v>
      </c>
      <c r="AD103" s="376">
        <f ca="1">-IF(AD27=0,0,($J$20+SUM($J$65:AC$65))*'1.1 Control Panel'!$J$12/12)</f>
        <v>0</v>
      </c>
      <c r="AE103" s="376">
        <f ca="1">-IF(AE27=0,0,($J$20+SUM($J$65:AD$65))*'1.1 Control Panel'!$J$12/12)</f>
        <v>0</v>
      </c>
      <c r="AF103" s="376">
        <f ca="1">-IF(AF27=0,0,($J$20+SUM($J$65:AE$65))*'1.1 Control Panel'!$J$12/12)</f>
        <v>0</v>
      </c>
      <c r="AG103" s="376">
        <f ca="1">-IF(AG27=0,0,($J$20+SUM($J$65:AF$65))*'1.1 Control Panel'!$J$12/12)</f>
        <v>0</v>
      </c>
      <c r="AH103" s="376">
        <f ca="1">-IF(AH27=0,0,($J$20+SUM($J$65:AG$65))*'1.1 Control Panel'!$J$12/12)</f>
        <v>0</v>
      </c>
      <c r="AI103" s="376">
        <f ca="1">-IF(AI27=0,0,($J$20+SUM($J$65:AH$65))*'1.1 Control Panel'!$J$12/12)</f>
        <v>0</v>
      </c>
      <c r="AJ103" s="376">
        <f ca="1">-IF(AJ27=0,0,($J$20+SUM($J$65:AI$65))*'1.1 Control Panel'!$J$12/12)</f>
        <v>0</v>
      </c>
      <c r="AK103" s="376">
        <f ca="1">-IF(AK27=0,0,($J$20+SUM($J$65:AJ$65))*'1.1 Control Panel'!$J$12/12)</f>
        <v>0</v>
      </c>
      <c r="AL103" s="376">
        <f ca="1">-IF(AL27=0,0,($J$20+SUM($J$65:AK$65))*'1.1 Control Panel'!$J$12/12)</f>
        <v>0</v>
      </c>
      <c r="AM103" s="376">
        <f ca="1">-IF(AM27=0,0,($J$20+SUM($J$65:AL$65))*'1.1 Control Panel'!$J$12/12)</f>
        <v>0</v>
      </c>
      <c r="AN103" s="376">
        <f ca="1">-IF(AN27=0,0,($J$20+SUM($J$65:AM$65))*'1.1 Control Panel'!$J$12/12)</f>
        <v>0</v>
      </c>
      <c r="AP103" s="21"/>
    </row>
    <row r="104" spans="3:42" ht="11.5" customHeight="1" x14ac:dyDescent="0.25">
      <c r="C104" s="659">
        <v>45869</v>
      </c>
      <c r="D104" s="38" t="s">
        <v>46</v>
      </c>
      <c r="E104" s="376"/>
      <c r="F104" s="376"/>
      <c r="G104" s="376"/>
      <c r="H104" s="376"/>
      <c r="I104" s="376"/>
      <c r="J104" s="376"/>
      <c r="K104" s="376">
        <f ca="1">-K20*'1.1 Control Panel'!K12/12</f>
        <v>0</v>
      </c>
      <c r="L104" s="376">
        <f ca="1">-IF(L28=0,0,($K$20+SUM($K$66:K$66))*'1.1 Control Panel'!$K$12/12)</f>
        <v>0</v>
      </c>
      <c r="M104" s="376">
        <f ca="1">-IF(M28=0,0,($K$20+SUM($K$66:L$66))*'1.1 Control Panel'!$K$12/12)</f>
        <v>0</v>
      </c>
      <c r="N104" s="376">
        <f ca="1">-IF(N28=0,0,($K$20+SUM($K$66:M$66))*'1.1 Control Panel'!$K$12/12)</f>
        <v>0</v>
      </c>
      <c r="O104" s="376">
        <f ca="1">-IF(O28=0,0,($K$20+SUM($K$66:N$66))*'1.1 Control Panel'!$K$12/12)</f>
        <v>0</v>
      </c>
      <c r="P104" s="376">
        <f ca="1">-IF(P28=0,0,($K$20+SUM($K$66:O$66))*'1.1 Control Panel'!$K$12/12)</f>
        <v>0</v>
      </c>
      <c r="Q104" s="376">
        <f ca="1">-IF(Q28=0,0,($K$20+SUM($K$66:P$66))*'1.1 Control Panel'!$K$12/12)</f>
        <v>0</v>
      </c>
      <c r="R104" s="376">
        <f ca="1">-IF(R28=0,0,($K$20+SUM($K$66:Q$66))*'1.1 Control Panel'!$K$12/12)</f>
        <v>0</v>
      </c>
      <c r="S104" s="376">
        <f ca="1">-IF(S28=0,0,($K$20+SUM($K$66:R$66))*'1.1 Control Panel'!$K$12/12)</f>
        <v>0</v>
      </c>
      <c r="T104" s="376">
        <f ca="1">-IF(T28=0,0,($K$20+SUM($K$66:S$66))*'1.1 Control Panel'!$K$12/12)</f>
        <v>0</v>
      </c>
      <c r="U104" s="376">
        <f ca="1">-IF(U28=0,0,($K$20+SUM($K$66:T$66))*'1.1 Control Panel'!$K$12/12)</f>
        <v>0</v>
      </c>
      <c r="V104" s="376">
        <f ca="1">-IF(V28=0,0,($K$20+SUM($K$66:U$66))*'1.1 Control Panel'!$K$12/12)</f>
        <v>0</v>
      </c>
      <c r="W104" s="376">
        <f ca="1">-IF(W28=0,0,($K$20+SUM($K$66:V$66))*'1.1 Control Panel'!$K$12/12)</f>
        <v>0</v>
      </c>
      <c r="X104" s="376">
        <f ca="1">-IF(X28=0,0,($K$20+SUM($K$66:W$66))*'1.1 Control Panel'!$K$12/12)</f>
        <v>0</v>
      </c>
      <c r="Y104" s="376">
        <f ca="1">-IF(Y28=0,0,($K$20+SUM($K$66:X$66))*'1.1 Control Panel'!$K$12/12)</f>
        <v>0</v>
      </c>
      <c r="Z104" s="376">
        <f ca="1">-IF(Z28=0,0,($K$20+SUM($K$66:Y$66))*'1.1 Control Panel'!$K$12/12)</f>
        <v>0</v>
      </c>
      <c r="AA104" s="376">
        <f ca="1">-IF(AA28=0,0,($K$20+SUM($K$66:Z$66))*'1.1 Control Panel'!$K$12/12)</f>
        <v>0</v>
      </c>
      <c r="AB104" s="376">
        <f ca="1">-IF(AB28=0,0,($K$20+SUM($K$66:AA$66))*'1.1 Control Panel'!$K$12/12)</f>
        <v>0</v>
      </c>
      <c r="AC104" s="376">
        <f ca="1">-IF(AC28=0,0,($K$20+SUM($K$66:AB$66))*'1.1 Control Panel'!$K$12/12)</f>
        <v>0</v>
      </c>
      <c r="AD104" s="376">
        <f ca="1">-IF(AD28=0,0,($K$20+SUM($K$66:AC$66))*'1.1 Control Panel'!$K$12/12)</f>
        <v>0</v>
      </c>
      <c r="AE104" s="376">
        <f ca="1">-IF(AE28=0,0,($K$20+SUM($K$66:AD$66))*'1.1 Control Panel'!$K$12/12)</f>
        <v>0</v>
      </c>
      <c r="AF104" s="376">
        <f ca="1">-IF(AF28=0,0,($K$20+SUM($K$66:AE$66))*'1.1 Control Panel'!$K$12/12)</f>
        <v>0</v>
      </c>
      <c r="AG104" s="376">
        <f ca="1">-IF(AG28=0,0,($K$20+SUM($K$66:AF$66))*'1.1 Control Panel'!$K$12/12)</f>
        <v>0</v>
      </c>
      <c r="AH104" s="376">
        <f ca="1">-IF(AH28=0,0,($K$20+SUM($K$66:AG$66))*'1.1 Control Panel'!$K$12/12)</f>
        <v>0</v>
      </c>
      <c r="AI104" s="376">
        <f ca="1">-IF(AI28=0,0,($K$20+SUM($K$66:AH$66))*'1.1 Control Panel'!$K$12/12)</f>
        <v>0</v>
      </c>
      <c r="AJ104" s="376">
        <f ca="1">-IF(AJ28=0,0,($K$20+SUM($K$66:AI$66))*'1.1 Control Panel'!$K$12/12)</f>
        <v>0</v>
      </c>
      <c r="AK104" s="376">
        <f ca="1">-IF(AK28=0,0,($K$20+SUM($K$66:AJ$66))*'1.1 Control Panel'!$K$12/12)</f>
        <v>0</v>
      </c>
      <c r="AL104" s="376">
        <f ca="1">-IF(AL28=0,0,($K$20+SUM($K$66:AK$66))*'1.1 Control Panel'!$K$12/12)</f>
        <v>0</v>
      </c>
      <c r="AM104" s="376">
        <f ca="1">-IF(AM28=0,0,($K$20+SUM($K$66:AL$66))*'1.1 Control Panel'!$K$12/12)</f>
        <v>0</v>
      </c>
      <c r="AN104" s="376">
        <f ca="1">-IF(AN28=0,0,($K$20+SUM($K$66:AM$66))*'1.1 Control Panel'!$K$12/12)</f>
        <v>0</v>
      </c>
      <c r="AP104" s="21"/>
    </row>
    <row r="105" spans="3:42" ht="11.5" customHeight="1" x14ac:dyDescent="0.25">
      <c r="C105" s="659">
        <v>45900</v>
      </c>
      <c r="D105" s="38" t="s">
        <v>46</v>
      </c>
      <c r="E105" s="376"/>
      <c r="F105" s="376"/>
      <c r="G105" s="376"/>
      <c r="H105" s="376"/>
      <c r="I105" s="376"/>
      <c r="J105" s="376"/>
      <c r="K105" s="376"/>
      <c r="L105" s="376">
        <f ca="1">-L20*'1.1 Control Panel'!L12/12</f>
        <v>0</v>
      </c>
      <c r="M105" s="376">
        <f ca="1">-IF(M29=0,0,($L$20+SUM($L$67:L$67))*'1.1 Control Panel'!$L$12/12)</f>
        <v>0</v>
      </c>
      <c r="N105" s="376">
        <f ca="1">-IF(N29=0,0,($L$20+SUM($L$67:M$67))*'1.1 Control Panel'!$L$12/12)</f>
        <v>0</v>
      </c>
      <c r="O105" s="376">
        <f ca="1">-IF(O29=0,0,($L$20+SUM($L$67:N$67))*'1.1 Control Panel'!$L$12/12)</f>
        <v>0</v>
      </c>
      <c r="P105" s="376">
        <f ca="1">-IF(P29=0,0,($L$20+SUM($L$67:O$67))*'1.1 Control Panel'!$L$12/12)</f>
        <v>0</v>
      </c>
      <c r="Q105" s="376">
        <f ca="1">-IF(Q29=0,0,($L$20+SUM($L$67:P$67))*'1.1 Control Panel'!$L$12/12)</f>
        <v>0</v>
      </c>
      <c r="R105" s="376">
        <f ca="1">-IF(R29=0,0,($L$20+SUM($L$67:Q$67))*'1.1 Control Panel'!$L$12/12)</f>
        <v>0</v>
      </c>
      <c r="S105" s="376">
        <f ca="1">-IF(S29=0,0,($L$20+SUM($L$67:R$67))*'1.1 Control Panel'!$L$12/12)</f>
        <v>0</v>
      </c>
      <c r="T105" s="376">
        <f ca="1">-IF(T29=0,0,($L$20+SUM($L$67:S$67))*'1.1 Control Panel'!$L$12/12)</f>
        <v>0</v>
      </c>
      <c r="U105" s="376">
        <f ca="1">-IF(U29=0,0,($L$20+SUM($L$67:T$67))*'1.1 Control Panel'!$L$12/12)</f>
        <v>0</v>
      </c>
      <c r="V105" s="376">
        <f ca="1">-IF(V29=0,0,($L$20+SUM($L$67:U$67))*'1.1 Control Panel'!$L$12/12)</f>
        <v>0</v>
      </c>
      <c r="W105" s="376">
        <f ca="1">-IF(W29=0,0,($L$20+SUM($L$67:V$67))*'1.1 Control Panel'!$L$12/12)</f>
        <v>0</v>
      </c>
      <c r="X105" s="376">
        <f ca="1">-IF(X29=0,0,($L$20+SUM($L$67:W$67))*'1.1 Control Panel'!$L$12/12)</f>
        <v>0</v>
      </c>
      <c r="Y105" s="376">
        <f ca="1">-IF(Y29=0,0,($L$20+SUM($L$67:X$67))*'1.1 Control Panel'!$L$12/12)</f>
        <v>0</v>
      </c>
      <c r="Z105" s="376">
        <f ca="1">-IF(Z29=0,0,($L$20+SUM($L$67:Y$67))*'1.1 Control Panel'!$L$12/12)</f>
        <v>0</v>
      </c>
      <c r="AA105" s="376">
        <f ca="1">-IF(AA29=0,0,($L$20+SUM($L$67:Z$67))*'1.1 Control Panel'!$L$12/12)</f>
        <v>0</v>
      </c>
      <c r="AB105" s="376">
        <f ca="1">-IF(AB29=0,0,($L$20+SUM($L$67:AA$67))*'1.1 Control Panel'!$L$12/12)</f>
        <v>0</v>
      </c>
      <c r="AC105" s="376">
        <f ca="1">-IF(AC29=0,0,($L$20+SUM($L$67:AB$67))*'1.1 Control Panel'!$L$12/12)</f>
        <v>0</v>
      </c>
      <c r="AD105" s="376">
        <f ca="1">-IF(AD29=0,0,($L$20+SUM($L$67:AC$67))*'1.1 Control Panel'!$L$12/12)</f>
        <v>0</v>
      </c>
      <c r="AE105" s="376">
        <f ca="1">-IF(AE29=0,0,($L$20+SUM($L$67:AD$67))*'1.1 Control Panel'!$L$12/12)</f>
        <v>0</v>
      </c>
      <c r="AF105" s="376">
        <f ca="1">-IF(AF29=0,0,($L$20+SUM($L$67:AE$67))*'1.1 Control Panel'!$L$12/12)</f>
        <v>0</v>
      </c>
      <c r="AG105" s="376">
        <f ca="1">-IF(AG29=0,0,($L$20+SUM($L$67:AF$67))*'1.1 Control Panel'!$L$12/12)</f>
        <v>0</v>
      </c>
      <c r="AH105" s="376">
        <f ca="1">-IF(AH29=0,0,($L$20+SUM($L$67:AG$67))*'1.1 Control Panel'!$L$12/12)</f>
        <v>0</v>
      </c>
      <c r="AI105" s="376">
        <f ca="1">-IF(AI29=0,0,($L$20+SUM($L$67:AH$67))*'1.1 Control Panel'!$L$12/12)</f>
        <v>0</v>
      </c>
      <c r="AJ105" s="376">
        <f ca="1">-IF(AJ29=0,0,($L$20+SUM($L$67:AI$67))*'1.1 Control Panel'!$L$12/12)</f>
        <v>0</v>
      </c>
      <c r="AK105" s="376">
        <f ca="1">-IF(AK29=0,0,($L$20+SUM($L$67:AJ$67))*'1.1 Control Panel'!$L$12/12)</f>
        <v>0</v>
      </c>
      <c r="AL105" s="376">
        <f ca="1">-IF(AL29=0,0,($L$20+SUM($L$67:AK$67))*'1.1 Control Panel'!$L$12/12)</f>
        <v>0</v>
      </c>
      <c r="AM105" s="376">
        <f ca="1">-IF(AM29=0,0,($L$20+SUM($L$67:AL$67))*'1.1 Control Panel'!$L$12/12)</f>
        <v>0</v>
      </c>
      <c r="AN105" s="376">
        <f ca="1">-IF(AN29=0,0,($L$20+SUM($L$67:AM$67))*'1.1 Control Panel'!$L$12/12)</f>
        <v>0</v>
      </c>
      <c r="AP105" s="21"/>
    </row>
    <row r="106" spans="3:42" ht="11.5" customHeight="1" x14ac:dyDescent="0.25">
      <c r="C106" s="659">
        <v>45930</v>
      </c>
      <c r="D106" s="38" t="s">
        <v>46</v>
      </c>
      <c r="E106" s="376"/>
      <c r="F106" s="376"/>
      <c r="G106" s="376"/>
      <c r="H106" s="376"/>
      <c r="I106" s="376"/>
      <c r="J106" s="376"/>
      <c r="K106" s="376"/>
      <c r="L106" s="376"/>
      <c r="M106" s="376">
        <f ca="1">-M20*'1.1 Control Panel'!M12/12</f>
        <v>0</v>
      </c>
      <c r="N106" s="376">
        <f ca="1">-IF(N29=0,0,($M$20+SUM($M$68:M$68))*'1.1 Control Panel'!$M$12/12)</f>
        <v>0</v>
      </c>
      <c r="O106" s="376">
        <f ca="1">-IF(O29=0,0,($M$20+SUM($M$68:N$68))*'1.1 Control Panel'!$M$12/12)</f>
        <v>0</v>
      </c>
      <c r="P106" s="376">
        <f ca="1">-IF(P29=0,0,($M$20+SUM($M$68:O$68))*'1.1 Control Panel'!$M$12/12)</f>
        <v>0</v>
      </c>
      <c r="Q106" s="376">
        <f ca="1">-IF(Q29=0,0,($M$20+SUM($M$68:P$68))*'1.1 Control Panel'!$M$12/12)</f>
        <v>0</v>
      </c>
      <c r="R106" s="376">
        <f ca="1">-IF(R29=0,0,($M$20+SUM($M$68:Q$68))*'1.1 Control Panel'!$M$12/12)</f>
        <v>0</v>
      </c>
      <c r="S106" s="376">
        <f ca="1">-IF(S29=0,0,($M$20+SUM($M$68:R$68))*'1.1 Control Panel'!$M$12/12)</f>
        <v>0</v>
      </c>
      <c r="T106" s="376">
        <f ca="1">-IF(T29=0,0,($M$20+SUM($M$68:S$68))*'1.1 Control Panel'!$M$12/12)</f>
        <v>0</v>
      </c>
      <c r="U106" s="376">
        <f ca="1">-IF(U29=0,0,($M$20+SUM($M$68:T$68))*'1.1 Control Panel'!$M$12/12)</f>
        <v>0</v>
      </c>
      <c r="V106" s="376">
        <f ca="1">-IF(V29=0,0,($M$20+SUM($M$68:U$68))*'1.1 Control Panel'!$M$12/12)</f>
        <v>0</v>
      </c>
      <c r="W106" s="376">
        <f ca="1">-IF(W29=0,0,($M$20+SUM($M$68:V$68))*'1.1 Control Panel'!$M$12/12)</f>
        <v>0</v>
      </c>
      <c r="X106" s="376">
        <f ca="1">-IF(X29=0,0,($M$20+SUM($M$68:W$68))*'1.1 Control Panel'!$M$12/12)</f>
        <v>0</v>
      </c>
      <c r="Y106" s="376">
        <f ca="1">-IF(Y29=0,0,($M$20+SUM($M$68:X$68))*'1.1 Control Panel'!$M$12/12)</f>
        <v>0</v>
      </c>
      <c r="Z106" s="376">
        <f ca="1">-IF(Z29=0,0,($M$20+SUM($M$68:Y$68))*'1.1 Control Panel'!$M$12/12)</f>
        <v>0</v>
      </c>
      <c r="AA106" s="376">
        <f ca="1">-IF(AA29=0,0,($M$20+SUM($M$68:Z$68))*'1.1 Control Panel'!$M$12/12)</f>
        <v>0</v>
      </c>
      <c r="AB106" s="376">
        <f ca="1">-IF(AB29=0,0,($M$20+SUM($M$68:AA$68))*'1.1 Control Panel'!$M$12/12)</f>
        <v>0</v>
      </c>
      <c r="AC106" s="376">
        <f ca="1">-IF(AC29=0,0,($M$20+SUM($M$68:AB$68))*'1.1 Control Panel'!$M$12/12)</f>
        <v>0</v>
      </c>
      <c r="AD106" s="376">
        <f ca="1">-IF(AD29=0,0,($M$20+SUM($M$68:AC$68))*'1.1 Control Panel'!$M$12/12)</f>
        <v>0</v>
      </c>
      <c r="AE106" s="376">
        <f ca="1">-IF(AE29=0,0,($M$20+SUM($M$68:AD$68))*'1.1 Control Panel'!$M$12/12)</f>
        <v>0</v>
      </c>
      <c r="AF106" s="376">
        <f ca="1">-IF(AF29=0,0,($M$20+SUM($M$68:AE$68))*'1.1 Control Panel'!$M$12/12)</f>
        <v>0</v>
      </c>
      <c r="AG106" s="376">
        <f ca="1">-IF(AG29=0,0,($M$20+SUM($M$68:AF$68))*'1.1 Control Panel'!$M$12/12)</f>
        <v>0</v>
      </c>
      <c r="AH106" s="376">
        <f ca="1">-IF(AH29=0,0,($M$20+SUM($M$68:AG$68))*'1.1 Control Panel'!$M$12/12)</f>
        <v>0</v>
      </c>
      <c r="AI106" s="376">
        <f ca="1">-IF(AI29=0,0,($M$20+SUM($M$68:AH$68))*'1.1 Control Panel'!$M$12/12)</f>
        <v>0</v>
      </c>
      <c r="AJ106" s="376">
        <f ca="1">-IF(AJ29=0,0,($M$20+SUM($M$68:AI$68))*'1.1 Control Panel'!$M$12/12)</f>
        <v>0</v>
      </c>
      <c r="AK106" s="376">
        <f ca="1">-IF(AK29=0,0,($M$20+SUM($M$68:AJ$68))*'1.1 Control Panel'!$M$12/12)</f>
        <v>0</v>
      </c>
      <c r="AL106" s="376">
        <f ca="1">-IF(AL29=0,0,($M$20+SUM($M$68:AK$68))*'1.1 Control Panel'!$M$12/12)</f>
        <v>0</v>
      </c>
      <c r="AM106" s="376">
        <f ca="1">-IF(AM29=0,0,($M$20+SUM($M$68:AL$68))*'1.1 Control Panel'!$M$12/12)</f>
        <v>0</v>
      </c>
      <c r="AN106" s="376">
        <f ca="1">-IF(AN29=0,0,($M$20+SUM($M$68:AM$68))*'1.1 Control Panel'!$M$12/12)</f>
        <v>0</v>
      </c>
      <c r="AP106" s="21"/>
    </row>
    <row r="107" spans="3:42" ht="11.5" customHeight="1" x14ac:dyDescent="0.25">
      <c r="C107" s="659">
        <v>45961</v>
      </c>
      <c r="D107" s="38" t="s">
        <v>46</v>
      </c>
      <c r="E107" s="376"/>
      <c r="F107" s="376"/>
      <c r="G107" s="376"/>
      <c r="H107" s="376"/>
      <c r="I107" s="376"/>
      <c r="J107" s="376"/>
      <c r="K107" s="376"/>
      <c r="L107" s="376"/>
      <c r="M107" s="376"/>
      <c r="N107" s="376">
        <f ca="1">-N20*'1.1 Control Panel'!N12/12</f>
        <v>0</v>
      </c>
      <c r="O107" s="376">
        <f ca="1">-IF(O30=0,0,($N$20+SUM($N$69:N$69))*'1.1 Control Panel'!$N$12/12)</f>
        <v>0</v>
      </c>
      <c r="P107" s="376">
        <f ca="1">-IF(P30=0,0,($N$20+SUM($N$69:O$69))*'1.1 Control Panel'!$N$12/12)</f>
        <v>0</v>
      </c>
      <c r="Q107" s="376">
        <f ca="1">-IF(Q30=0,0,($N$20+SUM($N$69:P$69))*'1.1 Control Panel'!$N$12/12)</f>
        <v>0</v>
      </c>
      <c r="R107" s="376">
        <f ca="1">-IF(R30=0,0,($N$20+SUM($N$69:Q$69))*'1.1 Control Panel'!$N$12/12)</f>
        <v>0</v>
      </c>
      <c r="S107" s="376">
        <f ca="1">-IF(S30=0,0,($N$20+SUM($N$69:R$69))*'1.1 Control Panel'!$N$12/12)</f>
        <v>0</v>
      </c>
      <c r="T107" s="376">
        <f ca="1">-IF(T30=0,0,($N$20+SUM($N$69:S$69))*'1.1 Control Panel'!$N$12/12)</f>
        <v>0</v>
      </c>
      <c r="U107" s="376">
        <f ca="1">-IF(U30=0,0,($N$20+SUM($N$69:T$69))*'1.1 Control Panel'!$N$12/12)</f>
        <v>0</v>
      </c>
      <c r="V107" s="376">
        <f ca="1">-IF(V30=0,0,($N$20+SUM($N$69:U$69))*'1.1 Control Panel'!$N$12/12)</f>
        <v>0</v>
      </c>
      <c r="W107" s="376">
        <f ca="1">-IF(W30=0,0,($N$20+SUM($N$69:V$69))*'1.1 Control Panel'!$N$12/12)</f>
        <v>0</v>
      </c>
      <c r="X107" s="376">
        <f ca="1">-IF(X30=0,0,($N$20+SUM($N$69:W$69))*'1.1 Control Panel'!$N$12/12)</f>
        <v>0</v>
      </c>
      <c r="Y107" s="376">
        <f ca="1">-IF(Y30=0,0,($N$20+SUM($N$69:X$69))*'1.1 Control Panel'!$N$12/12)</f>
        <v>0</v>
      </c>
      <c r="Z107" s="376">
        <f ca="1">-IF(Z30=0,0,($N$20+SUM($N$69:Y$69))*'1.1 Control Panel'!$N$12/12)</f>
        <v>0</v>
      </c>
      <c r="AA107" s="376">
        <f ca="1">-IF(AA30=0,0,($N$20+SUM($N$69:Z$69))*'1.1 Control Panel'!$N$12/12)</f>
        <v>0</v>
      </c>
      <c r="AB107" s="376">
        <f ca="1">-IF(AB30=0,0,($N$20+SUM($N$69:AA$69))*'1.1 Control Panel'!$N$12/12)</f>
        <v>0</v>
      </c>
      <c r="AC107" s="376">
        <f ca="1">-IF(AC30=0,0,($N$20+SUM($N$69:AB$69))*'1.1 Control Panel'!$N$12/12)</f>
        <v>0</v>
      </c>
      <c r="AD107" s="376">
        <f ca="1">-IF(AD30=0,0,($N$20+SUM($N$69:AC$69))*'1.1 Control Panel'!$N$12/12)</f>
        <v>0</v>
      </c>
      <c r="AE107" s="376">
        <f ca="1">-IF(AE30=0,0,($N$20+SUM($N$69:AD$69))*'1.1 Control Panel'!$N$12/12)</f>
        <v>0</v>
      </c>
      <c r="AF107" s="376">
        <f ca="1">-IF(AF30=0,0,($N$20+SUM($N$69:AE$69))*'1.1 Control Panel'!$N$12/12)</f>
        <v>0</v>
      </c>
      <c r="AG107" s="376">
        <f ca="1">-IF(AG30=0,0,($N$20+SUM($N$69:AF$69))*'1.1 Control Panel'!$N$12/12)</f>
        <v>0</v>
      </c>
      <c r="AH107" s="376">
        <f ca="1">-IF(AH30=0,0,($N$20+SUM($N$69:AG$69))*'1.1 Control Panel'!$N$12/12)</f>
        <v>0</v>
      </c>
      <c r="AI107" s="376">
        <f ca="1">-IF(AI30=0,0,($N$20+SUM($N$69:AH$69))*'1.1 Control Panel'!$N$12/12)</f>
        <v>0</v>
      </c>
      <c r="AJ107" s="376">
        <f ca="1">-IF(AJ30=0,0,($N$20+SUM($N$69:AI$69))*'1.1 Control Panel'!$N$12/12)</f>
        <v>0</v>
      </c>
      <c r="AK107" s="376">
        <f ca="1">-IF(AK30=0,0,($N$20+SUM($N$69:AJ$69))*'1.1 Control Panel'!$N$12/12)</f>
        <v>0</v>
      </c>
      <c r="AL107" s="376">
        <f ca="1">-IF(AL30=0,0,($N$20+SUM($N$69:AK$69))*'1.1 Control Panel'!$N$12/12)</f>
        <v>0</v>
      </c>
      <c r="AM107" s="376">
        <f ca="1">-IF(AM30=0,0,($N$20+SUM($N$69:AL$69))*'1.1 Control Panel'!$N$12/12)</f>
        <v>0</v>
      </c>
      <c r="AN107" s="376">
        <f ca="1">-IF(AN30=0,0,($N$20+SUM($N$69:AM$69))*'1.1 Control Panel'!$N$12/12)</f>
        <v>0</v>
      </c>
      <c r="AP107" s="21"/>
    </row>
    <row r="108" spans="3:42" ht="11.5" customHeight="1" x14ac:dyDescent="0.25">
      <c r="C108" s="659">
        <v>45991</v>
      </c>
      <c r="D108" s="38" t="s">
        <v>46</v>
      </c>
      <c r="E108" s="376"/>
      <c r="F108" s="376"/>
      <c r="G108" s="376"/>
      <c r="H108" s="376"/>
      <c r="I108" s="376"/>
      <c r="J108" s="376"/>
      <c r="K108" s="376"/>
      <c r="L108" s="376"/>
      <c r="M108" s="376"/>
      <c r="N108" s="376"/>
      <c r="O108" s="376">
        <f ca="1">-O20*'1.1 Control Panel'!O12/12</f>
        <v>0</v>
      </c>
      <c r="P108" s="376">
        <f ca="1">-IF(P31=0,0,($O$20+SUM($O$70:O$70))*'1.1 Control Panel'!$O$12/12)</f>
        <v>0</v>
      </c>
      <c r="Q108" s="376">
        <f ca="1">-IF(Q31=0,0,($O$20+SUM($O$70:P$70))*'1.1 Control Panel'!$O$12/12)</f>
        <v>0</v>
      </c>
      <c r="R108" s="376">
        <f ca="1">-IF(R31=0,0,($O$20+SUM($O$70:Q$70))*'1.1 Control Panel'!$O$12/12)</f>
        <v>0</v>
      </c>
      <c r="S108" s="376">
        <f ca="1">-IF(S31=0,0,($O$20+SUM($O$70:R$70))*'1.1 Control Panel'!$O$12/12)</f>
        <v>0</v>
      </c>
      <c r="T108" s="376">
        <f ca="1">-IF(T31=0,0,($O$20+SUM($O$70:S$70))*'1.1 Control Panel'!$O$12/12)</f>
        <v>0</v>
      </c>
      <c r="U108" s="376">
        <f ca="1">-IF(U31=0,0,($O$20+SUM($O$70:T$70))*'1.1 Control Panel'!$O$12/12)</f>
        <v>0</v>
      </c>
      <c r="V108" s="376">
        <f ca="1">-IF(V31=0,0,($O$20+SUM($O$70:U$70))*'1.1 Control Panel'!$O$12/12)</f>
        <v>0</v>
      </c>
      <c r="W108" s="376">
        <f ca="1">-IF(W31=0,0,($O$20+SUM($O$70:V$70))*'1.1 Control Panel'!$O$12/12)</f>
        <v>0</v>
      </c>
      <c r="X108" s="376">
        <f ca="1">-IF(X31=0,0,($O$20+SUM($O$70:W$70))*'1.1 Control Panel'!$O$12/12)</f>
        <v>0</v>
      </c>
      <c r="Y108" s="376">
        <f ca="1">-IF(Y31=0,0,($O$20+SUM($O$70:X$70))*'1.1 Control Panel'!$O$12/12)</f>
        <v>0</v>
      </c>
      <c r="Z108" s="376">
        <f ca="1">-IF(Z31=0,0,($O$20+SUM($O$70:Y$70))*'1.1 Control Panel'!$O$12/12)</f>
        <v>0</v>
      </c>
      <c r="AA108" s="376">
        <f ca="1">-IF(AA31=0,0,($O$20+SUM($O$70:Z$70))*'1.1 Control Panel'!$O$12/12)</f>
        <v>0</v>
      </c>
      <c r="AB108" s="376">
        <f ca="1">-IF(AB31=0,0,($O$20+SUM($O$70:AA$70))*'1.1 Control Panel'!$O$12/12)</f>
        <v>0</v>
      </c>
      <c r="AC108" s="376">
        <f ca="1">-IF(AC31=0,0,($O$20+SUM($O$70:AB$70))*'1.1 Control Panel'!$O$12/12)</f>
        <v>0</v>
      </c>
      <c r="AD108" s="376">
        <f ca="1">-IF(AD31=0,0,($O$20+SUM($O$70:AC$70))*'1.1 Control Panel'!$O$12/12)</f>
        <v>0</v>
      </c>
      <c r="AE108" s="376">
        <f ca="1">-IF(AE31=0,0,($O$20+SUM($O$70:AD$70))*'1.1 Control Panel'!$O$12/12)</f>
        <v>0</v>
      </c>
      <c r="AF108" s="376">
        <f ca="1">-IF(AF31=0,0,($O$20+SUM($O$70:AE$70))*'1.1 Control Panel'!$O$12/12)</f>
        <v>0</v>
      </c>
      <c r="AG108" s="376">
        <f ca="1">-IF(AG31=0,0,($O$20+SUM($O$70:AF$70))*'1.1 Control Panel'!$O$12/12)</f>
        <v>0</v>
      </c>
      <c r="AH108" s="376">
        <f ca="1">-IF(AH31=0,0,($O$20+SUM($O$70:AG$70))*'1.1 Control Panel'!$O$12/12)</f>
        <v>0</v>
      </c>
      <c r="AI108" s="376">
        <f ca="1">-IF(AI31=0,0,($O$20+SUM($O$70:AH$70))*'1.1 Control Panel'!$O$12/12)</f>
        <v>0</v>
      </c>
      <c r="AJ108" s="376">
        <f ca="1">-IF(AJ31=0,0,($O$20+SUM($O$70:AI$70))*'1.1 Control Panel'!$O$12/12)</f>
        <v>0</v>
      </c>
      <c r="AK108" s="376">
        <f ca="1">-IF(AK31=0,0,($O$20+SUM($O$70:AJ$70))*'1.1 Control Panel'!$O$12/12)</f>
        <v>0</v>
      </c>
      <c r="AL108" s="376">
        <f ca="1">-IF(AL31=0,0,($O$20+SUM($O$70:AK$70))*'1.1 Control Panel'!$O$12/12)</f>
        <v>0</v>
      </c>
      <c r="AM108" s="376">
        <f ca="1">-IF(AM31=0,0,($O$20+SUM($O$70:AL$70))*'1.1 Control Panel'!$O$12/12)</f>
        <v>0</v>
      </c>
      <c r="AN108" s="376">
        <f ca="1">-IF(AN31=0,0,($O$20+SUM($O$70:AM$70))*'1.1 Control Panel'!$O$12/12)</f>
        <v>0</v>
      </c>
      <c r="AP108" s="21"/>
    </row>
    <row r="109" spans="3:42" ht="11.5" customHeight="1" x14ac:dyDescent="0.25">
      <c r="C109" s="659">
        <v>46022</v>
      </c>
      <c r="D109" s="38" t="s">
        <v>46</v>
      </c>
      <c r="E109" s="376"/>
      <c r="F109" s="376"/>
      <c r="G109" s="376"/>
      <c r="H109" s="376"/>
      <c r="I109" s="376"/>
      <c r="J109" s="376"/>
      <c r="K109" s="376"/>
      <c r="L109" s="376"/>
      <c r="M109" s="376"/>
      <c r="N109" s="376"/>
      <c r="O109" s="376"/>
      <c r="P109" s="376">
        <f ca="1">-P20*'1.1 Control Panel'!P12/12</f>
        <v>0</v>
      </c>
      <c r="Q109" s="376">
        <f ca="1">-IF(Q32=0,0,($P$20+SUM($P$71:P$71))*'1.1 Control Panel'!$P$12/12)</f>
        <v>0</v>
      </c>
      <c r="R109" s="376">
        <f ca="1">-IF(R32=0,0,($P$20+SUM($P$71:Q$71))*'1.1 Control Panel'!$P$12/12)</f>
        <v>0</v>
      </c>
      <c r="S109" s="376">
        <f ca="1">-IF(S32=0,0,($P$20+SUM($P$71:R$71))*'1.1 Control Panel'!$P$12/12)</f>
        <v>0</v>
      </c>
      <c r="T109" s="376">
        <f ca="1">-IF(T32=0,0,($P$20+SUM($P$71:S$71))*'1.1 Control Panel'!$P$12/12)</f>
        <v>0</v>
      </c>
      <c r="U109" s="376">
        <f ca="1">-IF(U32=0,0,($P$20+SUM($P$71:T$71))*'1.1 Control Panel'!$P$12/12)</f>
        <v>0</v>
      </c>
      <c r="V109" s="376">
        <f ca="1">-IF(V32=0,0,($P$20+SUM($P$71:U$71))*'1.1 Control Panel'!$P$12/12)</f>
        <v>0</v>
      </c>
      <c r="W109" s="376">
        <f ca="1">-IF(W32=0,0,($P$20+SUM($P$71:V$71))*'1.1 Control Panel'!$P$12/12)</f>
        <v>0</v>
      </c>
      <c r="X109" s="376">
        <f ca="1">-IF(X32=0,0,($P$20+SUM($P$71:W$71))*'1.1 Control Panel'!$P$12/12)</f>
        <v>0</v>
      </c>
      <c r="Y109" s="376">
        <f ca="1">-IF(Y32=0,0,($P$20+SUM($P$71:X$71))*'1.1 Control Panel'!$P$12/12)</f>
        <v>0</v>
      </c>
      <c r="Z109" s="376">
        <f ca="1">-IF(Z32=0,0,($P$20+SUM($P$71:Y$71))*'1.1 Control Panel'!$P$12/12)</f>
        <v>0</v>
      </c>
      <c r="AA109" s="376">
        <f ca="1">-IF(AA32=0,0,($P$20+SUM($P$71:Z$71))*'1.1 Control Panel'!$P$12/12)</f>
        <v>0</v>
      </c>
      <c r="AB109" s="376">
        <f ca="1">-IF(AB32=0,0,($P$20+SUM($P$71:AA$71))*'1.1 Control Panel'!$P$12/12)</f>
        <v>0</v>
      </c>
      <c r="AC109" s="376">
        <f ca="1">-IF(AC32=0,0,($P$20+SUM($P$71:AB$71))*'1.1 Control Panel'!$P$12/12)</f>
        <v>0</v>
      </c>
      <c r="AD109" s="376">
        <f ca="1">-IF(AD32=0,0,($P$20+SUM($P$71:AC$71))*'1.1 Control Panel'!$P$12/12)</f>
        <v>0</v>
      </c>
      <c r="AE109" s="376">
        <f ca="1">-IF(AE32=0,0,($P$20+SUM($P$71:AD$71))*'1.1 Control Panel'!$P$12/12)</f>
        <v>0</v>
      </c>
      <c r="AF109" s="376">
        <f ca="1">-IF(AF32=0,0,($P$20+SUM($P$71:AE$71))*'1.1 Control Panel'!$P$12/12)</f>
        <v>0</v>
      </c>
      <c r="AG109" s="376">
        <f ca="1">-IF(AG32=0,0,($P$20+SUM($P$71:AF$71))*'1.1 Control Panel'!$P$12/12)</f>
        <v>0</v>
      </c>
      <c r="AH109" s="376">
        <f ca="1">-IF(AH32=0,0,($P$20+SUM($P$71:AG$71))*'1.1 Control Panel'!$P$12/12)</f>
        <v>0</v>
      </c>
      <c r="AI109" s="376">
        <f ca="1">-IF(AI32=0,0,($P$20+SUM($P$71:AH$71))*'1.1 Control Panel'!$P$12/12)</f>
        <v>0</v>
      </c>
      <c r="AJ109" s="376">
        <f ca="1">-IF(AJ32=0,0,($P$20+SUM($P$71:AI$71))*'1.1 Control Panel'!$P$12/12)</f>
        <v>0</v>
      </c>
      <c r="AK109" s="376">
        <f ca="1">-IF(AK32=0,0,($P$20+SUM($P$71:AJ$71))*'1.1 Control Panel'!$P$12/12)</f>
        <v>0</v>
      </c>
      <c r="AL109" s="376">
        <f ca="1">-IF(AL32=0,0,($P$20+SUM($P$71:AK$71))*'1.1 Control Panel'!$P$12/12)</f>
        <v>0</v>
      </c>
      <c r="AM109" s="376">
        <f ca="1">-IF(AM32=0,0,($P$20+SUM($P$71:AL$71))*'1.1 Control Panel'!$P$12/12)</f>
        <v>0</v>
      </c>
      <c r="AN109" s="376">
        <f ca="1">-IF(AN32=0,0,($P$20+SUM($P$71:AM$71))*'1.1 Control Panel'!$P$12/12)</f>
        <v>0</v>
      </c>
      <c r="AP109" s="21"/>
    </row>
    <row r="110" spans="3:42" ht="11.5" customHeight="1" x14ac:dyDescent="0.25">
      <c r="C110" s="659">
        <v>46053.25</v>
      </c>
      <c r="D110" s="38" t="s">
        <v>46</v>
      </c>
      <c r="E110" s="376"/>
      <c r="F110" s="376"/>
      <c r="G110" s="376"/>
      <c r="H110" s="376"/>
      <c r="I110" s="376"/>
      <c r="J110" s="376"/>
      <c r="K110" s="376"/>
      <c r="L110" s="376"/>
      <c r="M110" s="376"/>
      <c r="N110" s="376"/>
      <c r="O110" s="376"/>
      <c r="P110" s="376"/>
      <c r="Q110" s="376">
        <f ca="1">-Q20*'1.1 Control Panel'!Q12/12</f>
        <v>0</v>
      </c>
      <c r="R110" s="376">
        <f ca="1">-IF(R33=0,0,($Q$20+SUM($Q$72:Q$72))*'1.1 Control Panel'!$Q$12/12)</f>
        <v>0</v>
      </c>
      <c r="S110" s="376">
        <f ca="1">-IF(S33=0,0,($Q$20+SUM($Q$72:R$72))*'1.1 Control Panel'!$Q$12/12)</f>
        <v>0</v>
      </c>
      <c r="T110" s="376">
        <f ca="1">-IF(T33=0,0,($Q$20+SUM($Q$72:S$72))*'1.1 Control Panel'!$Q$12/12)</f>
        <v>0</v>
      </c>
      <c r="U110" s="376">
        <f ca="1">-IF(U33=0,0,($Q$20+SUM($Q$72:T$72))*'1.1 Control Panel'!$Q$12/12)</f>
        <v>0</v>
      </c>
      <c r="V110" s="376">
        <f ca="1">-IF(V33=0,0,($Q$20+SUM($Q$72:U$72))*'1.1 Control Panel'!$Q$12/12)</f>
        <v>0</v>
      </c>
      <c r="W110" s="376">
        <f ca="1">-IF(W33=0,0,($Q$20+SUM($Q$72:V$72))*'1.1 Control Panel'!$Q$12/12)</f>
        <v>0</v>
      </c>
      <c r="X110" s="376">
        <f ca="1">-IF(X33=0,0,($Q$20+SUM($Q$72:W$72))*'1.1 Control Panel'!$Q$12/12)</f>
        <v>0</v>
      </c>
      <c r="Y110" s="376">
        <f ca="1">-IF(Y33=0,0,($Q$20+SUM($Q$72:X$72))*'1.1 Control Panel'!$Q$12/12)</f>
        <v>0</v>
      </c>
      <c r="Z110" s="376">
        <f ca="1">-IF(Z33=0,0,($Q$20+SUM($Q$72:Y$72))*'1.1 Control Panel'!$Q$12/12)</f>
        <v>0</v>
      </c>
      <c r="AA110" s="376">
        <f ca="1">-IF(AA33=0,0,($Q$20+SUM($Q$72:Z$72))*'1.1 Control Panel'!$Q$12/12)</f>
        <v>0</v>
      </c>
      <c r="AB110" s="376">
        <f ca="1">-IF(AB33=0,0,($Q$20+SUM($Q$72:AA$72))*'1.1 Control Panel'!$Q$12/12)</f>
        <v>0</v>
      </c>
      <c r="AC110" s="376">
        <f ca="1">-IF(AC33=0,0,($Q$20+SUM($Q$72:AB$72))*'1.1 Control Panel'!$Q$12/12)</f>
        <v>0</v>
      </c>
      <c r="AD110" s="376">
        <f ca="1">-IF(AD33=0,0,($Q$20+SUM($Q$72:AC$72))*'1.1 Control Panel'!$Q$12/12)</f>
        <v>0</v>
      </c>
      <c r="AE110" s="376">
        <f ca="1">-IF(AE33=0,0,($Q$20+SUM($Q$72:AD$72))*'1.1 Control Panel'!$Q$12/12)</f>
        <v>0</v>
      </c>
      <c r="AF110" s="376">
        <f ca="1">-IF(AF33=0,0,($Q$20+SUM($Q$72:AE$72))*'1.1 Control Panel'!$Q$12/12)</f>
        <v>0</v>
      </c>
      <c r="AG110" s="376">
        <f ca="1">-IF(AG33=0,0,($Q$20+SUM($Q$72:AF$72))*'1.1 Control Panel'!$Q$12/12)</f>
        <v>0</v>
      </c>
      <c r="AH110" s="376">
        <f ca="1">-IF(AH33=0,0,($Q$20+SUM($Q$72:AG$72))*'1.1 Control Panel'!$Q$12/12)</f>
        <v>0</v>
      </c>
      <c r="AI110" s="376">
        <f ca="1">-IF(AI33=0,0,($Q$20+SUM($Q$72:AH$72))*'1.1 Control Panel'!$Q$12/12)</f>
        <v>0</v>
      </c>
      <c r="AJ110" s="376">
        <f ca="1">-IF(AJ33=0,0,($Q$20+SUM($Q$72:AI$72))*'1.1 Control Panel'!$Q$12/12)</f>
        <v>0</v>
      </c>
      <c r="AK110" s="376">
        <f ca="1">-IF(AK33=0,0,($Q$20+SUM($Q$72:AJ$72))*'1.1 Control Panel'!$Q$12/12)</f>
        <v>0</v>
      </c>
      <c r="AL110" s="376">
        <f ca="1">-IF(AL33=0,0,($Q$20+SUM($Q$72:AK$72))*'1.1 Control Panel'!$Q$12/12)</f>
        <v>0</v>
      </c>
      <c r="AM110" s="376">
        <f ca="1">-IF(AM33=0,0,($Q$20+SUM($Q$72:AL$72))*'1.1 Control Panel'!$Q$12/12)</f>
        <v>0</v>
      </c>
      <c r="AN110" s="376">
        <f ca="1">-IF(AN33=0,0,($Q$20+SUM($Q$72:AM$72))*'1.1 Control Panel'!$Q$12/12)</f>
        <v>0</v>
      </c>
      <c r="AP110" s="21"/>
    </row>
    <row r="111" spans="3:42" ht="11.5" customHeight="1" x14ac:dyDescent="0.25">
      <c r="C111" s="659">
        <v>46081.25</v>
      </c>
      <c r="D111" s="38" t="s">
        <v>46</v>
      </c>
      <c r="E111" s="376"/>
      <c r="F111" s="376"/>
      <c r="G111" s="376"/>
      <c r="H111" s="376"/>
      <c r="I111" s="376"/>
      <c r="J111" s="376"/>
      <c r="K111" s="376"/>
      <c r="L111" s="376"/>
      <c r="M111" s="376"/>
      <c r="N111" s="376"/>
      <c r="O111" s="376"/>
      <c r="P111" s="376"/>
      <c r="Q111" s="376"/>
      <c r="R111" s="376">
        <f ca="1">-R20*'1.1 Control Panel'!R12/12</f>
        <v>0</v>
      </c>
      <c r="S111" s="376">
        <f ca="1">-IF(S34=0,0,($R$20+SUM($R$73:R$73))*'1.1 Control Panel'!$R$12/12)</f>
        <v>0</v>
      </c>
      <c r="T111" s="376">
        <f ca="1">-IF(T34=0,0,($R$20+SUM($R$73:S$73))*'1.1 Control Panel'!$R$12/12)</f>
        <v>0</v>
      </c>
      <c r="U111" s="376">
        <f ca="1">-IF(U34=0,0,($R$20+SUM($R$73:T$73))*'1.1 Control Panel'!$R$12/12)</f>
        <v>0</v>
      </c>
      <c r="V111" s="376">
        <f ca="1">-IF(V34=0,0,($R$20+SUM($R$73:U$73))*'1.1 Control Panel'!$R$12/12)</f>
        <v>0</v>
      </c>
      <c r="W111" s="376">
        <f ca="1">-IF(W34=0,0,($R$20+SUM($R$73:V$73))*'1.1 Control Panel'!$R$12/12)</f>
        <v>0</v>
      </c>
      <c r="X111" s="376">
        <f ca="1">-IF(X34=0,0,($R$20+SUM($R$73:W$73))*'1.1 Control Panel'!$R$12/12)</f>
        <v>0</v>
      </c>
      <c r="Y111" s="376">
        <f ca="1">-IF(Y34=0,0,($R$20+SUM($R$73:X$73))*'1.1 Control Panel'!$R$12/12)</f>
        <v>0</v>
      </c>
      <c r="Z111" s="376">
        <f ca="1">-IF(Z34=0,0,($R$20+SUM($R$73:Y$73))*'1.1 Control Panel'!$R$12/12)</f>
        <v>0</v>
      </c>
      <c r="AA111" s="376">
        <f ca="1">-IF(AA34=0,0,($R$20+SUM($R$73:Z$73))*'1.1 Control Panel'!$R$12/12)</f>
        <v>0</v>
      </c>
      <c r="AB111" s="376">
        <f ca="1">-IF(AB34=0,0,($R$20+SUM($R$73:AA$73))*'1.1 Control Panel'!$R$12/12)</f>
        <v>0</v>
      </c>
      <c r="AC111" s="376">
        <f ca="1">-IF(AC34=0,0,($R$20+SUM($R$73:AB$73))*'1.1 Control Panel'!$R$12/12)</f>
        <v>0</v>
      </c>
      <c r="AD111" s="376">
        <f ca="1">-IF(AD34=0,0,($R$20+SUM($R$73:AC$73))*'1.1 Control Panel'!$R$12/12)</f>
        <v>0</v>
      </c>
      <c r="AE111" s="376">
        <f ca="1">-IF(AE34=0,0,($R$20+SUM($R$73:AD$73))*'1.1 Control Panel'!$R$12/12)</f>
        <v>0</v>
      </c>
      <c r="AF111" s="376">
        <f ca="1">-IF(AF34=0,0,($R$20+SUM($R$73:AE$73))*'1.1 Control Panel'!$R$12/12)</f>
        <v>0</v>
      </c>
      <c r="AG111" s="376">
        <f ca="1">-IF(AG34=0,0,($R$20+SUM($R$73:AF$73))*'1.1 Control Panel'!$R$12/12)</f>
        <v>0</v>
      </c>
      <c r="AH111" s="376">
        <f ca="1">-IF(AH34=0,0,($R$20+SUM($R$73:AG$73))*'1.1 Control Panel'!$R$12/12)</f>
        <v>0</v>
      </c>
      <c r="AI111" s="376">
        <f ca="1">-IF(AI34=0,0,($R$20+SUM($R$73:AH$73))*'1.1 Control Panel'!$R$12/12)</f>
        <v>0</v>
      </c>
      <c r="AJ111" s="376">
        <f ca="1">-IF(AJ34=0,0,($R$20+SUM($R$73:AI$73))*'1.1 Control Panel'!$R$12/12)</f>
        <v>0</v>
      </c>
      <c r="AK111" s="376">
        <f ca="1">-IF(AK34=0,0,($R$20+SUM($R$73:AJ$73))*'1.1 Control Panel'!$R$12/12)</f>
        <v>0</v>
      </c>
      <c r="AL111" s="376">
        <f ca="1">-IF(AL34=0,0,($R$20+SUM($R$73:AK$73))*'1.1 Control Panel'!$R$12/12)</f>
        <v>0</v>
      </c>
      <c r="AM111" s="376">
        <f ca="1">-IF(AM34=0,0,($R$20+SUM($R$73:AL$73))*'1.1 Control Panel'!$R$12/12)</f>
        <v>0</v>
      </c>
      <c r="AN111" s="376">
        <f ca="1">-IF(AN34=0,0,($R$20+SUM($R$73:AM$73))*'1.1 Control Panel'!$R$12/12)</f>
        <v>0</v>
      </c>
      <c r="AP111" s="21"/>
    </row>
    <row r="112" spans="3:42" ht="11.5" customHeight="1" x14ac:dyDescent="0.25">
      <c r="C112" s="659">
        <v>46112.25</v>
      </c>
      <c r="D112" s="38" t="s">
        <v>46</v>
      </c>
      <c r="E112" s="376"/>
      <c r="F112" s="376"/>
      <c r="G112" s="376"/>
      <c r="H112" s="376"/>
      <c r="I112" s="376"/>
      <c r="J112" s="376"/>
      <c r="K112" s="376"/>
      <c r="L112" s="376"/>
      <c r="M112" s="376"/>
      <c r="N112" s="376"/>
      <c r="O112" s="376"/>
      <c r="P112" s="376"/>
      <c r="Q112" s="376"/>
      <c r="R112" s="376"/>
      <c r="S112" s="376">
        <f ca="1">-S20*'1.1 Control Panel'!S12/12</f>
        <v>0</v>
      </c>
      <c r="T112" s="376">
        <f ca="1">-IF(T35=0,0,($S$20+SUM($S$74:S$74))*'1.1 Control Panel'!$S$12/12)</f>
        <v>0</v>
      </c>
      <c r="U112" s="376">
        <f ca="1">-IF(U35=0,0,($S$20+SUM($S$74:T$74))*'1.1 Control Panel'!$S$12/12)</f>
        <v>0</v>
      </c>
      <c r="V112" s="376">
        <f ca="1">-IF(V35=0,0,($S$20+SUM($S$74:U$74))*'1.1 Control Panel'!$S$12/12)</f>
        <v>0</v>
      </c>
      <c r="W112" s="376">
        <f ca="1">-IF(W35=0,0,($S$20+SUM($S$74:V$74))*'1.1 Control Panel'!$S$12/12)</f>
        <v>0</v>
      </c>
      <c r="X112" s="376">
        <f ca="1">-IF(X35=0,0,($S$20+SUM($S$74:W$74))*'1.1 Control Panel'!$S$12/12)</f>
        <v>0</v>
      </c>
      <c r="Y112" s="376">
        <f ca="1">-IF(Y35=0,0,($S$20+SUM($S$74:X$74))*'1.1 Control Panel'!$S$12/12)</f>
        <v>0</v>
      </c>
      <c r="Z112" s="376">
        <f ca="1">-IF(Z35=0,0,($S$20+SUM($S$74:Y$74))*'1.1 Control Panel'!$S$12/12)</f>
        <v>0</v>
      </c>
      <c r="AA112" s="376">
        <f ca="1">-IF(AA35=0,0,($S$20+SUM($S$74:Z$74))*'1.1 Control Panel'!$S$12/12)</f>
        <v>0</v>
      </c>
      <c r="AB112" s="376">
        <f ca="1">-IF(AB35=0,0,($S$20+SUM($S$74:AA$74))*'1.1 Control Panel'!$S$12/12)</f>
        <v>0</v>
      </c>
      <c r="AC112" s="376">
        <f ca="1">-IF(AC35=0,0,($S$20+SUM($S$74:AB$74))*'1.1 Control Panel'!$S$12/12)</f>
        <v>0</v>
      </c>
      <c r="AD112" s="376">
        <f ca="1">-IF(AD35=0,0,($S$20+SUM($S$74:AC$74))*'1.1 Control Panel'!$S$12/12)</f>
        <v>0</v>
      </c>
      <c r="AE112" s="376">
        <f ca="1">-IF(AE35=0,0,($S$20+SUM($S$74:AD$74))*'1.1 Control Panel'!$S$12/12)</f>
        <v>0</v>
      </c>
      <c r="AF112" s="376">
        <f ca="1">-IF(AF35=0,0,($S$20+SUM($S$74:AE$74))*'1.1 Control Panel'!$S$12/12)</f>
        <v>0</v>
      </c>
      <c r="AG112" s="376">
        <f ca="1">-IF(AG35=0,0,($S$20+SUM($S$74:AF$74))*'1.1 Control Panel'!$S$12/12)</f>
        <v>0</v>
      </c>
      <c r="AH112" s="376">
        <f ca="1">-IF(AH35=0,0,($S$20+SUM($S$74:AG$74))*'1.1 Control Panel'!$S$12/12)</f>
        <v>0</v>
      </c>
      <c r="AI112" s="376">
        <f ca="1">-IF(AI35=0,0,($S$20+SUM($S$74:AH$74))*'1.1 Control Panel'!$S$12/12)</f>
        <v>0</v>
      </c>
      <c r="AJ112" s="376">
        <f ca="1">-IF(AJ35=0,0,($S$20+SUM($S$74:AI$74))*'1.1 Control Panel'!$S$12/12)</f>
        <v>0</v>
      </c>
      <c r="AK112" s="376">
        <f ca="1">-IF(AK35=0,0,($S$20+SUM($S$74:AJ$74))*'1.1 Control Panel'!$S$12/12)</f>
        <v>0</v>
      </c>
      <c r="AL112" s="376">
        <f ca="1">-IF(AL35=0,0,($S$20+SUM($S$74:AK$74))*'1.1 Control Panel'!$S$12/12)</f>
        <v>0</v>
      </c>
      <c r="AM112" s="376">
        <f ca="1">-IF(AM35=0,0,($S$20+SUM($S$74:AL$74))*'1.1 Control Panel'!$S$12/12)</f>
        <v>0</v>
      </c>
      <c r="AN112" s="376">
        <f ca="1">-IF(AN35=0,0,($S$20+SUM($S$74:AM$74))*'1.1 Control Panel'!$S$12/12)</f>
        <v>0</v>
      </c>
      <c r="AP112" s="21"/>
    </row>
    <row r="113" spans="3:42" ht="11.5" customHeight="1" x14ac:dyDescent="0.25">
      <c r="C113" s="659">
        <v>46142.25</v>
      </c>
      <c r="D113" s="38" t="s">
        <v>46</v>
      </c>
      <c r="E113" s="376"/>
      <c r="F113" s="376"/>
      <c r="G113" s="376"/>
      <c r="H113" s="376"/>
      <c r="I113" s="376"/>
      <c r="J113" s="376"/>
      <c r="K113" s="376"/>
      <c r="L113" s="376"/>
      <c r="M113" s="376"/>
      <c r="N113" s="376"/>
      <c r="O113" s="376"/>
      <c r="P113" s="376"/>
      <c r="Q113" s="376"/>
      <c r="R113" s="376"/>
      <c r="S113" s="376"/>
      <c r="T113" s="376">
        <f ca="1">-T20*'1.1 Control Panel'!T12/12</f>
        <v>0</v>
      </c>
      <c r="U113" s="376">
        <f ca="1">-IF(U36=0,0,($T$20+SUM($T$75:T$75))*'1.1 Control Panel'!$T$12/12)</f>
        <v>0</v>
      </c>
      <c r="V113" s="376">
        <f ca="1">-IF(V36=0,0,($T$20+SUM($T$75:U$75))*'1.1 Control Panel'!$T$12/12)</f>
        <v>0</v>
      </c>
      <c r="W113" s="376">
        <f ca="1">-IF(W36=0,0,($T$20+SUM($T$75:V$75))*'1.1 Control Panel'!$T$12/12)</f>
        <v>0</v>
      </c>
      <c r="X113" s="376">
        <f ca="1">-IF(X36=0,0,($T$20+SUM($T$75:W$75))*'1.1 Control Panel'!$T$12/12)</f>
        <v>0</v>
      </c>
      <c r="Y113" s="376">
        <f ca="1">-IF(Y36=0,0,($T$20+SUM($T$75:X$75))*'1.1 Control Panel'!$T$12/12)</f>
        <v>0</v>
      </c>
      <c r="Z113" s="376">
        <f ca="1">-IF(Z36=0,0,($T$20+SUM($T$75:Y$75))*'1.1 Control Panel'!$T$12/12)</f>
        <v>0</v>
      </c>
      <c r="AA113" s="376">
        <f ca="1">-IF(AA36=0,0,($T$20+SUM($T$75:Z$75))*'1.1 Control Panel'!$T$12/12)</f>
        <v>0</v>
      </c>
      <c r="AB113" s="376">
        <f ca="1">-IF(AB36=0,0,($T$20+SUM($T$75:AA$75))*'1.1 Control Panel'!$T$12/12)</f>
        <v>0</v>
      </c>
      <c r="AC113" s="376">
        <f ca="1">-IF(AC36=0,0,($T$20+SUM($T$75:AB$75))*'1.1 Control Panel'!$T$12/12)</f>
        <v>0</v>
      </c>
      <c r="AD113" s="376">
        <f ca="1">-IF(AD36=0,0,($T$20+SUM($T$75:AC$75))*'1.1 Control Panel'!$T$12/12)</f>
        <v>0</v>
      </c>
      <c r="AE113" s="376">
        <f ca="1">-IF(AE36=0,0,($T$20+SUM($T$75:AD$75))*'1.1 Control Panel'!$T$12/12)</f>
        <v>0</v>
      </c>
      <c r="AF113" s="376">
        <f ca="1">-IF(AF36=0,0,($T$20+SUM($T$75:AE$75))*'1.1 Control Panel'!$T$12/12)</f>
        <v>0</v>
      </c>
      <c r="AG113" s="376">
        <f ca="1">-IF(AG36=0,0,($T$20+SUM($T$75:AF$75))*'1.1 Control Panel'!$T$12/12)</f>
        <v>0</v>
      </c>
      <c r="AH113" s="376">
        <f ca="1">-IF(AH36=0,0,($T$20+SUM($T$75:AG$75))*'1.1 Control Panel'!$T$12/12)</f>
        <v>0</v>
      </c>
      <c r="AI113" s="376">
        <f ca="1">-IF(AI36=0,0,($T$20+SUM($T$75:AH$75))*'1.1 Control Panel'!$T$12/12)</f>
        <v>0</v>
      </c>
      <c r="AJ113" s="376">
        <f ca="1">-IF(AJ36=0,0,($T$20+SUM($T$75:AI$75))*'1.1 Control Panel'!$T$12/12)</f>
        <v>0</v>
      </c>
      <c r="AK113" s="376">
        <f ca="1">-IF(AK36=0,0,($T$20+SUM($T$75:AJ$75))*'1.1 Control Panel'!$T$12/12)</f>
        <v>0</v>
      </c>
      <c r="AL113" s="376">
        <f ca="1">-IF(AL36=0,0,($T$20+SUM($T$75:AK$75))*'1.1 Control Panel'!$T$12/12)</f>
        <v>0</v>
      </c>
      <c r="AM113" s="376">
        <f ca="1">-IF(AM36=0,0,($T$20+SUM($T$75:AL$75))*'1.1 Control Panel'!$T$12/12)</f>
        <v>0</v>
      </c>
      <c r="AN113" s="376">
        <f ca="1">-IF(AN36=0,0,($T$20+SUM($T$75:AM$75))*'1.1 Control Panel'!$T$12/12)</f>
        <v>0</v>
      </c>
      <c r="AP113" s="21"/>
    </row>
    <row r="114" spans="3:42" ht="11.5" customHeight="1" x14ac:dyDescent="0.25">
      <c r="C114" s="659">
        <v>46173.25</v>
      </c>
      <c r="D114" s="38" t="s">
        <v>46</v>
      </c>
      <c r="E114" s="376"/>
      <c r="F114" s="376"/>
      <c r="G114" s="376"/>
      <c r="H114" s="376"/>
      <c r="I114" s="376"/>
      <c r="J114" s="376"/>
      <c r="K114" s="376"/>
      <c r="L114" s="376"/>
      <c r="M114" s="376"/>
      <c r="N114" s="376"/>
      <c r="O114" s="376"/>
      <c r="P114" s="376"/>
      <c r="Q114" s="376"/>
      <c r="R114" s="376"/>
      <c r="S114" s="376"/>
      <c r="T114" s="376"/>
      <c r="U114" s="376">
        <f ca="1">-U20*'1.1 Control Panel'!U12/12</f>
        <v>0</v>
      </c>
      <c r="V114" s="376">
        <f ca="1">-IF(V37=0,0,($U$20+SUM($U$76:U$76))*'1.1 Control Panel'!$U$12/12)</f>
        <v>0</v>
      </c>
      <c r="W114" s="376">
        <f ca="1">-IF(W37=0,0,($U$20+SUM($U$76:V$76))*'1.1 Control Panel'!$U$12/12)</f>
        <v>0</v>
      </c>
      <c r="X114" s="376">
        <f ca="1">-IF(X37=0,0,($U$20+SUM($U$76:W$76))*'1.1 Control Panel'!$U$12/12)</f>
        <v>0</v>
      </c>
      <c r="Y114" s="376">
        <f ca="1">-IF(Y37=0,0,($U$20+SUM($U$76:X$76))*'1.1 Control Panel'!$U$12/12)</f>
        <v>0</v>
      </c>
      <c r="Z114" s="376">
        <f ca="1">-IF(Z37=0,0,($U$20+SUM($U$76:Y$76))*'1.1 Control Panel'!$U$12/12)</f>
        <v>0</v>
      </c>
      <c r="AA114" s="376">
        <f ca="1">-IF(AA37=0,0,($U$20+SUM($U$76:Z$76))*'1.1 Control Panel'!$U$12/12)</f>
        <v>0</v>
      </c>
      <c r="AB114" s="376">
        <f ca="1">-IF(AB37=0,0,($U$20+SUM($U$76:AA$76))*'1.1 Control Panel'!$U$12/12)</f>
        <v>0</v>
      </c>
      <c r="AC114" s="376">
        <f ca="1">-IF(AC37=0,0,($U$20+SUM($U$76:AB$76))*'1.1 Control Panel'!$U$12/12)</f>
        <v>0</v>
      </c>
      <c r="AD114" s="376">
        <f ca="1">-IF(AD37=0,0,($U$20+SUM($U$76:AC$76))*'1.1 Control Panel'!$U$12/12)</f>
        <v>0</v>
      </c>
      <c r="AE114" s="376">
        <f ca="1">-IF(AE37=0,0,($U$20+SUM($U$76:AD$76))*'1.1 Control Panel'!$U$12/12)</f>
        <v>0</v>
      </c>
      <c r="AF114" s="376">
        <f ca="1">-IF(AF37=0,0,($U$20+SUM($U$76:AE$76))*'1.1 Control Panel'!$U$12/12)</f>
        <v>0</v>
      </c>
      <c r="AG114" s="376">
        <f ca="1">-IF(AG37=0,0,($U$20+SUM($U$76:AF$76))*'1.1 Control Panel'!$U$12/12)</f>
        <v>0</v>
      </c>
      <c r="AH114" s="376">
        <f ca="1">-IF(AH37=0,0,($U$20+SUM($U$76:AG$76))*'1.1 Control Panel'!$U$12/12)</f>
        <v>0</v>
      </c>
      <c r="AI114" s="376">
        <f ca="1">-IF(AI37=0,0,($U$20+SUM($U$76:AH$76))*'1.1 Control Panel'!$U$12/12)</f>
        <v>0</v>
      </c>
      <c r="AJ114" s="376">
        <f ca="1">-IF(AJ37=0,0,($U$20+SUM($U$76:AI$76))*'1.1 Control Panel'!$U$12/12)</f>
        <v>0</v>
      </c>
      <c r="AK114" s="376">
        <f ca="1">-IF(AK37=0,0,($U$20+SUM($U$76:AJ$76))*'1.1 Control Panel'!$U$12/12)</f>
        <v>0</v>
      </c>
      <c r="AL114" s="376">
        <f ca="1">-IF(AL37=0,0,($U$20+SUM($U$76:AK$76))*'1.1 Control Panel'!$U$12/12)</f>
        <v>0</v>
      </c>
      <c r="AM114" s="376">
        <f ca="1">-IF(AM37=0,0,($U$20+SUM($U$76:AL$76))*'1.1 Control Panel'!$U$12/12)</f>
        <v>0</v>
      </c>
      <c r="AN114" s="376">
        <f ca="1">-IF(AN37=0,0,($U$20+SUM($U$76:AM$76))*'1.1 Control Panel'!$U$12/12)</f>
        <v>0</v>
      </c>
      <c r="AP114" s="21"/>
    </row>
    <row r="115" spans="3:42" ht="11.5" customHeight="1" x14ac:dyDescent="0.25">
      <c r="C115" s="659">
        <v>46203.25</v>
      </c>
      <c r="D115" s="38" t="s">
        <v>46</v>
      </c>
      <c r="E115" s="376"/>
      <c r="F115" s="376"/>
      <c r="G115" s="376"/>
      <c r="H115" s="376"/>
      <c r="I115" s="376"/>
      <c r="J115" s="376"/>
      <c r="K115" s="376"/>
      <c r="L115" s="376"/>
      <c r="M115" s="376"/>
      <c r="N115" s="376"/>
      <c r="O115" s="376"/>
      <c r="P115" s="376"/>
      <c r="Q115" s="376"/>
      <c r="R115" s="376"/>
      <c r="S115" s="376"/>
      <c r="T115" s="376"/>
      <c r="U115" s="376"/>
      <c r="V115" s="376">
        <f ca="1">-V20*'1.1 Control Panel'!V12/12</f>
        <v>0</v>
      </c>
      <c r="W115" s="376">
        <f ca="1">-IF(W38=0,0,($V$20+SUM($V$77:V$77))*'1.1 Control Panel'!$V$12/12)</f>
        <v>0</v>
      </c>
      <c r="X115" s="376">
        <f ca="1">-IF(X38=0,0,($V$20+SUM($V$77:W$77))*'1.1 Control Panel'!$V$12/12)</f>
        <v>0</v>
      </c>
      <c r="Y115" s="376">
        <f ca="1">-IF(Y38=0,0,($V$20+SUM($V$77:X$77))*'1.1 Control Panel'!$V$12/12)</f>
        <v>0</v>
      </c>
      <c r="Z115" s="376">
        <f ca="1">-IF(Z38=0,0,($V$20+SUM($V$77:Y$77))*'1.1 Control Panel'!$V$12/12)</f>
        <v>0</v>
      </c>
      <c r="AA115" s="376">
        <f ca="1">-IF(AA38=0,0,($V$20+SUM($V$77:Z$77))*'1.1 Control Panel'!$V$12/12)</f>
        <v>0</v>
      </c>
      <c r="AB115" s="376">
        <f ca="1">-IF(AB38=0,0,($V$20+SUM($V$77:AA$77))*'1.1 Control Panel'!$V$12/12)</f>
        <v>0</v>
      </c>
      <c r="AC115" s="376">
        <f ca="1">-IF(AC38=0,0,($V$20+SUM($V$77:AB$77))*'1.1 Control Panel'!$V$12/12)</f>
        <v>0</v>
      </c>
      <c r="AD115" s="376">
        <f ca="1">-IF(AD38=0,0,($V$20+SUM($V$77:AC$77))*'1.1 Control Panel'!$V$12/12)</f>
        <v>0</v>
      </c>
      <c r="AE115" s="376">
        <f ca="1">-IF(AE38=0,0,($V$20+SUM($V$77:AD$77))*'1.1 Control Panel'!$V$12/12)</f>
        <v>0</v>
      </c>
      <c r="AF115" s="376">
        <f ca="1">-IF(AF38=0,0,($V$20+SUM($V$77:AE$77))*'1.1 Control Panel'!$V$12/12)</f>
        <v>0</v>
      </c>
      <c r="AG115" s="376">
        <f ca="1">-IF(AG38=0,0,($V$20+SUM($V$77:AF$77))*'1.1 Control Panel'!$V$12/12)</f>
        <v>0</v>
      </c>
      <c r="AH115" s="376">
        <f ca="1">-IF(AH38=0,0,($V$20+SUM($V$77:AG$77))*'1.1 Control Panel'!$V$12/12)</f>
        <v>0</v>
      </c>
      <c r="AI115" s="376">
        <f ca="1">-IF(AI38=0,0,($V$20+SUM($V$77:AH$77))*'1.1 Control Panel'!$V$12/12)</f>
        <v>0</v>
      </c>
      <c r="AJ115" s="376">
        <f ca="1">-IF(AJ38=0,0,($V$20+SUM($V$77:AI$77))*'1.1 Control Panel'!$V$12/12)</f>
        <v>0</v>
      </c>
      <c r="AK115" s="376">
        <f ca="1">-IF(AK38=0,0,($V$20+SUM($V$77:AJ$77))*'1.1 Control Panel'!$V$12/12)</f>
        <v>0</v>
      </c>
      <c r="AL115" s="376">
        <f ca="1">-IF(AL38=0,0,($V$20+SUM($V$77:AK$77))*'1.1 Control Panel'!$V$12/12)</f>
        <v>0</v>
      </c>
      <c r="AM115" s="376">
        <f ca="1">-IF(AM38=0,0,($V$20+SUM($V$77:AL$77))*'1.1 Control Panel'!$V$12/12)</f>
        <v>0</v>
      </c>
      <c r="AN115" s="376">
        <f ca="1">-IF(AN38=0,0,($V$20+SUM($V$77:AM$77))*'1.1 Control Panel'!$V$12/12)</f>
        <v>0</v>
      </c>
      <c r="AP115" s="21"/>
    </row>
    <row r="116" spans="3:42" ht="11.5" customHeight="1" x14ac:dyDescent="0.25">
      <c r="C116" s="659">
        <v>46234.25</v>
      </c>
      <c r="D116" s="38" t="s">
        <v>46</v>
      </c>
      <c r="E116" s="376"/>
      <c r="F116" s="376"/>
      <c r="G116" s="376"/>
      <c r="H116" s="376"/>
      <c r="I116" s="376"/>
      <c r="J116" s="376"/>
      <c r="K116" s="376"/>
      <c r="L116" s="376"/>
      <c r="M116" s="376"/>
      <c r="N116" s="376"/>
      <c r="O116" s="376"/>
      <c r="P116" s="376"/>
      <c r="Q116" s="376"/>
      <c r="R116" s="376"/>
      <c r="S116" s="376"/>
      <c r="T116" s="376"/>
      <c r="U116" s="376"/>
      <c r="V116" s="376"/>
      <c r="W116" s="376">
        <f ca="1">-W20*'1.1 Control Panel'!W12/12</f>
        <v>0</v>
      </c>
      <c r="X116" s="376">
        <f ca="1">-IF(X39=0,0,($W$20+SUM($W$78:W$78))*'1.1 Control Panel'!$W$12/12)</f>
        <v>0</v>
      </c>
      <c r="Y116" s="376">
        <f ca="1">-IF(Y39=0,0,($W$20+SUM($W$78:X$78))*'1.1 Control Panel'!$W$12/12)</f>
        <v>0</v>
      </c>
      <c r="Z116" s="376">
        <f ca="1">-IF(Z39=0,0,($W$20+SUM($W$78:Y$78))*'1.1 Control Panel'!$W$12/12)</f>
        <v>0</v>
      </c>
      <c r="AA116" s="376">
        <f ca="1">-IF(AA39=0,0,($W$20+SUM($W$78:Z$78))*'1.1 Control Panel'!$W$12/12)</f>
        <v>0</v>
      </c>
      <c r="AB116" s="376">
        <f ca="1">-IF(AB39=0,0,($W$20+SUM($W$78:AA$78))*'1.1 Control Panel'!$W$12/12)</f>
        <v>0</v>
      </c>
      <c r="AC116" s="376">
        <f ca="1">-IF(AC39=0,0,($W$20+SUM($W$78:AB$78))*'1.1 Control Panel'!$W$12/12)</f>
        <v>0</v>
      </c>
      <c r="AD116" s="376">
        <f ca="1">-IF(AD39=0,0,($W$20+SUM($W$78:AC$78))*'1.1 Control Panel'!$W$12/12)</f>
        <v>0</v>
      </c>
      <c r="AE116" s="376">
        <f ca="1">-IF(AE39=0,0,($W$20+SUM($W$78:AD$78))*'1.1 Control Panel'!$W$12/12)</f>
        <v>0</v>
      </c>
      <c r="AF116" s="376">
        <f ca="1">-IF(AF39=0,0,($W$20+SUM($W$78:AE$78))*'1.1 Control Panel'!$W$12/12)</f>
        <v>0</v>
      </c>
      <c r="AG116" s="376">
        <f ca="1">-IF(AG39=0,0,($W$20+SUM($W$78:AF$78))*'1.1 Control Panel'!$W$12/12)</f>
        <v>0</v>
      </c>
      <c r="AH116" s="376">
        <f ca="1">-IF(AH39=0,0,($W$20+SUM($W$78:AG$78))*'1.1 Control Panel'!$W$12/12)</f>
        <v>0</v>
      </c>
      <c r="AI116" s="376">
        <f ca="1">-IF(AI39=0,0,($W$20+SUM($W$78:AH$78))*'1.1 Control Panel'!$W$12/12)</f>
        <v>0</v>
      </c>
      <c r="AJ116" s="376">
        <f ca="1">-IF(AJ39=0,0,($W$20+SUM($W$78:AI$78))*'1.1 Control Panel'!$W$12/12)</f>
        <v>0</v>
      </c>
      <c r="AK116" s="376">
        <f ca="1">-IF(AK39=0,0,($W$20+SUM($W$78:AJ$78))*'1.1 Control Panel'!$W$12/12)</f>
        <v>0</v>
      </c>
      <c r="AL116" s="376">
        <f ca="1">-IF(AL39=0,0,($W$20+SUM($W$78:AK$78))*'1.1 Control Panel'!$W$12/12)</f>
        <v>0</v>
      </c>
      <c r="AM116" s="376">
        <f ca="1">-IF(AM39=0,0,($W$20+SUM($W$78:AL$78))*'1.1 Control Panel'!$W$12/12)</f>
        <v>0</v>
      </c>
      <c r="AN116" s="376">
        <f ca="1">-IF(AN39=0,0,($W$20+SUM($W$78:AM$78))*'1.1 Control Panel'!$W$12/12)</f>
        <v>0</v>
      </c>
      <c r="AP116" s="21"/>
    </row>
    <row r="117" spans="3:42" ht="11.5" customHeight="1" x14ac:dyDescent="0.25">
      <c r="C117" s="659">
        <v>46265.25</v>
      </c>
      <c r="D117" s="38" t="s">
        <v>46</v>
      </c>
      <c r="E117" s="376"/>
      <c r="F117" s="376"/>
      <c r="G117" s="376"/>
      <c r="H117" s="376"/>
      <c r="I117" s="376"/>
      <c r="J117" s="376"/>
      <c r="K117" s="376"/>
      <c r="L117" s="376"/>
      <c r="M117" s="376"/>
      <c r="N117" s="376"/>
      <c r="O117" s="376"/>
      <c r="P117" s="376"/>
      <c r="Q117" s="376"/>
      <c r="R117" s="376"/>
      <c r="S117" s="376"/>
      <c r="T117" s="376"/>
      <c r="U117" s="376"/>
      <c r="V117" s="376"/>
      <c r="W117" s="376"/>
      <c r="X117" s="376">
        <f ca="1">-X20*'1.1 Control Panel'!X12/12</f>
        <v>0</v>
      </c>
      <c r="Y117" s="376">
        <f ca="1">-IF(Y40=0,0,($X$20+SUM(W$79:$X$79))*'1.1 Control Panel'!$X$12/12)</f>
        <v>0</v>
      </c>
      <c r="Z117" s="376">
        <f ca="1">-IF(Z40=0,0,($X$20+SUM(X$79:$X$79))*'1.1 Control Panel'!$X$12/12)</f>
        <v>0</v>
      </c>
      <c r="AA117" s="376">
        <f ca="1">-IF(AA40=0,0,($X$20+SUM($X$79:Y$79))*'1.1 Control Panel'!$X$12/12)</f>
        <v>0</v>
      </c>
      <c r="AB117" s="376">
        <f ca="1">-IF(AB40=0,0,($X$20+SUM($X$79:Z$79))*'1.1 Control Panel'!$X$12/12)</f>
        <v>0</v>
      </c>
      <c r="AC117" s="376">
        <f ca="1">-IF(AC40=0,0,($X$20+SUM($X$79:AA$79))*'1.1 Control Panel'!$X$12/12)</f>
        <v>0</v>
      </c>
      <c r="AD117" s="376">
        <f ca="1">-IF(AD40=0,0,($X$20+SUM($X$79:AB$79))*'1.1 Control Panel'!$X$12/12)</f>
        <v>0</v>
      </c>
      <c r="AE117" s="376">
        <f ca="1">-IF(AE40=0,0,($X$20+SUM($X$79:AC$79))*'1.1 Control Panel'!$X$12/12)</f>
        <v>0</v>
      </c>
      <c r="AF117" s="376">
        <f ca="1">-IF(AF40=0,0,($X$20+SUM($X$79:AD$79))*'1.1 Control Panel'!$X$12/12)</f>
        <v>0</v>
      </c>
      <c r="AG117" s="376">
        <f ca="1">-IF(AG40=0,0,($X$20+SUM($X$79:AE$79))*'1.1 Control Panel'!$X$12/12)</f>
        <v>0</v>
      </c>
      <c r="AH117" s="376">
        <f ca="1">-IF(AH40=0,0,($X$20+SUM($X$79:AF$79))*'1.1 Control Panel'!$X$12/12)</f>
        <v>0</v>
      </c>
      <c r="AI117" s="376">
        <f ca="1">-IF(AI40=0,0,($X$20+SUM($X$79:AG$79))*'1.1 Control Panel'!$X$12/12)</f>
        <v>0</v>
      </c>
      <c r="AJ117" s="376">
        <f ca="1">-IF(AJ40=0,0,($X$20+SUM($X$79:AH$79))*'1.1 Control Panel'!$X$12/12)</f>
        <v>0</v>
      </c>
      <c r="AK117" s="376">
        <f ca="1">-IF(AK40=0,0,($X$20+SUM($X$79:AI$79))*'1.1 Control Panel'!$X$12/12)</f>
        <v>0</v>
      </c>
      <c r="AL117" s="376">
        <f ca="1">-IF(AL40=0,0,($X$20+SUM($X$79:AJ$79))*'1.1 Control Panel'!$X$12/12)</f>
        <v>0</v>
      </c>
      <c r="AM117" s="376">
        <f ca="1">-IF(AM40=0,0,($X$20+SUM($X$79:AK$79))*'1.1 Control Panel'!$X$12/12)</f>
        <v>0</v>
      </c>
      <c r="AN117" s="376">
        <f ca="1">-IF(AN40=0,0,($X$20+SUM($X$79:AL$79))*'1.1 Control Panel'!$X$12/12)</f>
        <v>0</v>
      </c>
      <c r="AP117" s="21"/>
    </row>
    <row r="118" spans="3:42" ht="11.5" customHeight="1" x14ac:dyDescent="0.25">
      <c r="C118" s="659">
        <v>46295.25</v>
      </c>
      <c r="D118" s="38" t="s">
        <v>46</v>
      </c>
      <c r="E118" s="376"/>
      <c r="F118" s="376"/>
      <c r="G118" s="376"/>
      <c r="H118" s="376"/>
      <c r="I118" s="376"/>
      <c r="J118" s="376"/>
      <c r="K118" s="376"/>
      <c r="L118" s="376"/>
      <c r="M118" s="376"/>
      <c r="N118" s="376"/>
      <c r="O118" s="376"/>
      <c r="P118" s="376"/>
      <c r="Q118" s="376"/>
      <c r="R118" s="376"/>
      <c r="S118" s="376"/>
      <c r="T118" s="376"/>
      <c r="U118" s="376"/>
      <c r="V118" s="376"/>
      <c r="W118" s="376"/>
      <c r="X118" s="376"/>
      <c r="Y118" s="376">
        <f ca="1">-Y20*'1.1 Control Panel'!Y12/12</f>
        <v>0</v>
      </c>
      <c r="Z118" s="376">
        <f ca="1">-IF(Z41=0,0,($Y$20+SUM(Y$80:$Y$80))*'1.1 Control Panel'!$Y$12/12)</f>
        <v>0</v>
      </c>
      <c r="AA118" s="376">
        <f ca="1">-IF(AA41=0,0,($Y$20+SUM($Y$80:Z$80))*'1.1 Control Panel'!$Y$12/12)</f>
        <v>0</v>
      </c>
      <c r="AB118" s="376">
        <f ca="1">-IF(AB41=0,0,($Y$20+SUM($Y$80:AA$80))*'1.1 Control Panel'!$Y$12/12)</f>
        <v>0</v>
      </c>
      <c r="AC118" s="376">
        <f ca="1">-IF(AC41=0,0,($Y$20+SUM($Y$80:AB$80))*'1.1 Control Panel'!$Y$12/12)</f>
        <v>0</v>
      </c>
      <c r="AD118" s="376">
        <f ca="1">-IF(AD41=0,0,($Y$20+SUM($Y$80:AC$80))*'1.1 Control Panel'!$Y$12/12)</f>
        <v>0</v>
      </c>
      <c r="AE118" s="376">
        <f ca="1">-IF(AE41=0,0,($Y$20+SUM($Y$80:AD$80))*'1.1 Control Panel'!$Y$12/12)</f>
        <v>0</v>
      </c>
      <c r="AF118" s="376">
        <f ca="1">-IF(AF41=0,0,($Y$20+SUM($Y$80:AE$80))*'1.1 Control Panel'!$Y$12/12)</f>
        <v>0</v>
      </c>
      <c r="AG118" s="376">
        <f ca="1">-IF(AG41=0,0,($Y$20+SUM($Y$80:AF$80))*'1.1 Control Panel'!$Y$12/12)</f>
        <v>0</v>
      </c>
      <c r="AH118" s="376">
        <f ca="1">-IF(AH41=0,0,($Y$20+SUM($Y$80:AG$80))*'1.1 Control Panel'!$Y$12/12)</f>
        <v>0</v>
      </c>
      <c r="AI118" s="376">
        <f ca="1">-IF(AI41=0,0,($Y$20+SUM($Y$80:AH$80))*'1.1 Control Panel'!$Y$12/12)</f>
        <v>0</v>
      </c>
      <c r="AJ118" s="376">
        <f ca="1">-IF(AJ41=0,0,($Y$20+SUM($Y$80:AI$80))*'1.1 Control Panel'!$Y$12/12)</f>
        <v>0</v>
      </c>
      <c r="AK118" s="376">
        <f ca="1">-IF(AK41=0,0,($Y$20+SUM($Y$80:AJ$80))*'1.1 Control Panel'!$Y$12/12)</f>
        <v>0</v>
      </c>
      <c r="AL118" s="376">
        <f ca="1">-IF(AL41=0,0,($Y$20+SUM($Y$80:AK$80))*'1.1 Control Panel'!$Y$12/12)</f>
        <v>0</v>
      </c>
      <c r="AM118" s="376">
        <f ca="1">-IF(AM41=0,0,($Y$20+SUM($Y$80:AL$80))*'1.1 Control Panel'!$Y$12/12)</f>
        <v>0</v>
      </c>
      <c r="AN118" s="376">
        <f ca="1">-IF(AN41=0,0,($Y$20+SUM($Y$80:AM$80))*'1.1 Control Panel'!$Y$12/12)</f>
        <v>0</v>
      </c>
      <c r="AP118" s="21"/>
    </row>
    <row r="119" spans="3:42" ht="11.5" customHeight="1" x14ac:dyDescent="0.25">
      <c r="C119" s="659">
        <v>46326.25</v>
      </c>
      <c r="D119" s="38" t="s">
        <v>46</v>
      </c>
      <c r="E119" s="376"/>
      <c r="F119" s="376"/>
      <c r="G119" s="376"/>
      <c r="H119" s="376"/>
      <c r="I119" s="376"/>
      <c r="J119" s="376"/>
      <c r="K119" s="376"/>
      <c r="L119" s="376"/>
      <c r="M119" s="376"/>
      <c r="N119" s="376"/>
      <c r="O119" s="376"/>
      <c r="P119" s="376"/>
      <c r="Q119" s="376"/>
      <c r="R119" s="376"/>
      <c r="S119" s="376"/>
      <c r="T119" s="376"/>
      <c r="U119" s="376"/>
      <c r="V119" s="376"/>
      <c r="W119" s="376"/>
      <c r="X119" s="376"/>
      <c r="Y119" s="376"/>
      <c r="Z119" s="376">
        <f ca="1">-Z20*'1.1 Control Panel'!Z12/12</f>
        <v>0</v>
      </c>
      <c r="AA119" s="376">
        <f ca="1">-IF(AA42=0,0,($Z$20+SUM(Z$81:$Z$81))*'1.1 Control Panel'!$Z$12/12)</f>
        <v>0</v>
      </c>
      <c r="AB119" s="376">
        <f ca="1">-IF(AB42=0,0,($Z$20+SUM($Z$81:AA$81))*'1.1 Control Panel'!$Z$12/12)</f>
        <v>0</v>
      </c>
      <c r="AC119" s="376">
        <f ca="1">-IF(AC42=0,0,($Z$20+SUM($Z$81:AB$81))*'1.1 Control Panel'!$Z$12/12)</f>
        <v>0</v>
      </c>
      <c r="AD119" s="376">
        <f ca="1">-IF(AD42=0,0,($Z$20+SUM($Z$81:AC$81))*'1.1 Control Panel'!$Z$12/12)</f>
        <v>0</v>
      </c>
      <c r="AE119" s="376">
        <f ca="1">-IF(AE42=0,0,($Z$20+SUM($Z$81:AD$81))*'1.1 Control Panel'!$Z$12/12)</f>
        <v>0</v>
      </c>
      <c r="AF119" s="376">
        <f ca="1">-IF(AF42=0,0,($Z$20+SUM($Z$81:AE$81))*'1.1 Control Panel'!$Z$12/12)</f>
        <v>0</v>
      </c>
      <c r="AG119" s="376">
        <f ca="1">-IF(AG42=0,0,($Z$20+SUM($Z$81:AF$81))*'1.1 Control Panel'!$Z$12/12)</f>
        <v>0</v>
      </c>
      <c r="AH119" s="376">
        <f ca="1">-IF(AH42=0,0,($Z$20+SUM($Z$81:AG$81))*'1.1 Control Panel'!$Z$12/12)</f>
        <v>0</v>
      </c>
      <c r="AI119" s="376">
        <f ca="1">-IF(AI42=0,0,($Z$20+SUM($Z$81:AH$81))*'1.1 Control Panel'!$Z$12/12)</f>
        <v>0</v>
      </c>
      <c r="AJ119" s="376">
        <f ca="1">-IF(AJ42=0,0,($Z$20+SUM($Z$81:AI$81))*'1.1 Control Panel'!$Z$12/12)</f>
        <v>0</v>
      </c>
      <c r="AK119" s="376">
        <f ca="1">-IF(AK42=0,0,($Z$20+SUM($Z$81:AJ$81))*'1.1 Control Panel'!$Z$12/12)</f>
        <v>0</v>
      </c>
      <c r="AL119" s="376">
        <f ca="1">-IF(AL42=0,0,($Z$20+SUM($Z$81:AK$81))*'1.1 Control Panel'!$Z$12/12)</f>
        <v>0</v>
      </c>
      <c r="AM119" s="376">
        <f ca="1">-IF(AM42=0,0,($Z$20+SUM($Z$81:AL$81))*'1.1 Control Panel'!$Z$12/12)</f>
        <v>0</v>
      </c>
      <c r="AN119" s="376">
        <f ca="1">-IF(AN42=0,0,($Z$20+SUM($Z$81:AM$81))*'1.1 Control Panel'!$Z$12/12)</f>
        <v>0</v>
      </c>
      <c r="AP119" s="21"/>
    </row>
    <row r="120" spans="3:42" ht="11.5" customHeight="1" x14ac:dyDescent="0.25">
      <c r="C120" s="659">
        <v>46356.25</v>
      </c>
      <c r="D120" s="38" t="s">
        <v>46</v>
      </c>
      <c r="E120" s="376"/>
      <c r="F120" s="376"/>
      <c r="G120" s="376"/>
      <c r="H120" s="376"/>
      <c r="I120" s="376"/>
      <c r="J120" s="376"/>
      <c r="K120" s="376"/>
      <c r="L120" s="376"/>
      <c r="M120" s="376"/>
      <c r="N120" s="376"/>
      <c r="O120" s="376"/>
      <c r="P120" s="376"/>
      <c r="Q120" s="376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>
        <f ca="1">-AA20*'1.1 Control Panel'!AA12/12</f>
        <v>0</v>
      </c>
      <c r="AB120" s="376">
        <f ca="1">-IF(AB43=0,0,($AA$20+SUM(AA$82:$AA$82))*'1.1 Control Panel'!$AA$12/12)</f>
        <v>0</v>
      </c>
      <c r="AC120" s="376">
        <f ca="1">-IF(AC43=0,0,($AA$20+SUM($AA$82:AB$82))*'1.1 Control Panel'!$AA$12/12)</f>
        <v>0</v>
      </c>
      <c r="AD120" s="376">
        <f ca="1">-IF(AD43=0,0,($AA$20+SUM($AA$82:AC$82))*'1.1 Control Panel'!$AA$12/12)</f>
        <v>0</v>
      </c>
      <c r="AE120" s="376">
        <f ca="1">-IF(AE43=0,0,($AA$20+SUM($AA$82:AD$82))*'1.1 Control Panel'!$AA$12/12)</f>
        <v>0</v>
      </c>
      <c r="AF120" s="376">
        <f ca="1">-IF(AF43=0,0,($AA$20+SUM($AA$82:AE$82))*'1.1 Control Panel'!$AA$12/12)</f>
        <v>0</v>
      </c>
      <c r="AG120" s="376">
        <f ca="1">-IF(AG43=0,0,($AA$20+SUM($AA$82:AF$82))*'1.1 Control Panel'!$AA$12/12)</f>
        <v>0</v>
      </c>
      <c r="AH120" s="376">
        <f ca="1">-IF(AH43=0,0,($AA$20+SUM($AA$82:AG$82))*'1.1 Control Panel'!$AA$12/12)</f>
        <v>0</v>
      </c>
      <c r="AI120" s="376">
        <f ca="1">-IF(AI43=0,0,($AA$20+SUM($AA$82:AH$82))*'1.1 Control Panel'!$AA$12/12)</f>
        <v>0</v>
      </c>
      <c r="AJ120" s="376">
        <f ca="1">-IF(AJ43=0,0,($AA$20+SUM($AA$82:AI$82))*'1.1 Control Panel'!$AA$12/12)</f>
        <v>0</v>
      </c>
      <c r="AK120" s="376">
        <f ca="1">-IF(AK43=0,0,($AA$20+SUM($AA$82:AJ$82))*'1.1 Control Panel'!$AA$12/12)</f>
        <v>0</v>
      </c>
      <c r="AL120" s="376">
        <f ca="1">-IF(AL43=0,0,($AA$20+SUM($AA$82:AK$82))*'1.1 Control Panel'!$AA$12/12)</f>
        <v>0</v>
      </c>
      <c r="AM120" s="376">
        <f ca="1">-IF(AM43=0,0,($AA$20+SUM($AA$82:AL$82))*'1.1 Control Panel'!$AA$12/12)</f>
        <v>0</v>
      </c>
      <c r="AN120" s="376">
        <f ca="1">-IF(AN43=0,0,($AA$20+SUM($AA$82:AM$82))*'1.1 Control Panel'!$AA$12/12)</f>
        <v>0</v>
      </c>
      <c r="AP120" s="21"/>
    </row>
    <row r="121" spans="3:42" ht="11.5" customHeight="1" x14ac:dyDescent="0.25">
      <c r="C121" s="659">
        <v>46387.25</v>
      </c>
      <c r="D121" s="38" t="s">
        <v>46</v>
      </c>
      <c r="E121" s="376"/>
      <c r="F121" s="376"/>
      <c r="G121" s="376"/>
      <c r="H121" s="376"/>
      <c r="I121" s="376"/>
      <c r="J121" s="376"/>
      <c r="K121" s="376"/>
      <c r="L121" s="376"/>
      <c r="M121" s="376"/>
      <c r="N121" s="376"/>
      <c r="O121" s="376"/>
      <c r="P121" s="376"/>
      <c r="Q121" s="376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>
        <f ca="1">-AB20*'1.1 Control Panel'!AB12/12</f>
        <v>0</v>
      </c>
      <c r="AC121" s="376">
        <f ca="1">-IF(AC44=0,0,($AB$20+SUM(AB$83:$AB$83))*'1.1 Control Panel'!$AB$12/12)</f>
        <v>0</v>
      </c>
      <c r="AD121" s="376">
        <f ca="1">-IF(AD44=0,0,($AB$20+SUM($AB$83:AC$83))*'1.1 Control Panel'!$AB$12/12)</f>
        <v>0</v>
      </c>
      <c r="AE121" s="376">
        <f ca="1">-IF(AE44=0,0,($AB$20+SUM($AB$83:AD$83))*'1.1 Control Panel'!$AB$12/12)</f>
        <v>0</v>
      </c>
      <c r="AF121" s="376">
        <f ca="1">-IF(AF44=0,0,($AB$20+SUM($AB$83:AE$83))*'1.1 Control Panel'!$AB$12/12)</f>
        <v>0</v>
      </c>
      <c r="AG121" s="376">
        <f ca="1">-IF(AG44=0,0,($AB$20+SUM($AB$83:AF$83))*'1.1 Control Panel'!$AB$12/12)</f>
        <v>0</v>
      </c>
      <c r="AH121" s="376">
        <f ca="1">-IF(AH44=0,0,($AB$20+SUM($AB$83:AG$83))*'1.1 Control Panel'!$AB$12/12)</f>
        <v>0</v>
      </c>
      <c r="AI121" s="376">
        <f ca="1">-IF(AI44=0,0,($AB$20+SUM($AB$83:AH$83))*'1.1 Control Panel'!$AB$12/12)</f>
        <v>0</v>
      </c>
      <c r="AJ121" s="376">
        <f ca="1">-IF(AJ44=0,0,($AB$20+SUM($AB$83:AI$83))*'1.1 Control Panel'!$AB$12/12)</f>
        <v>0</v>
      </c>
      <c r="AK121" s="376">
        <f ca="1">-IF(AK44=0,0,($AB$20+SUM($AB$83:AJ$83))*'1.1 Control Panel'!$AB$12/12)</f>
        <v>0</v>
      </c>
      <c r="AL121" s="376">
        <f ca="1">-IF(AL44=0,0,($AB$20+SUM($AB$83:AK$83))*'1.1 Control Panel'!$AB$12/12)</f>
        <v>0</v>
      </c>
      <c r="AM121" s="376">
        <f ca="1">-IF(AM44=0,0,($AB$20+SUM($AB$83:AL$83))*'1.1 Control Panel'!$AB$12/12)</f>
        <v>0</v>
      </c>
      <c r="AN121" s="376">
        <f ca="1">-IF(AN44=0,0,($AB$20+SUM($AB$83:AM$83))*'1.1 Control Panel'!$AB$12/12)</f>
        <v>0</v>
      </c>
      <c r="AP121" s="21"/>
    </row>
    <row r="122" spans="3:42" ht="11.5" customHeight="1" x14ac:dyDescent="0.25">
      <c r="C122" s="659">
        <v>46418.5</v>
      </c>
      <c r="D122" s="38" t="s">
        <v>46</v>
      </c>
      <c r="E122" s="376"/>
      <c r="F122" s="376"/>
      <c r="G122" s="376"/>
      <c r="H122" s="376"/>
      <c r="I122" s="376"/>
      <c r="J122" s="376"/>
      <c r="K122" s="376"/>
      <c r="L122" s="376"/>
      <c r="M122" s="376"/>
      <c r="N122" s="376"/>
      <c r="O122" s="376"/>
      <c r="P122" s="376"/>
      <c r="Q122" s="376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>
        <f ca="1">-AC20*'1.1 Control Panel'!AC12/12</f>
        <v>0</v>
      </c>
      <c r="AD122" s="376">
        <f ca="1">-IF(AD45=0,0,($AC$20+SUM(AC$84:$AC$84))*'1.1 Control Panel'!$AC$12/12)</f>
        <v>0</v>
      </c>
      <c r="AE122" s="376">
        <f ca="1">-IF(AE45=0,0,($AC$20+SUM($AC$84:AD$84))*'1.1 Control Panel'!$AC$12/12)</f>
        <v>0</v>
      </c>
      <c r="AF122" s="376">
        <f ca="1">-IF(AF45=0,0,($AC$20+SUM($AC$84:AE$84))*'1.1 Control Panel'!$AC$12/12)</f>
        <v>0</v>
      </c>
      <c r="AG122" s="376">
        <f ca="1">-IF(AG45=0,0,($AC$20+SUM($AC$84:AF$84))*'1.1 Control Panel'!$AC$12/12)</f>
        <v>0</v>
      </c>
      <c r="AH122" s="376">
        <f ca="1">-IF(AH45=0,0,($AC$20+SUM($AC$84:AG$84))*'1.1 Control Panel'!$AC$12/12)</f>
        <v>0</v>
      </c>
      <c r="AI122" s="376">
        <f ca="1">-IF(AI45=0,0,($AC$20+SUM($AC$84:AH$84))*'1.1 Control Panel'!$AC$12/12)</f>
        <v>0</v>
      </c>
      <c r="AJ122" s="376">
        <f ca="1">-IF(AJ45=0,0,($AC$20+SUM($AC$84:AI$84))*'1.1 Control Panel'!$AC$12/12)</f>
        <v>0</v>
      </c>
      <c r="AK122" s="376">
        <f ca="1">-IF(AK45=0,0,($AC$20+SUM($AC$84:AJ$84))*'1.1 Control Panel'!$AC$12/12)</f>
        <v>0</v>
      </c>
      <c r="AL122" s="376">
        <f ca="1">-IF(AL45=0,0,($AC$20+SUM($AC$84:AK$84))*'1.1 Control Panel'!$AC$12/12)</f>
        <v>0</v>
      </c>
      <c r="AM122" s="376">
        <f ca="1">-IF(AM45=0,0,($AC$20+SUM($AC$84:AL$84))*'1.1 Control Panel'!$AC$12/12)</f>
        <v>0</v>
      </c>
      <c r="AN122" s="376">
        <f ca="1">-IF(AN45=0,0,($AC$20+SUM($AC$84:AM$84))*'1.1 Control Panel'!$AC$12/12)</f>
        <v>0</v>
      </c>
      <c r="AP122" s="21"/>
    </row>
    <row r="123" spans="3:42" ht="11.5" customHeight="1" x14ac:dyDescent="0.25">
      <c r="C123" s="659">
        <v>46446.5</v>
      </c>
      <c r="D123" s="38" t="s">
        <v>46</v>
      </c>
      <c r="E123" s="376"/>
      <c r="F123" s="376"/>
      <c r="G123" s="376"/>
      <c r="H123" s="376"/>
      <c r="I123" s="376"/>
      <c r="J123" s="376"/>
      <c r="K123" s="376"/>
      <c r="L123" s="376"/>
      <c r="M123" s="376"/>
      <c r="N123" s="376"/>
      <c r="O123" s="376"/>
      <c r="P123" s="376"/>
      <c r="Q123" s="376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>
        <f ca="1">-AD20*'1.1 Control Panel'!AD12/12</f>
        <v>0</v>
      </c>
      <c r="AE123" s="376">
        <f ca="1">-IF(AE46=0,0,($AD$20+SUM(AD$85:$AD$85))*'1.1 Control Panel'!$AD$12/12)</f>
        <v>0</v>
      </c>
      <c r="AF123" s="376">
        <f ca="1">-IF(AF46=0,0,($AD$20+SUM($AD$85:AE$85))*'1.1 Control Panel'!$AD$12/12)</f>
        <v>0</v>
      </c>
      <c r="AG123" s="376">
        <f ca="1">-IF(AG46=0,0,($AD$20+SUM($AD$85:AF$85))*'1.1 Control Panel'!$AD$12/12)</f>
        <v>0</v>
      </c>
      <c r="AH123" s="376">
        <f ca="1">-IF(AH46=0,0,($AD$20+SUM($AD$85:AG$85))*'1.1 Control Panel'!$AD$12/12)</f>
        <v>0</v>
      </c>
      <c r="AI123" s="376">
        <f ca="1">-IF(AI46=0,0,($AD$20+SUM($AD$85:AH$85))*'1.1 Control Panel'!$AD$12/12)</f>
        <v>0</v>
      </c>
      <c r="AJ123" s="376">
        <f ca="1">-IF(AJ46=0,0,($AD$20+SUM($AD$85:AI$85))*'1.1 Control Panel'!$AD$12/12)</f>
        <v>0</v>
      </c>
      <c r="AK123" s="376">
        <f ca="1">-IF(AK46=0,0,($AD$20+SUM($AD$85:AJ$85))*'1.1 Control Panel'!$AD$12/12)</f>
        <v>0</v>
      </c>
      <c r="AL123" s="376">
        <f ca="1">-IF(AL46=0,0,($AD$20+SUM($AD$85:AK$85))*'1.1 Control Panel'!$AD$12/12)</f>
        <v>0</v>
      </c>
      <c r="AM123" s="376">
        <f ca="1">-IF(AM46=0,0,($AD$20+SUM($AD$85:AL$85))*'1.1 Control Panel'!$AD$12/12)</f>
        <v>0</v>
      </c>
      <c r="AN123" s="376">
        <f ca="1">-IF(AN46=0,0,($AD$20+SUM($AD$85:AM$85))*'1.1 Control Panel'!$AD$12/12)</f>
        <v>0</v>
      </c>
      <c r="AP123" s="21"/>
    </row>
    <row r="124" spans="3:42" ht="11.5" customHeight="1" x14ac:dyDescent="0.25">
      <c r="C124" s="659">
        <v>46477.5</v>
      </c>
      <c r="D124" s="38" t="s">
        <v>46</v>
      </c>
      <c r="E124" s="376"/>
      <c r="F124" s="376"/>
      <c r="G124" s="376"/>
      <c r="H124" s="376"/>
      <c r="I124" s="376"/>
      <c r="J124" s="376"/>
      <c r="K124" s="376"/>
      <c r="L124" s="376"/>
      <c r="M124" s="376"/>
      <c r="N124" s="376"/>
      <c r="O124" s="376"/>
      <c r="P124" s="376"/>
      <c r="Q124" s="376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>
        <f ca="1">-AE20*'1.1 Control Panel'!AE12/12</f>
        <v>0</v>
      </c>
      <c r="AF124" s="376">
        <f ca="1">-IF(AF47=0,0,($AE$20+SUM(AE$86:$AE$86))*'1.1 Control Panel'!$AE$12/12)</f>
        <v>0</v>
      </c>
      <c r="AG124" s="376">
        <f ca="1">-IF(AG47=0,0,($AE$20+SUM($AE$86:AF$86))*'1.1 Control Panel'!$AE$12/12)</f>
        <v>0</v>
      </c>
      <c r="AH124" s="376">
        <f ca="1">-IF(AH47=0,0,($AE$20+SUM($AE$86:AG$86))*'1.1 Control Panel'!$AE$12/12)</f>
        <v>0</v>
      </c>
      <c r="AI124" s="376">
        <f ca="1">-IF(AI47=0,0,($AE$20+SUM($AE$86:AH$86))*'1.1 Control Panel'!$AE$12/12)</f>
        <v>0</v>
      </c>
      <c r="AJ124" s="376">
        <f ca="1">-IF(AJ47=0,0,($AE$20+SUM($AE$86:AI$86))*'1.1 Control Panel'!$AE$12/12)</f>
        <v>0</v>
      </c>
      <c r="AK124" s="376">
        <f ca="1">-IF(AK47=0,0,($AE$20+SUM($AE$86:AJ$86))*'1.1 Control Panel'!$AE$12/12)</f>
        <v>0</v>
      </c>
      <c r="AL124" s="376">
        <f ca="1">-IF(AL47=0,0,($AE$20+SUM($AE$86:AK$86))*'1.1 Control Panel'!$AE$12/12)</f>
        <v>0</v>
      </c>
      <c r="AM124" s="376">
        <f ca="1">-IF(AM47=0,0,($AE$20+SUM($AE$86:AL$86))*'1.1 Control Panel'!$AE$12/12)</f>
        <v>0</v>
      </c>
      <c r="AN124" s="376">
        <f ca="1">-IF(AN47=0,0,($AE$20+SUM($AE$86:AM$86))*'1.1 Control Panel'!$AE$12/12)</f>
        <v>0</v>
      </c>
      <c r="AP124" s="21"/>
    </row>
    <row r="125" spans="3:42" ht="11.5" customHeight="1" x14ac:dyDescent="0.25">
      <c r="C125" s="659">
        <v>46507.5</v>
      </c>
      <c r="D125" s="38" t="s">
        <v>46</v>
      </c>
      <c r="E125" s="376"/>
      <c r="F125" s="376"/>
      <c r="G125" s="376"/>
      <c r="H125" s="376"/>
      <c r="I125" s="376"/>
      <c r="J125" s="376"/>
      <c r="K125" s="376"/>
      <c r="L125" s="376"/>
      <c r="M125" s="376"/>
      <c r="N125" s="376"/>
      <c r="O125" s="376"/>
      <c r="P125" s="376"/>
      <c r="Q125" s="376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>
        <f ca="1">-AF20*'1.1 Control Panel'!AF12/12</f>
        <v>0</v>
      </c>
      <c r="AG125" s="376">
        <f ca="1">-IF(AG48=0,0,($AF$20+SUM(AF$87:$AF$87))*'1.1 Control Panel'!$AF$12/12)</f>
        <v>0</v>
      </c>
      <c r="AH125" s="376">
        <f ca="1">-IF(AH48=0,0,($AF$20+SUM($AF$87:AG$87))*'1.1 Control Panel'!$AF$12/12)</f>
        <v>0</v>
      </c>
      <c r="AI125" s="376">
        <f ca="1">-IF(AI48=0,0,($AF$20+SUM($AF$87:AH$87))*'1.1 Control Panel'!$AF$12/12)</f>
        <v>0</v>
      </c>
      <c r="AJ125" s="376">
        <f ca="1">-IF(AJ48=0,0,($AF$20+SUM($AF$87:AI$87))*'1.1 Control Panel'!$AF$12/12)</f>
        <v>0</v>
      </c>
      <c r="AK125" s="376">
        <f ca="1">-IF(AK48=0,0,($AF$20+SUM($AF$87:AJ$87))*'1.1 Control Panel'!$AF$12/12)</f>
        <v>0</v>
      </c>
      <c r="AL125" s="376">
        <f ca="1">-IF(AL48=0,0,($AF$20+SUM($AF$87:AK$87))*'1.1 Control Panel'!$AF$12/12)</f>
        <v>0</v>
      </c>
      <c r="AM125" s="376">
        <f ca="1">-IF(AM48=0,0,($AF$20+SUM($AF$87:AL$87))*'1.1 Control Panel'!$AF$12/12)</f>
        <v>0</v>
      </c>
      <c r="AN125" s="376">
        <f ca="1">-IF(AN48=0,0,($AF$20+SUM($AF$87:AM$87))*'1.1 Control Panel'!$AF$12/12)</f>
        <v>0</v>
      </c>
      <c r="AP125" s="21"/>
    </row>
    <row r="126" spans="3:42" ht="11.5" customHeight="1" x14ac:dyDescent="0.25">
      <c r="C126" s="659">
        <v>46538.5</v>
      </c>
      <c r="D126" s="38" t="s">
        <v>46</v>
      </c>
      <c r="E126" s="376"/>
      <c r="F126" s="376"/>
      <c r="G126" s="376"/>
      <c r="H126" s="376"/>
      <c r="I126" s="376"/>
      <c r="J126" s="376"/>
      <c r="K126" s="376"/>
      <c r="L126" s="376"/>
      <c r="M126" s="376"/>
      <c r="N126" s="376"/>
      <c r="O126" s="376"/>
      <c r="P126" s="376"/>
      <c r="Q126" s="376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>
        <f ca="1">-AG20*'1.1 Control Panel'!AG12/12</f>
        <v>0</v>
      </c>
      <c r="AH126" s="376">
        <f ca="1">-IF(AH49=0,0,($AG$20+SUM(AG$88:$AG$88))*'1.1 Control Panel'!$AG$12/12)</f>
        <v>0</v>
      </c>
      <c r="AI126" s="376">
        <f ca="1">-IF(AI49=0,0,($AG$20+SUM($AG$88:AH$88))*'1.1 Control Panel'!$AG$12/12)</f>
        <v>0</v>
      </c>
      <c r="AJ126" s="376">
        <f ca="1">-IF(AJ49=0,0,($AG$20+SUM($AG$88:AI$88))*'1.1 Control Panel'!$AG$12/12)</f>
        <v>0</v>
      </c>
      <c r="AK126" s="376">
        <f ca="1">-IF(AK49=0,0,($AG$20+SUM($AG$88:AJ$88))*'1.1 Control Panel'!$AG$12/12)</f>
        <v>0</v>
      </c>
      <c r="AL126" s="376">
        <f ca="1">-IF(AL49=0,0,($AG$20+SUM($AG$88:AK$88))*'1.1 Control Panel'!$AG$12/12)</f>
        <v>0</v>
      </c>
      <c r="AM126" s="376">
        <f ca="1">-IF(AM49=0,0,($AG$20+SUM($AG$88:AL$88))*'1.1 Control Panel'!$AG$12/12)</f>
        <v>0</v>
      </c>
      <c r="AN126" s="376">
        <f ca="1">-IF(AN49=0,0,($AG$20+SUM($AG$88:AM$88))*'1.1 Control Panel'!$AG$12/12)</f>
        <v>0</v>
      </c>
      <c r="AP126" s="21"/>
    </row>
    <row r="127" spans="3:42" ht="11.5" customHeight="1" x14ac:dyDescent="0.25">
      <c r="C127" s="659">
        <v>46568.5</v>
      </c>
      <c r="D127" s="38" t="s">
        <v>46</v>
      </c>
      <c r="E127" s="376"/>
      <c r="F127" s="376"/>
      <c r="G127" s="376"/>
      <c r="H127" s="376"/>
      <c r="I127" s="376"/>
      <c r="J127" s="376"/>
      <c r="K127" s="376"/>
      <c r="L127" s="376"/>
      <c r="M127" s="376"/>
      <c r="N127" s="376"/>
      <c r="O127" s="376"/>
      <c r="P127" s="376"/>
      <c r="Q127" s="376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>
        <f ca="1">-AH20*'1.1 Control Panel'!AH12/12</f>
        <v>0</v>
      </c>
      <c r="AI127" s="376">
        <f ca="1">-IF(AI50=0,0,($AH$20+SUM(AH$89:$AH$89))*'1.1 Control Panel'!$AH$12/12)</f>
        <v>0</v>
      </c>
      <c r="AJ127" s="376">
        <f ca="1">-IF(AJ50=0,0,($AH$20+SUM($AH$89:AI$89))*'1.1 Control Panel'!$AH$12/12)</f>
        <v>0</v>
      </c>
      <c r="AK127" s="376">
        <f ca="1">-IF(AK50=0,0,($AH$20+SUM($AH$89:AJ$89))*'1.1 Control Panel'!$AH$12/12)</f>
        <v>0</v>
      </c>
      <c r="AL127" s="376">
        <f ca="1">-IF(AL50=0,0,($AH$20+SUM($AH$89:AK$89))*'1.1 Control Panel'!$AH$12/12)</f>
        <v>0</v>
      </c>
      <c r="AM127" s="376">
        <f ca="1">-IF(AM50=0,0,($AH$20+SUM($AH$89:AL$89))*'1.1 Control Panel'!$AH$12/12)</f>
        <v>0</v>
      </c>
      <c r="AN127" s="376">
        <f ca="1">-IF(AN50=0,0,($AH$20+SUM($AH$89:AM$89))*'1.1 Control Panel'!$AH$12/12)</f>
        <v>0</v>
      </c>
      <c r="AP127" s="21"/>
    </row>
    <row r="128" spans="3:42" ht="11.5" customHeight="1" x14ac:dyDescent="0.25">
      <c r="C128" s="659">
        <v>46599.5</v>
      </c>
      <c r="D128" s="38" t="s">
        <v>46</v>
      </c>
      <c r="E128" s="376"/>
      <c r="F128" s="376"/>
      <c r="G128" s="376"/>
      <c r="H128" s="376"/>
      <c r="I128" s="376"/>
      <c r="J128" s="376"/>
      <c r="K128" s="376"/>
      <c r="L128" s="376"/>
      <c r="M128" s="376"/>
      <c r="N128" s="376"/>
      <c r="O128" s="376"/>
      <c r="P128" s="376"/>
      <c r="Q128" s="376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>
        <f ca="1">-AI20*'1.1 Control Panel'!AI12/12</f>
        <v>0</v>
      </c>
      <c r="AJ128" s="376">
        <f ca="1">-IF(AJ51=0,0,($AI$20+SUM(AI$90:$AI$90))*'1.1 Control Panel'!$AI$12/12)</f>
        <v>0</v>
      </c>
      <c r="AK128" s="376">
        <f ca="1">-IF(AK51=0,0,($AI$20+SUM($AI$90:AJ$90))*'1.1 Control Panel'!$AI$12/12)</f>
        <v>0</v>
      </c>
      <c r="AL128" s="376">
        <f ca="1">-IF(AL51=0,0,($AI$20+SUM($AI$90:AK$90))*'1.1 Control Panel'!$AI$12/12)</f>
        <v>0</v>
      </c>
      <c r="AM128" s="376">
        <f ca="1">-IF(AM51=0,0,($AI$20+SUM($AI$90:AL$90))*'1.1 Control Panel'!$AI$12/12)</f>
        <v>0</v>
      </c>
      <c r="AN128" s="376">
        <f ca="1">-IF(AN51=0,0,($AI$20+SUM($AI$90:AM$90))*'1.1 Control Panel'!$AI$12/12)</f>
        <v>0</v>
      </c>
      <c r="AP128" s="21"/>
    </row>
    <row r="129" spans="3:42" ht="11.5" customHeight="1" x14ac:dyDescent="0.25">
      <c r="C129" s="659">
        <v>46630.5</v>
      </c>
      <c r="D129" s="38" t="s">
        <v>46</v>
      </c>
      <c r="E129" s="376"/>
      <c r="F129" s="376"/>
      <c r="G129" s="376"/>
      <c r="H129" s="376"/>
      <c r="I129" s="376"/>
      <c r="J129" s="376"/>
      <c r="K129" s="376"/>
      <c r="L129" s="376"/>
      <c r="M129" s="376"/>
      <c r="N129" s="376"/>
      <c r="O129" s="376"/>
      <c r="P129" s="376"/>
      <c r="Q129" s="376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>
        <f ca="1">-AJ20*'1.1 Control Panel'!AJ12/12</f>
        <v>0</v>
      </c>
      <c r="AK129" s="376">
        <f ca="1">-IF(AK52=0,0,($AJ$20+SUM(AJ$91:$AJ$91))*'1.1 Control Panel'!$AJ$12/12)</f>
        <v>0</v>
      </c>
      <c r="AL129" s="376">
        <f ca="1">-IF(AL52=0,0,($AJ$20+SUM($AJ$91:AK$91))*'1.1 Control Panel'!$AJ$12/12)</f>
        <v>0</v>
      </c>
      <c r="AM129" s="376">
        <f ca="1">-IF(AM52=0,0,($AJ$20+SUM($AJ$91:AL$91))*'1.1 Control Panel'!$AJ$12/12)</f>
        <v>0</v>
      </c>
      <c r="AN129" s="376">
        <f ca="1">-IF(AN52=0,0,($AJ$20+SUM($AJ$91:AM$91))*'1.1 Control Panel'!$AJ$12/12)</f>
        <v>0</v>
      </c>
      <c r="AP129" s="21"/>
    </row>
    <row r="130" spans="3:42" ht="11.5" customHeight="1" x14ac:dyDescent="0.25">
      <c r="C130" s="659">
        <v>46660.5</v>
      </c>
      <c r="D130" s="38" t="s">
        <v>46</v>
      </c>
      <c r="E130" s="376"/>
      <c r="F130" s="376"/>
      <c r="G130" s="376"/>
      <c r="H130" s="376"/>
      <c r="I130" s="376"/>
      <c r="J130" s="376"/>
      <c r="K130" s="376"/>
      <c r="L130" s="376"/>
      <c r="M130" s="376"/>
      <c r="N130" s="376"/>
      <c r="O130" s="376"/>
      <c r="P130" s="376"/>
      <c r="Q130" s="376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>
        <f ca="1">-AK20*'1.1 Control Panel'!AK12/12</f>
        <v>0</v>
      </c>
      <c r="AL130" s="376">
        <f ca="1">-IF(AL53=0,0,($AK$20+SUM(AK$92:$AK$92))*'1.1 Control Panel'!$AK$12/12)</f>
        <v>0</v>
      </c>
      <c r="AM130" s="376">
        <f ca="1">-IF(AM53=0,0,($AK$20+SUM($AK$92:AL$92))*'1.1 Control Panel'!$AK$12/12)</f>
        <v>0</v>
      </c>
      <c r="AN130" s="376">
        <f ca="1">-IF(AN53=0,0,($AK$20+SUM($AK$92:AM$92))*'1.1 Control Panel'!$AK$12/12)</f>
        <v>0</v>
      </c>
      <c r="AP130" s="21"/>
    </row>
    <row r="131" spans="3:42" ht="11.5" customHeight="1" x14ac:dyDescent="0.25">
      <c r="C131" s="659">
        <v>46691.5</v>
      </c>
      <c r="D131" s="38" t="s">
        <v>46</v>
      </c>
      <c r="E131" s="376"/>
      <c r="F131" s="376"/>
      <c r="G131" s="376"/>
      <c r="H131" s="376"/>
      <c r="I131" s="376"/>
      <c r="J131" s="376"/>
      <c r="K131" s="376"/>
      <c r="L131" s="376"/>
      <c r="M131" s="376"/>
      <c r="N131" s="376"/>
      <c r="O131" s="376"/>
      <c r="P131" s="376"/>
      <c r="Q131" s="376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>
        <f ca="1">-AL20*'1.1 Control Panel'!AL12/12</f>
        <v>0</v>
      </c>
      <c r="AM131" s="376">
        <f ca="1">-IF(AM54=0,0,($AL$20+SUM(AL$93:$AL$93))*'1.1 Control Panel'!$AL$12/12)</f>
        <v>0</v>
      </c>
      <c r="AN131" s="376">
        <f ca="1">-IF(AN54=0,0,($AL$20+SUM($AL$93:AM$93))*'1.1 Control Panel'!$AL$12/12)</f>
        <v>0</v>
      </c>
      <c r="AP131" s="21"/>
    </row>
    <row r="132" spans="3:42" ht="11.5" customHeight="1" x14ac:dyDescent="0.25">
      <c r="C132" s="659">
        <v>46721.5</v>
      </c>
      <c r="D132" s="38" t="s">
        <v>46</v>
      </c>
      <c r="E132" s="376"/>
      <c r="F132" s="376"/>
      <c r="G132" s="376"/>
      <c r="H132" s="376"/>
      <c r="I132" s="376"/>
      <c r="J132" s="376"/>
      <c r="K132" s="376"/>
      <c r="L132" s="376"/>
      <c r="M132" s="376"/>
      <c r="N132" s="376"/>
      <c r="O132" s="376"/>
      <c r="P132" s="376"/>
      <c r="Q132" s="376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>
        <f ca="1">-AM20*'1.1 Control Panel'!AM12/12</f>
        <v>0</v>
      </c>
      <c r="AN132" s="376">
        <f ca="1">-IF(AN55=0,0,($AM$20+SUM(AM$94:$AM$94))*'1.1 Control Panel'!$AM$12/12)</f>
        <v>0</v>
      </c>
      <c r="AP132" s="21"/>
    </row>
    <row r="133" spans="3:42" ht="11.5" customHeight="1" x14ac:dyDescent="0.25">
      <c r="C133" s="664">
        <v>46752.5</v>
      </c>
      <c r="D133" s="40" t="s">
        <v>46</v>
      </c>
      <c r="E133" s="377"/>
      <c r="F133" s="377"/>
      <c r="G133" s="377"/>
      <c r="H133" s="377"/>
      <c r="I133" s="377"/>
      <c r="J133" s="377"/>
      <c r="K133" s="377"/>
      <c r="L133" s="377"/>
      <c r="M133" s="377"/>
      <c r="N133" s="377"/>
      <c r="O133" s="377"/>
      <c r="P133" s="377"/>
      <c r="Q133" s="377"/>
      <c r="R133" s="377"/>
      <c r="S133" s="377"/>
      <c r="T133" s="377"/>
      <c r="U133" s="377"/>
      <c r="V133" s="377"/>
      <c r="W133" s="377"/>
      <c r="X133" s="377"/>
      <c r="Y133" s="377"/>
      <c r="Z133" s="377"/>
      <c r="AA133" s="377"/>
      <c r="AB133" s="377"/>
      <c r="AC133" s="377"/>
      <c r="AD133" s="377"/>
      <c r="AE133" s="377"/>
      <c r="AF133" s="377"/>
      <c r="AG133" s="377"/>
      <c r="AH133" s="377"/>
      <c r="AI133" s="377"/>
      <c r="AJ133" s="377"/>
      <c r="AK133" s="377"/>
      <c r="AL133" s="377"/>
      <c r="AM133" s="377"/>
      <c r="AN133" s="377">
        <f ca="1">-AN20*'1.1 Control Panel'!AN12/12</f>
        <v>0</v>
      </c>
      <c r="AP133" s="2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FA339-8D96-4FBE-ADA7-78A1A1AD0E81}">
  <dimension ref="A1:AQ64"/>
  <sheetViews>
    <sheetView showGridLines="0" zoomScale="70" zoomScaleNormal="70" workbookViewId="0">
      <selection activeCell="E6" sqref="E6"/>
    </sheetView>
  </sheetViews>
  <sheetFormatPr defaultColWidth="0" defaultRowHeight="11.5" zeroHeight="1" x14ac:dyDescent="0.25"/>
  <cols>
    <col min="1" max="2" width="3.6328125" style="3" customWidth="1"/>
    <col min="3" max="3" width="50.6328125" style="3" customWidth="1"/>
    <col min="4" max="4" width="8.7265625" style="3" customWidth="1"/>
    <col min="5" max="40" width="15.6328125" style="3" customWidth="1"/>
    <col min="41" max="41" width="0.453125" style="3" customWidth="1"/>
    <col min="42" max="42" width="50.6328125" style="3" customWidth="1"/>
    <col min="43" max="43" width="3.6328125" style="3" customWidth="1"/>
    <col min="44" max="16384" width="8.7265625" style="3" hidden="1"/>
  </cols>
  <sheetData>
    <row r="1" spans="1:42" s="4" customFormat="1" ht="14" x14ac:dyDescent="0.3">
      <c r="A1" s="103" t="str">
        <f ca="1">MID(CELL("filename",A1),FIND("]",CELL("filename",A1))+1,255)</f>
        <v>3.9 Equity Financing</v>
      </c>
    </row>
    <row r="2" spans="1:42" s="5" customFormat="1" x14ac:dyDescent="0.25">
      <c r="A2" s="7" t="s">
        <v>970</v>
      </c>
    </row>
    <row r="3" spans="1:42" ht="11.5" customHeight="1" x14ac:dyDescent="0.25">
      <c r="C3" s="2"/>
    </row>
    <row r="4" spans="1:42" ht="11.5" customHeight="1" x14ac:dyDescent="0.25">
      <c r="B4" s="6" t="s">
        <v>0</v>
      </c>
      <c r="C4" s="10" t="s">
        <v>934</v>
      </c>
      <c r="D4" s="29" t="s">
        <v>14</v>
      </c>
      <c r="E4" s="260">
        <v>45688</v>
      </c>
      <c r="F4" s="260">
        <v>45716</v>
      </c>
      <c r="G4" s="260">
        <v>45747</v>
      </c>
      <c r="H4" s="260">
        <v>45777</v>
      </c>
      <c r="I4" s="260">
        <v>45808</v>
      </c>
      <c r="J4" s="260">
        <v>45838</v>
      </c>
      <c r="K4" s="260">
        <v>45869</v>
      </c>
      <c r="L4" s="260">
        <v>45900</v>
      </c>
      <c r="M4" s="260">
        <v>45930</v>
      </c>
      <c r="N4" s="260">
        <v>45961</v>
      </c>
      <c r="O4" s="260">
        <v>45991</v>
      </c>
      <c r="P4" s="260">
        <v>46022</v>
      </c>
      <c r="Q4" s="260">
        <f>E4+365.25</f>
        <v>46053.25</v>
      </c>
      <c r="R4" s="260">
        <f t="shared" ref="R4:AN4" si="0">F4+365.25</f>
        <v>46081.25</v>
      </c>
      <c r="S4" s="260">
        <f t="shared" si="0"/>
        <v>46112.25</v>
      </c>
      <c r="T4" s="260">
        <f t="shared" si="0"/>
        <v>46142.25</v>
      </c>
      <c r="U4" s="260">
        <f t="shared" si="0"/>
        <v>46173.25</v>
      </c>
      <c r="V4" s="260">
        <f t="shared" si="0"/>
        <v>46203.25</v>
      </c>
      <c r="W4" s="260">
        <f t="shared" si="0"/>
        <v>46234.25</v>
      </c>
      <c r="X4" s="260">
        <f t="shared" si="0"/>
        <v>46265.25</v>
      </c>
      <c r="Y4" s="260">
        <f t="shared" si="0"/>
        <v>46295.25</v>
      </c>
      <c r="Z4" s="260">
        <f t="shared" si="0"/>
        <v>46326.25</v>
      </c>
      <c r="AA4" s="260">
        <f t="shared" si="0"/>
        <v>46356.25</v>
      </c>
      <c r="AB4" s="260">
        <f t="shared" si="0"/>
        <v>46387.25</v>
      </c>
      <c r="AC4" s="260">
        <f t="shared" si="0"/>
        <v>46418.5</v>
      </c>
      <c r="AD4" s="260">
        <f t="shared" si="0"/>
        <v>46446.5</v>
      </c>
      <c r="AE4" s="260">
        <f t="shared" si="0"/>
        <v>46477.5</v>
      </c>
      <c r="AF4" s="260">
        <f t="shared" si="0"/>
        <v>46507.5</v>
      </c>
      <c r="AG4" s="260">
        <f t="shared" si="0"/>
        <v>46538.5</v>
      </c>
      <c r="AH4" s="260">
        <f t="shared" si="0"/>
        <v>46568.5</v>
      </c>
      <c r="AI4" s="260">
        <f t="shared" si="0"/>
        <v>46599.5</v>
      </c>
      <c r="AJ4" s="260">
        <f t="shared" si="0"/>
        <v>46630.5</v>
      </c>
      <c r="AK4" s="260">
        <f t="shared" si="0"/>
        <v>46660.5</v>
      </c>
      <c r="AL4" s="260">
        <f t="shared" si="0"/>
        <v>46691.5</v>
      </c>
      <c r="AM4" s="260">
        <f t="shared" si="0"/>
        <v>46721.5</v>
      </c>
      <c r="AN4" s="260">
        <f t="shared" si="0"/>
        <v>46752.5</v>
      </c>
      <c r="AO4" s="74"/>
      <c r="AP4" s="100" t="s">
        <v>45</v>
      </c>
    </row>
    <row r="5" spans="1:42" ht="11.5" customHeight="1" x14ac:dyDescent="0.25">
      <c r="C5" s="28" t="s">
        <v>941</v>
      </c>
      <c r="D5" s="270" t="s">
        <v>46</v>
      </c>
      <c r="E5" s="28">
        <f>IF(SUM($E18:E18)=1,'1.1 Control Panel'!$E996,0)</f>
        <v>0</v>
      </c>
      <c r="F5" s="28">
        <f ca="1">IF(SUM($E18:F18)=1,'1.1 Control Panel'!$E996,0)</f>
        <v>0</v>
      </c>
      <c r="G5" s="28">
        <f ca="1">IF(SUM($E18:G18)=1,'1.1 Control Panel'!$E996,0)</f>
        <v>0</v>
      </c>
      <c r="H5" s="28">
        <f ca="1">IF(SUM($E18:H18)=1,'1.1 Control Panel'!$E996,0)</f>
        <v>0</v>
      </c>
      <c r="I5" s="28">
        <f ca="1">IF(SUM($E18:I18)=1,'1.1 Control Panel'!$E996,0)</f>
        <v>0</v>
      </c>
      <c r="J5" s="28">
        <f ca="1">IF(SUM($E18:J18)=1,'1.1 Control Panel'!$E996,0)</f>
        <v>0</v>
      </c>
      <c r="K5" s="28">
        <f ca="1">IF(SUM($E18:K18)=1,'1.1 Control Panel'!$E996,0)</f>
        <v>0</v>
      </c>
      <c r="L5" s="28">
        <f ca="1">IF(SUM($E18:L18)=1,'1.1 Control Panel'!$E996,0)</f>
        <v>0</v>
      </c>
      <c r="M5" s="28">
        <f ca="1">IF(SUM($E18:M18)=1,'1.1 Control Panel'!$E996,0)</f>
        <v>0</v>
      </c>
      <c r="N5" s="28">
        <f ca="1">IF(SUM($E18:N18)=1,'1.1 Control Panel'!$E996,0)</f>
        <v>0</v>
      </c>
      <c r="O5" s="28">
        <f ca="1">IF(SUM($E18:O18)=1,'1.1 Control Panel'!$E996,0)</f>
        <v>0</v>
      </c>
      <c r="P5" s="28">
        <f ca="1">IF(SUM($E18:P18)=1,'1.1 Control Panel'!$E996,0)</f>
        <v>0</v>
      </c>
      <c r="Q5" s="28">
        <f ca="1">IF(SUM($E18:Q18)=1,'1.1 Control Panel'!$E996,0)</f>
        <v>0</v>
      </c>
      <c r="R5" s="28">
        <f ca="1">IF(SUM($E18:R18)=1,'1.1 Control Panel'!$E996,0)</f>
        <v>0</v>
      </c>
      <c r="S5" s="28">
        <f ca="1">IF(SUM($E18:S18)=1,'1.1 Control Panel'!$E996,0)</f>
        <v>0</v>
      </c>
      <c r="T5" s="28">
        <f ca="1">IF(SUM($E18:T18)=1,'1.1 Control Panel'!$E996,0)</f>
        <v>0</v>
      </c>
      <c r="U5" s="28">
        <f ca="1">IF(SUM($E18:U18)=1,'1.1 Control Panel'!$E996,0)</f>
        <v>0</v>
      </c>
      <c r="V5" s="28">
        <f ca="1">IF(SUM($E18:V18)=1,'1.1 Control Panel'!$E996,0)</f>
        <v>0</v>
      </c>
      <c r="W5" s="28">
        <f ca="1">IF(SUM($E18:W18)=1,'1.1 Control Panel'!$E996,0)</f>
        <v>0</v>
      </c>
      <c r="X5" s="28">
        <f ca="1">IF(SUM($E18:X18)=1,'1.1 Control Panel'!$E996,0)</f>
        <v>0</v>
      </c>
      <c r="Y5" s="28">
        <f ca="1">IF(SUM($E18:Y18)=1,'1.1 Control Panel'!$E996,0)</f>
        <v>0</v>
      </c>
      <c r="Z5" s="28">
        <f ca="1">IF(SUM($E18:Z18)=1,'1.1 Control Panel'!$E996,0)</f>
        <v>0</v>
      </c>
      <c r="AA5" s="28">
        <f ca="1">IF(SUM($E18:AA18)=1,'1.1 Control Panel'!$E996,0)</f>
        <v>0</v>
      </c>
      <c r="AB5" s="28">
        <f ca="1">IF(SUM($E18:AB18)=1,'1.1 Control Panel'!$E996,0)</f>
        <v>0</v>
      </c>
      <c r="AC5" s="28">
        <f ca="1">IF(SUM($E18:AC18)=1,'1.1 Control Panel'!$E996,0)</f>
        <v>0</v>
      </c>
      <c r="AD5" s="28">
        <f ca="1">IF(SUM($E18:AD18)=1,'1.1 Control Panel'!$E996,0)</f>
        <v>0</v>
      </c>
      <c r="AE5" s="28">
        <f ca="1">IF(SUM($E18:AE18)=1,'1.1 Control Panel'!$E996,0)</f>
        <v>0</v>
      </c>
      <c r="AF5" s="28">
        <f ca="1">IF(SUM($E18:AF18)=1,'1.1 Control Panel'!$E996,0)</f>
        <v>0</v>
      </c>
      <c r="AG5" s="28">
        <f ca="1">IF(SUM($E18:AG18)=1,'1.1 Control Panel'!$E996,0)</f>
        <v>0</v>
      </c>
      <c r="AH5" s="28">
        <f ca="1">IF(SUM($E18:AH18)=1,'1.1 Control Panel'!$E996,0)</f>
        <v>0</v>
      </c>
      <c r="AI5" s="28">
        <f ca="1">IF(SUM($E18:AI18)=1,'1.1 Control Panel'!$E996,0)</f>
        <v>0</v>
      </c>
      <c r="AJ5" s="28">
        <f ca="1">IF(SUM($E18:AJ18)=1,'1.1 Control Panel'!$E996,0)</f>
        <v>0</v>
      </c>
      <c r="AK5" s="28">
        <f ca="1">IF(SUM($E18:AK18)=1,'1.1 Control Panel'!$E996,0)</f>
        <v>0</v>
      </c>
      <c r="AL5" s="28">
        <f ca="1">IF(SUM($E18:AL18)=1,'1.1 Control Panel'!$E996,0)</f>
        <v>0</v>
      </c>
      <c r="AM5" s="28">
        <f ca="1">IF(SUM($E18:AM18)=1,'1.1 Control Panel'!$E996,0)</f>
        <v>0</v>
      </c>
      <c r="AN5" s="28">
        <f ca="1">IF(SUM($E18:AN18)=1,'1.1 Control Panel'!$E996,0)</f>
        <v>0</v>
      </c>
      <c r="AP5" s="20"/>
    </row>
    <row r="6" spans="1:42" ht="11.5" customHeight="1" x14ac:dyDescent="0.25">
      <c r="C6" s="21" t="s">
        <v>942</v>
      </c>
      <c r="D6" s="38" t="s">
        <v>46</v>
      </c>
      <c r="E6" s="376">
        <f>IF(SUM($E19:E19)=1,'1.1 Control Panel'!$E997,0)</f>
        <v>393750</v>
      </c>
      <c r="F6" s="376">
        <f ca="1">IF(SUM($E19:F19)=1,'1.1 Control Panel'!$E997,0)</f>
        <v>0</v>
      </c>
      <c r="G6" s="376">
        <f ca="1">IF(SUM($E19:G19)=1,'1.1 Control Panel'!$E997,0)</f>
        <v>0</v>
      </c>
      <c r="H6" s="376">
        <f ca="1">IF(SUM($E19:H19)=1,'1.1 Control Panel'!$E997,0)</f>
        <v>0</v>
      </c>
      <c r="I6" s="376">
        <f ca="1">IF(SUM($E19:I19)=1,'1.1 Control Panel'!$E997,0)</f>
        <v>0</v>
      </c>
      <c r="J6" s="376">
        <f ca="1">IF(SUM($E19:J19)=1,'1.1 Control Panel'!$E997,0)</f>
        <v>0</v>
      </c>
      <c r="K6" s="376">
        <f ca="1">IF(SUM($E19:K19)=1,'1.1 Control Panel'!$E997,0)</f>
        <v>0</v>
      </c>
      <c r="L6" s="376">
        <f ca="1">IF(SUM($E19:L19)=1,'1.1 Control Panel'!$E997,0)</f>
        <v>0</v>
      </c>
      <c r="M6" s="376">
        <f ca="1">IF(SUM($E19:M19)=1,'1.1 Control Panel'!$E997,0)</f>
        <v>0</v>
      </c>
      <c r="N6" s="376">
        <f ca="1">IF(SUM($E19:N19)=1,'1.1 Control Panel'!$E997,0)</f>
        <v>0</v>
      </c>
      <c r="O6" s="376">
        <f ca="1">IF(SUM($E19:O19)=1,'1.1 Control Panel'!$E997,0)</f>
        <v>0</v>
      </c>
      <c r="P6" s="376">
        <f ca="1">IF(SUM($E19:P19)=1,'1.1 Control Panel'!$E997,0)</f>
        <v>0</v>
      </c>
      <c r="Q6" s="376">
        <f ca="1">IF(SUM($E19:Q19)=1,'1.1 Control Panel'!$E997,0)</f>
        <v>0</v>
      </c>
      <c r="R6" s="376">
        <f ca="1">IF(SUM($E19:R19)=1,'1.1 Control Panel'!$E997,0)</f>
        <v>0</v>
      </c>
      <c r="S6" s="376">
        <f ca="1">IF(SUM($E19:S19)=1,'1.1 Control Panel'!$E997,0)</f>
        <v>0</v>
      </c>
      <c r="T6" s="376">
        <f ca="1">IF(SUM($E19:T19)=1,'1.1 Control Panel'!$E997,0)</f>
        <v>0</v>
      </c>
      <c r="U6" s="376">
        <f ca="1">IF(SUM($E19:U19)=1,'1.1 Control Panel'!$E997,0)</f>
        <v>0</v>
      </c>
      <c r="V6" s="376">
        <f ca="1">IF(SUM($E19:V19)=1,'1.1 Control Panel'!$E997,0)</f>
        <v>0</v>
      </c>
      <c r="W6" s="376">
        <f ca="1">IF(SUM($E19:W19)=1,'1.1 Control Panel'!$E997,0)</f>
        <v>0</v>
      </c>
      <c r="X6" s="376">
        <f ca="1">IF(SUM($E19:X19)=1,'1.1 Control Panel'!$E997,0)</f>
        <v>0</v>
      </c>
      <c r="Y6" s="376">
        <f ca="1">IF(SUM($E19:Y19)=1,'1.1 Control Panel'!$E997,0)</f>
        <v>0</v>
      </c>
      <c r="Z6" s="376">
        <f ca="1">IF(SUM($E19:Z19)=1,'1.1 Control Panel'!$E997,0)</f>
        <v>0</v>
      </c>
      <c r="AA6" s="376">
        <f ca="1">IF(SUM($E19:AA19)=1,'1.1 Control Panel'!$E997,0)</f>
        <v>0</v>
      </c>
      <c r="AB6" s="376">
        <f ca="1">IF(SUM($E19:AB19)=1,'1.1 Control Panel'!$E997,0)</f>
        <v>0</v>
      </c>
      <c r="AC6" s="376">
        <f ca="1">IF(SUM($E19:AC19)=1,'1.1 Control Panel'!$E997,0)</f>
        <v>0</v>
      </c>
      <c r="AD6" s="376">
        <f ca="1">IF(SUM($E19:AD19)=1,'1.1 Control Panel'!$E997,0)</f>
        <v>0</v>
      </c>
      <c r="AE6" s="376">
        <f ca="1">IF(SUM($E19:AE19)=1,'1.1 Control Panel'!$E997,0)</f>
        <v>0</v>
      </c>
      <c r="AF6" s="376">
        <f ca="1">IF(SUM($E19:AF19)=1,'1.1 Control Panel'!$E997,0)</f>
        <v>0</v>
      </c>
      <c r="AG6" s="376">
        <f ca="1">IF(SUM($E19:AG19)=1,'1.1 Control Panel'!$E997,0)</f>
        <v>0</v>
      </c>
      <c r="AH6" s="376">
        <f ca="1">IF(SUM($E19:AH19)=1,'1.1 Control Panel'!$E997,0)</f>
        <v>0</v>
      </c>
      <c r="AI6" s="376">
        <f ca="1">IF(SUM($E19:AI19)=1,'1.1 Control Panel'!$E997,0)</f>
        <v>0</v>
      </c>
      <c r="AJ6" s="376">
        <f ca="1">IF(SUM($E19:AJ19)=1,'1.1 Control Panel'!$E997,0)</f>
        <v>0</v>
      </c>
      <c r="AK6" s="376">
        <f ca="1">IF(SUM($E19:AK19)=1,'1.1 Control Panel'!$E997,0)</f>
        <v>0</v>
      </c>
      <c r="AL6" s="376">
        <f ca="1">IF(SUM($E19:AL19)=1,'1.1 Control Panel'!$E997,0)</f>
        <v>0</v>
      </c>
      <c r="AM6" s="376">
        <f ca="1">IF(SUM($E19:AM19)=1,'1.1 Control Panel'!$E997,0)</f>
        <v>0</v>
      </c>
      <c r="AN6" s="376">
        <f ca="1">IF(SUM($E19:AN19)=1,'1.1 Control Panel'!$E997,0)</f>
        <v>0</v>
      </c>
      <c r="AP6" s="21"/>
    </row>
    <row r="7" spans="1:42" ht="11.5" customHeight="1" x14ac:dyDescent="0.25">
      <c r="C7" s="21" t="s">
        <v>943</v>
      </c>
      <c r="D7" s="38" t="s">
        <v>46</v>
      </c>
      <c r="E7" s="376">
        <f>IF(SUM($E20:E20)=1,'1.1 Control Panel'!$E998,0)</f>
        <v>0</v>
      </c>
      <c r="F7" s="376">
        <f ca="1">IF(SUM($E20:F20)=1,'1.1 Control Panel'!$E998,0)</f>
        <v>0</v>
      </c>
      <c r="G7" s="376">
        <f ca="1">IF(SUM($E20:G20)=1,'1.1 Control Panel'!$E998,0)</f>
        <v>0</v>
      </c>
      <c r="H7" s="376">
        <f ca="1">IF(SUM($E20:H20)=1,'1.1 Control Panel'!$E998,0)</f>
        <v>3000000</v>
      </c>
      <c r="I7" s="376">
        <f ca="1">IF(SUM($E20:I20)=1,'1.1 Control Panel'!$E998,0)</f>
        <v>0</v>
      </c>
      <c r="J7" s="376">
        <f ca="1">IF(SUM($E20:J20)=1,'1.1 Control Panel'!$E998,0)</f>
        <v>0</v>
      </c>
      <c r="K7" s="376">
        <f ca="1">IF(SUM($E20:K20)=1,'1.1 Control Panel'!$E998,0)</f>
        <v>0</v>
      </c>
      <c r="L7" s="376">
        <f ca="1">IF(SUM($E20:L20)=1,'1.1 Control Panel'!$E998,0)</f>
        <v>0</v>
      </c>
      <c r="M7" s="376">
        <f ca="1">IF(SUM($E20:M20)=1,'1.1 Control Panel'!$E998,0)</f>
        <v>0</v>
      </c>
      <c r="N7" s="376">
        <f ca="1">IF(SUM($E20:N20)=1,'1.1 Control Panel'!$E998,0)</f>
        <v>0</v>
      </c>
      <c r="O7" s="376">
        <f ca="1">IF(SUM($E20:O20)=1,'1.1 Control Panel'!$E998,0)</f>
        <v>0</v>
      </c>
      <c r="P7" s="376">
        <f ca="1">IF(SUM($E20:P20)=1,'1.1 Control Panel'!$E998,0)</f>
        <v>0</v>
      </c>
      <c r="Q7" s="376">
        <f ca="1">IF(SUM($E20:Q20)=1,'1.1 Control Panel'!$E998,0)</f>
        <v>0</v>
      </c>
      <c r="R7" s="376">
        <f ca="1">IF(SUM($E20:R20)=1,'1.1 Control Panel'!$E998,0)</f>
        <v>0</v>
      </c>
      <c r="S7" s="376">
        <f ca="1">IF(SUM($E20:S20)=1,'1.1 Control Panel'!$E998,0)</f>
        <v>0</v>
      </c>
      <c r="T7" s="376">
        <f ca="1">IF(SUM($E20:T20)=1,'1.1 Control Panel'!$E998,0)</f>
        <v>0</v>
      </c>
      <c r="U7" s="376">
        <f ca="1">IF(SUM($E20:U20)=1,'1.1 Control Panel'!$E998,0)</f>
        <v>0</v>
      </c>
      <c r="V7" s="376">
        <f ca="1">IF(SUM($E20:V20)=1,'1.1 Control Panel'!$E998,0)</f>
        <v>0</v>
      </c>
      <c r="W7" s="376">
        <f ca="1">IF(SUM($E20:W20)=1,'1.1 Control Panel'!$E998,0)</f>
        <v>0</v>
      </c>
      <c r="X7" s="376">
        <f ca="1">IF(SUM($E20:X20)=1,'1.1 Control Panel'!$E998,0)</f>
        <v>0</v>
      </c>
      <c r="Y7" s="376">
        <f ca="1">IF(SUM($E20:Y20)=1,'1.1 Control Panel'!$E998,0)</f>
        <v>0</v>
      </c>
      <c r="Z7" s="376">
        <f ca="1">IF(SUM($E20:Z20)=1,'1.1 Control Panel'!$E998,0)</f>
        <v>0</v>
      </c>
      <c r="AA7" s="376">
        <f ca="1">IF(SUM($E20:AA20)=1,'1.1 Control Panel'!$E998,0)</f>
        <v>0</v>
      </c>
      <c r="AB7" s="376">
        <f ca="1">IF(SUM($E20:AB20)=1,'1.1 Control Panel'!$E998,0)</f>
        <v>0</v>
      </c>
      <c r="AC7" s="376">
        <f ca="1">IF(SUM($E20:AC20)=1,'1.1 Control Panel'!$E998,0)</f>
        <v>0</v>
      </c>
      <c r="AD7" s="376">
        <f ca="1">IF(SUM($E20:AD20)=1,'1.1 Control Panel'!$E998,0)</f>
        <v>0</v>
      </c>
      <c r="AE7" s="376">
        <f ca="1">IF(SUM($E20:AE20)=1,'1.1 Control Panel'!$E998,0)</f>
        <v>0</v>
      </c>
      <c r="AF7" s="376">
        <f ca="1">IF(SUM($E20:AF20)=1,'1.1 Control Panel'!$E998,0)</f>
        <v>0</v>
      </c>
      <c r="AG7" s="376">
        <f ca="1">IF(SUM($E20:AG20)=1,'1.1 Control Panel'!$E998,0)</f>
        <v>0</v>
      </c>
      <c r="AH7" s="376">
        <f ca="1">IF(SUM($E20:AH20)=1,'1.1 Control Panel'!$E998,0)</f>
        <v>0</v>
      </c>
      <c r="AI7" s="376">
        <f ca="1">IF(SUM($E20:AI20)=1,'1.1 Control Panel'!$E998,0)</f>
        <v>0</v>
      </c>
      <c r="AJ7" s="376">
        <f ca="1">IF(SUM($E20:AJ20)=1,'1.1 Control Panel'!$E998,0)</f>
        <v>0</v>
      </c>
      <c r="AK7" s="376">
        <f ca="1">IF(SUM($E20:AK20)=1,'1.1 Control Panel'!$E998,0)</f>
        <v>0</v>
      </c>
      <c r="AL7" s="376">
        <f ca="1">IF(SUM($E20:AL20)=1,'1.1 Control Panel'!$E998,0)</f>
        <v>0</v>
      </c>
      <c r="AM7" s="376">
        <f ca="1">IF(SUM($E20:AM20)=1,'1.1 Control Panel'!$E998,0)</f>
        <v>0</v>
      </c>
      <c r="AN7" s="376">
        <f ca="1">IF(SUM($E20:AN20)=1,'1.1 Control Panel'!$E998,0)</f>
        <v>0</v>
      </c>
      <c r="AP7" s="21"/>
    </row>
    <row r="8" spans="1:42" ht="11.5" customHeight="1" x14ac:dyDescent="0.25">
      <c r="C8" s="22" t="s">
        <v>944</v>
      </c>
      <c r="D8" s="96" t="s">
        <v>46</v>
      </c>
      <c r="E8" s="530">
        <f>IF(SUM($E21:E21)=1,'1.1 Control Panel'!$E999,0)</f>
        <v>0</v>
      </c>
      <c r="F8" s="530">
        <f ca="1">IF(SUM($E21:F21)=1,'1.1 Control Panel'!$E999,0)</f>
        <v>0</v>
      </c>
      <c r="G8" s="530">
        <f ca="1">IF(SUM($E21:G21)=1,'1.1 Control Panel'!$E999,0)</f>
        <v>0</v>
      </c>
      <c r="H8" s="530">
        <f ca="1">IF(SUM($E21:H21)=1,'1.1 Control Panel'!$E999,0)</f>
        <v>0</v>
      </c>
      <c r="I8" s="530">
        <f ca="1">IF(SUM($E21:I21)=1,'1.1 Control Panel'!$E999,0)</f>
        <v>0</v>
      </c>
      <c r="J8" s="530">
        <f ca="1">IF(SUM($E21:J21)=1,'1.1 Control Panel'!$E999,0)</f>
        <v>0</v>
      </c>
      <c r="K8" s="530">
        <f ca="1">IF(SUM($E21:K21)=1,'1.1 Control Panel'!$E999,0)</f>
        <v>0</v>
      </c>
      <c r="L8" s="530">
        <f ca="1">IF(SUM($E21:L21)=1,'1.1 Control Panel'!$E999,0)</f>
        <v>7500000</v>
      </c>
      <c r="M8" s="530">
        <f ca="1">IF(SUM($E21:M21)=1,'1.1 Control Panel'!$E999,0)</f>
        <v>0</v>
      </c>
      <c r="N8" s="530">
        <f ca="1">IF(SUM($E21:N21)=1,'1.1 Control Panel'!$E999,0)</f>
        <v>0</v>
      </c>
      <c r="O8" s="530">
        <f ca="1">IF(SUM($E21:O21)=1,'1.1 Control Panel'!$E999,0)</f>
        <v>0</v>
      </c>
      <c r="P8" s="530">
        <f ca="1">IF(SUM($E21:P21)=1,'1.1 Control Panel'!$E999,0)</f>
        <v>0</v>
      </c>
      <c r="Q8" s="530">
        <f ca="1">IF(SUM($E21:Q21)=1,'1.1 Control Panel'!$E999,0)</f>
        <v>0</v>
      </c>
      <c r="R8" s="530">
        <f ca="1">IF(SUM($E21:R21)=1,'1.1 Control Panel'!$E999,0)</f>
        <v>0</v>
      </c>
      <c r="S8" s="530">
        <f ca="1">IF(SUM($E21:S21)=1,'1.1 Control Panel'!$E999,0)</f>
        <v>0</v>
      </c>
      <c r="T8" s="530">
        <f ca="1">IF(SUM($E21:T21)=1,'1.1 Control Panel'!$E999,0)</f>
        <v>0</v>
      </c>
      <c r="U8" s="530">
        <f ca="1">IF(SUM($E21:U21)=1,'1.1 Control Panel'!$E999,0)</f>
        <v>0</v>
      </c>
      <c r="V8" s="530">
        <f ca="1">IF(SUM($E21:V21)=1,'1.1 Control Panel'!$E999,0)</f>
        <v>0</v>
      </c>
      <c r="W8" s="530">
        <f ca="1">IF(SUM($E21:W21)=1,'1.1 Control Panel'!$E999,0)</f>
        <v>0</v>
      </c>
      <c r="X8" s="530">
        <f ca="1">IF(SUM($E21:X21)=1,'1.1 Control Panel'!$E999,0)</f>
        <v>0</v>
      </c>
      <c r="Y8" s="530">
        <f ca="1">IF(SUM($E21:Y21)=1,'1.1 Control Panel'!$E999,0)</f>
        <v>0</v>
      </c>
      <c r="Z8" s="530">
        <f ca="1">IF(SUM($E21:Z21)=1,'1.1 Control Panel'!$E999,0)</f>
        <v>0</v>
      </c>
      <c r="AA8" s="530">
        <f ca="1">IF(SUM($E21:AA21)=1,'1.1 Control Panel'!$E999,0)</f>
        <v>0</v>
      </c>
      <c r="AB8" s="530">
        <f ca="1">IF(SUM($E21:AB21)=1,'1.1 Control Panel'!$E999,0)</f>
        <v>0</v>
      </c>
      <c r="AC8" s="530">
        <f ca="1">IF(SUM($E21:AC21)=1,'1.1 Control Panel'!$E999,0)</f>
        <v>0</v>
      </c>
      <c r="AD8" s="530">
        <f ca="1">IF(SUM($E21:AD21)=1,'1.1 Control Panel'!$E999,0)</f>
        <v>0</v>
      </c>
      <c r="AE8" s="530">
        <f ca="1">IF(SUM($E21:AE21)=1,'1.1 Control Panel'!$E999,0)</f>
        <v>0</v>
      </c>
      <c r="AF8" s="530">
        <f ca="1">IF(SUM($E21:AF21)=1,'1.1 Control Panel'!$E999,0)</f>
        <v>0</v>
      </c>
      <c r="AG8" s="530">
        <f ca="1">IF(SUM($E21:AG21)=1,'1.1 Control Panel'!$E999,0)</f>
        <v>0</v>
      </c>
      <c r="AH8" s="530">
        <f ca="1">IF(SUM($E21:AH21)=1,'1.1 Control Panel'!$E999,0)</f>
        <v>0</v>
      </c>
      <c r="AI8" s="530">
        <f ca="1">IF(SUM($E21:AI21)=1,'1.1 Control Panel'!$E999,0)</f>
        <v>0</v>
      </c>
      <c r="AJ8" s="530">
        <f ca="1">IF(SUM($E21:AJ21)=1,'1.1 Control Panel'!$E999,0)</f>
        <v>0</v>
      </c>
      <c r="AK8" s="530">
        <f ca="1">IF(SUM($E21:AK21)=1,'1.1 Control Panel'!$E999,0)</f>
        <v>0</v>
      </c>
      <c r="AL8" s="530">
        <f ca="1">IF(SUM($E21:AL21)=1,'1.1 Control Panel'!$E999,0)</f>
        <v>0</v>
      </c>
      <c r="AM8" s="530">
        <f ca="1">IF(SUM($E21:AM21)=1,'1.1 Control Panel'!$E999,0)</f>
        <v>0</v>
      </c>
      <c r="AN8" s="530">
        <f ca="1">IF(SUM($E21:AN21)=1,'1.1 Control Panel'!$E999,0)</f>
        <v>0</v>
      </c>
      <c r="AP8" s="22"/>
    </row>
    <row r="9" spans="1:42" ht="11.5" customHeight="1" x14ac:dyDescent="0.25">
      <c r="C9" s="22" t="s">
        <v>945</v>
      </c>
      <c r="D9" s="96" t="s">
        <v>46</v>
      </c>
      <c r="E9" s="530">
        <f>IF(SUM($E22:E22)=1,'1.1 Control Panel'!$E1000,0)</f>
        <v>0</v>
      </c>
      <c r="F9" s="530">
        <f ca="1">IF(SUM($E22:F22)=1,'1.1 Control Panel'!$E1000,0)</f>
        <v>0</v>
      </c>
      <c r="G9" s="530">
        <f ca="1">IF(SUM($E22:G22)=1,'1.1 Control Panel'!$E1000,0)</f>
        <v>0</v>
      </c>
      <c r="H9" s="530">
        <f ca="1">IF(SUM($E22:H22)=1,'1.1 Control Panel'!$E1000,0)</f>
        <v>0</v>
      </c>
      <c r="I9" s="530">
        <f ca="1">IF(SUM($E22:I22)=1,'1.1 Control Panel'!$E1000,0)</f>
        <v>0</v>
      </c>
      <c r="J9" s="530">
        <f ca="1">IF(SUM($E22:J22)=1,'1.1 Control Panel'!$E1000,0)</f>
        <v>0</v>
      </c>
      <c r="K9" s="530">
        <f ca="1">IF(SUM($E22:K22)=1,'1.1 Control Panel'!$E1000,0)</f>
        <v>0</v>
      </c>
      <c r="L9" s="530">
        <f ca="1">IF(SUM($E22:L22)=1,'1.1 Control Panel'!$E1000,0)</f>
        <v>0</v>
      </c>
      <c r="M9" s="530">
        <f ca="1">IF(SUM($E22:M22)=1,'1.1 Control Panel'!$E1000,0)</f>
        <v>0</v>
      </c>
      <c r="N9" s="530">
        <f ca="1">IF(SUM($E22:N22)=1,'1.1 Control Panel'!$E1000,0)</f>
        <v>0</v>
      </c>
      <c r="O9" s="530">
        <f ca="1">IF(SUM($E22:O22)=1,'1.1 Control Panel'!$E1000,0)</f>
        <v>0</v>
      </c>
      <c r="P9" s="530">
        <f ca="1">IF(SUM($E22:P22)=1,'1.1 Control Panel'!$E1000,0)</f>
        <v>0</v>
      </c>
      <c r="Q9" s="530">
        <f ca="1">IF(SUM($E22:Q22)=1,'1.1 Control Panel'!$E1000,0)</f>
        <v>15750000.000000002</v>
      </c>
      <c r="R9" s="530">
        <f ca="1">IF(SUM($E22:R22)=1,'1.1 Control Panel'!$E1000,0)</f>
        <v>0</v>
      </c>
      <c r="S9" s="530">
        <f ca="1">IF(SUM($E22:S22)=1,'1.1 Control Panel'!$E1000,0)</f>
        <v>0</v>
      </c>
      <c r="T9" s="530">
        <f ca="1">IF(SUM($E22:T22)=1,'1.1 Control Panel'!$E1000,0)</f>
        <v>0</v>
      </c>
      <c r="U9" s="530">
        <f ca="1">IF(SUM($E22:U22)=1,'1.1 Control Panel'!$E1000,0)</f>
        <v>0</v>
      </c>
      <c r="V9" s="530">
        <f ca="1">IF(SUM($E22:V22)=1,'1.1 Control Panel'!$E1000,0)</f>
        <v>0</v>
      </c>
      <c r="W9" s="530">
        <f ca="1">IF(SUM($E22:W22)=1,'1.1 Control Panel'!$E1000,0)</f>
        <v>0</v>
      </c>
      <c r="X9" s="530">
        <f ca="1">IF(SUM($E22:X22)=1,'1.1 Control Panel'!$E1000,0)</f>
        <v>0</v>
      </c>
      <c r="Y9" s="530">
        <f ca="1">IF(SUM($E22:Y22)=1,'1.1 Control Panel'!$E1000,0)</f>
        <v>0</v>
      </c>
      <c r="Z9" s="530">
        <f ca="1">IF(SUM($E22:Z22)=1,'1.1 Control Panel'!$E1000,0)</f>
        <v>0</v>
      </c>
      <c r="AA9" s="530">
        <f ca="1">IF(SUM($E22:AA22)=1,'1.1 Control Panel'!$E1000,0)</f>
        <v>0</v>
      </c>
      <c r="AB9" s="530">
        <f ca="1">IF(SUM($E22:AB22)=1,'1.1 Control Panel'!$E1000,0)</f>
        <v>0</v>
      </c>
      <c r="AC9" s="530">
        <f ca="1">IF(SUM($E22:AC22)=1,'1.1 Control Panel'!$E1000,0)</f>
        <v>0</v>
      </c>
      <c r="AD9" s="530">
        <f ca="1">IF(SUM($E22:AD22)=1,'1.1 Control Panel'!$E1000,0)</f>
        <v>0</v>
      </c>
      <c r="AE9" s="530">
        <f ca="1">IF(SUM($E22:AE22)=1,'1.1 Control Panel'!$E1000,0)</f>
        <v>0</v>
      </c>
      <c r="AF9" s="530">
        <f ca="1">IF(SUM($E22:AF22)=1,'1.1 Control Panel'!$E1000,0)</f>
        <v>0</v>
      </c>
      <c r="AG9" s="530">
        <f ca="1">IF(SUM($E22:AG22)=1,'1.1 Control Panel'!$E1000,0)</f>
        <v>0</v>
      </c>
      <c r="AH9" s="530">
        <f ca="1">IF(SUM($E22:AH22)=1,'1.1 Control Panel'!$E1000,0)</f>
        <v>0</v>
      </c>
      <c r="AI9" s="530">
        <f ca="1">IF(SUM($E22:AI22)=1,'1.1 Control Panel'!$E1000,0)</f>
        <v>0</v>
      </c>
      <c r="AJ9" s="530">
        <f ca="1">IF(SUM($E22:AJ22)=1,'1.1 Control Panel'!$E1000,0)</f>
        <v>0</v>
      </c>
      <c r="AK9" s="530">
        <f ca="1">IF(SUM($E22:AK22)=1,'1.1 Control Panel'!$E1000,0)</f>
        <v>0</v>
      </c>
      <c r="AL9" s="530">
        <f ca="1">IF(SUM($E22:AL22)=1,'1.1 Control Panel'!$E1000,0)</f>
        <v>0</v>
      </c>
      <c r="AM9" s="530">
        <f ca="1">IF(SUM($E22:AM22)=1,'1.1 Control Panel'!$E1000,0)</f>
        <v>0</v>
      </c>
      <c r="AN9" s="530">
        <f ca="1">IF(SUM($E22:AN22)=1,'1.1 Control Panel'!$E1000,0)</f>
        <v>0</v>
      </c>
      <c r="AP9" s="22"/>
    </row>
    <row r="10" spans="1:42" ht="11.5" customHeight="1" x14ac:dyDescent="0.25">
      <c r="C10" s="22" t="s">
        <v>946</v>
      </c>
      <c r="D10" s="96" t="s">
        <v>46</v>
      </c>
      <c r="E10" s="530">
        <f>IF(SUM($E23:E23)=1,'1.1 Control Panel'!$E1001,0)</f>
        <v>0</v>
      </c>
      <c r="F10" s="530">
        <f ca="1">IF(SUM($E23:F23)=1,'1.1 Control Panel'!$E1001,0)</f>
        <v>0</v>
      </c>
      <c r="G10" s="530">
        <f ca="1">IF(SUM($E23:G23)=1,'1.1 Control Panel'!$E1001,0)</f>
        <v>0</v>
      </c>
      <c r="H10" s="530">
        <f ca="1">IF(SUM($E23:H23)=1,'1.1 Control Panel'!$E1001,0)</f>
        <v>0</v>
      </c>
      <c r="I10" s="530">
        <f ca="1">IF(SUM($E23:I23)=1,'1.1 Control Panel'!$E1001,0)</f>
        <v>0</v>
      </c>
      <c r="J10" s="530">
        <f ca="1">IF(SUM($E23:J23)=1,'1.1 Control Panel'!$E1001,0)</f>
        <v>0</v>
      </c>
      <c r="K10" s="530">
        <f ca="1">IF(SUM($E23:K23)=1,'1.1 Control Panel'!$E1001,0)</f>
        <v>0</v>
      </c>
      <c r="L10" s="530">
        <f ca="1">IF(SUM($E23:L23)=1,'1.1 Control Panel'!$E1001,0)</f>
        <v>0</v>
      </c>
      <c r="M10" s="530">
        <f ca="1">IF(SUM($E23:M23)=1,'1.1 Control Panel'!$E1001,0)</f>
        <v>0</v>
      </c>
      <c r="N10" s="530">
        <f ca="1">IF(SUM($E23:N23)=1,'1.1 Control Panel'!$E1001,0)</f>
        <v>0</v>
      </c>
      <c r="O10" s="530">
        <f ca="1">IF(SUM($E23:O23)=1,'1.1 Control Panel'!$E1001,0)</f>
        <v>0</v>
      </c>
      <c r="P10" s="530">
        <f ca="1">IF(SUM($E23:P23)=1,'1.1 Control Panel'!$E1001,0)</f>
        <v>0</v>
      </c>
      <c r="Q10" s="530">
        <f ca="1">IF(SUM($E23:Q23)=1,'1.1 Control Panel'!$E1001,0)</f>
        <v>0</v>
      </c>
      <c r="R10" s="530">
        <f ca="1">IF(SUM($E23:R23)=1,'1.1 Control Panel'!$E1001,0)</f>
        <v>0</v>
      </c>
      <c r="S10" s="530">
        <f ca="1">IF(SUM($E23:S23)=1,'1.1 Control Panel'!$E1001,0)</f>
        <v>0</v>
      </c>
      <c r="T10" s="530">
        <f ca="1">IF(SUM($E23:T23)=1,'1.1 Control Panel'!$E1001,0)</f>
        <v>0</v>
      </c>
      <c r="U10" s="530">
        <f ca="1">IF(SUM($E23:U23)=1,'1.1 Control Panel'!$E1001,0)</f>
        <v>0</v>
      </c>
      <c r="V10" s="530">
        <f ca="1">IF(SUM($E23:V23)=1,'1.1 Control Panel'!$E1001,0)</f>
        <v>0</v>
      </c>
      <c r="W10" s="530">
        <f ca="1">IF(SUM($E23:W23)=1,'1.1 Control Panel'!$E1001,0)</f>
        <v>0</v>
      </c>
      <c r="X10" s="530">
        <f ca="1">IF(SUM($E23:X23)=1,'1.1 Control Panel'!$E1001,0)</f>
        <v>0</v>
      </c>
      <c r="Y10" s="530">
        <f ca="1">IF(SUM($E23:Y23)=1,'1.1 Control Panel'!$E1001,0)</f>
        <v>26250000</v>
      </c>
      <c r="Z10" s="530">
        <f ca="1">IF(SUM($E23:Z23)=1,'1.1 Control Panel'!$E1001,0)</f>
        <v>0</v>
      </c>
      <c r="AA10" s="530">
        <f ca="1">IF(SUM($E23:AA23)=1,'1.1 Control Panel'!$E1001,0)</f>
        <v>0</v>
      </c>
      <c r="AB10" s="530">
        <f ca="1">IF(SUM($E23:AB23)=1,'1.1 Control Panel'!$E1001,0)</f>
        <v>0</v>
      </c>
      <c r="AC10" s="530">
        <f ca="1">IF(SUM($E23:AC23)=1,'1.1 Control Panel'!$E1001,0)</f>
        <v>0</v>
      </c>
      <c r="AD10" s="530">
        <f ca="1">IF(SUM($E23:AD23)=1,'1.1 Control Panel'!$E1001,0)</f>
        <v>0</v>
      </c>
      <c r="AE10" s="530">
        <f ca="1">IF(SUM($E23:AE23)=1,'1.1 Control Panel'!$E1001,0)</f>
        <v>0</v>
      </c>
      <c r="AF10" s="530">
        <f ca="1">IF(SUM($E23:AF23)=1,'1.1 Control Panel'!$E1001,0)</f>
        <v>0</v>
      </c>
      <c r="AG10" s="530">
        <f ca="1">IF(SUM($E23:AG23)=1,'1.1 Control Panel'!$E1001,0)</f>
        <v>0</v>
      </c>
      <c r="AH10" s="530">
        <f ca="1">IF(SUM($E23:AH23)=1,'1.1 Control Panel'!$E1001,0)</f>
        <v>0</v>
      </c>
      <c r="AI10" s="530">
        <f ca="1">IF(SUM($E23:AI23)=1,'1.1 Control Panel'!$E1001,0)</f>
        <v>0</v>
      </c>
      <c r="AJ10" s="530">
        <f ca="1">IF(SUM($E23:AJ23)=1,'1.1 Control Panel'!$E1001,0)</f>
        <v>0</v>
      </c>
      <c r="AK10" s="530">
        <f ca="1">IF(SUM($E23:AK23)=1,'1.1 Control Panel'!$E1001,0)</f>
        <v>0</v>
      </c>
      <c r="AL10" s="530">
        <f ca="1">IF(SUM($E23:AL23)=1,'1.1 Control Panel'!$E1001,0)</f>
        <v>0</v>
      </c>
      <c r="AM10" s="530">
        <f ca="1">IF(SUM($E23:AM23)=1,'1.1 Control Panel'!$E1001,0)</f>
        <v>0</v>
      </c>
      <c r="AN10" s="530">
        <f ca="1">IF(SUM($E23:AN23)=1,'1.1 Control Panel'!$E1001,0)</f>
        <v>0</v>
      </c>
      <c r="AP10" s="22"/>
    </row>
    <row r="11" spans="1:42" ht="11.5" customHeight="1" x14ac:dyDescent="0.25">
      <c r="C11" s="22" t="s">
        <v>947</v>
      </c>
      <c r="D11" s="96" t="s">
        <v>46</v>
      </c>
      <c r="E11" s="530">
        <f>IF(SUM($E24:E24)=1,'1.1 Control Panel'!$E1002,0)</f>
        <v>0</v>
      </c>
      <c r="F11" s="530">
        <f ca="1">IF(SUM($E24:F24)=1,'1.1 Control Panel'!$E1002,0)</f>
        <v>0</v>
      </c>
      <c r="G11" s="530">
        <f ca="1">IF(SUM($E24:G24)=1,'1.1 Control Panel'!$E1002,0)</f>
        <v>0</v>
      </c>
      <c r="H11" s="530">
        <f ca="1">IF(SUM($E24:H24)=1,'1.1 Control Panel'!$E1002,0)</f>
        <v>0</v>
      </c>
      <c r="I11" s="530">
        <f ca="1">IF(SUM($E24:I24)=1,'1.1 Control Panel'!$E1002,0)</f>
        <v>0</v>
      </c>
      <c r="J11" s="530">
        <f ca="1">IF(SUM($E24:J24)=1,'1.1 Control Panel'!$E1002,0)</f>
        <v>0</v>
      </c>
      <c r="K11" s="530">
        <f ca="1">IF(SUM($E24:K24)=1,'1.1 Control Panel'!$E1002,0)</f>
        <v>0</v>
      </c>
      <c r="L11" s="530">
        <f ca="1">IF(SUM($E24:L24)=1,'1.1 Control Panel'!$E1002,0)</f>
        <v>0</v>
      </c>
      <c r="M11" s="530">
        <f ca="1">IF(SUM($E24:M24)=1,'1.1 Control Panel'!$E1002,0)</f>
        <v>0</v>
      </c>
      <c r="N11" s="530">
        <f ca="1">IF(SUM($E24:N24)=1,'1.1 Control Panel'!$E1002,0)</f>
        <v>0</v>
      </c>
      <c r="O11" s="530">
        <f ca="1">IF(SUM($E24:O24)=1,'1.1 Control Panel'!$E1002,0)</f>
        <v>0</v>
      </c>
      <c r="P11" s="530">
        <f ca="1">IF(SUM($E24:P24)=1,'1.1 Control Panel'!$E1002,0)</f>
        <v>0</v>
      </c>
      <c r="Q11" s="530">
        <f ca="1">IF(SUM($E24:Q24)=1,'1.1 Control Panel'!$E1002,0)</f>
        <v>0</v>
      </c>
      <c r="R11" s="530">
        <f ca="1">IF(SUM($E24:R24)=1,'1.1 Control Panel'!$E1002,0)</f>
        <v>0</v>
      </c>
      <c r="S11" s="530">
        <f ca="1">IF(SUM($E24:S24)=1,'1.1 Control Panel'!$E1002,0)</f>
        <v>0</v>
      </c>
      <c r="T11" s="530">
        <f ca="1">IF(SUM($E24:T24)=1,'1.1 Control Panel'!$E1002,0)</f>
        <v>0</v>
      </c>
      <c r="U11" s="530">
        <f ca="1">IF(SUM($E24:U24)=1,'1.1 Control Panel'!$E1002,0)</f>
        <v>0</v>
      </c>
      <c r="V11" s="530">
        <f ca="1">IF(SUM($E24:V24)=1,'1.1 Control Panel'!$E1002,0)</f>
        <v>0</v>
      </c>
      <c r="W11" s="530">
        <f ca="1">IF(SUM($E24:W24)=1,'1.1 Control Panel'!$E1002,0)</f>
        <v>0</v>
      </c>
      <c r="X11" s="530">
        <f ca="1">IF(SUM($E24:X24)=1,'1.1 Control Panel'!$E1002,0)</f>
        <v>0</v>
      </c>
      <c r="Y11" s="530">
        <f ca="1">IF(SUM($E24:Y24)=1,'1.1 Control Panel'!$E1002,0)</f>
        <v>0</v>
      </c>
      <c r="Z11" s="530">
        <f ca="1">IF(SUM($E24:Z24)=1,'1.1 Control Panel'!$E1002,0)</f>
        <v>0</v>
      </c>
      <c r="AA11" s="530">
        <f ca="1">IF(SUM($E24:AA24)=1,'1.1 Control Panel'!$E1002,0)</f>
        <v>0</v>
      </c>
      <c r="AB11" s="530">
        <f ca="1">IF(SUM($E24:AB24)=1,'1.1 Control Panel'!$E1002,0)</f>
        <v>0</v>
      </c>
      <c r="AC11" s="530">
        <f ca="1">IF(SUM($E24:AC24)=1,'1.1 Control Panel'!$E1002,0)</f>
        <v>0</v>
      </c>
      <c r="AD11" s="530">
        <f ca="1">IF(SUM($E24:AD24)=1,'1.1 Control Panel'!$E1002,0)</f>
        <v>0</v>
      </c>
      <c r="AE11" s="530">
        <f ca="1">IF(SUM($E24:AE24)=1,'1.1 Control Panel'!$E1002,0)</f>
        <v>0</v>
      </c>
      <c r="AF11" s="530">
        <f ca="1">IF(SUM($E24:AF24)=1,'1.1 Control Panel'!$E1002,0)</f>
        <v>0</v>
      </c>
      <c r="AG11" s="530">
        <f ca="1">IF(SUM($E24:AG24)=1,'1.1 Control Panel'!$E1002,0)</f>
        <v>0</v>
      </c>
      <c r="AH11" s="530">
        <f ca="1">IF(SUM($E24:AH24)=1,'1.1 Control Panel'!$E1002,0)</f>
        <v>52500000</v>
      </c>
      <c r="AI11" s="530">
        <f ca="1">IF(SUM($E24:AI24)=1,'1.1 Control Panel'!$E1002,0)</f>
        <v>0</v>
      </c>
      <c r="AJ11" s="530">
        <f ca="1">IF(SUM($E24:AJ24)=1,'1.1 Control Panel'!$E1002,0)</f>
        <v>0</v>
      </c>
      <c r="AK11" s="530">
        <f ca="1">IF(SUM($E24:AK24)=1,'1.1 Control Panel'!$E1002,0)</f>
        <v>0</v>
      </c>
      <c r="AL11" s="530">
        <f ca="1">IF(SUM($E24:AL24)=1,'1.1 Control Panel'!$E1002,0)</f>
        <v>0</v>
      </c>
      <c r="AM11" s="530">
        <f ca="1">IF(SUM($E24:AM24)=1,'1.1 Control Panel'!$E1002,0)</f>
        <v>0</v>
      </c>
      <c r="AN11" s="530">
        <f ca="1">IF(SUM($E24:AN24)=1,'1.1 Control Panel'!$E1002,0)</f>
        <v>0</v>
      </c>
      <c r="AP11" s="22"/>
    </row>
    <row r="12" spans="1:42" ht="11.5" customHeight="1" x14ac:dyDescent="0.25">
      <c r="C12" s="27" t="s">
        <v>948</v>
      </c>
      <c r="D12" s="40" t="s">
        <v>46</v>
      </c>
      <c r="E12" s="377">
        <f>IF(SUM($E25:E25)=1,'1.1 Control Panel'!$E1003,0)</f>
        <v>0</v>
      </c>
      <c r="F12" s="377">
        <f ca="1">IF(SUM($E25:F25)=1,'1.1 Control Panel'!$E1003,0)</f>
        <v>0</v>
      </c>
      <c r="G12" s="377">
        <f ca="1">IF(SUM($E25:G25)=1,'1.1 Control Panel'!$E1003,0)</f>
        <v>0</v>
      </c>
      <c r="H12" s="377">
        <f ca="1">IF(SUM($E25:H25)=1,'1.1 Control Panel'!$E1003,0)</f>
        <v>0</v>
      </c>
      <c r="I12" s="377">
        <f ca="1">IF(SUM($E25:I25)=1,'1.1 Control Panel'!$E1003,0)</f>
        <v>0</v>
      </c>
      <c r="J12" s="377">
        <f ca="1">IF(SUM($E25:J25)=1,'1.1 Control Panel'!$E1003,0)</f>
        <v>0</v>
      </c>
      <c r="K12" s="377">
        <f ca="1">IF(SUM($E25:K25)=1,'1.1 Control Panel'!$E1003,0)</f>
        <v>0</v>
      </c>
      <c r="L12" s="377">
        <f ca="1">IF(SUM($E25:L25)=1,'1.1 Control Panel'!$E1003,0)</f>
        <v>0</v>
      </c>
      <c r="M12" s="377">
        <f ca="1">IF(SUM($E25:M25)=1,'1.1 Control Panel'!$E1003,0)</f>
        <v>0</v>
      </c>
      <c r="N12" s="377">
        <f ca="1">IF(SUM($E25:N25)=1,'1.1 Control Panel'!$E1003,0)</f>
        <v>0</v>
      </c>
      <c r="O12" s="377">
        <f ca="1">IF(SUM($E25:O25)=1,'1.1 Control Panel'!$E1003,0)</f>
        <v>0</v>
      </c>
      <c r="P12" s="377">
        <f ca="1">IF(SUM($E25:P25)=1,'1.1 Control Panel'!$E1003,0)</f>
        <v>0</v>
      </c>
      <c r="Q12" s="377">
        <f ca="1">IF(SUM($E25:Q25)=1,'1.1 Control Panel'!$E1003,0)</f>
        <v>0</v>
      </c>
      <c r="R12" s="377">
        <f ca="1">IF(SUM($E25:R25)=1,'1.1 Control Panel'!$E1003,0)</f>
        <v>0</v>
      </c>
      <c r="S12" s="377">
        <f ca="1">IF(SUM($E25:S25)=1,'1.1 Control Panel'!$E1003,0)</f>
        <v>0</v>
      </c>
      <c r="T12" s="377">
        <f ca="1">IF(SUM($E25:T25)=1,'1.1 Control Panel'!$E1003,0)</f>
        <v>0</v>
      </c>
      <c r="U12" s="377">
        <f ca="1">IF(SUM($E25:U25)=1,'1.1 Control Panel'!$E1003,0)</f>
        <v>0</v>
      </c>
      <c r="V12" s="377">
        <f ca="1">IF(SUM($E25:V25)=1,'1.1 Control Panel'!$E1003,0)</f>
        <v>0</v>
      </c>
      <c r="W12" s="377">
        <f ca="1">IF(SUM($E25:W25)=1,'1.1 Control Panel'!$E1003,0)</f>
        <v>0</v>
      </c>
      <c r="X12" s="377">
        <f ca="1">IF(SUM($E25:X25)=1,'1.1 Control Panel'!$E1003,0)</f>
        <v>0</v>
      </c>
      <c r="Y12" s="377">
        <f ca="1">IF(SUM($E25:Y25)=1,'1.1 Control Panel'!$E1003,0)</f>
        <v>0</v>
      </c>
      <c r="Z12" s="377">
        <f ca="1">IF(SUM($E25:Z25)=1,'1.1 Control Panel'!$E1003,0)</f>
        <v>0</v>
      </c>
      <c r="AA12" s="377">
        <f ca="1">IF(SUM($E25:AA25)=1,'1.1 Control Panel'!$E1003,0)</f>
        <v>0</v>
      </c>
      <c r="AB12" s="377">
        <f ca="1">IF(SUM($E25:AB25)=1,'1.1 Control Panel'!$E1003,0)</f>
        <v>0</v>
      </c>
      <c r="AC12" s="377">
        <f ca="1">IF(SUM($E25:AC25)=1,'1.1 Control Panel'!$E1003,0)</f>
        <v>0</v>
      </c>
      <c r="AD12" s="377">
        <f ca="1">IF(SUM($E25:AD25)=1,'1.1 Control Panel'!$E1003,0)</f>
        <v>0</v>
      </c>
      <c r="AE12" s="377">
        <f ca="1">IF(SUM($E25:AE25)=1,'1.1 Control Panel'!$E1003,0)</f>
        <v>0</v>
      </c>
      <c r="AF12" s="377">
        <f ca="1">IF(SUM($E25:AF25)=1,'1.1 Control Panel'!$E1003,0)</f>
        <v>0</v>
      </c>
      <c r="AG12" s="377">
        <f ca="1">IF(SUM($E25:AG25)=1,'1.1 Control Panel'!$E1003,0)</f>
        <v>0</v>
      </c>
      <c r="AH12" s="377">
        <f ca="1">IF(SUM($E25:AH25)=1,'1.1 Control Panel'!$E1003,0)</f>
        <v>0</v>
      </c>
      <c r="AI12" s="377">
        <f ca="1">IF(SUM($E25:AI25)=1,'1.1 Control Panel'!$E1003,0)</f>
        <v>0</v>
      </c>
      <c r="AJ12" s="377">
        <f ca="1">IF(SUM($E25:AJ25)=1,'1.1 Control Panel'!$E1003,0)</f>
        <v>0</v>
      </c>
      <c r="AK12" s="377">
        <f ca="1">IF(SUM($E25:AK25)=1,'1.1 Control Panel'!$E1003,0)</f>
        <v>0</v>
      </c>
      <c r="AL12" s="377">
        <f ca="1">IF(SUM($E25:AL25)=1,'1.1 Control Panel'!$E1003,0)</f>
        <v>0</v>
      </c>
      <c r="AM12" s="377">
        <f ca="1">IF(SUM($E25:AM25)=1,'1.1 Control Panel'!$E1003,0)</f>
        <v>0</v>
      </c>
      <c r="AN12" s="377">
        <f ca="1">IF(SUM($E25:AN25)=1,'1.1 Control Panel'!$E1003,0)</f>
        <v>91875000</v>
      </c>
      <c r="AP12" s="27"/>
    </row>
    <row r="13" spans="1:42" ht="11.5" customHeight="1" x14ac:dyDescent="0.25">
      <c r="C13" s="226" t="s">
        <v>939</v>
      </c>
      <c r="D13" s="557" t="s">
        <v>46</v>
      </c>
      <c r="E13" s="734">
        <f>SUM(E5:E12)</f>
        <v>393750</v>
      </c>
      <c r="F13" s="734">
        <f t="shared" ref="F13:AN13" ca="1" si="1">SUM(F5:F12)</f>
        <v>0</v>
      </c>
      <c r="G13" s="302">
        <f t="shared" ca="1" si="1"/>
        <v>0</v>
      </c>
      <c r="H13" s="302">
        <f t="shared" ca="1" si="1"/>
        <v>3000000</v>
      </c>
      <c r="I13" s="302">
        <f t="shared" ca="1" si="1"/>
        <v>0</v>
      </c>
      <c r="J13" s="302">
        <f t="shared" ca="1" si="1"/>
        <v>0</v>
      </c>
      <c r="K13" s="302">
        <f t="shared" ca="1" si="1"/>
        <v>0</v>
      </c>
      <c r="L13" s="302">
        <f t="shared" ca="1" si="1"/>
        <v>7500000</v>
      </c>
      <c r="M13" s="302">
        <f t="shared" ca="1" si="1"/>
        <v>0</v>
      </c>
      <c r="N13" s="302">
        <f t="shared" ca="1" si="1"/>
        <v>0</v>
      </c>
      <c r="O13" s="302">
        <f t="shared" ca="1" si="1"/>
        <v>0</v>
      </c>
      <c r="P13" s="302">
        <f t="shared" ca="1" si="1"/>
        <v>0</v>
      </c>
      <c r="Q13" s="302"/>
      <c r="R13" s="302">
        <f t="shared" ca="1" si="1"/>
        <v>0</v>
      </c>
      <c r="S13" s="302">
        <f t="shared" ca="1" si="1"/>
        <v>0</v>
      </c>
      <c r="T13" s="302">
        <f t="shared" ca="1" si="1"/>
        <v>0</v>
      </c>
      <c r="U13" s="302">
        <f t="shared" ca="1" si="1"/>
        <v>0</v>
      </c>
      <c r="V13" s="302">
        <f t="shared" ca="1" si="1"/>
        <v>0</v>
      </c>
      <c r="W13" s="302">
        <f t="shared" ca="1" si="1"/>
        <v>0</v>
      </c>
      <c r="X13" s="302">
        <f t="shared" ca="1" si="1"/>
        <v>0</v>
      </c>
      <c r="Y13" s="302">
        <f t="shared" ca="1" si="1"/>
        <v>26250000</v>
      </c>
      <c r="Z13" s="302">
        <f t="shared" ca="1" si="1"/>
        <v>0</v>
      </c>
      <c r="AA13" s="302">
        <f t="shared" ca="1" si="1"/>
        <v>0</v>
      </c>
      <c r="AB13" s="302">
        <f t="shared" ca="1" si="1"/>
        <v>0</v>
      </c>
      <c r="AC13" s="302">
        <f t="shared" ca="1" si="1"/>
        <v>0</v>
      </c>
      <c r="AD13" s="302">
        <f t="shared" ca="1" si="1"/>
        <v>0</v>
      </c>
      <c r="AE13" s="302">
        <f t="shared" ca="1" si="1"/>
        <v>0</v>
      </c>
      <c r="AF13" s="302">
        <f t="shared" ca="1" si="1"/>
        <v>0</v>
      </c>
      <c r="AG13" s="302">
        <f t="shared" ca="1" si="1"/>
        <v>0</v>
      </c>
      <c r="AH13" s="302">
        <f t="shared" ca="1" si="1"/>
        <v>52500000</v>
      </c>
      <c r="AI13" s="302">
        <f t="shared" ca="1" si="1"/>
        <v>0</v>
      </c>
      <c r="AJ13" s="302">
        <f t="shared" ca="1" si="1"/>
        <v>0</v>
      </c>
      <c r="AK13" s="302">
        <f t="shared" ca="1" si="1"/>
        <v>0</v>
      </c>
      <c r="AL13" s="302">
        <f t="shared" ca="1" si="1"/>
        <v>0</v>
      </c>
      <c r="AM13" s="302">
        <f t="shared" ca="1" si="1"/>
        <v>0</v>
      </c>
      <c r="AN13" s="302">
        <f t="shared" ca="1" si="1"/>
        <v>91875000</v>
      </c>
      <c r="AP13" s="11"/>
    </row>
    <row r="14" spans="1:42" s="44" customFormat="1" ht="3" customHeight="1" x14ac:dyDescent="0.25">
      <c r="C14" s="731"/>
      <c r="D14" s="732"/>
      <c r="E14" s="735"/>
      <c r="F14" s="733"/>
      <c r="G14" s="733"/>
      <c r="H14" s="733"/>
      <c r="I14" s="733"/>
      <c r="J14" s="733"/>
      <c r="K14" s="733"/>
      <c r="L14" s="733"/>
      <c r="M14" s="733"/>
      <c r="N14" s="733"/>
      <c r="O14" s="733"/>
      <c r="P14" s="733"/>
      <c r="Q14" s="733"/>
      <c r="R14" s="733"/>
      <c r="S14" s="733"/>
      <c r="T14" s="733"/>
      <c r="U14" s="733"/>
      <c r="V14" s="733"/>
      <c r="W14" s="733"/>
      <c r="X14" s="733"/>
      <c r="Y14" s="733"/>
      <c r="Z14" s="733"/>
      <c r="AA14" s="733"/>
      <c r="AB14" s="733"/>
      <c r="AC14" s="733"/>
      <c r="AD14" s="733"/>
      <c r="AE14" s="733"/>
      <c r="AF14" s="733"/>
      <c r="AG14" s="733"/>
      <c r="AH14" s="733"/>
      <c r="AI14" s="733"/>
      <c r="AJ14" s="733"/>
      <c r="AK14" s="733"/>
      <c r="AL14" s="733"/>
      <c r="AM14" s="733"/>
      <c r="AN14" s="733"/>
    </row>
    <row r="15" spans="1:42" ht="11.5" customHeight="1" x14ac:dyDescent="0.25">
      <c r="C15" s="11" t="s">
        <v>955</v>
      </c>
      <c r="D15" s="104" t="s">
        <v>46</v>
      </c>
      <c r="E15" s="773">
        <f>E13</f>
        <v>393750</v>
      </c>
      <c r="F15" s="378">
        <f ca="1">F13+E15</f>
        <v>393750</v>
      </c>
      <c r="G15" s="378">
        <f t="shared" ref="G15:AN15" ca="1" si="2">G13+F15</f>
        <v>393750</v>
      </c>
      <c r="H15" s="378">
        <f t="shared" ca="1" si="2"/>
        <v>3393750</v>
      </c>
      <c r="I15" s="378">
        <f t="shared" ca="1" si="2"/>
        <v>3393750</v>
      </c>
      <c r="J15" s="378">
        <f t="shared" ca="1" si="2"/>
        <v>3393750</v>
      </c>
      <c r="K15" s="378">
        <f t="shared" ca="1" si="2"/>
        <v>3393750</v>
      </c>
      <c r="L15" s="378">
        <f t="shared" ca="1" si="2"/>
        <v>10893750</v>
      </c>
      <c r="M15" s="378">
        <f t="shared" ca="1" si="2"/>
        <v>10893750</v>
      </c>
      <c r="N15" s="378">
        <f t="shared" ca="1" si="2"/>
        <v>10893750</v>
      </c>
      <c r="O15" s="378">
        <f t="shared" ca="1" si="2"/>
        <v>10893750</v>
      </c>
      <c r="P15" s="378">
        <f t="shared" ca="1" si="2"/>
        <v>10893750</v>
      </c>
      <c r="Q15" s="378">
        <f t="shared" ca="1" si="2"/>
        <v>10893750</v>
      </c>
      <c r="R15" s="378">
        <f t="shared" ca="1" si="2"/>
        <v>10893750</v>
      </c>
      <c r="S15" s="378">
        <f t="shared" ca="1" si="2"/>
        <v>10893750</v>
      </c>
      <c r="T15" s="378">
        <f t="shared" ca="1" si="2"/>
        <v>10893750</v>
      </c>
      <c r="U15" s="378">
        <f t="shared" ca="1" si="2"/>
        <v>10893750</v>
      </c>
      <c r="V15" s="378">
        <f t="shared" ca="1" si="2"/>
        <v>10893750</v>
      </c>
      <c r="W15" s="378">
        <f t="shared" ca="1" si="2"/>
        <v>10893750</v>
      </c>
      <c r="X15" s="378">
        <f t="shared" ca="1" si="2"/>
        <v>10893750</v>
      </c>
      <c r="Y15" s="378">
        <f t="shared" ca="1" si="2"/>
        <v>37143750</v>
      </c>
      <c r="Z15" s="378">
        <f t="shared" ca="1" si="2"/>
        <v>37143750</v>
      </c>
      <c r="AA15" s="378">
        <f t="shared" ca="1" si="2"/>
        <v>37143750</v>
      </c>
      <c r="AB15" s="378">
        <f t="shared" ca="1" si="2"/>
        <v>37143750</v>
      </c>
      <c r="AC15" s="378">
        <f t="shared" ca="1" si="2"/>
        <v>37143750</v>
      </c>
      <c r="AD15" s="378">
        <f t="shared" ca="1" si="2"/>
        <v>37143750</v>
      </c>
      <c r="AE15" s="378">
        <f t="shared" ca="1" si="2"/>
        <v>37143750</v>
      </c>
      <c r="AF15" s="378">
        <f t="shared" ca="1" si="2"/>
        <v>37143750</v>
      </c>
      <c r="AG15" s="378">
        <f t="shared" ca="1" si="2"/>
        <v>37143750</v>
      </c>
      <c r="AH15" s="378">
        <f t="shared" ca="1" si="2"/>
        <v>89643750</v>
      </c>
      <c r="AI15" s="378">
        <f t="shared" ca="1" si="2"/>
        <v>89643750</v>
      </c>
      <c r="AJ15" s="378">
        <f t="shared" ca="1" si="2"/>
        <v>89643750</v>
      </c>
      <c r="AK15" s="378">
        <f t="shared" ca="1" si="2"/>
        <v>89643750</v>
      </c>
      <c r="AL15" s="378">
        <f t="shared" ca="1" si="2"/>
        <v>89643750</v>
      </c>
      <c r="AM15" s="378">
        <f t="shared" ca="1" si="2"/>
        <v>89643750</v>
      </c>
      <c r="AN15" s="378">
        <f t="shared" ca="1" si="2"/>
        <v>181518750</v>
      </c>
      <c r="AP15" s="11"/>
    </row>
    <row r="16" spans="1:42" ht="3" customHeight="1" x14ac:dyDescent="0.25"/>
    <row r="17" spans="2:42" ht="11.5" customHeight="1" x14ac:dyDescent="0.25">
      <c r="B17" s="6" t="s">
        <v>0</v>
      </c>
      <c r="C17" s="10" t="s">
        <v>940</v>
      </c>
      <c r="D17" s="29" t="s">
        <v>14</v>
      </c>
      <c r="E17" s="252">
        <v>45688</v>
      </c>
      <c r="F17" s="252">
        <v>45716</v>
      </c>
      <c r="G17" s="252">
        <v>45747</v>
      </c>
      <c r="H17" s="252">
        <v>45777</v>
      </c>
      <c r="I17" s="252">
        <v>45808</v>
      </c>
      <c r="J17" s="252">
        <v>45838</v>
      </c>
      <c r="K17" s="252">
        <v>45869</v>
      </c>
      <c r="L17" s="252">
        <v>45900</v>
      </c>
      <c r="M17" s="252">
        <v>45930</v>
      </c>
      <c r="N17" s="252">
        <v>45961</v>
      </c>
      <c r="O17" s="252">
        <v>45991</v>
      </c>
      <c r="P17" s="252">
        <v>46022</v>
      </c>
      <c r="Q17" s="252"/>
      <c r="R17" s="252">
        <f t="shared" ref="R17" si="3">F17+365.25</f>
        <v>46081.25</v>
      </c>
      <c r="S17" s="252">
        <f t="shared" ref="S17" si="4">G17+365.25</f>
        <v>46112.25</v>
      </c>
      <c r="T17" s="252">
        <f t="shared" ref="T17" si="5">H17+365.25</f>
        <v>46142.25</v>
      </c>
      <c r="U17" s="252">
        <f t="shared" ref="U17" si="6">I17+365.25</f>
        <v>46173.25</v>
      </c>
      <c r="V17" s="252">
        <f t="shared" ref="V17" si="7">J17+365.25</f>
        <v>46203.25</v>
      </c>
      <c r="W17" s="252">
        <f t="shared" ref="W17" si="8">K17+365.25</f>
        <v>46234.25</v>
      </c>
      <c r="X17" s="252">
        <f t="shared" ref="X17" si="9">L17+365.25</f>
        <v>46265.25</v>
      </c>
      <c r="Y17" s="252">
        <f t="shared" ref="Y17" si="10">M17+365.25</f>
        <v>46295.25</v>
      </c>
      <c r="Z17" s="252">
        <f t="shared" ref="Z17" si="11">N17+365.25</f>
        <v>46326.25</v>
      </c>
      <c r="AA17" s="252">
        <f t="shared" ref="AA17" si="12">O17+365.25</f>
        <v>46356.25</v>
      </c>
      <c r="AB17" s="252">
        <f t="shared" ref="AB17" si="13">P17+365.25</f>
        <v>46387.25</v>
      </c>
      <c r="AC17" s="252" t="e">
        <f>#REF!+365.25</f>
        <v>#REF!</v>
      </c>
      <c r="AD17" s="252">
        <f t="shared" ref="AD17" si="14">R17+365.25</f>
        <v>46446.5</v>
      </c>
      <c r="AE17" s="252">
        <f t="shared" ref="AE17" si="15">S17+365.25</f>
        <v>46477.5</v>
      </c>
      <c r="AF17" s="252">
        <f t="shared" ref="AF17" si="16">T17+365.25</f>
        <v>46507.5</v>
      </c>
      <c r="AG17" s="252">
        <f t="shared" ref="AG17" si="17">U17+365.25</f>
        <v>46538.5</v>
      </c>
      <c r="AH17" s="252">
        <f t="shared" ref="AH17" si="18">V17+365.25</f>
        <v>46568.5</v>
      </c>
      <c r="AI17" s="252">
        <f t="shared" ref="AI17" si="19">W17+365.25</f>
        <v>46599.5</v>
      </c>
      <c r="AJ17" s="252">
        <f t="shared" ref="AJ17" si="20">X17+365.25</f>
        <v>46630.5</v>
      </c>
      <c r="AK17" s="252">
        <f t="shared" ref="AK17" si="21">Y17+365.25</f>
        <v>46660.5</v>
      </c>
      <c r="AL17" s="252">
        <f t="shared" ref="AL17" si="22">Z17+365.25</f>
        <v>46691.5</v>
      </c>
      <c r="AM17" s="252">
        <f t="shared" ref="AM17" si="23">AA17+365.25</f>
        <v>46721.5</v>
      </c>
      <c r="AN17" s="252">
        <f t="shared" ref="AN17" si="24">AB17+365.25</f>
        <v>46752.5</v>
      </c>
      <c r="AO17" s="74"/>
      <c r="AP17" s="100" t="s">
        <v>45</v>
      </c>
    </row>
    <row r="18" spans="2:42" ht="11.5" customHeight="1" x14ac:dyDescent="0.25">
      <c r="C18" s="20" t="s">
        <v>941</v>
      </c>
      <c r="D18" s="34" t="s">
        <v>46</v>
      </c>
      <c r="E18" s="20">
        <f>IF('2.1 PnL'!E$22&gt;='1.1 Control Panel'!$E978,1,0)</f>
        <v>1</v>
      </c>
      <c r="F18" s="20">
        <f ca="1">IF('2.1 PnL'!F$22&gt;='1.1 Control Panel'!$E978,1,0)</f>
        <v>1</v>
      </c>
      <c r="G18" s="20">
        <f ca="1">IF('2.1 PnL'!G$22&gt;='1.1 Control Panel'!$E978,1,0)</f>
        <v>1</v>
      </c>
      <c r="H18" s="20">
        <f ca="1">IF('2.1 PnL'!H$22&gt;='1.1 Control Panel'!$E978,1,0)</f>
        <v>1</v>
      </c>
      <c r="I18" s="20">
        <f ca="1">IF('2.1 PnL'!I$22&gt;='1.1 Control Panel'!$E978,1,0)</f>
        <v>1</v>
      </c>
      <c r="J18" s="20">
        <f ca="1">IF('2.1 PnL'!J$22&gt;='1.1 Control Panel'!$E978,1,0)</f>
        <v>1</v>
      </c>
      <c r="K18" s="20">
        <f ca="1">IF('2.1 PnL'!K$22&gt;='1.1 Control Panel'!$E978,1,0)</f>
        <v>1</v>
      </c>
      <c r="L18" s="20">
        <f ca="1">IF('2.1 PnL'!L$22&gt;='1.1 Control Panel'!$E978,1,0)</f>
        <v>1</v>
      </c>
      <c r="M18" s="20">
        <f ca="1">IF('2.1 PnL'!M$22&gt;='1.1 Control Panel'!$E978,1,0)</f>
        <v>1</v>
      </c>
      <c r="N18" s="20">
        <f ca="1">IF('2.1 PnL'!N$22&gt;='1.1 Control Panel'!$E978,1,0)</f>
        <v>1</v>
      </c>
      <c r="O18" s="20">
        <f ca="1">IF('2.1 PnL'!O$22&gt;='1.1 Control Panel'!$E978,1,0)</f>
        <v>1</v>
      </c>
      <c r="P18" s="20">
        <f ca="1">IF('2.1 PnL'!P$22&gt;='1.1 Control Panel'!$E978,1,0)</f>
        <v>1</v>
      </c>
      <c r="Q18" s="20">
        <f ca="1">IF('2.1 PnL'!Q$22&gt;='1.1 Control Panel'!$E978,1,0)</f>
        <v>1</v>
      </c>
      <c r="R18" s="20">
        <f ca="1">IF('2.1 PnL'!R$22&gt;='1.1 Control Panel'!$E978,1,0)</f>
        <v>1</v>
      </c>
      <c r="S18" s="20">
        <f ca="1">IF('2.1 PnL'!S$22&gt;='1.1 Control Panel'!$E978,1,0)</f>
        <v>1</v>
      </c>
      <c r="T18" s="20">
        <f ca="1">IF('2.1 PnL'!T$22&gt;='1.1 Control Panel'!$E978,1,0)</f>
        <v>1</v>
      </c>
      <c r="U18" s="20">
        <f ca="1">IF('2.1 PnL'!U$22&gt;='1.1 Control Panel'!$E978,1,0)</f>
        <v>1</v>
      </c>
      <c r="V18" s="20">
        <f ca="1">IF('2.1 PnL'!V$22&gt;='1.1 Control Panel'!$E978,1,0)</f>
        <v>1</v>
      </c>
      <c r="W18" s="20">
        <f ca="1">IF('2.1 PnL'!W$22&gt;='1.1 Control Panel'!$E978,1,0)</f>
        <v>1</v>
      </c>
      <c r="X18" s="20">
        <f ca="1">IF('2.1 PnL'!X$22&gt;='1.1 Control Panel'!$E978,1,0)</f>
        <v>1</v>
      </c>
      <c r="Y18" s="20">
        <f ca="1">IF('2.1 PnL'!Y$22&gt;='1.1 Control Panel'!$E978,1,0)</f>
        <v>1</v>
      </c>
      <c r="Z18" s="20">
        <f ca="1">IF('2.1 PnL'!Z$22&gt;='1.1 Control Panel'!$E978,1,0)</f>
        <v>1</v>
      </c>
      <c r="AA18" s="20">
        <f ca="1">IF('2.1 PnL'!AA$22&gt;='1.1 Control Panel'!$E978,1,0)</f>
        <v>1</v>
      </c>
      <c r="AB18" s="20">
        <f ca="1">IF('2.1 PnL'!AB$22&gt;='1.1 Control Panel'!$E978,1,0)</f>
        <v>1</v>
      </c>
      <c r="AC18" s="20">
        <f ca="1">IF('2.1 PnL'!AC$22&gt;='1.1 Control Panel'!$E978,1,0)</f>
        <v>1</v>
      </c>
      <c r="AD18" s="20">
        <f ca="1">IF('2.1 PnL'!AD$22&gt;='1.1 Control Panel'!$E978,1,0)</f>
        <v>1</v>
      </c>
      <c r="AE18" s="20">
        <f ca="1">IF('2.1 PnL'!AE$22&gt;='1.1 Control Panel'!$E978,1,0)</f>
        <v>1</v>
      </c>
      <c r="AF18" s="20">
        <f ca="1">IF('2.1 PnL'!AF$22&gt;='1.1 Control Panel'!$E978,1,0)</f>
        <v>1</v>
      </c>
      <c r="AG18" s="20">
        <f ca="1">IF('2.1 PnL'!AG$22&gt;='1.1 Control Panel'!$E978,1,0)</f>
        <v>1</v>
      </c>
      <c r="AH18" s="20">
        <f ca="1">IF('2.1 PnL'!AH$22&gt;='1.1 Control Panel'!$E978,1,0)</f>
        <v>1</v>
      </c>
      <c r="AI18" s="20">
        <f ca="1">IF('2.1 PnL'!AI$22&gt;='1.1 Control Panel'!$E978,1,0)</f>
        <v>1</v>
      </c>
      <c r="AJ18" s="20">
        <f ca="1">IF('2.1 PnL'!AJ$22&gt;='1.1 Control Panel'!$E978,1,0)</f>
        <v>1</v>
      </c>
      <c r="AK18" s="20">
        <f ca="1">IF('2.1 PnL'!AK$22&gt;='1.1 Control Panel'!$E978,1,0)</f>
        <v>1</v>
      </c>
      <c r="AL18" s="20">
        <f ca="1">IF('2.1 PnL'!AL$22&gt;='1.1 Control Panel'!$E978,1,0)</f>
        <v>1</v>
      </c>
      <c r="AM18" s="20">
        <f ca="1">IF('2.1 PnL'!AM$22&gt;='1.1 Control Panel'!$E978,1,0)</f>
        <v>1</v>
      </c>
      <c r="AN18" s="20">
        <f ca="1">IF('2.1 PnL'!AN$22&gt;='1.1 Control Panel'!$E978,1,0)</f>
        <v>1</v>
      </c>
      <c r="AP18" s="20"/>
    </row>
    <row r="19" spans="2:42" ht="11.5" customHeight="1" x14ac:dyDescent="0.25">
      <c r="C19" s="21" t="s">
        <v>942</v>
      </c>
      <c r="D19" s="38" t="s">
        <v>46</v>
      </c>
      <c r="E19" s="21">
        <f>IF('2.1 PnL'!E$22&gt;='1.1 Control Panel'!$E979,1,0)</f>
        <v>1</v>
      </c>
      <c r="F19" s="21">
        <f ca="1">IF('2.1 PnL'!F$22&gt;='1.1 Control Panel'!$E979,1,0)</f>
        <v>1</v>
      </c>
      <c r="G19" s="21">
        <f ca="1">IF('2.1 PnL'!G$22&gt;='1.1 Control Panel'!$E979,1,0)</f>
        <v>1</v>
      </c>
      <c r="H19" s="21">
        <f ca="1">IF('2.1 PnL'!H$22&gt;='1.1 Control Panel'!$E979,1,0)</f>
        <v>1</v>
      </c>
      <c r="I19" s="21">
        <f ca="1">IF('2.1 PnL'!I$22&gt;='1.1 Control Panel'!$E979,1,0)</f>
        <v>1</v>
      </c>
      <c r="J19" s="21">
        <f ca="1">IF('2.1 PnL'!J$22&gt;='1.1 Control Panel'!$E979,1,0)</f>
        <v>1</v>
      </c>
      <c r="K19" s="21">
        <f ca="1">IF('2.1 PnL'!K$22&gt;='1.1 Control Panel'!$E979,1,0)</f>
        <v>1</v>
      </c>
      <c r="L19" s="21">
        <f ca="1">IF('2.1 PnL'!L$22&gt;='1.1 Control Panel'!$E979,1,0)</f>
        <v>1</v>
      </c>
      <c r="M19" s="21">
        <f ca="1">IF('2.1 PnL'!M$22&gt;='1.1 Control Panel'!$E979,1,0)</f>
        <v>1</v>
      </c>
      <c r="N19" s="21">
        <f ca="1">IF('2.1 PnL'!N$22&gt;='1.1 Control Panel'!$E979,1,0)</f>
        <v>1</v>
      </c>
      <c r="O19" s="21">
        <f ca="1">IF('2.1 PnL'!O$22&gt;='1.1 Control Panel'!$E979,1,0)</f>
        <v>1</v>
      </c>
      <c r="P19" s="21">
        <f ca="1">IF('2.1 PnL'!P$22&gt;='1.1 Control Panel'!$E979,1,0)</f>
        <v>1</v>
      </c>
      <c r="Q19" s="21">
        <f ca="1">IF('2.1 PnL'!Q$22&gt;='1.1 Control Panel'!$E979,1,0)</f>
        <v>1</v>
      </c>
      <c r="R19" s="21">
        <f ca="1">IF('2.1 PnL'!R$22&gt;='1.1 Control Panel'!$E979,1,0)</f>
        <v>1</v>
      </c>
      <c r="S19" s="21">
        <f ca="1">IF('2.1 PnL'!S$22&gt;='1.1 Control Panel'!$E979,1,0)</f>
        <v>1</v>
      </c>
      <c r="T19" s="21">
        <f ca="1">IF('2.1 PnL'!T$22&gt;='1.1 Control Panel'!$E979,1,0)</f>
        <v>1</v>
      </c>
      <c r="U19" s="21">
        <f ca="1">IF('2.1 PnL'!U$22&gt;='1.1 Control Panel'!$E979,1,0)</f>
        <v>1</v>
      </c>
      <c r="V19" s="21">
        <f ca="1">IF('2.1 PnL'!V$22&gt;='1.1 Control Panel'!$E979,1,0)</f>
        <v>1</v>
      </c>
      <c r="W19" s="21">
        <f ca="1">IF('2.1 PnL'!W$22&gt;='1.1 Control Panel'!$E979,1,0)</f>
        <v>1</v>
      </c>
      <c r="X19" s="21">
        <f ca="1">IF('2.1 PnL'!X$22&gt;='1.1 Control Panel'!$E979,1,0)</f>
        <v>1</v>
      </c>
      <c r="Y19" s="21">
        <f ca="1">IF('2.1 PnL'!Y$22&gt;='1.1 Control Panel'!$E979,1,0)</f>
        <v>1</v>
      </c>
      <c r="Z19" s="21">
        <f ca="1">IF('2.1 PnL'!Z$22&gt;='1.1 Control Panel'!$E979,1,0)</f>
        <v>1</v>
      </c>
      <c r="AA19" s="21">
        <f ca="1">IF('2.1 PnL'!AA$22&gt;='1.1 Control Panel'!$E979,1,0)</f>
        <v>1</v>
      </c>
      <c r="AB19" s="21">
        <f ca="1">IF('2.1 PnL'!AB$22&gt;='1.1 Control Panel'!$E979,1,0)</f>
        <v>1</v>
      </c>
      <c r="AC19" s="21">
        <f ca="1">IF('2.1 PnL'!AC$22&gt;='1.1 Control Panel'!$E979,1,0)</f>
        <v>1</v>
      </c>
      <c r="AD19" s="21">
        <f ca="1">IF('2.1 PnL'!AD$22&gt;='1.1 Control Panel'!$E979,1,0)</f>
        <v>1</v>
      </c>
      <c r="AE19" s="21">
        <f ca="1">IF('2.1 PnL'!AE$22&gt;='1.1 Control Panel'!$E979,1,0)</f>
        <v>1</v>
      </c>
      <c r="AF19" s="21">
        <f ca="1">IF('2.1 PnL'!AF$22&gt;='1.1 Control Panel'!$E979,1,0)</f>
        <v>1</v>
      </c>
      <c r="AG19" s="21">
        <f ca="1">IF('2.1 PnL'!AG$22&gt;='1.1 Control Panel'!$E979,1,0)</f>
        <v>1</v>
      </c>
      <c r="AH19" s="21">
        <f ca="1">IF('2.1 PnL'!AH$22&gt;='1.1 Control Panel'!$E979,1,0)</f>
        <v>1</v>
      </c>
      <c r="AI19" s="21">
        <f ca="1">IF('2.1 PnL'!AI$22&gt;='1.1 Control Panel'!$E979,1,0)</f>
        <v>1</v>
      </c>
      <c r="AJ19" s="21">
        <f ca="1">IF('2.1 PnL'!AJ$22&gt;='1.1 Control Panel'!$E979,1,0)</f>
        <v>1</v>
      </c>
      <c r="AK19" s="21">
        <f ca="1">IF('2.1 PnL'!AK$22&gt;='1.1 Control Panel'!$E979,1,0)</f>
        <v>1</v>
      </c>
      <c r="AL19" s="21">
        <f ca="1">IF('2.1 PnL'!AL$22&gt;='1.1 Control Panel'!$E979,1,0)</f>
        <v>1</v>
      </c>
      <c r="AM19" s="21">
        <f ca="1">IF('2.1 PnL'!AM$22&gt;='1.1 Control Panel'!$E979,1,0)</f>
        <v>1</v>
      </c>
      <c r="AN19" s="21">
        <f ca="1">IF('2.1 PnL'!AN$22&gt;='1.1 Control Panel'!$E979,1,0)</f>
        <v>1</v>
      </c>
      <c r="AP19" s="21"/>
    </row>
    <row r="20" spans="2:42" ht="11.5" customHeight="1" x14ac:dyDescent="0.25">
      <c r="C20" s="21" t="s">
        <v>943</v>
      </c>
      <c r="D20" s="38" t="s">
        <v>46</v>
      </c>
      <c r="E20" s="21">
        <f>IF('2.1 PnL'!E$22&gt;='1.1 Control Panel'!$E980,1,0)</f>
        <v>0</v>
      </c>
      <c r="F20" s="21">
        <f ca="1">IF('2.1 PnL'!F$22&gt;='1.1 Control Panel'!$E980,1,0)</f>
        <v>0</v>
      </c>
      <c r="G20" s="21">
        <f ca="1">IF('2.1 PnL'!G$22&gt;='1.1 Control Panel'!$E980,1,0)</f>
        <v>0</v>
      </c>
      <c r="H20" s="21">
        <f ca="1">IF('2.1 PnL'!H$22&gt;='1.1 Control Panel'!$E980,1,0)</f>
        <v>1</v>
      </c>
      <c r="I20" s="21">
        <f ca="1">IF('2.1 PnL'!I$22&gt;='1.1 Control Panel'!$E980,1,0)</f>
        <v>1</v>
      </c>
      <c r="J20" s="21">
        <f ca="1">IF('2.1 PnL'!J$22&gt;='1.1 Control Panel'!$E980,1,0)</f>
        <v>1</v>
      </c>
      <c r="K20" s="21">
        <f ca="1">IF('2.1 PnL'!K$22&gt;='1.1 Control Panel'!$E980,1,0)</f>
        <v>1</v>
      </c>
      <c r="L20" s="21">
        <f ca="1">IF('2.1 PnL'!L$22&gt;='1.1 Control Panel'!$E980,1,0)</f>
        <v>1</v>
      </c>
      <c r="M20" s="21">
        <f ca="1">IF('2.1 PnL'!M$22&gt;='1.1 Control Panel'!$E980,1,0)</f>
        <v>1</v>
      </c>
      <c r="N20" s="21">
        <f ca="1">IF('2.1 PnL'!N$22&gt;='1.1 Control Panel'!$E980,1,0)</f>
        <v>1</v>
      </c>
      <c r="O20" s="21">
        <f ca="1">IF('2.1 PnL'!O$22&gt;='1.1 Control Panel'!$E980,1,0)</f>
        <v>1</v>
      </c>
      <c r="P20" s="21">
        <f ca="1">IF('2.1 PnL'!P$22&gt;='1.1 Control Panel'!$E980,1,0)</f>
        <v>1</v>
      </c>
      <c r="Q20" s="21">
        <f ca="1">IF('2.1 PnL'!Q$22&gt;='1.1 Control Panel'!$E980,1,0)</f>
        <v>1</v>
      </c>
      <c r="R20" s="21">
        <f ca="1">IF('2.1 PnL'!R$22&gt;='1.1 Control Panel'!$E980,1,0)</f>
        <v>1</v>
      </c>
      <c r="S20" s="21">
        <f ca="1">IF('2.1 PnL'!S$22&gt;='1.1 Control Panel'!$E980,1,0)</f>
        <v>1</v>
      </c>
      <c r="T20" s="21">
        <f ca="1">IF('2.1 PnL'!T$22&gt;='1.1 Control Panel'!$E980,1,0)</f>
        <v>1</v>
      </c>
      <c r="U20" s="21">
        <f ca="1">IF('2.1 PnL'!U$22&gt;='1.1 Control Panel'!$E980,1,0)</f>
        <v>1</v>
      </c>
      <c r="V20" s="21">
        <f ca="1">IF('2.1 PnL'!V$22&gt;='1.1 Control Panel'!$E980,1,0)</f>
        <v>1</v>
      </c>
      <c r="W20" s="21">
        <f ca="1">IF('2.1 PnL'!W$22&gt;='1.1 Control Panel'!$E980,1,0)</f>
        <v>1</v>
      </c>
      <c r="X20" s="21">
        <f ca="1">IF('2.1 PnL'!X$22&gt;='1.1 Control Panel'!$E980,1,0)</f>
        <v>1</v>
      </c>
      <c r="Y20" s="21">
        <f ca="1">IF('2.1 PnL'!Y$22&gt;='1.1 Control Panel'!$E980,1,0)</f>
        <v>1</v>
      </c>
      <c r="Z20" s="21">
        <f ca="1">IF('2.1 PnL'!Z$22&gt;='1.1 Control Panel'!$E980,1,0)</f>
        <v>1</v>
      </c>
      <c r="AA20" s="21">
        <f ca="1">IF('2.1 PnL'!AA$22&gt;='1.1 Control Panel'!$E980,1,0)</f>
        <v>1</v>
      </c>
      <c r="AB20" s="21">
        <f ca="1">IF('2.1 PnL'!AB$22&gt;='1.1 Control Panel'!$E980,1,0)</f>
        <v>1</v>
      </c>
      <c r="AC20" s="21">
        <f ca="1">IF('2.1 PnL'!AC$22&gt;='1.1 Control Panel'!$E980,1,0)</f>
        <v>1</v>
      </c>
      <c r="AD20" s="21">
        <f ca="1">IF('2.1 PnL'!AD$22&gt;='1.1 Control Panel'!$E980,1,0)</f>
        <v>1</v>
      </c>
      <c r="AE20" s="21">
        <f ca="1">IF('2.1 PnL'!AE$22&gt;='1.1 Control Panel'!$E980,1,0)</f>
        <v>1</v>
      </c>
      <c r="AF20" s="21">
        <f ca="1">IF('2.1 PnL'!AF$22&gt;='1.1 Control Panel'!$E980,1,0)</f>
        <v>1</v>
      </c>
      <c r="AG20" s="21">
        <f ca="1">IF('2.1 PnL'!AG$22&gt;='1.1 Control Panel'!$E980,1,0)</f>
        <v>1</v>
      </c>
      <c r="AH20" s="21">
        <f ca="1">IF('2.1 PnL'!AH$22&gt;='1.1 Control Panel'!$E980,1,0)</f>
        <v>1</v>
      </c>
      <c r="AI20" s="21">
        <f ca="1">IF('2.1 PnL'!AI$22&gt;='1.1 Control Panel'!$E980,1,0)</f>
        <v>1</v>
      </c>
      <c r="AJ20" s="21">
        <f ca="1">IF('2.1 PnL'!AJ$22&gt;='1.1 Control Panel'!$E980,1,0)</f>
        <v>1</v>
      </c>
      <c r="AK20" s="21">
        <f ca="1">IF('2.1 PnL'!AK$22&gt;='1.1 Control Panel'!$E980,1,0)</f>
        <v>1</v>
      </c>
      <c r="AL20" s="21">
        <f ca="1">IF('2.1 PnL'!AL$22&gt;='1.1 Control Panel'!$E980,1,0)</f>
        <v>1</v>
      </c>
      <c r="AM20" s="21">
        <f ca="1">IF('2.1 PnL'!AM$22&gt;='1.1 Control Panel'!$E980,1,0)</f>
        <v>1</v>
      </c>
      <c r="AN20" s="21">
        <f ca="1">IF('2.1 PnL'!AN$22&gt;='1.1 Control Panel'!$E980,1,0)</f>
        <v>1</v>
      </c>
      <c r="AP20" s="21"/>
    </row>
    <row r="21" spans="2:42" ht="11.5" customHeight="1" x14ac:dyDescent="0.25">
      <c r="C21" s="21" t="s">
        <v>944</v>
      </c>
      <c r="D21" s="38" t="s">
        <v>46</v>
      </c>
      <c r="E21" s="21">
        <f>IF('2.1 PnL'!E$22&gt;='1.1 Control Panel'!$E981,1,0)</f>
        <v>0</v>
      </c>
      <c r="F21" s="21">
        <f ca="1">IF('2.1 PnL'!F$22&gt;='1.1 Control Panel'!$E981,1,0)</f>
        <v>0</v>
      </c>
      <c r="G21" s="21">
        <f ca="1">IF('2.1 PnL'!G$22&gt;='1.1 Control Panel'!$E981,1,0)</f>
        <v>0</v>
      </c>
      <c r="H21" s="21">
        <f ca="1">IF('2.1 PnL'!H$22&gt;='1.1 Control Panel'!$E981,1,0)</f>
        <v>0</v>
      </c>
      <c r="I21" s="21">
        <f ca="1">IF('2.1 PnL'!I$22&gt;='1.1 Control Panel'!$E981,1,0)</f>
        <v>0</v>
      </c>
      <c r="J21" s="21">
        <f ca="1">IF('2.1 PnL'!J$22&gt;='1.1 Control Panel'!$E981,1,0)</f>
        <v>0</v>
      </c>
      <c r="K21" s="21">
        <f ca="1">IF('2.1 PnL'!K$22&gt;='1.1 Control Panel'!$E981,1,0)</f>
        <v>0</v>
      </c>
      <c r="L21" s="21">
        <f ca="1">IF('2.1 PnL'!L$22&gt;='1.1 Control Panel'!$E981,1,0)</f>
        <v>1</v>
      </c>
      <c r="M21" s="21">
        <f ca="1">IF('2.1 PnL'!M$22&gt;='1.1 Control Panel'!$E981,1,0)</f>
        <v>1</v>
      </c>
      <c r="N21" s="21">
        <f ca="1">IF('2.1 PnL'!N$22&gt;='1.1 Control Panel'!$E981,1,0)</f>
        <v>1</v>
      </c>
      <c r="O21" s="21">
        <f ca="1">IF('2.1 PnL'!O$22&gt;='1.1 Control Panel'!$E981,1,0)</f>
        <v>1</v>
      </c>
      <c r="P21" s="21">
        <f ca="1">IF('2.1 PnL'!P$22&gt;='1.1 Control Panel'!$E981,1,0)</f>
        <v>1</v>
      </c>
      <c r="Q21" s="21">
        <f ca="1">IF('2.1 PnL'!Q$22&gt;='1.1 Control Panel'!$E981,1,0)</f>
        <v>1</v>
      </c>
      <c r="R21" s="21">
        <f ca="1">IF('2.1 PnL'!R$22&gt;='1.1 Control Panel'!$E981,1,0)</f>
        <v>1</v>
      </c>
      <c r="S21" s="21">
        <f ca="1">IF('2.1 PnL'!S$22&gt;='1.1 Control Panel'!$E981,1,0)</f>
        <v>1</v>
      </c>
      <c r="T21" s="21">
        <f ca="1">IF('2.1 PnL'!T$22&gt;='1.1 Control Panel'!$E981,1,0)</f>
        <v>1</v>
      </c>
      <c r="U21" s="21">
        <f ca="1">IF('2.1 PnL'!U$22&gt;='1.1 Control Panel'!$E981,1,0)</f>
        <v>1</v>
      </c>
      <c r="V21" s="21">
        <f ca="1">IF('2.1 PnL'!V$22&gt;='1.1 Control Panel'!$E981,1,0)</f>
        <v>1</v>
      </c>
      <c r="W21" s="21">
        <f ca="1">IF('2.1 PnL'!W$22&gt;='1.1 Control Panel'!$E981,1,0)</f>
        <v>1</v>
      </c>
      <c r="X21" s="21">
        <f ca="1">IF('2.1 PnL'!X$22&gt;='1.1 Control Panel'!$E981,1,0)</f>
        <v>1</v>
      </c>
      <c r="Y21" s="21">
        <f ca="1">IF('2.1 PnL'!Y$22&gt;='1.1 Control Panel'!$E981,1,0)</f>
        <v>1</v>
      </c>
      <c r="Z21" s="21">
        <f ca="1">IF('2.1 PnL'!Z$22&gt;='1.1 Control Panel'!$E981,1,0)</f>
        <v>1</v>
      </c>
      <c r="AA21" s="21">
        <f ca="1">IF('2.1 PnL'!AA$22&gt;='1.1 Control Panel'!$E981,1,0)</f>
        <v>1</v>
      </c>
      <c r="AB21" s="21">
        <f ca="1">IF('2.1 PnL'!AB$22&gt;='1.1 Control Panel'!$E981,1,0)</f>
        <v>1</v>
      </c>
      <c r="AC21" s="21">
        <f ca="1">IF('2.1 PnL'!AC$22&gt;='1.1 Control Panel'!$E981,1,0)</f>
        <v>1</v>
      </c>
      <c r="AD21" s="21">
        <f ca="1">IF('2.1 PnL'!AD$22&gt;='1.1 Control Panel'!$E981,1,0)</f>
        <v>1</v>
      </c>
      <c r="AE21" s="21">
        <f ca="1">IF('2.1 PnL'!AE$22&gt;='1.1 Control Panel'!$E981,1,0)</f>
        <v>1</v>
      </c>
      <c r="AF21" s="21">
        <f ca="1">IF('2.1 PnL'!AF$22&gt;='1.1 Control Panel'!$E981,1,0)</f>
        <v>1</v>
      </c>
      <c r="AG21" s="21">
        <f ca="1">IF('2.1 PnL'!AG$22&gt;='1.1 Control Panel'!$E981,1,0)</f>
        <v>1</v>
      </c>
      <c r="AH21" s="21">
        <f ca="1">IF('2.1 PnL'!AH$22&gt;='1.1 Control Panel'!$E981,1,0)</f>
        <v>1</v>
      </c>
      <c r="AI21" s="21">
        <f ca="1">IF('2.1 PnL'!AI$22&gt;='1.1 Control Panel'!$E981,1,0)</f>
        <v>1</v>
      </c>
      <c r="AJ21" s="21">
        <f ca="1">IF('2.1 PnL'!AJ$22&gt;='1.1 Control Panel'!$E981,1,0)</f>
        <v>1</v>
      </c>
      <c r="AK21" s="21">
        <f ca="1">IF('2.1 PnL'!AK$22&gt;='1.1 Control Panel'!$E981,1,0)</f>
        <v>1</v>
      </c>
      <c r="AL21" s="21">
        <f ca="1">IF('2.1 PnL'!AL$22&gt;='1.1 Control Panel'!$E981,1,0)</f>
        <v>1</v>
      </c>
      <c r="AM21" s="21">
        <f ca="1">IF('2.1 PnL'!AM$22&gt;='1.1 Control Panel'!$E981,1,0)</f>
        <v>1</v>
      </c>
      <c r="AN21" s="21">
        <f ca="1">IF('2.1 PnL'!AN$22&gt;='1.1 Control Panel'!$E981,1,0)</f>
        <v>1</v>
      </c>
      <c r="AP21" s="21"/>
    </row>
    <row r="22" spans="2:42" ht="11.5" customHeight="1" x14ac:dyDescent="0.25">
      <c r="C22" s="21" t="s">
        <v>945</v>
      </c>
      <c r="D22" s="38" t="s">
        <v>46</v>
      </c>
      <c r="E22" s="21">
        <f>IF('2.1 PnL'!E$22&gt;='1.1 Control Panel'!$E982,1,0)</f>
        <v>0</v>
      </c>
      <c r="F22" s="21">
        <f ca="1">IF('2.1 PnL'!F$22&gt;='1.1 Control Panel'!$E982,1,0)</f>
        <v>0</v>
      </c>
      <c r="G22" s="21">
        <f ca="1">IF('2.1 PnL'!G$22&gt;='1.1 Control Panel'!$E982,1,0)</f>
        <v>0</v>
      </c>
      <c r="H22" s="21">
        <f ca="1">IF('2.1 PnL'!H$22&gt;='1.1 Control Panel'!$E982,1,0)</f>
        <v>0</v>
      </c>
      <c r="I22" s="21">
        <f ca="1">IF('2.1 PnL'!I$22&gt;='1.1 Control Panel'!$E982,1,0)</f>
        <v>0</v>
      </c>
      <c r="J22" s="21">
        <f ca="1">IF('2.1 PnL'!J$22&gt;='1.1 Control Panel'!$E982,1,0)</f>
        <v>0</v>
      </c>
      <c r="K22" s="21">
        <f ca="1">IF('2.1 PnL'!K$22&gt;='1.1 Control Panel'!$E982,1,0)</f>
        <v>0</v>
      </c>
      <c r="L22" s="21">
        <f ca="1">IF('2.1 PnL'!L$22&gt;='1.1 Control Panel'!$E982,1,0)</f>
        <v>0</v>
      </c>
      <c r="M22" s="21">
        <f ca="1">IF('2.1 PnL'!M$22&gt;='1.1 Control Panel'!$E982,1,0)</f>
        <v>0</v>
      </c>
      <c r="N22" s="21">
        <f ca="1">IF('2.1 PnL'!N$22&gt;='1.1 Control Panel'!$E982,1,0)</f>
        <v>0</v>
      </c>
      <c r="O22" s="21">
        <f ca="1">IF('2.1 PnL'!O$22&gt;='1.1 Control Panel'!$E982,1,0)</f>
        <v>0</v>
      </c>
      <c r="P22" s="21">
        <f ca="1">IF('2.1 PnL'!P$22&gt;='1.1 Control Panel'!$E982,1,0)</f>
        <v>0</v>
      </c>
      <c r="Q22" s="21">
        <f ca="1">IF('2.1 PnL'!Q$22&gt;='1.1 Control Panel'!$E982,1,0)</f>
        <v>1</v>
      </c>
      <c r="R22" s="21">
        <f ca="1">IF('2.1 PnL'!R$22&gt;='1.1 Control Panel'!$E982,1,0)</f>
        <v>1</v>
      </c>
      <c r="S22" s="21">
        <f ca="1">IF('2.1 PnL'!S$22&gt;='1.1 Control Panel'!$E982,1,0)</f>
        <v>1</v>
      </c>
      <c r="T22" s="21">
        <f ca="1">IF('2.1 PnL'!T$22&gt;='1.1 Control Panel'!$E982,1,0)</f>
        <v>1</v>
      </c>
      <c r="U22" s="21">
        <f ca="1">IF('2.1 PnL'!U$22&gt;='1.1 Control Panel'!$E982,1,0)</f>
        <v>1</v>
      </c>
      <c r="V22" s="21">
        <f ca="1">IF('2.1 PnL'!V$22&gt;='1.1 Control Panel'!$E982,1,0)</f>
        <v>1</v>
      </c>
      <c r="W22" s="21">
        <f ca="1">IF('2.1 PnL'!W$22&gt;='1.1 Control Panel'!$E982,1,0)</f>
        <v>1</v>
      </c>
      <c r="X22" s="21">
        <f ca="1">IF('2.1 PnL'!X$22&gt;='1.1 Control Panel'!$E982,1,0)</f>
        <v>1</v>
      </c>
      <c r="Y22" s="21">
        <f ca="1">IF('2.1 PnL'!Y$22&gt;='1.1 Control Panel'!$E982,1,0)</f>
        <v>1</v>
      </c>
      <c r="Z22" s="21">
        <f ca="1">IF('2.1 PnL'!Z$22&gt;='1.1 Control Panel'!$E982,1,0)</f>
        <v>1</v>
      </c>
      <c r="AA22" s="21">
        <f ca="1">IF('2.1 PnL'!AA$22&gt;='1.1 Control Panel'!$E982,1,0)</f>
        <v>1</v>
      </c>
      <c r="AB22" s="21">
        <f ca="1">IF('2.1 PnL'!AB$22&gt;='1.1 Control Panel'!$E982,1,0)</f>
        <v>1</v>
      </c>
      <c r="AC22" s="21">
        <f ca="1">IF('2.1 PnL'!AC$22&gt;='1.1 Control Panel'!$E982,1,0)</f>
        <v>1</v>
      </c>
      <c r="AD22" s="21">
        <f ca="1">IF('2.1 PnL'!AD$22&gt;='1.1 Control Panel'!$E982,1,0)</f>
        <v>1</v>
      </c>
      <c r="AE22" s="21">
        <f ca="1">IF('2.1 PnL'!AE$22&gt;='1.1 Control Panel'!$E982,1,0)</f>
        <v>1</v>
      </c>
      <c r="AF22" s="21">
        <f ca="1">IF('2.1 PnL'!AF$22&gt;='1.1 Control Panel'!$E982,1,0)</f>
        <v>1</v>
      </c>
      <c r="AG22" s="21">
        <f ca="1">IF('2.1 PnL'!AG$22&gt;='1.1 Control Panel'!$E982,1,0)</f>
        <v>1</v>
      </c>
      <c r="AH22" s="21">
        <f ca="1">IF('2.1 PnL'!AH$22&gt;='1.1 Control Panel'!$E982,1,0)</f>
        <v>1</v>
      </c>
      <c r="AI22" s="21">
        <f ca="1">IF('2.1 PnL'!AI$22&gt;='1.1 Control Panel'!$E982,1,0)</f>
        <v>1</v>
      </c>
      <c r="AJ22" s="21">
        <f ca="1">IF('2.1 PnL'!AJ$22&gt;='1.1 Control Panel'!$E982,1,0)</f>
        <v>1</v>
      </c>
      <c r="AK22" s="21">
        <f ca="1">IF('2.1 PnL'!AK$22&gt;='1.1 Control Panel'!$E982,1,0)</f>
        <v>1</v>
      </c>
      <c r="AL22" s="21">
        <f ca="1">IF('2.1 PnL'!AL$22&gt;='1.1 Control Panel'!$E982,1,0)</f>
        <v>1</v>
      </c>
      <c r="AM22" s="21">
        <f ca="1">IF('2.1 PnL'!AM$22&gt;='1.1 Control Panel'!$E982,1,0)</f>
        <v>1</v>
      </c>
      <c r="AN22" s="21">
        <f ca="1">IF('2.1 PnL'!AN$22&gt;='1.1 Control Panel'!$E982,1,0)</f>
        <v>1</v>
      </c>
      <c r="AP22" s="21"/>
    </row>
    <row r="23" spans="2:42" ht="11.5" customHeight="1" x14ac:dyDescent="0.25">
      <c r="C23" s="21" t="s">
        <v>946</v>
      </c>
      <c r="D23" s="38" t="s">
        <v>46</v>
      </c>
      <c r="E23" s="21">
        <f>IF('2.1 PnL'!E$22&gt;='1.1 Control Panel'!$E983,1,0)</f>
        <v>0</v>
      </c>
      <c r="F23" s="21">
        <f ca="1">IF('2.1 PnL'!F$22&gt;='1.1 Control Panel'!$E983,1,0)</f>
        <v>0</v>
      </c>
      <c r="G23" s="21">
        <f ca="1">IF('2.1 PnL'!G$22&gt;='1.1 Control Panel'!$E983,1,0)</f>
        <v>0</v>
      </c>
      <c r="H23" s="21">
        <f ca="1">IF('2.1 PnL'!H$22&gt;='1.1 Control Panel'!$E983,1,0)</f>
        <v>0</v>
      </c>
      <c r="I23" s="21">
        <f ca="1">IF('2.1 PnL'!I$22&gt;='1.1 Control Panel'!$E983,1,0)</f>
        <v>0</v>
      </c>
      <c r="J23" s="21">
        <f ca="1">IF('2.1 PnL'!J$22&gt;='1.1 Control Panel'!$E983,1,0)</f>
        <v>0</v>
      </c>
      <c r="K23" s="21">
        <f ca="1">IF('2.1 PnL'!K$22&gt;='1.1 Control Panel'!$E983,1,0)</f>
        <v>0</v>
      </c>
      <c r="L23" s="21">
        <f ca="1">IF('2.1 PnL'!L$22&gt;='1.1 Control Panel'!$E983,1,0)</f>
        <v>0</v>
      </c>
      <c r="M23" s="21">
        <f ca="1">IF('2.1 PnL'!M$22&gt;='1.1 Control Panel'!$E983,1,0)</f>
        <v>0</v>
      </c>
      <c r="N23" s="21">
        <f ca="1">IF('2.1 PnL'!N$22&gt;='1.1 Control Panel'!$E983,1,0)</f>
        <v>0</v>
      </c>
      <c r="O23" s="21">
        <f ca="1">IF('2.1 PnL'!O$22&gt;='1.1 Control Panel'!$E983,1,0)</f>
        <v>0</v>
      </c>
      <c r="P23" s="21">
        <f ca="1">IF('2.1 PnL'!P$22&gt;='1.1 Control Panel'!$E983,1,0)</f>
        <v>0</v>
      </c>
      <c r="Q23" s="21">
        <f ca="1">IF('2.1 PnL'!Q$22&gt;='1.1 Control Panel'!$E983,1,0)</f>
        <v>0</v>
      </c>
      <c r="R23" s="21">
        <f ca="1">IF('2.1 PnL'!R$22&gt;='1.1 Control Panel'!$E983,1,0)</f>
        <v>0</v>
      </c>
      <c r="S23" s="21">
        <f ca="1">IF('2.1 PnL'!S$22&gt;='1.1 Control Panel'!$E983,1,0)</f>
        <v>0</v>
      </c>
      <c r="T23" s="21">
        <f ca="1">IF('2.1 PnL'!T$22&gt;='1.1 Control Panel'!$E983,1,0)</f>
        <v>0</v>
      </c>
      <c r="U23" s="21">
        <f ca="1">IF('2.1 PnL'!U$22&gt;='1.1 Control Panel'!$E983,1,0)</f>
        <v>0</v>
      </c>
      <c r="V23" s="21">
        <f ca="1">IF('2.1 PnL'!V$22&gt;='1.1 Control Panel'!$E983,1,0)</f>
        <v>0</v>
      </c>
      <c r="W23" s="21">
        <f ca="1">IF('2.1 PnL'!W$22&gt;='1.1 Control Panel'!$E983,1,0)</f>
        <v>0</v>
      </c>
      <c r="X23" s="21">
        <f ca="1">IF('2.1 PnL'!X$22&gt;='1.1 Control Panel'!$E983,1,0)</f>
        <v>0</v>
      </c>
      <c r="Y23" s="21">
        <f ca="1">IF('2.1 PnL'!Y$22&gt;='1.1 Control Panel'!$E983,1,0)</f>
        <v>1</v>
      </c>
      <c r="Z23" s="21">
        <f ca="1">IF('2.1 PnL'!Z$22&gt;='1.1 Control Panel'!$E983,1,0)</f>
        <v>1</v>
      </c>
      <c r="AA23" s="21">
        <f ca="1">IF('2.1 PnL'!AA$22&gt;='1.1 Control Panel'!$E983,1,0)</f>
        <v>1</v>
      </c>
      <c r="AB23" s="21">
        <f ca="1">IF('2.1 PnL'!AB$22&gt;='1.1 Control Panel'!$E983,1,0)</f>
        <v>1</v>
      </c>
      <c r="AC23" s="21">
        <f ca="1">IF('2.1 PnL'!AC$22&gt;='1.1 Control Panel'!$E983,1,0)</f>
        <v>1</v>
      </c>
      <c r="AD23" s="21">
        <f ca="1">IF('2.1 PnL'!AD$22&gt;='1.1 Control Panel'!$E983,1,0)</f>
        <v>1</v>
      </c>
      <c r="AE23" s="21">
        <f ca="1">IF('2.1 PnL'!AE$22&gt;='1.1 Control Panel'!$E983,1,0)</f>
        <v>1</v>
      </c>
      <c r="AF23" s="21">
        <f ca="1">IF('2.1 PnL'!AF$22&gt;='1.1 Control Panel'!$E983,1,0)</f>
        <v>1</v>
      </c>
      <c r="AG23" s="21">
        <f ca="1">IF('2.1 PnL'!AG$22&gt;='1.1 Control Panel'!$E983,1,0)</f>
        <v>1</v>
      </c>
      <c r="AH23" s="21">
        <f ca="1">IF('2.1 PnL'!AH$22&gt;='1.1 Control Panel'!$E983,1,0)</f>
        <v>1</v>
      </c>
      <c r="AI23" s="21">
        <f ca="1">IF('2.1 PnL'!AI$22&gt;='1.1 Control Panel'!$E983,1,0)</f>
        <v>1</v>
      </c>
      <c r="AJ23" s="21">
        <f ca="1">IF('2.1 PnL'!AJ$22&gt;='1.1 Control Panel'!$E983,1,0)</f>
        <v>1</v>
      </c>
      <c r="AK23" s="21">
        <f ca="1">IF('2.1 PnL'!AK$22&gt;='1.1 Control Panel'!$E983,1,0)</f>
        <v>1</v>
      </c>
      <c r="AL23" s="21">
        <f ca="1">IF('2.1 PnL'!AL$22&gt;='1.1 Control Panel'!$E983,1,0)</f>
        <v>1</v>
      </c>
      <c r="AM23" s="21">
        <f ca="1">IF('2.1 PnL'!AM$22&gt;='1.1 Control Panel'!$E983,1,0)</f>
        <v>1</v>
      </c>
      <c r="AN23" s="21">
        <f ca="1">IF('2.1 PnL'!AN$22&gt;='1.1 Control Panel'!$E983,1,0)</f>
        <v>1</v>
      </c>
      <c r="AP23" s="21"/>
    </row>
    <row r="24" spans="2:42" ht="11.5" customHeight="1" x14ac:dyDescent="0.25">
      <c r="C24" s="21" t="s">
        <v>947</v>
      </c>
      <c r="D24" s="38" t="s">
        <v>46</v>
      </c>
      <c r="E24" s="21">
        <f>IF('2.1 PnL'!E$22&gt;='1.1 Control Panel'!$E984,1,0)</f>
        <v>0</v>
      </c>
      <c r="F24" s="21">
        <f ca="1">IF('2.1 PnL'!F$22&gt;='1.1 Control Panel'!$E984,1,0)</f>
        <v>0</v>
      </c>
      <c r="G24" s="21">
        <f ca="1">IF('2.1 PnL'!G$22&gt;='1.1 Control Panel'!$E984,1,0)</f>
        <v>0</v>
      </c>
      <c r="H24" s="21">
        <f ca="1">IF('2.1 PnL'!H$22&gt;='1.1 Control Panel'!$E984,1,0)</f>
        <v>0</v>
      </c>
      <c r="I24" s="21">
        <f ca="1">IF('2.1 PnL'!I$22&gt;='1.1 Control Panel'!$E984,1,0)</f>
        <v>0</v>
      </c>
      <c r="J24" s="21">
        <f ca="1">IF('2.1 PnL'!J$22&gt;='1.1 Control Panel'!$E984,1,0)</f>
        <v>0</v>
      </c>
      <c r="K24" s="21">
        <f ca="1">IF('2.1 PnL'!K$22&gt;='1.1 Control Panel'!$E984,1,0)</f>
        <v>0</v>
      </c>
      <c r="L24" s="21">
        <f ca="1">IF('2.1 PnL'!L$22&gt;='1.1 Control Panel'!$E984,1,0)</f>
        <v>0</v>
      </c>
      <c r="M24" s="21">
        <f ca="1">IF('2.1 PnL'!M$22&gt;='1.1 Control Panel'!$E984,1,0)</f>
        <v>0</v>
      </c>
      <c r="N24" s="21">
        <f ca="1">IF('2.1 PnL'!N$22&gt;='1.1 Control Panel'!$E984,1,0)</f>
        <v>0</v>
      </c>
      <c r="O24" s="21">
        <f ca="1">IF('2.1 PnL'!O$22&gt;='1.1 Control Panel'!$E984,1,0)</f>
        <v>0</v>
      </c>
      <c r="P24" s="21">
        <f ca="1">IF('2.1 PnL'!P$22&gt;='1.1 Control Panel'!$E984,1,0)</f>
        <v>0</v>
      </c>
      <c r="Q24" s="21">
        <f ca="1">IF('2.1 PnL'!Q$22&gt;='1.1 Control Panel'!$E984,1,0)</f>
        <v>0</v>
      </c>
      <c r="R24" s="21">
        <f ca="1">IF('2.1 PnL'!R$22&gt;='1.1 Control Panel'!$E984,1,0)</f>
        <v>0</v>
      </c>
      <c r="S24" s="21">
        <f ca="1">IF('2.1 PnL'!S$22&gt;='1.1 Control Panel'!$E984,1,0)</f>
        <v>0</v>
      </c>
      <c r="T24" s="21">
        <f ca="1">IF('2.1 PnL'!T$22&gt;='1.1 Control Panel'!$E984,1,0)</f>
        <v>0</v>
      </c>
      <c r="U24" s="21">
        <f ca="1">IF('2.1 PnL'!U$22&gt;='1.1 Control Panel'!$E984,1,0)</f>
        <v>0</v>
      </c>
      <c r="V24" s="21">
        <f ca="1">IF('2.1 PnL'!V$22&gt;='1.1 Control Panel'!$E984,1,0)</f>
        <v>0</v>
      </c>
      <c r="W24" s="21">
        <f ca="1">IF('2.1 PnL'!W$22&gt;='1.1 Control Panel'!$E984,1,0)</f>
        <v>0</v>
      </c>
      <c r="X24" s="21">
        <f ca="1">IF('2.1 PnL'!X$22&gt;='1.1 Control Panel'!$E984,1,0)</f>
        <v>0</v>
      </c>
      <c r="Y24" s="21">
        <f ca="1">IF('2.1 PnL'!Y$22&gt;='1.1 Control Panel'!$E984,1,0)</f>
        <v>0</v>
      </c>
      <c r="Z24" s="21">
        <f ca="1">IF('2.1 PnL'!Z$22&gt;='1.1 Control Panel'!$E984,1,0)</f>
        <v>0</v>
      </c>
      <c r="AA24" s="21">
        <f ca="1">IF('2.1 PnL'!AA$22&gt;='1.1 Control Panel'!$E984,1,0)</f>
        <v>0</v>
      </c>
      <c r="AB24" s="21">
        <f ca="1">IF('2.1 PnL'!AB$22&gt;='1.1 Control Panel'!$E984,1,0)</f>
        <v>0</v>
      </c>
      <c r="AC24" s="21">
        <f ca="1">IF('2.1 PnL'!AC$22&gt;='1.1 Control Panel'!$E984,1,0)</f>
        <v>0</v>
      </c>
      <c r="AD24" s="21">
        <f ca="1">IF('2.1 PnL'!AD$22&gt;='1.1 Control Panel'!$E984,1,0)</f>
        <v>0</v>
      </c>
      <c r="AE24" s="21">
        <f ca="1">IF('2.1 PnL'!AE$22&gt;='1.1 Control Panel'!$E984,1,0)</f>
        <v>0</v>
      </c>
      <c r="AF24" s="21">
        <f ca="1">IF('2.1 PnL'!AF$22&gt;='1.1 Control Panel'!$E984,1,0)</f>
        <v>0</v>
      </c>
      <c r="AG24" s="21">
        <f ca="1">IF('2.1 PnL'!AG$22&gt;='1.1 Control Panel'!$E984,1,0)</f>
        <v>0</v>
      </c>
      <c r="AH24" s="21">
        <f ca="1">IF('2.1 PnL'!AH$22&gt;='1.1 Control Panel'!$E984,1,0)</f>
        <v>1</v>
      </c>
      <c r="AI24" s="21">
        <f ca="1">IF('2.1 PnL'!AI$22&gt;='1.1 Control Panel'!$E984,1,0)</f>
        <v>1</v>
      </c>
      <c r="AJ24" s="21">
        <f ca="1">IF('2.1 PnL'!AJ$22&gt;='1.1 Control Panel'!$E984,1,0)</f>
        <v>1</v>
      </c>
      <c r="AK24" s="21">
        <f ca="1">IF('2.1 PnL'!AK$22&gt;='1.1 Control Panel'!$E984,1,0)</f>
        <v>1</v>
      </c>
      <c r="AL24" s="21">
        <f ca="1">IF('2.1 PnL'!AL$22&gt;='1.1 Control Panel'!$E984,1,0)</f>
        <v>1</v>
      </c>
      <c r="AM24" s="21">
        <f ca="1">IF('2.1 PnL'!AM$22&gt;='1.1 Control Panel'!$E984,1,0)</f>
        <v>1</v>
      </c>
      <c r="AN24" s="21">
        <f ca="1">IF('2.1 PnL'!AN$22&gt;='1.1 Control Panel'!$E984,1,0)</f>
        <v>1</v>
      </c>
      <c r="AP24" s="21"/>
    </row>
    <row r="25" spans="2:42" ht="11.5" customHeight="1" x14ac:dyDescent="0.25">
      <c r="C25" s="22" t="s">
        <v>948</v>
      </c>
      <c r="D25" s="96" t="s">
        <v>46</v>
      </c>
      <c r="E25" s="22">
        <f>IF('2.1 PnL'!E$22&gt;='1.1 Control Panel'!$E985,1,0)</f>
        <v>0</v>
      </c>
      <c r="F25" s="22">
        <f ca="1">IF('2.1 PnL'!F$22&gt;='1.1 Control Panel'!$E985,1,0)</f>
        <v>0</v>
      </c>
      <c r="G25" s="22">
        <f ca="1">IF('2.1 PnL'!G$22&gt;='1.1 Control Panel'!$E985,1,0)</f>
        <v>0</v>
      </c>
      <c r="H25" s="22">
        <f ca="1">IF('2.1 PnL'!H$22&gt;='1.1 Control Panel'!$E985,1,0)</f>
        <v>0</v>
      </c>
      <c r="I25" s="22">
        <f ca="1">IF('2.1 PnL'!I$22&gt;='1.1 Control Panel'!$E985,1,0)</f>
        <v>0</v>
      </c>
      <c r="J25" s="22">
        <f ca="1">IF('2.1 PnL'!J$22&gt;='1.1 Control Panel'!$E985,1,0)</f>
        <v>0</v>
      </c>
      <c r="K25" s="22">
        <f ca="1">IF('2.1 PnL'!K$22&gt;='1.1 Control Panel'!$E985,1,0)</f>
        <v>0</v>
      </c>
      <c r="L25" s="22">
        <f ca="1">IF('2.1 PnL'!L$22&gt;='1.1 Control Panel'!$E985,1,0)</f>
        <v>0</v>
      </c>
      <c r="M25" s="22">
        <f ca="1">IF('2.1 PnL'!M$22&gt;='1.1 Control Panel'!$E985,1,0)</f>
        <v>0</v>
      </c>
      <c r="N25" s="22">
        <f ca="1">IF('2.1 PnL'!N$22&gt;='1.1 Control Panel'!$E985,1,0)</f>
        <v>0</v>
      </c>
      <c r="O25" s="22">
        <f ca="1">IF('2.1 PnL'!O$22&gt;='1.1 Control Panel'!$E985,1,0)</f>
        <v>0</v>
      </c>
      <c r="P25" s="22">
        <f ca="1">IF('2.1 PnL'!P$22&gt;='1.1 Control Panel'!$E985,1,0)</f>
        <v>0</v>
      </c>
      <c r="Q25" s="22">
        <f ca="1">IF('2.1 PnL'!Q$22&gt;='1.1 Control Panel'!$E985,1,0)</f>
        <v>0</v>
      </c>
      <c r="R25" s="22">
        <f ca="1">IF('2.1 PnL'!R$22&gt;='1.1 Control Panel'!$E985,1,0)</f>
        <v>0</v>
      </c>
      <c r="S25" s="22">
        <f ca="1">IF('2.1 PnL'!S$22&gt;='1.1 Control Panel'!$E985,1,0)</f>
        <v>0</v>
      </c>
      <c r="T25" s="22">
        <f ca="1">IF('2.1 PnL'!T$22&gt;='1.1 Control Panel'!$E985,1,0)</f>
        <v>0</v>
      </c>
      <c r="U25" s="22">
        <f ca="1">IF('2.1 PnL'!U$22&gt;='1.1 Control Panel'!$E985,1,0)</f>
        <v>0</v>
      </c>
      <c r="V25" s="22">
        <f ca="1">IF('2.1 PnL'!V$22&gt;='1.1 Control Panel'!$E985,1,0)</f>
        <v>0</v>
      </c>
      <c r="W25" s="22">
        <f ca="1">IF('2.1 PnL'!W$22&gt;='1.1 Control Panel'!$E985,1,0)</f>
        <v>0</v>
      </c>
      <c r="X25" s="22">
        <f ca="1">IF('2.1 PnL'!X$22&gt;='1.1 Control Panel'!$E985,1,0)</f>
        <v>0</v>
      </c>
      <c r="Y25" s="22">
        <f ca="1">IF('2.1 PnL'!Y$22&gt;='1.1 Control Panel'!$E985,1,0)</f>
        <v>0</v>
      </c>
      <c r="Z25" s="22">
        <f ca="1">IF('2.1 PnL'!Z$22&gt;='1.1 Control Panel'!$E985,1,0)</f>
        <v>0</v>
      </c>
      <c r="AA25" s="22">
        <f ca="1">IF('2.1 PnL'!AA$22&gt;='1.1 Control Panel'!$E985,1,0)</f>
        <v>0</v>
      </c>
      <c r="AB25" s="22">
        <f ca="1">IF('2.1 PnL'!AB$22&gt;='1.1 Control Panel'!$E985,1,0)</f>
        <v>0</v>
      </c>
      <c r="AC25" s="22">
        <f ca="1">IF('2.1 PnL'!AC$22&gt;='1.1 Control Panel'!$E985,1,0)</f>
        <v>0</v>
      </c>
      <c r="AD25" s="22">
        <f ca="1">IF('2.1 PnL'!AD$22&gt;='1.1 Control Panel'!$E985,1,0)</f>
        <v>0</v>
      </c>
      <c r="AE25" s="22">
        <f ca="1">IF('2.1 PnL'!AE$22&gt;='1.1 Control Panel'!$E985,1,0)</f>
        <v>0</v>
      </c>
      <c r="AF25" s="22">
        <f ca="1">IF('2.1 PnL'!AF$22&gt;='1.1 Control Panel'!$E985,1,0)</f>
        <v>0</v>
      </c>
      <c r="AG25" s="22">
        <f ca="1">IF('2.1 PnL'!AG$22&gt;='1.1 Control Panel'!$E985,1,0)</f>
        <v>0</v>
      </c>
      <c r="AH25" s="22">
        <f ca="1">IF('2.1 PnL'!AH$22&gt;='1.1 Control Panel'!$E985,1,0)</f>
        <v>0</v>
      </c>
      <c r="AI25" s="22">
        <f ca="1">IF('2.1 PnL'!AI$22&gt;='1.1 Control Panel'!$E985,1,0)</f>
        <v>0</v>
      </c>
      <c r="AJ25" s="22">
        <f ca="1">IF('2.1 PnL'!AJ$22&gt;='1.1 Control Panel'!$E985,1,0)</f>
        <v>0</v>
      </c>
      <c r="AK25" s="22">
        <f ca="1">IF('2.1 PnL'!AK$22&gt;='1.1 Control Panel'!$E985,1,0)</f>
        <v>0</v>
      </c>
      <c r="AL25" s="22">
        <f ca="1">IF('2.1 PnL'!AL$22&gt;='1.1 Control Panel'!$E985,1,0)</f>
        <v>0</v>
      </c>
      <c r="AM25" s="22">
        <f ca="1">IF('2.1 PnL'!AM$22&gt;='1.1 Control Panel'!$E985,1,0)</f>
        <v>0</v>
      </c>
      <c r="AN25" s="22">
        <f ca="1">IF('2.1 PnL'!AN$22&gt;='1.1 Control Panel'!$E985,1,0)</f>
        <v>1</v>
      </c>
      <c r="AP25" s="22"/>
    </row>
    <row r="26" spans="2:42" ht="3" customHeight="1" x14ac:dyDescent="0.25">
      <c r="D26" s="236"/>
    </row>
    <row r="27" spans="2:42" ht="11.5" customHeight="1" x14ac:dyDescent="0.25">
      <c r="B27" s="6" t="s">
        <v>0</v>
      </c>
      <c r="C27" s="10" t="s">
        <v>949</v>
      </c>
      <c r="D27" s="29" t="s">
        <v>14</v>
      </c>
      <c r="E27" s="252">
        <v>45688</v>
      </c>
      <c r="F27" s="252">
        <v>45716</v>
      </c>
      <c r="G27" s="252">
        <v>45747</v>
      </c>
      <c r="H27" s="252">
        <v>45777</v>
      </c>
      <c r="I27" s="252">
        <v>45808</v>
      </c>
      <c r="J27" s="252">
        <v>45838</v>
      </c>
      <c r="K27" s="252">
        <v>45869</v>
      </c>
      <c r="L27" s="252">
        <v>45900</v>
      </c>
      <c r="M27" s="252">
        <v>45930</v>
      </c>
      <c r="N27" s="252">
        <v>45961</v>
      </c>
      <c r="O27" s="252">
        <v>45991</v>
      </c>
      <c r="P27" s="252">
        <v>46022</v>
      </c>
      <c r="Q27" s="252"/>
      <c r="R27" s="252">
        <f t="shared" ref="R27" si="25">F27+365.25</f>
        <v>46081.25</v>
      </c>
      <c r="S27" s="252">
        <f t="shared" ref="S27" si="26">G27+365.25</f>
        <v>46112.25</v>
      </c>
      <c r="T27" s="252">
        <f t="shared" ref="T27" si="27">H27+365.25</f>
        <v>46142.25</v>
      </c>
      <c r="U27" s="252">
        <f t="shared" ref="U27" si="28">I27+365.25</f>
        <v>46173.25</v>
      </c>
      <c r="V27" s="252">
        <f t="shared" ref="V27" si="29">J27+365.25</f>
        <v>46203.25</v>
      </c>
      <c r="W27" s="252">
        <f t="shared" ref="W27" si="30">K27+365.25</f>
        <v>46234.25</v>
      </c>
      <c r="X27" s="252">
        <f t="shared" ref="X27" si="31">L27+365.25</f>
        <v>46265.25</v>
      </c>
      <c r="Y27" s="252">
        <f t="shared" ref="Y27" si="32">M27+365.25</f>
        <v>46295.25</v>
      </c>
      <c r="Z27" s="252">
        <f t="shared" ref="Z27" si="33">N27+365.25</f>
        <v>46326.25</v>
      </c>
      <c r="AA27" s="252">
        <f t="shared" ref="AA27" si="34">O27+365.25</f>
        <v>46356.25</v>
      </c>
      <c r="AB27" s="252">
        <f t="shared" ref="AB27" si="35">P27+365.25</f>
        <v>46387.25</v>
      </c>
      <c r="AC27" s="252" t="e">
        <f>#REF!+365.25</f>
        <v>#REF!</v>
      </c>
      <c r="AD27" s="252">
        <f t="shared" ref="AD27" si="36">R27+365.25</f>
        <v>46446.5</v>
      </c>
      <c r="AE27" s="252">
        <f t="shared" ref="AE27" si="37">S27+365.25</f>
        <v>46477.5</v>
      </c>
      <c r="AF27" s="252">
        <f t="shared" ref="AF27" si="38">T27+365.25</f>
        <v>46507.5</v>
      </c>
      <c r="AG27" s="252">
        <f t="shared" ref="AG27" si="39">U27+365.25</f>
        <v>46538.5</v>
      </c>
      <c r="AH27" s="252">
        <f t="shared" ref="AH27" si="40">V27+365.25</f>
        <v>46568.5</v>
      </c>
      <c r="AI27" s="252">
        <f t="shared" ref="AI27" si="41">W27+365.25</f>
        <v>46599.5</v>
      </c>
      <c r="AJ27" s="252">
        <f t="shared" ref="AJ27" si="42">X27+365.25</f>
        <v>46630.5</v>
      </c>
      <c r="AK27" s="252">
        <f t="shared" ref="AK27" si="43">Y27+365.25</f>
        <v>46660.5</v>
      </c>
      <c r="AL27" s="252">
        <f t="shared" ref="AL27" si="44">Z27+365.25</f>
        <v>46691.5</v>
      </c>
      <c r="AM27" s="252">
        <f t="shared" ref="AM27" si="45">AA27+365.25</f>
        <v>46721.5</v>
      </c>
      <c r="AN27" s="252">
        <f t="shared" ref="AN27" si="46">AB27+365.25</f>
        <v>46752.5</v>
      </c>
      <c r="AO27" s="74"/>
      <c r="AP27" s="100" t="s">
        <v>45</v>
      </c>
    </row>
    <row r="28" spans="2:42" ht="11.5" customHeight="1" x14ac:dyDescent="0.25">
      <c r="C28" s="20" t="s">
        <v>953</v>
      </c>
      <c r="D28" s="34" t="s">
        <v>29</v>
      </c>
      <c r="E28" s="384">
        <f>1-SUM(E29:E36)</f>
        <v>0.85</v>
      </c>
      <c r="F28" s="384">
        <f ca="1">E28-SUM(F29:F36)</f>
        <v>0.85</v>
      </c>
      <c r="G28" s="384">
        <f t="shared" ref="G28:AN28" ca="1" si="47">F28-SUM(G29:G36)</f>
        <v>0.85</v>
      </c>
      <c r="H28" s="384">
        <f t="shared" ca="1" si="47"/>
        <v>0.64999999999999991</v>
      </c>
      <c r="I28" s="384">
        <f t="shared" ca="1" si="47"/>
        <v>0.64999999999999991</v>
      </c>
      <c r="J28" s="384">
        <f t="shared" ca="1" si="47"/>
        <v>0.64999999999999991</v>
      </c>
      <c r="K28" s="384">
        <f t="shared" ca="1" si="47"/>
        <v>0.64999999999999991</v>
      </c>
      <c r="L28" s="384">
        <f t="shared" ca="1" si="47"/>
        <v>0.54999999999999993</v>
      </c>
      <c r="M28" s="384">
        <f t="shared" ca="1" si="47"/>
        <v>0.54999999999999993</v>
      </c>
      <c r="N28" s="384">
        <f t="shared" ca="1" si="47"/>
        <v>0.54999999999999993</v>
      </c>
      <c r="O28" s="384">
        <f t="shared" ca="1" si="47"/>
        <v>0.54999999999999993</v>
      </c>
      <c r="P28" s="384">
        <f t="shared" ca="1" si="47"/>
        <v>0.54999999999999993</v>
      </c>
      <c r="Q28" s="384">
        <f t="shared" ca="1" si="47"/>
        <v>0.47999999999999993</v>
      </c>
      <c r="R28" s="384">
        <f t="shared" ca="1" si="47"/>
        <v>0.47999999999999993</v>
      </c>
      <c r="S28" s="384">
        <f t="shared" ca="1" si="47"/>
        <v>0.47999999999999993</v>
      </c>
      <c r="T28" s="384">
        <f t="shared" ca="1" si="47"/>
        <v>0.47999999999999993</v>
      </c>
      <c r="U28" s="384">
        <f t="shared" ca="1" si="47"/>
        <v>0.47999999999999993</v>
      </c>
      <c r="V28" s="384">
        <f t="shared" ca="1" si="47"/>
        <v>0.47999999999999993</v>
      </c>
      <c r="W28" s="384">
        <f t="shared" ca="1" si="47"/>
        <v>0.47999999999999993</v>
      </c>
      <c r="X28" s="384">
        <f t="shared" ca="1" si="47"/>
        <v>0.47999999999999993</v>
      </c>
      <c r="Y28" s="384">
        <f t="shared" ca="1" si="47"/>
        <v>0.42999999999999994</v>
      </c>
      <c r="Z28" s="384">
        <f t="shared" ca="1" si="47"/>
        <v>0.42999999999999994</v>
      </c>
      <c r="AA28" s="384">
        <f t="shared" ca="1" si="47"/>
        <v>0.42999999999999994</v>
      </c>
      <c r="AB28" s="384">
        <f t="shared" ca="1" si="47"/>
        <v>0.42999999999999994</v>
      </c>
      <c r="AC28" s="384">
        <f t="shared" ca="1" si="47"/>
        <v>0.42999999999999994</v>
      </c>
      <c r="AD28" s="384">
        <f t="shared" ca="1" si="47"/>
        <v>0.42999999999999994</v>
      </c>
      <c r="AE28" s="384">
        <f t="shared" ca="1" si="47"/>
        <v>0.42999999999999994</v>
      </c>
      <c r="AF28" s="384">
        <f t="shared" ca="1" si="47"/>
        <v>0.42999999999999994</v>
      </c>
      <c r="AG28" s="384">
        <f t="shared" ca="1" si="47"/>
        <v>0.42999999999999994</v>
      </c>
      <c r="AH28" s="384">
        <f t="shared" ca="1" si="47"/>
        <v>0.37999999999999995</v>
      </c>
      <c r="AI28" s="384">
        <f t="shared" ca="1" si="47"/>
        <v>0.37999999999999995</v>
      </c>
      <c r="AJ28" s="384">
        <f t="shared" ca="1" si="47"/>
        <v>0.37999999999999995</v>
      </c>
      <c r="AK28" s="384">
        <f t="shared" ca="1" si="47"/>
        <v>0.37999999999999995</v>
      </c>
      <c r="AL28" s="384">
        <f t="shared" ca="1" si="47"/>
        <v>0.37999999999999995</v>
      </c>
      <c r="AM28" s="384">
        <f t="shared" ca="1" si="47"/>
        <v>0.37999999999999995</v>
      </c>
      <c r="AN28" s="384">
        <f t="shared" ca="1" si="47"/>
        <v>0.32999999999999996</v>
      </c>
      <c r="AP28" s="20"/>
    </row>
    <row r="29" spans="2:42" ht="11.5" customHeight="1" x14ac:dyDescent="0.25">
      <c r="C29" s="376" t="s">
        <v>941</v>
      </c>
      <c r="D29" s="38" t="s">
        <v>29</v>
      </c>
      <c r="E29" s="385">
        <f>IF(SUM($E18:E18)=1,'1.1 Control Panel'!$E987,0)</f>
        <v>0</v>
      </c>
      <c r="F29" s="385">
        <f ca="1">IF(SUM($E18:F18)=1,'1.1 Control Panel'!$E987,0)</f>
        <v>0</v>
      </c>
      <c r="G29" s="385">
        <f ca="1">IF(SUM($E18:G18)=1,'1.1 Control Panel'!$E987,0)</f>
        <v>0</v>
      </c>
      <c r="H29" s="385">
        <f ca="1">IF(SUM($E18:H18)=1,'1.1 Control Panel'!$E987,0)</f>
        <v>0</v>
      </c>
      <c r="I29" s="385">
        <f ca="1">IF(SUM($E18:I18)=1,'1.1 Control Panel'!$E987,0)</f>
        <v>0</v>
      </c>
      <c r="J29" s="385">
        <f ca="1">IF(SUM($E18:J18)=1,'1.1 Control Panel'!$E987,0)</f>
        <v>0</v>
      </c>
      <c r="K29" s="385">
        <f ca="1">IF(SUM($E18:K18)=1,'1.1 Control Panel'!$E987,0)</f>
        <v>0</v>
      </c>
      <c r="L29" s="385">
        <f ca="1">IF(SUM($E18:L18)=1,'1.1 Control Panel'!$E987,0)</f>
        <v>0</v>
      </c>
      <c r="M29" s="385">
        <f ca="1">IF(SUM($E18:M18)=1,'1.1 Control Panel'!$E987,0)</f>
        <v>0</v>
      </c>
      <c r="N29" s="385">
        <f ca="1">IF(SUM($E18:N18)=1,'1.1 Control Panel'!$E987,0)</f>
        <v>0</v>
      </c>
      <c r="O29" s="385">
        <f ca="1">IF(SUM($E18:O18)=1,'1.1 Control Panel'!$E987,0)</f>
        <v>0</v>
      </c>
      <c r="P29" s="385">
        <f ca="1">IF(SUM($E18:P18)=1,'1.1 Control Panel'!$E987,0)</f>
        <v>0</v>
      </c>
      <c r="Q29" s="385">
        <f ca="1">IF(SUM($E18:Q18)=1,'1.1 Control Panel'!$E987,0)</f>
        <v>0</v>
      </c>
      <c r="R29" s="385">
        <f ca="1">IF(SUM($E18:R18)=1,'1.1 Control Panel'!$E987,0)</f>
        <v>0</v>
      </c>
      <c r="S29" s="385">
        <f ca="1">IF(SUM($E18:S18)=1,'1.1 Control Panel'!$E987,0)</f>
        <v>0</v>
      </c>
      <c r="T29" s="385">
        <f ca="1">IF(SUM($E18:T18)=1,'1.1 Control Panel'!$E987,0)</f>
        <v>0</v>
      </c>
      <c r="U29" s="385">
        <f ca="1">IF(SUM($E18:U18)=1,'1.1 Control Panel'!$E987,0)</f>
        <v>0</v>
      </c>
      <c r="V29" s="385">
        <f ca="1">IF(SUM($E18:V18)=1,'1.1 Control Panel'!$E987,0)</f>
        <v>0</v>
      </c>
      <c r="W29" s="385">
        <f ca="1">IF(SUM($E18:W18)=1,'1.1 Control Panel'!$E987,0)</f>
        <v>0</v>
      </c>
      <c r="X29" s="385">
        <f ca="1">IF(SUM($E18:X18)=1,'1.1 Control Panel'!$E987,0)</f>
        <v>0</v>
      </c>
      <c r="Y29" s="385">
        <f ca="1">IF(SUM($E18:Y18)=1,'1.1 Control Panel'!$E987,0)</f>
        <v>0</v>
      </c>
      <c r="Z29" s="385">
        <f ca="1">IF(SUM($E18:Z18)=1,'1.1 Control Panel'!$E987,0)</f>
        <v>0</v>
      </c>
      <c r="AA29" s="385">
        <f ca="1">IF(SUM($E18:AA18)=1,'1.1 Control Panel'!$E987,0)</f>
        <v>0</v>
      </c>
      <c r="AB29" s="385">
        <f ca="1">IF(SUM($E18:AB18)=1,'1.1 Control Panel'!$E987,0)</f>
        <v>0</v>
      </c>
      <c r="AC29" s="385">
        <f ca="1">IF(SUM($E18:AC18)=1,'1.1 Control Panel'!$E987,0)</f>
        <v>0</v>
      </c>
      <c r="AD29" s="385">
        <f ca="1">IF(SUM($E18:AD18)=1,'1.1 Control Panel'!$E987,0)</f>
        <v>0</v>
      </c>
      <c r="AE29" s="385">
        <f ca="1">IF(SUM($E18:AE18)=1,'1.1 Control Panel'!$E987,0)</f>
        <v>0</v>
      </c>
      <c r="AF29" s="385">
        <f ca="1">IF(SUM($E18:AF18)=1,'1.1 Control Panel'!$E987,0)</f>
        <v>0</v>
      </c>
      <c r="AG29" s="385">
        <f ca="1">IF(SUM($E18:AG18)=1,'1.1 Control Panel'!$E987,0)</f>
        <v>0</v>
      </c>
      <c r="AH29" s="385">
        <f ca="1">IF(SUM($E18:AH18)=1,'1.1 Control Panel'!$E987,0)</f>
        <v>0</v>
      </c>
      <c r="AI29" s="385">
        <f ca="1">IF(SUM($E18:AI18)=1,'1.1 Control Panel'!$E987,0)</f>
        <v>0</v>
      </c>
      <c r="AJ29" s="385">
        <f ca="1">IF(SUM($E18:AJ18)=1,'1.1 Control Panel'!$E987,0)</f>
        <v>0</v>
      </c>
      <c r="AK29" s="385">
        <f ca="1">IF(SUM($E18:AK18)=1,'1.1 Control Panel'!$E987,0)</f>
        <v>0</v>
      </c>
      <c r="AL29" s="385">
        <f ca="1">IF(SUM($E18:AL18)=1,'1.1 Control Panel'!$E987,0)</f>
        <v>0</v>
      </c>
      <c r="AM29" s="385">
        <f ca="1">IF(SUM($E18:AM18)=1,'1.1 Control Panel'!$E987,0)</f>
        <v>0</v>
      </c>
      <c r="AN29" s="385">
        <f ca="1">IF(SUM($E18:AN18)=1,'1.1 Control Panel'!$E987,0)</f>
        <v>0</v>
      </c>
      <c r="AP29" s="21"/>
    </row>
    <row r="30" spans="2:42" ht="11.5" customHeight="1" x14ac:dyDescent="0.25">
      <c r="C30" s="21" t="s">
        <v>942</v>
      </c>
      <c r="D30" s="38" t="s">
        <v>29</v>
      </c>
      <c r="E30" s="385">
        <f>IF(SUM($E19:E19)=1,'1.1 Control Panel'!$E988,0)</f>
        <v>0.15</v>
      </c>
      <c r="F30" s="385">
        <f ca="1">IF(SUM($E19:F19)=1,'1.1 Control Panel'!$E988,0)</f>
        <v>0</v>
      </c>
      <c r="G30" s="385">
        <f ca="1">IF(SUM($E19:G19)=1,'1.1 Control Panel'!$E988,0)</f>
        <v>0</v>
      </c>
      <c r="H30" s="385">
        <f ca="1">IF(SUM($E19:H19)=1,'1.1 Control Panel'!$E988,0)</f>
        <v>0</v>
      </c>
      <c r="I30" s="385">
        <f ca="1">IF(SUM($E19:I19)=1,'1.1 Control Panel'!$E988,0)</f>
        <v>0</v>
      </c>
      <c r="J30" s="385">
        <f ca="1">IF(SUM($E19:J19)=1,'1.1 Control Panel'!$E988,0)</f>
        <v>0</v>
      </c>
      <c r="K30" s="385">
        <f ca="1">IF(SUM($E19:K19)=1,'1.1 Control Panel'!$E988,0)</f>
        <v>0</v>
      </c>
      <c r="L30" s="385">
        <f ca="1">IF(SUM($E19:L19)=1,'1.1 Control Panel'!$E988,0)</f>
        <v>0</v>
      </c>
      <c r="M30" s="385">
        <f ca="1">IF(SUM($E19:M19)=1,'1.1 Control Panel'!$E988,0)</f>
        <v>0</v>
      </c>
      <c r="N30" s="385">
        <f ca="1">IF(SUM($E19:N19)=1,'1.1 Control Panel'!$E988,0)</f>
        <v>0</v>
      </c>
      <c r="O30" s="385">
        <f ca="1">IF(SUM($E19:O19)=1,'1.1 Control Panel'!$E988,0)</f>
        <v>0</v>
      </c>
      <c r="P30" s="385">
        <f ca="1">IF(SUM($E19:P19)=1,'1.1 Control Panel'!$E988,0)</f>
        <v>0</v>
      </c>
      <c r="Q30" s="385">
        <f ca="1">IF(SUM($E19:Q19)=1,'1.1 Control Panel'!$E988,0)</f>
        <v>0</v>
      </c>
      <c r="R30" s="385">
        <f ca="1">IF(SUM($E19:R19)=1,'1.1 Control Panel'!$E988,0)</f>
        <v>0</v>
      </c>
      <c r="S30" s="385">
        <f ca="1">IF(SUM($E19:S19)=1,'1.1 Control Panel'!$E988,0)</f>
        <v>0</v>
      </c>
      <c r="T30" s="385">
        <f ca="1">IF(SUM($E19:T19)=1,'1.1 Control Panel'!$E988,0)</f>
        <v>0</v>
      </c>
      <c r="U30" s="385">
        <f ca="1">IF(SUM($E19:U19)=1,'1.1 Control Panel'!$E988,0)</f>
        <v>0</v>
      </c>
      <c r="V30" s="385">
        <f ca="1">IF(SUM($E19:V19)=1,'1.1 Control Panel'!$E988,0)</f>
        <v>0</v>
      </c>
      <c r="W30" s="385">
        <f ca="1">IF(SUM($E19:W19)=1,'1.1 Control Panel'!$E988,0)</f>
        <v>0</v>
      </c>
      <c r="X30" s="385">
        <f ca="1">IF(SUM($E19:X19)=1,'1.1 Control Panel'!$E988,0)</f>
        <v>0</v>
      </c>
      <c r="Y30" s="385">
        <f ca="1">IF(SUM($E19:Y19)=1,'1.1 Control Panel'!$E988,0)</f>
        <v>0</v>
      </c>
      <c r="Z30" s="385">
        <f ca="1">IF(SUM($E19:Z19)=1,'1.1 Control Panel'!$E988,0)</f>
        <v>0</v>
      </c>
      <c r="AA30" s="385">
        <f ca="1">IF(SUM($E19:AA19)=1,'1.1 Control Panel'!$E988,0)</f>
        <v>0</v>
      </c>
      <c r="AB30" s="385">
        <f ca="1">IF(SUM($E19:AB19)=1,'1.1 Control Panel'!$E988,0)</f>
        <v>0</v>
      </c>
      <c r="AC30" s="385">
        <f ca="1">IF(SUM($E19:AC19)=1,'1.1 Control Panel'!$E988,0)</f>
        <v>0</v>
      </c>
      <c r="AD30" s="385">
        <f ca="1">IF(SUM($E19:AD19)=1,'1.1 Control Panel'!$E988,0)</f>
        <v>0</v>
      </c>
      <c r="AE30" s="385">
        <f ca="1">IF(SUM($E19:AE19)=1,'1.1 Control Panel'!$E988,0)</f>
        <v>0</v>
      </c>
      <c r="AF30" s="385">
        <f ca="1">IF(SUM($E19:AF19)=1,'1.1 Control Panel'!$E988,0)</f>
        <v>0</v>
      </c>
      <c r="AG30" s="385">
        <f ca="1">IF(SUM($E19:AG19)=1,'1.1 Control Panel'!$E988,0)</f>
        <v>0</v>
      </c>
      <c r="AH30" s="385">
        <f ca="1">IF(SUM($E19:AH19)=1,'1.1 Control Panel'!$E988,0)</f>
        <v>0</v>
      </c>
      <c r="AI30" s="385">
        <f ca="1">IF(SUM($E19:AI19)=1,'1.1 Control Panel'!$E988,0)</f>
        <v>0</v>
      </c>
      <c r="AJ30" s="385">
        <f ca="1">IF(SUM($E19:AJ19)=1,'1.1 Control Panel'!$E988,0)</f>
        <v>0</v>
      </c>
      <c r="AK30" s="385">
        <f ca="1">IF(SUM($E19:AK19)=1,'1.1 Control Panel'!$E988,0)</f>
        <v>0</v>
      </c>
      <c r="AL30" s="385">
        <f ca="1">IF(SUM($E19:AL19)=1,'1.1 Control Panel'!$E988,0)</f>
        <v>0</v>
      </c>
      <c r="AM30" s="385">
        <f ca="1">IF(SUM($E19:AM19)=1,'1.1 Control Panel'!$E988,0)</f>
        <v>0</v>
      </c>
      <c r="AN30" s="385">
        <f ca="1">IF(SUM($E19:AN19)=1,'1.1 Control Panel'!$E988,0)</f>
        <v>0</v>
      </c>
      <c r="AP30" s="21"/>
    </row>
    <row r="31" spans="2:42" ht="11.5" customHeight="1" x14ac:dyDescent="0.25">
      <c r="C31" s="21" t="s">
        <v>943</v>
      </c>
      <c r="D31" s="38" t="s">
        <v>29</v>
      </c>
      <c r="E31" s="385">
        <f>IF(SUM($E20:E20)=1,'1.1 Control Panel'!$E989,0)</f>
        <v>0</v>
      </c>
      <c r="F31" s="385">
        <f ca="1">IF(SUM($E20:F20)=1,'1.1 Control Panel'!$E989,0)</f>
        <v>0</v>
      </c>
      <c r="G31" s="385">
        <f ca="1">IF(SUM($E20:G20)=1,'1.1 Control Panel'!$E989,0)</f>
        <v>0</v>
      </c>
      <c r="H31" s="385">
        <f ca="1">IF(SUM($E20:H20)=1,'1.1 Control Panel'!$E989,0)</f>
        <v>0.2</v>
      </c>
      <c r="I31" s="385">
        <f ca="1">IF(SUM($E20:I20)=1,'1.1 Control Panel'!$E989,0)</f>
        <v>0</v>
      </c>
      <c r="J31" s="385">
        <f ca="1">IF(SUM($E20:J20)=1,'1.1 Control Panel'!$E989,0)</f>
        <v>0</v>
      </c>
      <c r="K31" s="385">
        <f ca="1">IF(SUM($E20:K20)=1,'1.1 Control Panel'!$E989,0)</f>
        <v>0</v>
      </c>
      <c r="L31" s="385">
        <f ca="1">IF(SUM($E20:L20)=1,'1.1 Control Panel'!$E989,0)</f>
        <v>0</v>
      </c>
      <c r="M31" s="385">
        <f ca="1">IF(SUM($E20:M20)=1,'1.1 Control Panel'!$E989,0)</f>
        <v>0</v>
      </c>
      <c r="N31" s="385">
        <f ca="1">IF(SUM($E20:N20)=1,'1.1 Control Panel'!$E989,0)</f>
        <v>0</v>
      </c>
      <c r="O31" s="385">
        <f ca="1">IF(SUM($E20:O20)=1,'1.1 Control Panel'!$E989,0)</f>
        <v>0</v>
      </c>
      <c r="P31" s="385">
        <f ca="1">IF(SUM($E20:P20)=1,'1.1 Control Panel'!$E989,0)</f>
        <v>0</v>
      </c>
      <c r="Q31" s="385">
        <f ca="1">IF(SUM($E20:Q20)=1,'1.1 Control Panel'!$E989,0)</f>
        <v>0</v>
      </c>
      <c r="R31" s="385">
        <f ca="1">IF(SUM($E20:R20)=1,'1.1 Control Panel'!$E989,0)</f>
        <v>0</v>
      </c>
      <c r="S31" s="385">
        <f ca="1">IF(SUM($E20:S20)=1,'1.1 Control Panel'!$E989,0)</f>
        <v>0</v>
      </c>
      <c r="T31" s="385">
        <f ca="1">IF(SUM($E20:T20)=1,'1.1 Control Panel'!$E989,0)</f>
        <v>0</v>
      </c>
      <c r="U31" s="385">
        <f ca="1">IF(SUM($E20:U20)=1,'1.1 Control Panel'!$E989,0)</f>
        <v>0</v>
      </c>
      <c r="V31" s="385">
        <f ca="1">IF(SUM($E20:V20)=1,'1.1 Control Panel'!$E989,0)</f>
        <v>0</v>
      </c>
      <c r="W31" s="385">
        <f ca="1">IF(SUM($E20:W20)=1,'1.1 Control Panel'!$E989,0)</f>
        <v>0</v>
      </c>
      <c r="X31" s="385">
        <f ca="1">IF(SUM($E20:X20)=1,'1.1 Control Panel'!$E989,0)</f>
        <v>0</v>
      </c>
      <c r="Y31" s="385">
        <f ca="1">IF(SUM($E20:Y20)=1,'1.1 Control Panel'!$E989,0)</f>
        <v>0</v>
      </c>
      <c r="Z31" s="385">
        <f ca="1">IF(SUM($E20:Z20)=1,'1.1 Control Panel'!$E989,0)</f>
        <v>0</v>
      </c>
      <c r="AA31" s="385">
        <f ca="1">IF(SUM($E20:AA20)=1,'1.1 Control Panel'!$E989,0)</f>
        <v>0</v>
      </c>
      <c r="AB31" s="385">
        <f ca="1">IF(SUM($E20:AB20)=1,'1.1 Control Panel'!$E989,0)</f>
        <v>0</v>
      </c>
      <c r="AC31" s="385">
        <f ca="1">IF(SUM($E20:AC20)=1,'1.1 Control Panel'!$E989,0)</f>
        <v>0</v>
      </c>
      <c r="AD31" s="385">
        <f ca="1">IF(SUM($E20:AD20)=1,'1.1 Control Panel'!$E989,0)</f>
        <v>0</v>
      </c>
      <c r="AE31" s="385">
        <f ca="1">IF(SUM($E20:AE20)=1,'1.1 Control Panel'!$E989,0)</f>
        <v>0</v>
      </c>
      <c r="AF31" s="385">
        <f ca="1">IF(SUM($E20:AF20)=1,'1.1 Control Panel'!$E989,0)</f>
        <v>0</v>
      </c>
      <c r="AG31" s="385">
        <f ca="1">IF(SUM($E20:AG20)=1,'1.1 Control Panel'!$E989,0)</f>
        <v>0</v>
      </c>
      <c r="AH31" s="385">
        <f ca="1">IF(SUM($E20:AH20)=1,'1.1 Control Panel'!$E989,0)</f>
        <v>0</v>
      </c>
      <c r="AI31" s="385">
        <f ca="1">IF(SUM($E20:AI20)=1,'1.1 Control Panel'!$E989,0)</f>
        <v>0</v>
      </c>
      <c r="AJ31" s="385">
        <f ca="1">IF(SUM($E20:AJ20)=1,'1.1 Control Panel'!$E989,0)</f>
        <v>0</v>
      </c>
      <c r="AK31" s="385">
        <f ca="1">IF(SUM($E20:AK20)=1,'1.1 Control Panel'!$E989,0)</f>
        <v>0</v>
      </c>
      <c r="AL31" s="385">
        <f ca="1">IF(SUM($E20:AL20)=1,'1.1 Control Panel'!$E989,0)</f>
        <v>0</v>
      </c>
      <c r="AM31" s="385">
        <f ca="1">IF(SUM($E20:AM20)=1,'1.1 Control Panel'!$E989,0)</f>
        <v>0</v>
      </c>
      <c r="AN31" s="385">
        <f ca="1">IF(SUM($E20:AN20)=1,'1.1 Control Panel'!$E989,0)</f>
        <v>0</v>
      </c>
      <c r="AP31" s="21"/>
    </row>
    <row r="32" spans="2:42" ht="11.5" customHeight="1" x14ac:dyDescent="0.25">
      <c r="C32" s="21" t="s">
        <v>944</v>
      </c>
      <c r="D32" s="38" t="s">
        <v>29</v>
      </c>
      <c r="E32" s="385">
        <f>IF(SUM($E21:E21)=1,'1.1 Control Panel'!$E990,0)</f>
        <v>0</v>
      </c>
      <c r="F32" s="385">
        <f ca="1">IF(SUM($E21:F21)=1,'1.1 Control Panel'!$E990,0)</f>
        <v>0</v>
      </c>
      <c r="G32" s="385">
        <f ca="1">IF(SUM($E21:G21)=1,'1.1 Control Panel'!$E990,0)</f>
        <v>0</v>
      </c>
      <c r="H32" s="385">
        <f ca="1">IF(SUM($E21:H21)=1,'1.1 Control Panel'!$E990,0)</f>
        <v>0</v>
      </c>
      <c r="I32" s="385">
        <f ca="1">IF(SUM($E21:I21)=1,'1.1 Control Panel'!$E990,0)</f>
        <v>0</v>
      </c>
      <c r="J32" s="385">
        <f ca="1">IF(SUM($E21:J21)=1,'1.1 Control Panel'!$E990,0)</f>
        <v>0</v>
      </c>
      <c r="K32" s="385">
        <f ca="1">IF(SUM($E21:K21)=1,'1.1 Control Panel'!$E990,0)</f>
        <v>0</v>
      </c>
      <c r="L32" s="385">
        <f ca="1">IF(SUM($E21:L21)=1,'1.1 Control Panel'!$E990,0)</f>
        <v>0.1</v>
      </c>
      <c r="M32" s="385">
        <f ca="1">IF(SUM($E21:M21)=1,'1.1 Control Panel'!$E990,0)</f>
        <v>0</v>
      </c>
      <c r="N32" s="385">
        <f ca="1">IF(SUM($E21:N21)=1,'1.1 Control Panel'!$E990,0)</f>
        <v>0</v>
      </c>
      <c r="O32" s="385">
        <f ca="1">IF(SUM($E21:O21)=1,'1.1 Control Panel'!$E990,0)</f>
        <v>0</v>
      </c>
      <c r="P32" s="385">
        <f ca="1">IF(SUM($E21:P21)=1,'1.1 Control Panel'!$E990,0)</f>
        <v>0</v>
      </c>
      <c r="Q32" s="385">
        <f ca="1">IF(SUM($E21:Q21)=1,'1.1 Control Panel'!$E990,0)</f>
        <v>0</v>
      </c>
      <c r="R32" s="385">
        <f ca="1">IF(SUM($E21:R21)=1,'1.1 Control Panel'!$E990,0)</f>
        <v>0</v>
      </c>
      <c r="S32" s="385">
        <f ca="1">IF(SUM($E21:S21)=1,'1.1 Control Panel'!$E990,0)</f>
        <v>0</v>
      </c>
      <c r="T32" s="385">
        <f ca="1">IF(SUM($E21:T21)=1,'1.1 Control Panel'!$E990,0)</f>
        <v>0</v>
      </c>
      <c r="U32" s="385">
        <f ca="1">IF(SUM($E21:U21)=1,'1.1 Control Panel'!$E990,0)</f>
        <v>0</v>
      </c>
      <c r="V32" s="385">
        <f ca="1">IF(SUM($E21:V21)=1,'1.1 Control Panel'!$E990,0)</f>
        <v>0</v>
      </c>
      <c r="W32" s="385">
        <f ca="1">IF(SUM($E21:W21)=1,'1.1 Control Panel'!$E990,0)</f>
        <v>0</v>
      </c>
      <c r="X32" s="385">
        <f ca="1">IF(SUM($E21:X21)=1,'1.1 Control Panel'!$E990,0)</f>
        <v>0</v>
      </c>
      <c r="Y32" s="385">
        <f ca="1">IF(SUM($E21:Y21)=1,'1.1 Control Panel'!$E990,0)</f>
        <v>0</v>
      </c>
      <c r="Z32" s="385">
        <f ca="1">IF(SUM($E21:Z21)=1,'1.1 Control Panel'!$E990,0)</f>
        <v>0</v>
      </c>
      <c r="AA32" s="385">
        <f ca="1">IF(SUM($E21:AA21)=1,'1.1 Control Panel'!$E990,0)</f>
        <v>0</v>
      </c>
      <c r="AB32" s="385">
        <f ca="1">IF(SUM($E21:AB21)=1,'1.1 Control Panel'!$E990,0)</f>
        <v>0</v>
      </c>
      <c r="AC32" s="385">
        <f ca="1">IF(SUM($E21:AC21)=1,'1.1 Control Panel'!$E990,0)</f>
        <v>0</v>
      </c>
      <c r="AD32" s="385">
        <f ca="1">IF(SUM($E21:AD21)=1,'1.1 Control Panel'!$E990,0)</f>
        <v>0</v>
      </c>
      <c r="AE32" s="385">
        <f ca="1">IF(SUM($E21:AE21)=1,'1.1 Control Panel'!$E990,0)</f>
        <v>0</v>
      </c>
      <c r="AF32" s="385">
        <f ca="1">IF(SUM($E21:AF21)=1,'1.1 Control Panel'!$E990,0)</f>
        <v>0</v>
      </c>
      <c r="AG32" s="385">
        <f ca="1">IF(SUM($E21:AG21)=1,'1.1 Control Panel'!$E990,0)</f>
        <v>0</v>
      </c>
      <c r="AH32" s="385">
        <f ca="1">IF(SUM($E21:AH21)=1,'1.1 Control Panel'!$E990,0)</f>
        <v>0</v>
      </c>
      <c r="AI32" s="385">
        <f ca="1">IF(SUM($E21:AI21)=1,'1.1 Control Panel'!$E990,0)</f>
        <v>0</v>
      </c>
      <c r="AJ32" s="385">
        <f ca="1">IF(SUM($E21:AJ21)=1,'1.1 Control Panel'!$E990,0)</f>
        <v>0</v>
      </c>
      <c r="AK32" s="385">
        <f ca="1">IF(SUM($E21:AK21)=1,'1.1 Control Panel'!$E990,0)</f>
        <v>0</v>
      </c>
      <c r="AL32" s="385">
        <f ca="1">IF(SUM($E21:AL21)=1,'1.1 Control Panel'!$E990,0)</f>
        <v>0</v>
      </c>
      <c r="AM32" s="385">
        <f ca="1">IF(SUM($E21:AM21)=1,'1.1 Control Panel'!$E990,0)</f>
        <v>0</v>
      </c>
      <c r="AN32" s="385">
        <f ca="1">IF(SUM($E21:AN21)=1,'1.1 Control Panel'!$E990,0)</f>
        <v>0</v>
      </c>
      <c r="AP32" s="21"/>
    </row>
    <row r="33" spans="3:42" ht="11.5" customHeight="1" x14ac:dyDescent="0.25">
      <c r="C33" s="21" t="s">
        <v>945</v>
      </c>
      <c r="D33" s="38" t="s">
        <v>29</v>
      </c>
      <c r="E33" s="385">
        <f>IF(SUM($E22:E22)=1,'1.1 Control Panel'!$E991,0)</f>
        <v>0</v>
      </c>
      <c r="F33" s="385">
        <f ca="1">IF(SUM($E22:F22)=1,'1.1 Control Panel'!$E991,0)</f>
        <v>0</v>
      </c>
      <c r="G33" s="385">
        <f ca="1">IF(SUM($E22:G22)=1,'1.1 Control Panel'!$E991,0)</f>
        <v>0</v>
      </c>
      <c r="H33" s="385">
        <f ca="1">IF(SUM($E22:H22)=1,'1.1 Control Panel'!$E991,0)</f>
        <v>0</v>
      </c>
      <c r="I33" s="385">
        <f ca="1">IF(SUM($E22:I22)=1,'1.1 Control Panel'!$E991,0)</f>
        <v>0</v>
      </c>
      <c r="J33" s="385">
        <f ca="1">IF(SUM($E22:J22)=1,'1.1 Control Panel'!$E991,0)</f>
        <v>0</v>
      </c>
      <c r="K33" s="385">
        <f ca="1">IF(SUM($E22:K22)=1,'1.1 Control Panel'!$E991,0)</f>
        <v>0</v>
      </c>
      <c r="L33" s="385">
        <f ca="1">IF(SUM($E22:L22)=1,'1.1 Control Panel'!$E991,0)</f>
        <v>0</v>
      </c>
      <c r="M33" s="385">
        <f ca="1">IF(SUM($E22:M22)=1,'1.1 Control Panel'!$E991,0)</f>
        <v>0</v>
      </c>
      <c r="N33" s="385">
        <f ca="1">IF(SUM($E22:N22)=1,'1.1 Control Panel'!$E991,0)</f>
        <v>0</v>
      </c>
      <c r="O33" s="385">
        <f ca="1">IF(SUM($E22:O22)=1,'1.1 Control Panel'!$E991,0)</f>
        <v>0</v>
      </c>
      <c r="P33" s="385">
        <f ca="1">IF(SUM($E22:P22)=1,'1.1 Control Panel'!$E991,0)</f>
        <v>0</v>
      </c>
      <c r="Q33" s="385">
        <f ca="1">IF(SUM($E22:Q22)=1,'1.1 Control Panel'!$E991,0)</f>
        <v>7.0000000000000007E-2</v>
      </c>
      <c r="R33" s="385">
        <f ca="1">IF(SUM($E22:R22)=1,'1.1 Control Panel'!$E991,0)</f>
        <v>0</v>
      </c>
      <c r="S33" s="385">
        <f ca="1">IF(SUM($E22:S22)=1,'1.1 Control Panel'!$E991,0)</f>
        <v>0</v>
      </c>
      <c r="T33" s="385">
        <f ca="1">IF(SUM($E22:T22)=1,'1.1 Control Panel'!$E991,0)</f>
        <v>0</v>
      </c>
      <c r="U33" s="385">
        <f ca="1">IF(SUM($E22:U22)=1,'1.1 Control Panel'!$E991,0)</f>
        <v>0</v>
      </c>
      <c r="V33" s="385">
        <f ca="1">IF(SUM($E22:V22)=1,'1.1 Control Panel'!$E991,0)</f>
        <v>0</v>
      </c>
      <c r="W33" s="385">
        <f ca="1">IF(SUM($E22:W22)=1,'1.1 Control Panel'!$E991,0)</f>
        <v>0</v>
      </c>
      <c r="X33" s="385">
        <f ca="1">IF(SUM($E22:X22)=1,'1.1 Control Panel'!$E991,0)</f>
        <v>0</v>
      </c>
      <c r="Y33" s="385">
        <f ca="1">IF(SUM($E22:Y22)=1,'1.1 Control Panel'!$E991,0)</f>
        <v>0</v>
      </c>
      <c r="Z33" s="385">
        <f ca="1">IF(SUM($E22:Z22)=1,'1.1 Control Panel'!$E991,0)</f>
        <v>0</v>
      </c>
      <c r="AA33" s="385">
        <f ca="1">IF(SUM($E22:AA22)=1,'1.1 Control Panel'!$E991,0)</f>
        <v>0</v>
      </c>
      <c r="AB33" s="385">
        <f ca="1">IF(SUM($E22:AB22)=1,'1.1 Control Panel'!$E991,0)</f>
        <v>0</v>
      </c>
      <c r="AC33" s="385">
        <f ca="1">IF(SUM($E22:AC22)=1,'1.1 Control Panel'!$E991,0)</f>
        <v>0</v>
      </c>
      <c r="AD33" s="385">
        <f ca="1">IF(SUM($E22:AD22)=1,'1.1 Control Panel'!$E991,0)</f>
        <v>0</v>
      </c>
      <c r="AE33" s="385">
        <f ca="1">IF(SUM($E22:AE22)=1,'1.1 Control Panel'!$E991,0)</f>
        <v>0</v>
      </c>
      <c r="AF33" s="385">
        <f ca="1">IF(SUM($E22:AF22)=1,'1.1 Control Panel'!$E991,0)</f>
        <v>0</v>
      </c>
      <c r="AG33" s="385">
        <f ca="1">IF(SUM($E22:AG22)=1,'1.1 Control Panel'!$E991,0)</f>
        <v>0</v>
      </c>
      <c r="AH33" s="385">
        <f ca="1">IF(SUM($E22:AH22)=1,'1.1 Control Panel'!$E991,0)</f>
        <v>0</v>
      </c>
      <c r="AI33" s="385">
        <f ca="1">IF(SUM($E22:AI22)=1,'1.1 Control Panel'!$E991,0)</f>
        <v>0</v>
      </c>
      <c r="AJ33" s="385">
        <f ca="1">IF(SUM($E22:AJ22)=1,'1.1 Control Panel'!$E991,0)</f>
        <v>0</v>
      </c>
      <c r="AK33" s="385">
        <f ca="1">IF(SUM($E22:AK22)=1,'1.1 Control Panel'!$E991,0)</f>
        <v>0</v>
      </c>
      <c r="AL33" s="385">
        <f ca="1">IF(SUM($E22:AL22)=1,'1.1 Control Panel'!$E991,0)</f>
        <v>0</v>
      </c>
      <c r="AM33" s="385">
        <f ca="1">IF(SUM($E22:AM22)=1,'1.1 Control Panel'!$E991,0)</f>
        <v>0</v>
      </c>
      <c r="AN33" s="385">
        <f ca="1">IF(SUM($E22:AN22)=1,'1.1 Control Panel'!$E991,0)</f>
        <v>0</v>
      </c>
      <c r="AP33" s="21"/>
    </row>
    <row r="34" spans="3:42" ht="11.5" customHeight="1" x14ac:dyDescent="0.25">
      <c r="C34" s="21" t="s">
        <v>946</v>
      </c>
      <c r="D34" s="38" t="s">
        <v>29</v>
      </c>
      <c r="E34" s="385">
        <f>IF(SUM($E23:E23)=1,'1.1 Control Panel'!$E992,0)</f>
        <v>0</v>
      </c>
      <c r="F34" s="385">
        <f ca="1">IF(SUM($E23:F23)=1,'1.1 Control Panel'!$E992,0)</f>
        <v>0</v>
      </c>
      <c r="G34" s="385">
        <f ca="1">IF(SUM($E23:G23)=1,'1.1 Control Panel'!$E992,0)</f>
        <v>0</v>
      </c>
      <c r="H34" s="385">
        <f ca="1">IF(SUM($E23:H23)=1,'1.1 Control Panel'!$E992,0)</f>
        <v>0</v>
      </c>
      <c r="I34" s="385">
        <f ca="1">IF(SUM($E23:I23)=1,'1.1 Control Panel'!$E992,0)</f>
        <v>0</v>
      </c>
      <c r="J34" s="385">
        <f ca="1">IF(SUM($E23:J23)=1,'1.1 Control Panel'!$E992,0)</f>
        <v>0</v>
      </c>
      <c r="K34" s="385">
        <f ca="1">IF(SUM($E23:K23)=1,'1.1 Control Panel'!$E992,0)</f>
        <v>0</v>
      </c>
      <c r="L34" s="385">
        <f ca="1">IF(SUM($E23:L23)=1,'1.1 Control Panel'!$E992,0)</f>
        <v>0</v>
      </c>
      <c r="M34" s="385">
        <f ca="1">IF(SUM($E23:M23)=1,'1.1 Control Panel'!$E992,0)</f>
        <v>0</v>
      </c>
      <c r="N34" s="385">
        <f ca="1">IF(SUM($E23:N23)=1,'1.1 Control Panel'!$E992,0)</f>
        <v>0</v>
      </c>
      <c r="O34" s="385">
        <f ca="1">IF(SUM($E23:O23)=1,'1.1 Control Panel'!$E992,0)</f>
        <v>0</v>
      </c>
      <c r="P34" s="385">
        <f ca="1">IF(SUM($E23:P23)=1,'1.1 Control Panel'!$E992,0)</f>
        <v>0</v>
      </c>
      <c r="Q34" s="385">
        <f ca="1">IF(SUM($E23:Q23)=1,'1.1 Control Panel'!$E992,0)</f>
        <v>0</v>
      </c>
      <c r="R34" s="385">
        <f ca="1">IF(SUM($E23:R23)=1,'1.1 Control Panel'!$E992,0)</f>
        <v>0</v>
      </c>
      <c r="S34" s="385">
        <f ca="1">IF(SUM($E23:S23)=1,'1.1 Control Panel'!$E992,0)</f>
        <v>0</v>
      </c>
      <c r="T34" s="385">
        <f ca="1">IF(SUM($E23:T23)=1,'1.1 Control Panel'!$E992,0)</f>
        <v>0</v>
      </c>
      <c r="U34" s="385">
        <f ca="1">IF(SUM($E23:U23)=1,'1.1 Control Panel'!$E992,0)</f>
        <v>0</v>
      </c>
      <c r="V34" s="385">
        <f ca="1">IF(SUM($E23:V23)=1,'1.1 Control Panel'!$E992,0)</f>
        <v>0</v>
      </c>
      <c r="W34" s="385">
        <f ca="1">IF(SUM($E23:W23)=1,'1.1 Control Panel'!$E992,0)</f>
        <v>0</v>
      </c>
      <c r="X34" s="385">
        <f ca="1">IF(SUM($E23:X23)=1,'1.1 Control Panel'!$E992,0)</f>
        <v>0</v>
      </c>
      <c r="Y34" s="385">
        <f ca="1">IF(SUM($E23:Y23)=1,'1.1 Control Panel'!$E992,0)</f>
        <v>0.05</v>
      </c>
      <c r="Z34" s="385">
        <f ca="1">IF(SUM($E23:Z23)=1,'1.1 Control Panel'!$E992,0)</f>
        <v>0</v>
      </c>
      <c r="AA34" s="385">
        <f ca="1">IF(SUM($E23:AA23)=1,'1.1 Control Panel'!$E992,0)</f>
        <v>0</v>
      </c>
      <c r="AB34" s="385">
        <f ca="1">IF(SUM($E23:AB23)=1,'1.1 Control Panel'!$E992,0)</f>
        <v>0</v>
      </c>
      <c r="AC34" s="385">
        <f ca="1">IF(SUM($E23:AC23)=1,'1.1 Control Panel'!$E992,0)</f>
        <v>0</v>
      </c>
      <c r="AD34" s="385">
        <f ca="1">IF(SUM($E23:AD23)=1,'1.1 Control Panel'!$E992,0)</f>
        <v>0</v>
      </c>
      <c r="AE34" s="385">
        <f ca="1">IF(SUM($E23:AE23)=1,'1.1 Control Panel'!$E992,0)</f>
        <v>0</v>
      </c>
      <c r="AF34" s="385">
        <f ca="1">IF(SUM($E23:AF23)=1,'1.1 Control Panel'!$E992,0)</f>
        <v>0</v>
      </c>
      <c r="AG34" s="385">
        <f ca="1">IF(SUM($E23:AG23)=1,'1.1 Control Panel'!$E992,0)</f>
        <v>0</v>
      </c>
      <c r="AH34" s="385">
        <f ca="1">IF(SUM($E23:AH23)=1,'1.1 Control Panel'!$E992,0)</f>
        <v>0</v>
      </c>
      <c r="AI34" s="385">
        <f ca="1">IF(SUM($E23:AI23)=1,'1.1 Control Panel'!$E992,0)</f>
        <v>0</v>
      </c>
      <c r="AJ34" s="385">
        <f ca="1">IF(SUM($E23:AJ23)=1,'1.1 Control Panel'!$E992,0)</f>
        <v>0</v>
      </c>
      <c r="AK34" s="385">
        <f ca="1">IF(SUM($E23:AK23)=1,'1.1 Control Panel'!$E992,0)</f>
        <v>0</v>
      </c>
      <c r="AL34" s="385">
        <f ca="1">IF(SUM($E23:AL23)=1,'1.1 Control Panel'!$E992,0)</f>
        <v>0</v>
      </c>
      <c r="AM34" s="385">
        <f ca="1">IF(SUM($E23:AM23)=1,'1.1 Control Panel'!$E992,0)</f>
        <v>0</v>
      </c>
      <c r="AN34" s="385">
        <f ca="1">IF(SUM($E23:AN23)=1,'1.1 Control Panel'!$E992,0)</f>
        <v>0</v>
      </c>
      <c r="AP34" s="21"/>
    </row>
    <row r="35" spans="3:42" ht="11.5" customHeight="1" x14ac:dyDescent="0.25">
      <c r="C35" s="21" t="s">
        <v>947</v>
      </c>
      <c r="D35" s="38" t="s">
        <v>29</v>
      </c>
      <c r="E35" s="385">
        <f>IF(SUM($E24:E24)=1,'1.1 Control Panel'!$E993,0)</f>
        <v>0</v>
      </c>
      <c r="F35" s="385">
        <f ca="1">IF(SUM($E24:F24)=1,'1.1 Control Panel'!$E993,0)</f>
        <v>0</v>
      </c>
      <c r="G35" s="385">
        <f ca="1">IF(SUM($E24:G24)=1,'1.1 Control Panel'!$E993,0)</f>
        <v>0</v>
      </c>
      <c r="H35" s="385">
        <f ca="1">IF(SUM($E24:H24)=1,'1.1 Control Panel'!$E993,0)</f>
        <v>0</v>
      </c>
      <c r="I35" s="385">
        <f ca="1">IF(SUM($E24:I24)=1,'1.1 Control Panel'!$E993,0)</f>
        <v>0</v>
      </c>
      <c r="J35" s="385">
        <f ca="1">IF(SUM($E24:J24)=1,'1.1 Control Panel'!$E993,0)</f>
        <v>0</v>
      </c>
      <c r="K35" s="385">
        <f ca="1">IF(SUM($E24:K24)=1,'1.1 Control Panel'!$E993,0)</f>
        <v>0</v>
      </c>
      <c r="L35" s="385">
        <f ca="1">IF(SUM($E24:L24)=1,'1.1 Control Panel'!$E993,0)</f>
        <v>0</v>
      </c>
      <c r="M35" s="385">
        <f ca="1">IF(SUM($E24:M24)=1,'1.1 Control Panel'!$E993,0)</f>
        <v>0</v>
      </c>
      <c r="N35" s="385">
        <f ca="1">IF(SUM($E24:N24)=1,'1.1 Control Panel'!$E993,0)</f>
        <v>0</v>
      </c>
      <c r="O35" s="385">
        <f ca="1">IF(SUM($E24:O24)=1,'1.1 Control Panel'!$E993,0)</f>
        <v>0</v>
      </c>
      <c r="P35" s="385">
        <f ca="1">IF(SUM($E24:P24)=1,'1.1 Control Panel'!$E993,0)</f>
        <v>0</v>
      </c>
      <c r="Q35" s="385">
        <f ca="1">IF(SUM($E24:Q24)=1,'1.1 Control Panel'!$E993,0)</f>
        <v>0</v>
      </c>
      <c r="R35" s="385">
        <f ca="1">IF(SUM($E24:R24)=1,'1.1 Control Panel'!$E993,0)</f>
        <v>0</v>
      </c>
      <c r="S35" s="385">
        <f ca="1">IF(SUM($E24:S24)=1,'1.1 Control Panel'!$E993,0)</f>
        <v>0</v>
      </c>
      <c r="T35" s="385">
        <f ca="1">IF(SUM($E24:T24)=1,'1.1 Control Panel'!$E993,0)</f>
        <v>0</v>
      </c>
      <c r="U35" s="385">
        <f ca="1">IF(SUM($E24:U24)=1,'1.1 Control Panel'!$E993,0)</f>
        <v>0</v>
      </c>
      <c r="V35" s="385">
        <f ca="1">IF(SUM($E24:V24)=1,'1.1 Control Panel'!$E993,0)</f>
        <v>0</v>
      </c>
      <c r="W35" s="385">
        <f ca="1">IF(SUM($E24:W24)=1,'1.1 Control Panel'!$E993,0)</f>
        <v>0</v>
      </c>
      <c r="X35" s="385">
        <f ca="1">IF(SUM($E24:X24)=1,'1.1 Control Panel'!$E993,0)</f>
        <v>0</v>
      </c>
      <c r="Y35" s="385">
        <f ca="1">IF(SUM($E24:Y24)=1,'1.1 Control Panel'!$E993,0)</f>
        <v>0</v>
      </c>
      <c r="Z35" s="385">
        <f ca="1">IF(SUM($E24:Z24)=1,'1.1 Control Panel'!$E993,0)</f>
        <v>0</v>
      </c>
      <c r="AA35" s="385">
        <f ca="1">IF(SUM($E24:AA24)=1,'1.1 Control Panel'!$E993,0)</f>
        <v>0</v>
      </c>
      <c r="AB35" s="385">
        <f ca="1">IF(SUM($E24:AB24)=1,'1.1 Control Panel'!$E993,0)</f>
        <v>0</v>
      </c>
      <c r="AC35" s="385">
        <f ca="1">IF(SUM($E24:AC24)=1,'1.1 Control Panel'!$E993,0)</f>
        <v>0</v>
      </c>
      <c r="AD35" s="385">
        <f ca="1">IF(SUM($E24:AD24)=1,'1.1 Control Panel'!$E993,0)</f>
        <v>0</v>
      </c>
      <c r="AE35" s="385">
        <f ca="1">IF(SUM($E24:AE24)=1,'1.1 Control Panel'!$E993,0)</f>
        <v>0</v>
      </c>
      <c r="AF35" s="385">
        <f ca="1">IF(SUM($E24:AF24)=1,'1.1 Control Panel'!$E993,0)</f>
        <v>0</v>
      </c>
      <c r="AG35" s="385">
        <f ca="1">IF(SUM($E24:AG24)=1,'1.1 Control Panel'!$E993,0)</f>
        <v>0</v>
      </c>
      <c r="AH35" s="385">
        <f ca="1">IF(SUM($E24:AH24)=1,'1.1 Control Panel'!$E993,0)</f>
        <v>0.05</v>
      </c>
      <c r="AI35" s="385">
        <f ca="1">IF(SUM($E24:AI24)=1,'1.1 Control Panel'!$E993,0)</f>
        <v>0</v>
      </c>
      <c r="AJ35" s="385">
        <f ca="1">IF(SUM($E24:AJ24)=1,'1.1 Control Panel'!$E993,0)</f>
        <v>0</v>
      </c>
      <c r="AK35" s="385">
        <f ca="1">IF(SUM($E24:AK24)=1,'1.1 Control Panel'!$E993,0)</f>
        <v>0</v>
      </c>
      <c r="AL35" s="385">
        <f ca="1">IF(SUM($E24:AL24)=1,'1.1 Control Panel'!$E993,0)</f>
        <v>0</v>
      </c>
      <c r="AM35" s="385">
        <f ca="1">IF(SUM($E24:AM24)=1,'1.1 Control Panel'!$E993,0)</f>
        <v>0</v>
      </c>
      <c r="AN35" s="385">
        <f ca="1">IF(SUM($E24:AN24)=1,'1.1 Control Panel'!$E993,0)</f>
        <v>0</v>
      </c>
      <c r="AP35" s="21"/>
    </row>
    <row r="36" spans="3:42" ht="11.5" customHeight="1" x14ac:dyDescent="0.25">
      <c r="C36" s="27" t="s">
        <v>948</v>
      </c>
      <c r="D36" s="40" t="s">
        <v>29</v>
      </c>
      <c r="E36" s="730">
        <f>IF(SUM($E25:E25)=1,'1.1 Control Panel'!$E994,0)</f>
        <v>0</v>
      </c>
      <c r="F36" s="730">
        <f ca="1">IF(SUM($E25:F25)=1,'1.1 Control Panel'!$E994,0)</f>
        <v>0</v>
      </c>
      <c r="G36" s="730">
        <f ca="1">IF(SUM($E25:G25)=1,'1.1 Control Panel'!$E994,0)</f>
        <v>0</v>
      </c>
      <c r="H36" s="730">
        <f ca="1">IF(SUM($E25:H25)=1,'1.1 Control Panel'!$E994,0)</f>
        <v>0</v>
      </c>
      <c r="I36" s="730">
        <f ca="1">IF(SUM($E25:I25)=1,'1.1 Control Panel'!$E994,0)</f>
        <v>0</v>
      </c>
      <c r="J36" s="730">
        <f ca="1">IF(SUM($E25:J25)=1,'1.1 Control Panel'!$E994,0)</f>
        <v>0</v>
      </c>
      <c r="K36" s="730">
        <f ca="1">IF(SUM($E25:K25)=1,'1.1 Control Panel'!$E994,0)</f>
        <v>0</v>
      </c>
      <c r="L36" s="730">
        <f ca="1">IF(SUM($E25:L25)=1,'1.1 Control Panel'!$E994,0)</f>
        <v>0</v>
      </c>
      <c r="M36" s="730">
        <f ca="1">IF(SUM($E25:M25)=1,'1.1 Control Panel'!$E994,0)</f>
        <v>0</v>
      </c>
      <c r="N36" s="730">
        <f ca="1">IF(SUM($E25:N25)=1,'1.1 Control Panel'!$E994,0)</f>
        <v>0</v>
      </c>
      <c r="O36" s="730">
        <f ca="1">IF(SUM($E25:O25)=1,'1.1 Control Panel'!$E994,0)</f>
        <v>0</v>
      </c>
      <c r="P36" s="730">
        <f ca="1">IF(SUM($E25:P25)=1,'1.1 Control Panel'!$E994,0)</f>
        <v>0</v>
      </c>
      <c r="Q36" s="730">
        <f ca="1">IF(SUM($E25:Q25)=1,'1.1 Control Panel'!$E994,0)</f>
        <v>0</v>
      </c>
      <c r="R36" s="730">
        <f ca="1">IF(SUM($E25:R25)=1,'1.1 Control Panel'!$E994,0)</f>
        <v>0</v>
      </c>
      <c r="S36" s="730">
        <f ca="1">IF(SUM($E25:S25)=1,'1.1 Control Panel'!$E994,0)</f>
        <v>0</v>
      </c>
      <c r="T36" s="730">
        <f ca="1">IF(SUM($E25:T25)=1,'1.1 Control Panel'!$E994,0)</f>
        <v>0</v>
      </c>
      <c r="U36" s="730">
        <f ca="1">IF(SUM($E25:U25)=1,'1.1 Control Panel'!$E994,0)</f>
        <v>0</v>
      </c>
      <c r="V36" s="730">
        <f ca="1">IF(SUM($E25:V25)=1,'1.1 Control Panel'!$E994,0)</f>
        <v>0</v>
      </c>
      <c r="W36" s="730">
        <f ca="1">IF(SUM($E25:W25)=1,'1.1 Control Panel'!$E994,0)</f>
        <v>0</v>
      </c>
      <c r="X36" s="730">
        <f ca="1">IF(SUM($E25:X25)=1,'1.1 Control Panel'!$E994,0)</f>
        <v>0</v>
      </c>
      <c r="Y36" s="730">
        <f ca="1">IF(SUM($E25:Y25)=1,'1.1 Control Panel'!$E994,0)</f>
        <v>0</v>
      </c>
      <c r="Z36" s="730">
        <f ca="1">IF(SUM($E25:Z25)=1,'1.1 Control Panel'!$E994,0)</f>
        <v>0</v>
      </c>
      <c r="AA36" s="730">
        <f ca="1">IF(SUM($E25:AA25)=1,'1.1 Control Panel'!$E994,0)</f>
        <v>0</v>
      </c>
      <c r="AB36" s="730">
        <f ca="1">IF(SUM($E25:AB25)=1,'1.1 Control Panel'!$E994,0)</f>
        <v>0</v>
      </c>
      <c r="AC36" s="730">
        <f ca="1">IF(SUM($E25:AC25)=1,'1.1 Control Panel'!$E994,0)</f>
        <v>0</v>
      </c>
      <c r="AD36" s="730">
        <f ca="1">IF(SUM($E25:AD25)=1,'1.1 Control Panel'!$E994,0)</f>
        <v>0</v>
      </c>
      <c r="AE36" s="730">
        <f ca="1">IF(SUM($E25:AE25)=1,'1.1 Control Panel'!$E994,0)</f>
        <v>0</v>
      </c>
      <c r="AF36" s="730">
        <f ca="1">IF(SUM($E25:AF25)=1,'1.1 Control Panel'!$E994,0)</f>
        <v>0</v>
      </c>
      <c r="AG36" s="730">
        <f ca="1">IF(SUM($E25:AG25)=1,'1.1 Control Panel'!$E994,0)</f>
        <v>0</v>
      </c>
      <c r="AH36" s="730">
        <f ca="1">IF(SUM($E25:AH25)=1,'1.1 Control Panel'!$E994,0)</f>
        <v>0</v>
      </c>
      <c r="AI36" s="730">
        <f ca="1">IF(SUM($E25:AI25)=1,'1.1 Control Panel'!$E994,0)</f>
        <v>0</v>
      </c>
      <c r="AJ36" s="730">
        <f ca="1">IF(SUM($E25:AJ25)=1,'1.1 Control Panel'!$E994,0)</f>
        <v>0</v>
      </c>
      <c r="AK36" s="730">
        <f ca="1">IF(SUM($E25:AK25)=1,'1.1 Control Panel'!$E994,0)</f>
        <v>0</v>
      </c>
      <c r="AL36" s="730">
        <f ca="1">IF(SUM($E25:AL25)=1,'1.1 Control Panel'!$E994,0)</f>
        <v>0</v>
      </c>
      <c r="AM36" s="730">
        <f ca="1">IF(SUM($E25:AM25)=1,'1.1 Control Panel'!$E994,0)</f>
        <v>0</v>
      </c>
      <c r="AN36" s="730">
        <f ca="1">IF(SUM($E25:AN25)=1,'1.1 Control Panel'!$E994,0)</f>
        <v>0.05</v>
      </c>
      <c r="AP36" s="27"/>
    </row>
    <row r="37" spans="3:42" ht="11.5" customHeight="1" x14ac:dyDescent="0.25"/>
    <row r="38" spans="3:42" ht="11.5" hidden="1" customHeight="1" x14ac:dyDescent="0.25"/>
    <row r="39" spans="3:42" ht="11.5" hidden="1" customHeight="1" x14ac:dyDescent="0.25"/>
    <row r="40" spans="3:42" ht="11.5" hidden="1" customHeight="1" x14ac:dyDescent="0.25"/>
    <row r="64" spans="8:8" hidden="1" x14ac:dyDescent="0.25">
      <c r="H6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300CF-37E6-495A-BD64-F07C80AE7DC6}">
  <sheetPr>
    <tabColor rgb="FF002060"/>
  </sheetPr>
  <dimension ref="A1"/>
  <sheetViews>
    <sheetView topLeftCell="XFD1048576" workbookViewId="0"/>
  </sheetViews>
  <sheetFormatPr defaultColWidth="0" defaultRowHeight="14.5" zeroHeight="1" x14ac:dyDescent="0.35"/>
  <cols>
    <col min="1" max="16384" width="8.7265625" hidden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9F650-9643-4C64-9BB7-392927771687}">
  <dimension ref="A1:S360"/>
  <sheetViews>
    <sheetView showGridLines="0" zoomScale="70" zoomScaleNormal="70" workbookViewId="0"/>
  </sheetViews>
  <sheetFormatPr defaultColWidth="0" defaultRowHeight="11.5" customHeight="1" zeroHeight="1" x14ac:dyDescent="0.25"/>
  <cols>
    <col min="1" max="2" width="3.6328125" style="3" customWidth="1"/>
    <col min="3" max="3" width="47.7265625" style="136" bestFit="1" customWidth="1"/>
    <col min="4" max="4" width="8.6328125" style="136" customWidth="1"/>
    <col min="5" max="8" width="12.6328125" style="129" customWidth="1"/>
    <col min="9" max="9" width="0.453125" style="3" customWidth="1"/>
    <col min="10" max="10" width="50.6328125" style="3" customWidth="1"/>
    <col min="11" max="11" width="3.6328125" style="3" customWidth="1"/>
    <col min="12" max="19" width="0" style="3" hidden="1" customWidth="1"/>
    <col min="20" max="16384" width="8.7265625" style="3" hidden="1"/>
  </cols>
  <sheetData>
    <row r="1" spans="1:10" s="4" customFormat="1" ht="14" x14ac:dyDescent="0.3">
      <c r="A1" s="103" t="str">
        <f ca="1">MID(CELL("filename",A1),FIND("]",CELL("filename",A1))+1,255)</f>
        <v>3.1 Market</v>
      </c>
      <c r="C1" s="127"/>
      <c r="D1" s="127"/>
      <c r="E1" s="374"/>
      <c r="F1" s="374"/>
      <c r="G1" s="374"/>
      <c r="H1" s="374"/>
      <c r="I1" s="5"/>
    </row>
    <row r="2" spans="1:10" s="5" customFormat="1" x14ac:dyDescent="0.25">
      <c r="A2" s="7" t="s">
        <v>970</v>
      </c>
      <c r="C2" s="128"/>
      <c r="D2" s="128"/>
      <c r="E2" s="375"/>
      <c r="F2" s="375"/>
      <c r="G2" s="375"/>
      <c r="H2" s="375"/>
    </row>
    <row r="3" spans="1:10" ht="11.5" customHeight="1" x14ac:dyDescent="0.25">
      <c r="C3" s="129"/>
    </row>
    <row r="4" spans="1:10" ht="11.5" customHeight="1" x14ac:dyDescent="0.25">
      <c r="B4" s="6" t="s">
        <v>0</v>
      </c>
      <c r="C4" s="130" t="s">
        <v>428</v>
      </c>
      <c r="D4" s="139" t="s">
        <v>14</v>
      </c>
      <c r="E4" s="382">
        <v>2024</v>
      </c>
      <c r="F4" s="382">
        <f>E4+1</f>
        <v>2025</v>
      </c>
      <c r="G4" s="382">
        <f t="shared" ref="G4:H4" si="0">F4+1</f>
        <v>2026</v>
      </c>
      <c r="H4" s="382">
        <f t="shared" si="0"/>
        <v>2027</v>
      </c>
      <c r="I4" s="74"/>
      <c r="J4" s="100" t="s">
        <v>45</v>
      </c>
    </row>
    <row r="5" spans="1:10" ht="11.5" customHeight="1" x14ac:dyDescent="0.25">
      <c r="C5" s="28" t="s">
        <v>429</v>
      </c>
      <c r="D5" s="270" t="s">
        <v>162</v>
      </c>
      <c r="E5" s="28">
        <f>E12</f>
        <v>14950999</v>
      </c>
      <c r="F5" s="28">
        <f t="shared" ref="F5:H5" si="1">F12</f>
        <v>15764755</v>
      </c>
      <c r="G5" s="28">
        <f t="shared" si="1"/>
        <v>17165943</v>
      </c>
      <c r="H5" s="28">
        <f t="shared" si="1"/>
        <v>18614664</v>
      </c>
      <c r="J5" s="20"/>
    </row>
    <row r="6" spans="1:10" ht="11.5" customHeight="1" x14ac:dyDescent="0.25">
      <c r="C6" s="28" t="s">
        <v>430</v>
      </c>
      <c r="D6" s="270" t="s">
        <v>162</v>
      </c>
      <c r="E6" s="28">
        <f>E97</f>
        <v>1855851</v>
      </c>
      <c r="F6" s="28">
        <f t="shared" ref="F6:H6" si="2">F97</f>
        <v>1956858</v>
      </c>
      <c r="G6" s="28">
        <f t="shared" si="2"/>
        <v>2130781</v>
      </c>
      <c r="H6" s="28">
        <f t="shared" si="2"/>
        <v>2310613</v>
      </c>
      <c r="J6" s="20"/>
    </row>
    <row r="7" spans="1:10" ht="11.5" customHeight="1" x14ac:dyDescent="0.25">
      <c r="C7" s="21" t="s">
        <v>431</v>
      </c>
      <c r="D7" s="38" t="s">
        <v>162</v>
      </c>
      <c r="E7" s="376">
        <f>E182</f>
        <v>290385</v>
      </c>
      <c r="F7" s="376">
        <f t="shared" ref="F7:H7" si="3">F182</f>
        <v>256872</v>
      </c>
      <c r="G7" s="376">
        <f t="shared" si="3"/>
        <v>279698</v>
      </c>
      <c r="H7" s="376">
        <f t="shared" si="3"/>
        <v>303297</v>
      </c>
      <c r="J7" s="354"/>
    </row>
    <row r="8" spans="1:10" ht="11.5" customHeight="1" x14ac:dyDescent="0.25">
      <c r="C8" s="27" t="s">
        <v>432</v>
      </c>
      <c r="D8" s="40" t="s">
        <v>162</v>
      </c>
      <c r="E8" s="377">
        <f>E267</f>
        <v>25188</v>
      </c>
      <c r="F8" s="377">
        <f t="shared" ref="F8:H8" si="4">F267</f>
        <v>26495</v>
      </c>
      <c r="G8" s="377">
        <f t="shared" si="4"/>
        <v>28730</v>
      </c>
      <c r="H8" s="377">
        <f t="shared" si="4"/>
        <v>31040</v>
      </c>
      <c r="J8" s="377"/>
    </row>
    <row r="9" spans="1:10" ht="11.5" customHeight="1" x14ac:dyDescent="0.25">
      <c r="C9" s="11" t="s">
        <v>433</v>
      </c>
      <c r="D9" s="104" t="s">
        <v>162</v>
      </c>
      <c r="E9" s="378">
        <f>SUM(E5:E8)</f>
        <v>17122423</v>
      </c>
      <c r="F9" s="378">
        <f t="shared" ref="F9:H9" si="5">SUM(F5:F8)</f>
        <v>18004980</v>
      </c>
      <c r="G9" s="378">
        <f t="shared" si="5"/>
        <v>19605152</v>
      </c>
      <c r="H9" s="378">
        <f t="shared" si="5"/>
        <v>21259614</v>
      </c>
      <c r="J9" s="135"/>
    </row>
    <row r="10" spans="1:10" ht="3" customHeight="1" x14ac:dyDescent="0.25"/>
    <row r="11" spans="1:10" ht="11.5" customHeight="1" x14ac:dyDescent="0.25">
      <c r="B11" s="6" t="s">
        <v>0</v>
      </c>
      <c r="C11" s="130" t="s">
        <v>678</v>
      </c>
      <c r="D11" s="139" t="s">
        <v>14</v>
      </c>
      <c r="E11" s="382">
        <v>2024</v>
      </c>
      <c r="F11" s="382">
        <f>E11+1</f>
        <v>2025</v>
      </c>
      <c r="G11" s="382">
        <f t="shared" ref="G11" si="6">F11+1</f>
        <v>2026</v>
      </c>
      <c r="H11" s="382">
        <f t="shared" ref="H11" si="7">G11+1</f>
        <v>2027</v>
      </c>
      <c r="J11" s="5"/>
    </row>
    <row r="12" spans="1:10" s="16" customFormat="1" ht="11.5" customHeight="1" x14ac:dyDescent="0.25">
      <c r="B12" s="19" t="s">
        <v>10</v>
      </c>
      <c r="C12" s="267" t="s">
        <v>429</v>
      </c>
      <c r="D12" s="271" t="s">
        <v>162</v>
      </c>
      <c r="E12" s="379">
        <f>E13+E20+E27+E34+E41+E48+E55+E62+E69+E76+E83+E90</f>
        <v>14950999</v>
      </c>
      <c r="F12" s="379">
        <f t="shared" ref="F12:H12" si="8">F13+F20+F27+F34+F41+F48+F55+F62+F69+F76+F83+F90</f>
        <v>15764755</v>
      </c>
      <c r="G12" s="379">
        <f t="shared" si="8"/>
        <v>17165943</v>
      </c>
      <c r="H12" s="379">
        <f t="shared" si="8"/>
        <v>18614664</v>
      </c>
      <c r="I12" s="3"/>
      <c r="J12" s="268"/>
    </row>
    <row r="13" spans="1:10" s="74" customFormat="1" ht="11.5" customHeight="1" x14ac:dyDescent="0.25">
      <c r="B13" s="99" t="s">
        <v>9</v>
      </c>
      <c r="C13" s="105" t="str">
        <f>'4.2 Sector Mapping'!$B$5</f>
        <v>Agriculture</v>
      </c>
      <c r="D13" s="106" t="s">
        <v>162</v>
      </c>
      <c r="E13" s="383">
        <f>SUM(E14:E19)</f>
        <v>47641</v>
      </c>
      <c r="F13" s="380">
        <f t="shared" ref="F13:H13" si="9">SUM(F14:F19)</f>
        <v>54571</v>
      </c>
      <c r="G13" s="380">
        <f t="shared" si="9"/>
        <v>67166</v>
      </c>
      <c r="H13" s="380">
        <f t="shared" si="9"/>
        <v>81028</v>
      </c>
      <c r="J13" s="105"/>
    </row>
    <row r="14" spans="1:10" ht="11.5" customHeight="1" x14ac:dyDescent="0.25">
      <c r="C14" s="20" t="s">
        <v>600</v>
      </c>
      <c r="D14" s="34" t="s">
        <v>162</v>
      </c>
      <c r="E14" s="28">
        <f>ROUNDUP('1.1 Control Panel'!E$57*SUMIFS('4.3 Global SME Data'!$C$13:$C$18,'4.3 Global SME Data'!$B$13:$B$18,$C14)*1000000*(1+'1.1 Control Panel'!E$55-'1.1 Control Panel'!E$56)*SUMIFS('4.3 Global SME Data'!$C$21:$C$41,'4.3 Global SME Data'!$E$21:$E$41,$C$13)*SUMIFS('1.1 Control Panel'!E$62:E$67,'1.1 Control Panel'!C$62:C$67,$C14)*SUMIFS('1.1 Control Panel'!E$147:E$152,'1.1 Control Panel'!C$147:C$152,$C14)*SUMIFS('1.1 Control Panel'!E$232:E$237,'1.1 Control Panel'!C$232:C$237,$C14),0)</f>
        <v>21718</v>
      </c>
      <c r="F14" s="28">
        <f>ROUNDUP('1.1 Control Panel'!F$57*SUMIFS('4.3 Global SME Data'!$C$13:$C$18,'4.3 Global SME Data'!$B$13:$B$18,$C14)*1000000*(1+'1.1 Control Panel'!E$55-'1.1 Control Panel'!E$56)*(1+'1.1 Control Panel'!F$55-'1.1 Control Panel'!F$56)*SUMIFS('4.3 Global SME Data'!$C$21:$C$41,'4.3 Global SME Data'!$E$21:$E$41,$C$13)*SUMIFS('1.1 Control Panel'!F$62:F$67,'1.1 Control Panel'!C$62:C$67,$C14)*SUMIFS('1.1 Control Panel'!F$147:F$152,'1.1 Control Panel'!C$147:C$152,$C14)*SUMIFS('1.1 Control Panel'!F$232:F$237,'1.1 Control Panel'!C$232:C$237,$C14),0)</f>
        <v>25666</v>
      </c>
      <c r="G14" s="28">
        <f>ROUNDUP('1.1 Control Panel'!G$57*SUMIFS('4.3 Global SME Data'!$C$13:$C$18,'4.3 Global SME Data'!$B$13:$B$18,$C14)*1000000*(1+'1.1 Control Panel'!E$55-'1.1 Control Panel'!E$56)*(1+'1.1 Control Panel'!F$55-'1.1 Control Panel'!F$56)*(1+'1.1 Control Panel'!G$55-'1.1 Control Panel'!G$56)*SUMIFS('4.3 Global SME Data'!$C$21:$C$41,'4.3 Global SME Data'!$E$21:$E$41,$C$13)*SUMIFS('1.1 Control Panel'!G$62:G$67,'1.1 Control Panel'!C$62:C$67,$C14)*SUMIFS('1.1 Control Panel'!G$147:G$152,'1.1 Control Panel'!C$147:C$152,$C14)*SUMIFS('1.1 Control Panel'!G$232:G$237,'1.1 Control Panel'!C$232:C$237,$C14),0)</f>
        <v>32948</v>
      </c>
      <c r="H14" s="28">
        <f>ROUNDUP('1.1 Control Panel'!H$57*SUMIFS('4.3 Global SME Data'!$C$13:$C$18,'4.3 Global SME Data'!$B$13:$B$18,$C14)*1000000*(1+'1.1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Data'!$E$21:$E$41,$C$13)*SUMIFS('1.1 Control Panel'!H$62:H$67,'1.1 Control Panel'!C$62:C$67,$C14)*SUMIFS('1.1 Control Panel'!H$147:H$152,'1.1 Control Panel'!C$147:C$152,$C14)*SUMIFS('1.1 Control Panel'!H$232:H$237,'1.1 Control Panel'!C$232:C$237,$C14),0)</f>
        <v>41086</v>
      </c>
      <c r="J14" s="20"/>
    </row>
    <row r="15" spans="1:10" ht="11.5" customHeight="1" x14ac:dyDescent="0.25">
      <c r="C15" s="20" t="s">
        <v>392</v>
      </c>
      <c r="D15" s="34" t="s">
        <v>162</v>
      </c>
      <c r="E15" s="28">
        <f>ROUNDUP('1.1 Control Panel'!E$57*SUMIFS('4.3 Global SME Data'!$C$13:$C$18,'4.3 Global SME Data'!$B$13:$B$18,$C15)*1000000*(1+'1.1 Control Panel'!E$55-'1.1 Control Panel'!E$56)*SUMIFS('4.3 Global SME Data'!$C$21:$C$41,'4.3 Global SME Data'!$E$21:$E$41,$C$13)*SUMIFS('1.1 Control Panel'!E$62:E$67,'1.1 Control Panel'!C$62:C$67,$C15)*SUMIFS('1.1 Control Panel'!E$147:E$152,'1.1 Control Panel'!C$147:C$152,$C15)*SUMIFS('1.1 Control Panel'!E$232:E$237,'1.1 Control Panel'!C$232:C$237,$C15),0)</f>
        <v>1273</v>
      </c>
      <c r="F15" s="28">
        <f>ROUNDUP('1.1 Control Panel'!F$57*SUMIFS('4.3 Global SME Data'!$C$13:$C$18,'4.3 Global SME Data'!$B$13:$B$18,$C15)*1000000*(1+'1.1 Control Panel'!E$55-'1.1 Control Panel'!E$56)*(1+'1.1 Control Panel'!F$55-'1.1 Control Panel'!F$56)*SUMIFS('4.3 Global SME Data'!$C$21:$C$41,'4.3 Global SME Data'!$E$21:$E$41,$C$13)*SUMIFS('1.1 Control Panel'!F$62:F$67,'1.1 Control Panel'!C$62:C$67,$C15)*SUMIFS('1.1 Control Panel'!F$147:F$152,'1.1 Control Panel'!C$147:C$152,$C15)*SUMIFS('1.1 Control Panel'!F$232:F$237,'1.1 Control Panel'!C$232:C$237,$C15),0)</f>
        <v>1419</v>
      </c>
      <c r="G15" s="28">
        <f>ROUNDUP('1.1 Control Panel'!G$57*SUMIFS('4.3 Global SME Data'!$C$13:$C$18,'4.3 Global SME Data'!$B$13:$B$18,$C15)*1000000*(1+'1.1 Control Panel'!E$55-'1.1 Control Panel'!E$56)*(1+'1.1 Control Panel'!F$55-'1.1 Control Panel'!F$56)*(1+'1.1 Control Panel'!G$55-'1.1 Control Panel'!G$56)*SUMIFS('4.3 Global SME Data'!$C$21:$C$41,'4.3 Global SME Data'!$E$21:$E$41,$C$13)*SUMIFS('1.1 Control Panel'!G$62:G$67,'1.1 Control Panel'!C$62:C$67,$C15)*SUMIFS('1.1 Control Panel'!G$147:G$152,'1.1 Control Panel'!C$147:C$152,$C15)*SUMIFS('1.1 Control Panel'!G$232:G$237,'1.1 Control Panel'!C$232:C$237,$C15),0)</f>
        <v>1677</v>
      </c>
      <c r="H15" s="28">
        <f>ROUNDUP('1.1 Control Panel'!H$57*SUMIFS('4.3 Global SME Data'!$C$13:$C$18,'4.3 Global SME Data'!$B$13:$B$18,$C15)*1000000*(1+'1.1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Data'!$E$21:$E$41,$C$13)*SUMIFS('1.1 Control Panel'!H$62:H$67,'1.1 Control Panel'!C$62:C$67,$C15)*SUMIFS('1.1 Control Panel'!H$147:H$152,'1.1 Control Panel'!C$147:C$152,$C15)*SUMIFS('1.1 Control Panel'!H$232:H$237,'1.1 Control Panel'!C$232:C$237,$C15),0)</f>
        <v>1953</v>
      </c>
      <c r="J15" s="20"/>
    </row>
    <row r="16" spans="1:10" ht="11.5" customHeight="1" x14ac:dyDescent="0.25">
      <c r="C16" s="20" t="s">
        <v>454</v>
      </c>
      <c r="D16" s="34" t="s">
        <v>162</v>
      </c>
      <c r="E16" s="28">
        <f>ROUNDUP('1.1 Control Panel'!E$57*SUMIFS('4.3 Global SME Data'!$C$13:$C$18,'4.3 Global SME Data'!$B$13:$B$18,$C16)*1000000*(1+'1.1 Control Panel'!E$55-'1.1 Control Panel'!E$56)*SUMIFS('4.3 Global SME Data'!$C$21:$C$41,'4.3 Global SME Data'!$E$21:$E$41,$C$13)*SUMIFS('1.1 Control Panel'!E$62:E$67,'1.1 Control Panel'!C$62:C$67,$C16)*SUMIFS('1.1 Control Panel'!E$147:E$152,'1.1 Control Panel'!C$147:C$152,$C16)*SUMIFS('1.1 Control Panel'!E$232:E$237,'1.1 Control Panel'!C$232:C$237,$C16),0)</f>
        <v>1740</v>
      </c>
      <c r="F16" s="28">
        <f>ROUNDUP('1.1 Control Panel'!F$57*SUMIFS('4.3 Global SME Data'!$C$13:$C$18,'4.3 Global SME Data'!$B$13:$B$18,$C16)*1000000*(1+'1.1 Control Panel'!E$55-'1.1 Control Panel'!E$56)*(1+'1.1 Control Panel'!F$55-'1.1 Control Panel'!F$56)*SUMIFS('4.3 Global SME Data'!$C$21:$C$41,'4.3 Global SME Data'!$E$21:$E$41,$C$13)*SUMIFS('1.1 Control Panel'!F$62:F$67,'1.1 Control Panel'!C$62:C$67,$C16)*SUMIFS('1.1 Control Panel'!F$147:F$152,'1.1 Control Panel'!C$147:C$152,$C16)*SUMIFS('1.1 Control Panel'!F$232:F$237,'1.1 Control Panel'!C$232:C$237,$C16),0)</f>
        <v>1852</v>
      </c>
      <c r="G16" s="28">
        <f>ROUNDUP('1.1 Control Panel'!G$57*SUMIFS('4.3 Global SME Data'!$C$13:$C$18,'4.3 Global SME Data'!$B$13:$B$18,$C16)*1000000*(1+'1.1 Control Panel'!E$55-'1.1 Control Panel'!E$56)*(1+'1.1 Control Panel'!F$55-'1.1 Control Panel'!F$56)*(1+'1.1 Control Panel'!G$55-'1.1 Control Panel'!G$56)*SUMIFS('4.3 Global SME Data'!$C$21:$C$41,'4.3 Global SME Data'!$E$21:$E$41,$C$13)*SUMIFS('1.1 Control Panel'!G$62:G$67,'1.1 Control Panel'!C$62:C$67,$C16)*SUMIFS('1.1 Control Panel'!G$147:G$152,'1.1 Control Panel'!C$147:C$152,$C16)*SUMIFS('1.1 Control Panel'!G$232:G$237,'1.1 Control Panel'!C$232:C$237,$C16),0)</f>
        <v>2044</v>
      </c>
      <c r="H16" s="28">
        <f>ROUNDUP('1.1 Control Panel'!H$57*SUMIFS('4.3 Global SME Data'!$C$13:$C$18,'4.3 Global SME Data'!$B$13:$B$18,$C16)*1000000*(1+'1.1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Data'!$E$21:$E$41,$C$13)*SUMIFS('1.1 Control Panel'!H$62:H$67,'1.1 Control Panel'!C$62:C$67,$C16)*SUMIFS('1.1 Control Panel'!H$147:H$152,'1.1 Control Panel'!C$147:C$152,$C16)*SUMIFS('1.1 Control Panel'!H$232:H$237,'1.1 Control Panel'!C$232:C$237,$C16),0)</f>
        <v>2245</v>
      </c>
      <c r="J16" s="20"/>
    </row>
    <row r="17" spans="2:10" ht="11.5" customHeight="1" x14ac:dyDescent="0.25">
      <c r="C17" s="21" t="s">
        <v>455</v>
      </c>
      <c r="D17" s="38" t="s">
        <v>162</v>
      </c>
      <c r="E17" s="376">
        <f>ROUNDUP('1.1 Control Panel'!E$57*SUMIFS('4.3 Global SME Data'!$C$13:$C$18,'4.3 Global SME Data'!$B$13:$B$18,$C17)*1000000*(1+'1.1 Control Panel'!E$55-'1.1 Control Panel'!E$56)*SUMIFS('4.3 Global SME Data'!$C$21:$C$41,'4.3 Global SME Data'!$E$21:$E$41,$C$13)*SUMIFS('1.1 Control Panel'!E$62:E$67,'1.1 Control Panel'!C$62:C$67,$C17)*SUMIFS('1.1 Control Panel'!E$147:E$152,'1.1 Control Panel'!C$147:C$152,$C17)*SUMIFS('1.1 Control Panel'!E$232:E$237,'1.1 Control Panel'!C$232:C$237,$C17),0)</f>
        <v>8675</v>
      </c>
      <c r="F17" s="376">
        <f>ROUNDUP('1.1 Control Panel'!F$57*SUMIFS('4.3 Global SME Data'!$C$13:$C$18,'4.3 Global SME Data'!$B$13:$B$18,$C17)*1000000*(1+'1.1 Control Panel'!E$55-'1.1 Control Panel'!E$56)*(1+'1.1 Control Panel'!F$55-'1.1 Control Panel'!F$56)*SUMIFS('4.3 Global SME Data'!$C$21:$C$41,'4.3 Global SME Data'!$E$21:$E$41,$C$13)*SUMIFS('1.1 Control Panel'!F$62:F$67,'1.1 Control Panel'!C$62:C$67,$C17)*SUMIFS('1.1 Control Panel'!F$147:F$152,'1.1 Control Panel'!C$147:C$152,$C17)*SUMIFS('1.1 Control Panel'!F$232:F$237,'1.1 Control Panel'!C$232:C$237,$C17),0)</f>
        <v>9739</v>
      </c>
      <c r="G17" s="376">
        <f>ROUNDUP('1.1 Control Panel'!G$57*SUMIFS('4.3 Global SME Data'!$C$13:$C$18,'4.3 Global SME Data'!$B$13:$B$18,$C17)*1000000*(1+'1.1 Control Panel'!E$55-'1.1 Control Panel'!E$56)*(1+'1.1 Control Panel'!F$55-'1.1 Control Panel'!F$56)*(1+'1.1 Control Panel'!G$55-'1.1 Control Panel'!G$56)*SUMIFS('4.3 Global SME Data'!$C$21:$C$41,'4.3 Global SME Data'!$E$21:$E$41,$C$13)*SUMIFS('1.1 Control Panel'!G$62:G$67,'1.1 Control Panel'!C$62:C$67,$C17)*SUMIFS('1.1 Control Panel'!G$147:G$152,'1.1 Control Panel'!C$147:C$152,$C17)*SUMIFS('1.1 Control Panel'!G$232:G$237,'1.1 Control Panel'!C$232:C$237,$C17),0)</f>
        <v>11636</v>
      </c>
      <c r="H17" s="376">
        <f>ROUNDUP('1.1 Control Panel'!H$57*SUMIFS('4.3 Global SME Data'!$C$13:$C$18,'4.3 Global SME Data'!$B$13:$B$18,$C17)*1000000*(1+'1.1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Data'!$E$21:$E$41,$C$13)*SUMIFS('1.1 Control Panel'!H$62:H$67,'1.1 Control Panel'!C$62:C$67,$C17)*SUMIFS('1.1 Control Panel'!H$147:H$152,'1.1 Control Panel'!C$147:C$152,$C17)*SUMIFS('1.1 Control Panel'!H$232:H$237,'1.1 Control Panel'!C$232:C$237,$C17),0)</f>
        <v>13682</v>
      </c>
      <c r="J17" s="21"/>
    </row>
    <row r="18" spans="2:10" ht="11.5" customHeight="1" x14ac:dyDescent="0.25">
      <c r="C18" s="21" t="s">
        <v>393</v>
      </c>
      <c r="D18" s="38" t="s">
        <v>162</v>
      </c>
      <c r="E18" s="376">
        <f>ROUNDUP('1.1 Control Panel'!E$57*SUMIFS('4.3 Global SME Data'!$C$13:$C$18,'4.3 Global SME Data'!$B$13:$B$18,$C18)*1000000*(1+'1.1 Control Panel'!E$55-'1.1 Control Panel'!E$56)*SUMIFS('4.3 Global SME Data'!$C$21:$C$41,'4.3 Global SME Data'!$E$21:$E$41,$C$13)*SUMIFS('1.1 Control Panel'!E$62:E$67,'1.1 Control Panel'!C$62:C$67,$C18)*SUMIFS('1.1 Control Panel'!E$147:E$152,'1.1 Control Panel'!C$147:C$152,$C18)*SUMIFS('1.1 Control Panel'!E$232:E$237,'1.1 Control Panel'!C$232:C$237,$C18),0)</f>
        <v>11477</v>
      </c>
      <c r="F18" s="376">
        <f>ROUNDUP('1.1 Control Panel'!F$57*SUMIFS('4.3 Global SME Data'!$C$13:$C$18,'4.3 Global SME Data'!$B$13:$B$18,$C18)*1000000*(1+'1.1 Control Panel'!E$55-'1.1 Control Panel'!E$56)*(1+'1.1 Control Panel'!F$55-'1.1 Control Panel'!F$56)*SUMIFS('4.3 Global SME Data'!$C$21:$C$41,'4.3 Global SME Data'!$E$21:$E$41,$C$13)*SUMIFS('1.1 Control Panel'!F$62:F$67,'1.1 Control Panel'!C$62:C$67,$C18)*SUMIFS('1.1 Control Panel'!F$147:F$152,'1.1 Control Panel'!C$147:C$152,$C18)*SUMIFS('1.1 Control Panel'!F$232:F$237,'1.1 Control Panel'!C$232:C$237,$C18),0)</f>
        <v>12960</v>
      </c>
      <c r="G18" s="376">
        <f>ROUNDUP('1.1 Control Panel'!G$57*SUMIFS('4.3 Global SME Data'!$C$13:$C$18,'4.3 Global SME Data'!$B$13:$B$18,$C18)*1000000*(1+'1.1 Control Panel'!E$55-'1.1 Control Panel'!E$56)*(1+'1.1 Control Panel'!F$55-'1.1 Control Panel'!F$56)*(1+'1.1 Control Panel'!G$55-'1.1 Control Panel'!G$56)*SUMIFS('4.3 Global SME Data'!$C$21:$C$41,'4.3 Global SME Data'!$E$21:$E$41,$C$13)*SUMIFS('1.1 Control Panel'!G$62:G$67,'1.1 Control Panel'!C$62:C$67,$C18)*SUMIFS('1.1 Control Panel'!G$147:G$152,'1.1 Control Panel'!C$147:C$152,$C18)*SUMIFS('1.1 Control Panel'!G$232:G$237,'1.1 Control Panel'!C$232:C$237,$C18),0)</f>
        <v>15620</v>
      </c>
      <c r="H18" s="376">
        <f>ROUNDUP('1.1 Control Panel'!H$57*SUMIFS('4.3 Global SME Data'!$C$13:$C$18,'4.3 Global SME Data'!$B$13:$B$18,$C18)*1000000*(1+'1.1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Data'!$E$21:$E$41,$C$13)*SUMIFS('1.1 Control Panel'!H$62:H$67,'1.1 Control Panel'!C$62:C$67,$C18)*SUMIFS('1.1 Control Panel'!H$147:H$152,'1.1 Control Panel'!C$147:C$152,$C18)*SUMIFS('1.1 Control Panel'!H$232:H$237,'1.1 Control Panel'!C$232:C$237,$C18),0)</f>
        <v>18504</v>
      </c>
      <c r="J18" s="21"/>
    </row>
    <row r="19" spans="2:10" ht="11.5" customHeight="1" x14ac:dyDescent="0.25">
      <c r="C19" s="21" t="s">
        <v>456</v>
      </c>
      <c r="D19" s="38" t="s">
        <v>162</v>
      </c>
      <c r="E19" s="376">
        <f>ROUNDUP('1.1 Control Panel'!E$57*SUMIFS('4.3 Global SME Data'!$C$13:$C$18,'4.3 Global SME Data'!$B$13:$B$18,$C19)*1000000*(1+'1.1 Control Panel'!E$55-'1.1 Control Panel'!E$56)*SUMIFS('4.3 Global SME Data'!$C$21:$C$41,'4.3 Global SME Data'!$E$21:$E$41,$C$13)*SUMIFS('1.1 Control Panel'!E$62:E$67,'1.1 Control Panel'!C$62:C$67,$C19)*SUMIFS('1.1 Control Panel'!E$147:E$152,'1.1 Control Panel'!C$147:C$152,$C19)*SUMIFS('1.1 Control Panel'!E$232:E$237,'1.1 Control Panel'!C$232:C$237,$C19),0)</f>
        <v>2758</v>
      </c>
      <c r="F19" s="376">
        <f>ROUNDUP('1.1 Control Panel'!F$57*SUMIFS('4.3 Global SME Data'!$C$13:$C$18,'4.3 Global SME Data'!$B$13:$B$18,$C19)*1000000*(1+'1.1 Control Panel'!E$55-'1.1 Control Panel'!E$56)*(1+'1.1 Control Panel'!F$55-'1.1 Control Panel'!F$56)*SUMIFS('4.3 Global SME Data'!$C$21:$C$41,'4.3 Global SME Data'!$E$21:$E$41,$C$13)*SUMIFS('1.1 Control Panel'!F$62:F$67,'1.1 Control Panel'!C$62:C$67,$C19)*SUMIFS('1.1 Control Panel'!F$147:F$152,'1.1 Control Panel'!C$147:C$152,$C19)*SUMIFS('1.1 Control Panel'!F$232:F$237,'1.1 Control Panel'!C$232:C$237,$C19),0)</f>
        <v>2935</v>
      </c>
      <c r="G19" s="376">
        <f>ROUNDUP('1.1 Control Panel'!G$57*SUMIFS('4.3 Global SME Data'!$C$13:$C$18,'4.3 Global SME Data'!$B$13:$B$18,$C19)*1000000*(1+'1.1 Control Panel'!E$55-'1.1 Control Panel'!E$56)*(1+'1.1 Control Panel'!F$55-'1.1 Control Panel'!F$56)*(1+'1.1 Control Panel'!G$55-'1.1 Control Panel'!G$56)*SUMIFS('4.3 Global SME Data'!$C$21:$C$41,'4.3 Global SME Data'!$E$21:$E$41,$C$13)*SUMIFS('1.1 Control Panel'!G$62:G$67,'1.1 Control Panel'!C$62:C$67,$C19)*SUMIFS('1.1 Control Panel'!G$147:G$152,'1.1 Control Panel'!C$147:C$152,$C19)*SUMIFS('1.1 Control Panel'!G$232:G$237,'1.1 Control Panel'!C$232:C$237,$C19),0)</f>
        <v>3241</v>
      </c>
      <c r="H19" s="376">
        <f>ROUNDUP('1.1 Control Panel'!H$57*SUMIFS('4.3 Global SME Data'!$C$13:$C$18,'4.3 Global SME Data'!$B$13:$B$18,$C19)*1000000*(1+'1.1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Data'!$E$21:$E$41,$C$13)*SUMIFS('1.1 Control Panel'!H$62:H$67,'1.1 Control Panel'!C$62:C$67,$C19)*SUMIFS('1.1 Control Panel'!H$147:H$152,'1.1 Control Panel'!C$147:C$152,$C19)*SUMIFS('1.1 Control Panel'!H$232:H$237,'1.1 Control Panel'!C$232:C$237,$C19),0)</f>
        <v>3558</v>
      </c>
      <c r="J19" s="21"/>
    </row>
    <row r="20" spans="2:10" s="74" customFormat="1" ht="11.5" customHeight="1" x14ac:dyDescent="0.25">
      <c r="B20" s="99" t="s">
        <v>9</v>
      </c>
      <c r="C20" s="105" t="str">
        <f>'4.2 Sector Mapping'!$B$6</f>
        <v>Communication, Media and Technology</v>
      </c>
      <c r="D20" s="106" t="s">
        <v>162</v>
      </c>
      <c r="E20" s="380">
        <f>SUM(E21:E26)</f>
        <v>1147912</v>
      </c>
      <c r="F20" s="380">
        <f t="shared" ref="F20" si="10">SUM(F21:F26)</f>
        <v>1195936</v>
      </c>
      <c r="G20" s="380">
        <f t="shared" ref="G20" si="11">SUM(G21:G26)</f>
        <v>1277822</v>
      </c>
      <c r="H20" s="380">
        <f t="shared" ref="H20" si="12">SUM(H21:H26)</f>
        <v>1361409</v>
      </c>
      <c r="J20" s="105"/>
    </row>
    <row r="21" spans="2:10" ht="11.5" customHeight="1" x14ac:dyDescent="0.25">
      <c r="C21" s="20" t="s">
        <v>600</v>
      </c>
      <c r="D21" s="34" t="s">
        <v>162</v>
      </c>
      <c r="E21" s="28">
        <f>ROUNDUP('1.1 Control Panel'!E$57*SUMIFS('4.3 Global SME Data'!$C$13:$C$18,'4.3 Global SME Data'!$B$13:$B$18,$C21)*1000000*(1+'1.1 Control Panel'!E$55-'1.1 Control Panel'!E$56)*SUMIFS('4.3 Global SME Data'!$C$21:$C$41,'4.3 Global SME Data'!$E$21:$E$41,$C$20)*SUMIFS('1.1 Control Panel'!E$69:E$74,'1.1 Control Panel'!C$69:C$74,$C21)*SUMIFS('1.1 Control Panel'!E$154:E$159,'1.1 Control Panel'!C$154:C$159,$C21)*SUMIFS('1.1 Control Panel'!E$239:E$244,'1.1 Control Panel'!C$239:C$244,$C21),0)</f>
        <v>714124</v>
      </c>
      <c r="F21" s="28">
        <f>ROUNDUP('1.1 Control Panel'!F$57*SUMIFS('4.3 Global SME Data'!$C$13:$C$18,'4.3 Global SME Data'!$B$13:$B$18,$C21)*1000000*(1+'1.1 Control Panel'!E$55-'1.1 Control Panel'!E$56)*(1+'1.1 Control Panel'!F$55-'1.1 Control Panel'!F$56)*SUMIFS('4.3 Global SME Data'!$C$21:$C$41,'4.3 Global SME Data'!$E$21:$E$41,$C$20)*SUMIFS('1.1 Control Panel'!F$69:F$74,'1.1 Control Panel'!C$69:C$74,$C21)*SUMIFS('1.1 Control Panel'!F$154:F$159,'1.1 Control Panel'!C$154:C$159,$C21)*SUMIFS('1.1 Control Panel'!F$239:F$244,'1.1 Control Panel'!C$239:C$244,$C21),0)</f>
        <v>745372</v>
      </c>
      <c r="G21" s="28">
        <f>ROUNDUP('1.1 Control Panel'!G$57*SUMIFS('4.3 Global SME Data'!$C$13:$C$18,'4.3 Global SME Data'!$B$13:$B$18,$C21)*1000000*(1+'1.1 Control Panel'!E$55-'1.1 Control Panel'!E$56)*(1+'1.1 Control Panel'!F$55-'1.1 Control Panel'!F$56)*(1+'1.1 Control Panel'!G$55-'1.1 Control Panel'!G$56)*SUMIFS('4.3 Global SME Data'!$C$21:$C$41,'4.3 Global SME Data'!$E$21:$E$41,$C$20)*SUMIFS('1.1 Control Panel'!G$69:G$74,'1.1 Control Panel'!C$69:C$74,$C21)*SUMIFS('1.1 Control Panel'!G$154:G$159,'1.1 Control Panel'!C$154:C$159,$C21)*SUMIFS('1.1 Control Panel'!G$239:G$244,'1.1 Control Panel'!C$239:C$244,$C21),0)</f>
        <v>798699</v>
      </c>
      <c r="H21" s="28">
        <f>ROUNDUP('1.1 Control Panel'!H$57*SUMIFS('4.3 Global SME Data'!$C$13:$C$18,'4.3 Global SME Data'!$B$13:$B$18,$C21)*1000000*(1+'1.1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Data'!$E$21:$E$41,$C$20)*SUMIFS('1.1 Control Panel'!H$69:H$74,'1.1 Control Panel'!C$69:C$74,$C21)*SUMIFS('1.1 Control Panel'!H$154:H$159,'1.1 Control Panel'!C$154:C$159,$C21)*SUMIFS('1.1 Control Panel'!H$239:H$244,'1.1 Control Panel'!C$239:C$244,$C21),0)</f>
        <v>853204</v>
      </c>
      <c r="J21" s="20"/>
    </row>
    <row r="22" spans="2:10" ht="11.5" customHeight="1" x14ac:dyDescent="0.25">
      <c r="C22" s="20" t="s">
        <v>392</v>
      </c>
      <c r="D22" s="34" t="s">
        <v>162</v>
      </c>
      <c r="E22" s="28">
        <f>ROUNDUP('1.1 Control Panel'!E$57*SUMIFS('4.3 Global SME Data'!$C$13:$C$18,'4.3 Global SME Data'!$B$13:$B$18,$C22)*1000000*(1+'1.1 Control Panel'!E$55-'1.1 Control Panel'!E$56)*SUMIFS('4.3 Global SME Data'!$C$21:$C$41,'4.3 Global SME Data'!$E$21:$E$41,$C$20)*SUMIFS('1.1 Control Panel'!E$69:E$74,'1.1 Control Panel'!C$69:C$74,$C22)*SUMIFS('1.1 Control Panel'!E$154:E$159,'1.1 Control Panel'!C$154:C$159,$C22)*SUMIFS('1.1 Control Panel'!E$239:E$244,'1.1 Control Panel'!C$239:C$244,$C22),0)</f>
        <v>32280</v>
      </c>
      <c r="F22" s="28">
        <f>ROUNDUP('1.1 Control Panel'!F$57*SUMIFS('4.3 Global SME Data'!$C$13:$C$18,'4.3 Global SME Data'!$B$13:$B$18,$C22)*1000000*(1+'1.1 Control Panel'!E$55-'1.1 Control Panel'!E$56)*(1+'1.1 Control Panel'!F$55-'1.1 Control Panel'!F$56)*SUMIFS('4.3 Global SME Data'!$C$21:$C$41,'4.3 Global SME Data'!$E$21:$E$41,$C$20)*SUMIFS('1.1 Control Panel'!F$69:F$74,'1.1 Control Panel'!C$69:C$74,$C22)*SUMIFS('1.1 Control Panel'!F$154:F$159,'1.1 Control Panel'!C$154:C$159,$C22)*SUMIFS('1.1 Control Panel'!F$239:F$244,'1.1 Control Panel'!C$239:C$244,$C22),0)</f>
        <v>33275</v>
      </c>
      <c r="G22" s="28">
        <f>ROUNDUP('1.1 Control Panel'!G$57*SUMIFS('4.3 Global SME Data'!$C$13:$C$18,'4.3 Global SME Data'!$B$13:$B$18,$C22)*1000000*(1+'1.1 Control Panel'!E$55-'1.1 Control Panel'!E$56)*(1+'1.1 Control Panel'!F$55-'1.1 Control Panel'!F$56)*(1+'1.1 Control Panel'!G$55-'1.1 Control Panel'!G$56)*SUMIFS('4.3 Global SME Data'!$C$21:$C$41,'4.3 Global SME Data'!$E$21:$E$41,$C$20)*SUMIFS('1.1 Control Panel'!G$69:G$74,'1.1 Control Panel'!C$69:C$74,$C22)*SUMIFS('1.1 Control Panel'!G$154:G$159,'1.1 Control Panel'!C$154:C$159,$C22)*SUMIFS('1.1 Control Panel'!G$239:G$244,'1.1 Control Panel'!C$239:C$244,$C22),0)</f>
        <v>34957</v>
      </c>
      <c r="H22" s="28">
        <f>ROUNDUP('1.1 Control Panel'!H$57*SUMIFS('4.3 Global SME Data'!$C$13:$C$18,'4.3 Global SME Data'!$B$13:$B$18,$C22)*1000000*(1+'1.1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Data'!$E$21:$E$41,$C$20)*SUMIFS('1.1 Control Panel'!H$69:H$74,'1.1 Control Panel'!C$69:C$74,$C22)*SUMIFS('1.1 Control Panel'!H$154:H$159,'1.1 Control Panel'!C$154:C$159,$C22)*SUMIFS('1.1 Control Panel'!H$239:H$244,'1.1 Control Panel'!C$239:C$244,$C22),0)</f>
        <v>36650</v>
      </c>
      <c r="J22" s="20"/>
    </row>
    <row r="23" spans="2:10" ht="11.5" customHeight="1" x14ac:dyDescent="0.25">
      <c r="C23" s="20" t="s">
        <v>454</v>
      </c>
      <c r="D23" s="34" t="s">
        <v>162</v>
      </c>
      <c r="E23" s="28">
        <f>ROUNDUP('1.1 Control Panel'!E$57*SUMIFS('4.3 Global SME Data'!$C$13:$C$18,'4.3 Global SME Data'!$B$13:$B$18,$C23)*1000000*(1+'1.1 Control Panel'!E$55-'1.1 Control Panel'!E$56)*SUMIFS('4.3 Global SME Data'!$C$21:$C$41,'4.3 Global SME Data'!$E$21:$E$41,$C$20)*SUMIFS('1.1 Control Panel'!E$69:E$74,'1.1 Control Panel'!C$69:C$74,$C23)*SUMIFS('1.1 Control Panel'!E$154:E$159,'1.1 Control Panel'!C$154:C$159,$C23)*SUMIFS('1.1 Control Panel'!E$239:E$244,'1.1 Control Panel'!C$239:C$244,$C23),0)</f>
        <v>29410</v>
      </c>
      <c r="F23" s="28">
        <f>ROUNDUP('1.1 Control Panel'!F$57*SUMIFS('4.3 Global SME Data'!$C$13:$C$18,'4.3 Global SME Data'!$B$13:$B$18,$C23)*1000000*(1+'1.1 Control Panel'!E$55-'1.1 Control Panel'!E$56)*(1+'1.1 Control Panel'!F$55-'1.1 Control Panel'!F$56)*SUMIFS('4.3 Global SME Data'!$C$21:$C$41,'4.3 Global SME Data'!$E$21:$E$41,$C$20)*SUMIFS('1.1 Control Panel'!F$69:F$74,'1.1 Control Panel'!C$69:C$74,$C23)*SUMIFS('1.1 Control Panel'!F$154:F$159,'1.1 Control Panel'!C$154:C$159,$C23)*SUMIFS('1.1 Control Panel'!F$239:F$244,'1.1 Control Panel'!C$239:C$244,$C23),0)</f>
        <v>30042</v>
      </c>
      <c r="G23" s="28">
        <f>ROUNDUP('1.1 Control Panel'!G$57*SUMIFS('4.3 Global SME Data'!$C$13:$C$18,'4.3 Global SME Data'!$B$13:$B$18,$C23)*1000000*(1+'1.1 Control Panel'!E$55-'1.1 Control Panel'!E$56)*(1+'1.1 Control Panel'!F$55-'1.1 Control Panel'!F$56)*(1+'1.1 Control Panel'!G$55-'1.1 Control Panel'!G$56)*SUMIFS('4.3 Global SME Data'!$C$21:$C$41,'4.3 Global SME Data'!$E$21:$E$41,$C$20)*SUMIFS('1.1 Control Panel'!G$69:G$74,'1.1 Control Panel'!C$69:C$74,$C23)*SUMIFS('1.1 Control Panel'!G$154:G$159,'1.1 Control Panel'!C$154:C$159,$C23)*SUMIFS('1.1 Control Panel'!G$239:G$244,'1.1 Control Panel'!C$239:C$244,$C23),0)</f>
        <v>31101</v>
      </c>
      <c r="H23" s="28">
        <f>ROUNDUP('1.1 Control Panel'!H$57*SUMIFS('4.3 Global SME Data'!$C$13:$C$18,'4.3 Global SME Data'!$B$13:$B$18,$C23)*1000000*(1+'1.1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Data'!$E$21:$E$41,$C$20)*SUMIFS('1.1 Control Panel'!H$69:H$74,'1.1 Control Panel'!C$69:C$74,$C23)*SUMIFS('1.1 Control Panel'!H$154:H$159,'1.1 Control Panel'!C$154:C$159,$C23)*SUMIFS('1.1 Control Panel'!H$239:H$244,'1.1 Control Panel'!C$239:C$244,$C23),0)</f>
        <v>32155</v>
      </c>
      <c r="J23" s="20"/>
    </row>
    <row r="24" spans="2:10" ht="11.5" customHeight="1" x14ac:dyDescent="0.25">
      <c r="C24" s="21" t="s">
        <v>455</v>
      </c>
      <c r="D24" s="38" t="s">
        <v>162</v>
      </c>
      <c r="E24" s="376">
        <f>ROUNDUP('1.1 Control Panel'!E$57*SUMIFS('4.3 Global SME Data'!$C$13:$C$18,'4.3 Global SME Data'!$B$13:$B$18,$C24)*1000000*(1+'1.1 Control Panel'!E$55-'1.1 Control Panel'!E$56)*SUMIFS('4.3 Global SME Data'!$C$21:$C$41,'4.3 Global SME Data'!$E$21:$E$41,$C$20)*SUMIFS('1.1 Control Panel'!E$69:E$74,'1.1 Control Panel'!C$69:C$74,$C24)*SUMIFS('1.1 Control Panel'!E$154:E$159,'1.1 Control Panel'!C$154:C$159,$C24)*SUMIFS('1.1 Control Panel'!E$239:E$244,'1.1 Control Panel'!C$239:C$244,$C24),0)</f>
        <v>154716</v>
      </c>
      <c r="F24" s="376">
        <f>ROUNDUP('1.1 Control Panel'!F$57*SUMIFS('4.3 Global SME Data'!$C$13:$C$18,'4.3 Global SME Data'!$B$13:$B$18,$C24)*1000000*(1+'1.1 Control Panel'!E$55-'1.1 Control Panel'!E$56)*(1+'1.1 Control Panel'!F$55-'1.1 Control Panel'!F$56)*SUMIFS('4.3 Global SME Data'!$C$21:$C$41,'4.3 Global SME Data'!$E$21:$E$41,$C$20)*SUMIFS('1.1 Control Panel'!F$69:F$74,'1.1 Control Panel'!C$69:C$74,$C24)*SUMIFS('1.1 Control Panel'!F$154:F$159,'1.1 Control Panel'!C$154:C$159,$C24)*SUMIFS('1.1 Control Panel'!F$239:F$244,'1.1 Control Panel'!C$239:C$244,$C24),0)</f>
        <v>160866</v>
      </c>
      <c r="G24" s="376">
        <f>ROUNDUP('1.1 Control Panel'!G$57*SUMIFS('4.3 Global SME Data'!$C$13:$C$18,'4.3 Global SME Data'!$B$13:$B$18,$C24)*1000000*(1+'1.1 Control Panel'!E$55-'1.1 Control Panel'!E$56)*(1+'1.1 Control Panel'!F$55-'1.1 Control Panel'!F$56)*(1+'1.1 Control Panel'!G$55-'1.1 Control Panel'!G$56)*SUMIFS('4.3 Global SME Data'!$C$21:$C$41,'4.3 Global SME Data'!$E$21:$E$41,$C$20)*SUMIFS('1.1 Control Panel'!G$69:G$74,'1.1 Control Panel'!C$69:C$74,$C24)*SUMIFS('1.1 Control Panel'!G$154:G$159,'1.1 Control Panel'!C$154:C$159,$C24)*SUMIFS('1.1 Control Panel'!G$239:G$244,'1.1 Control Panel'!C$239:C$244,$C24),0)</f>
        <v>171332</v>
      </c>
      <c r="H24" s="376">
        <f>ROUNDUP('1.1 Control Panel'!H$57*SUMIFS('4.3 Global SME Data'!$C$13:$C$18,'4.3 Global SME Data'!$B$13:$B$18,$C24)*1000000*(1+'1.1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Data'!$E$21:$E$41,$C$20)*SUMIFS('1.1 Control Panel'!H$69:H$74,'1.1 Control Panel'!C$69:C$74,$C24)*SUMIFS('1.1 Control Panel'!H$154:H$159,'1.1 Control Panel'!C$154:C$159,$C24)*SUMIFS('1.1 Control Panel'!H$239:H$244,'1.1 Control Panel'!C$239:C$244,$C24),0)</f>
        <v>181987</v>
      </c>
      <c r="J24" s="21"/>
    </row>
    <row r="25" spans="2:10" ht="11.5" customHeight="1" x14ac:dyDescent="0.25">
      <c r="C25" s="21" t="s">
        <v>393</v>
      </c>
      <c r="D25" s="38" t="s">
        <v>162</v>
      </c>
      <c r="E25" s="376">
        <f>ROUNDUP('1.1 Control Panel'!E$57*SUMIFS('4.3 Global SME Data'!$C$13:$C$18,'4.3 Global SME Data'!$B$13:$B$18,$C25)*1000000*(1+'1.1 Control Panel'!E$55-'1.1 Control Panel'!E$56)*SUMIFS('4.3 Global SME Data'!$C$21:$C$41,'4.3 Global SME Data'!$E$21:$E$41,$C$20)*SUMIFS('1.1 Control Panel'!E$69:E$74,'1.1 Control Panel'!C$69:C$74,$C25)*SUMIFS('1.1 Control Panel'!E$154:E$159,'1.1 Control Panel'!C$154:C$159,$C25)*SUMIFS('1.1 Control Panel'!E$239:E$244,'1.1 Control Panel'!C$239:C$244,$C25),0)</f>
        <v>174642</v>
      </c>
      <c r="F25" s="376">
        <f>ROUNDUP('1.1 Control Panel'!F$57*SUMIFS('4.3 Global SME Data'!$C$13:$C$18,'4.3 Global SME Data'!$B$13:$B$18,$C25)*1000000*(1+'1.1 Control Panel'!E$55-'1.1 Control Panel'!E$56)*(1+'1.1 Control Panel'!F$55-'1.1 Control Panel'!F$56)*SUMIFS('4.3 Global SME Data'!$C$21:$C$41,'4.3 Global SME Data'!$E$21:$E$41,$C$20)*SUMIFS('1.1 Control Panel'!F$69:F$74,'1.1 Control Panel'!C$69:C$74,$C25)*SUMIFS('1.1 Control Panel'!F$154:F$159,'1.1 Control Panel'!C$154:C$159,$C25)*SUMIFS('1.1 Control Panel'!F$239:F$244,'1.1 Control Panel'!C$239:C$244,$C25),0)</f>
        <v>182683</v>
      </c>
      <c r="G25" s="376">
        <f>ROUNDUP('1.1 Control Panel'!G$57*SUMIFS('4.3 Global SME Data'!$C$13:$C$18,'4.3 Global SME Data'!$B$13:$B$18,$C25)*1000000*(1+'1.1 Control Panel'!E$55-'1.1 Control Panel'!E$56)*(1+'1.1 Control Panel'!F$55-'1.1 Control Panel'!F$56)*(1+'1.1 Control Panel'!G$55-'1.1 Control Panel'!G$56)*SUMIFS('4.3 Global SME Data'!$C$21:$C$41,'4.3 Global SME Data'!$E$21:$E$41,$C$20)*SUMIFS('1.1 Control Panel'!G$69:G$74,'1.1 Control Panel'!C$69:C$74,$C25)*SUMIFS('1.1 Control Panel'!G$154:G$159,'1.1 Control Panel'!C$154:C$159,$C25)*SUMIFS('1.1 Control Panel'!G$239:G$244,'1.1 Control Panel'!C$239:C$244,$C25),0)</f>
        <v>196428</v>
      </c>
      <c r="H25" s="376">
        <f>ROUNDUP('1.1 Control Panel'!H$57*SUMIFS('4.3 Global SME Data'!$C$13:$C$18,'4.3 Global SME Data'!$B$13:$B$18,$C25)*1000000*(1+'1.1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Data'!$E$21:$E$41,$C$20)*SUMIFS('1.1 Control Panel'!H$69:H$74,'1.1 Control Panel'!C$69:C$74,$C25)*SUMIFS('1.1 Control Panel'!H$154:H$159,'1.1 Control Panel'!C$154:C$159,$C25)*SUMIFS('1.1 Control Panel'!H$239:H$244,'1.1 Control Panel'!C$239:C$244,$C25),0)</f>
        <v>210507</v>
      </c>
      <c r="J25" s="21"/>
    </row>
    <row r="26" spans="2:10" ht="11.5" customHeight="1" x14ac:dyDescent="0.25">
      <c r="C26" s="21" t="s">
        <v>456</v>
      </c>
      <c r="D26" s="38" t="s">
        <v>162</v>
      </c>
      <c r="E26" s="376">
        <f>ROUNDUP('1.1 Control Panel'!E$57*SUMIFS('4.3 Global SME Data'!$C$13:$C$18,'4.3 Global SME Data'!$B$13:$B$18,$C26)*1000000*(1+'1.1 Control Panel'!E$55-'1.1 Control Panel'!E$56)*SUMIFS('4.3 Global SME Data'!$C$21:$C$41,'4.3 Global SME Data'!$E$21:$E$41,$C$20)*SUMIFS('1.1 Control Panel'!E$69:E$74,'1.1 Control Panel'!C$69:C$74,$C26)*SUMIFS('1.1 Control Panel'!E$154:E$159,'1.1 Control Panel'!C$154:C$159,$C26)*SUMIFS('1.1 Control Panel'!E$239:E$244,'1.1 Control Panel'!C$239:C$244,$C26),0)</f>
        <v>42740</v>
      </c>
      <c r="F26" s="376">
        <f>ROUNDUP('1.1 Control Panel'!F$57*SUMIFS('4.3 Global SME Data'!$C$13:$C$18,'4.3 Global SME Data'!$B$13:$B$18,$C26)*1000000*(1+'1.1 Control Panel'!E$55-'1.1 Control Panel'!E$56)*(1+'1.1 Control Panel'!F$55-'1.1 Control Panel'!F$56)*SUMIFS('4.3 Global SME Data'!$C$21:$C$41,'4.3 Global SME Data'!$E$21:$E$41,$C$20)*SUMIFS('1.1 Control Panel'!F$69:F$74,'1.1 Control Panel'!C$69:C$74,$C26)*SUMIFS('1.1 Control Panel'!F$154:F$159,'1.1 Control Panel'!C$154:C$159,$C26)*SUMIFS('1.1 Control Panel'!F$239:F$244,'1.1 Control Panel'!C$239:C$244,$C26),0)</f>
        <v>43698</v>
      </c>
      <c r="G26" s="376">
        <f>ROUNDUP('1.1 Control Panel'!G$57*SUMIFS('4.3 Global SME Data'!$C$13:$C$18,'4.3 Global SME Data'!$B$13:$B$18,$C26)*1000000*(1+'1.1 Control Panel'!E$55-'1.1 Control Panel'!E$56)*(1+'1.1 Control Panel'!F$55-'1.1 Control Panel'!F$56)*(1+'1.1 Control Panel'!G$55-'1.1 Control Panel'!G$56)*SUMIFS('4.3 Global SME Data'!$C$21:$C$41,'4.3 Global SME Data'!$E$21:$E$41,$C$20)*SUMIFS('1.1 Control Panel'!G$69:G$74,'1.1 Control Panel'!C$69:C$74,$C26)*SUMIFS('1.1 Control Panel'!G$154:G$159,'1.1 Control Panel'!C$154:C$159,$C26)*SUMIFS('1.1 Control Panel'!G$239:G$244,'1.1 Control Panel'!C$239:C$244,$C26),0)</f>
        <v>45305</v>
      </c>
      <c r="H26" s="376">
        <f>ROUNDUP('1.1 Control Panel'!H$57*SUMIFS('4.3 Global SME Data'!$C$13:$C$18,'4.3 Global SME Data'!$B$13:$B$18,$C26)*1000000*(1+'1.1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Data'!$E$21:$E$41,$C$20)*SUMIFS('1.1 Control Panel'!H$69:H$74,'1.1 Control Panel'!C$69:C$74,$C26)*SUMIFS('1.1 Control Panel'!H$154:H$159,'1.1 Control Panel'!C$154:C$159,$C26)*SUMIFS('1.1 Control Panel'!H$239:H$244,'1.1 Control Panel'!C$239:C$244,$C26),0)</f>
        <v>46906</v>
      </c>
      <c r="J26" s="21"/>
    </row>
    <row r="27" spans="2:10" s="74" customFormat="1" ht="11.5" customHeight="1" x14ac:dyDescent="0.25">
      <c r="B27" s="99" t="s">
        <v>9</v>
      </c>
      <c r="C27" s="105" t="str">
        <f>'4.2 Sector Mapping'!$B$7</f>
        <v>Energy and Environment</v>
      </c>
      <c r="D27" s="106" t="s">
        <v>162</v>
      </c>
      <c r="E27" s="380">
        <f>SUM(E28:E33)</f>
        <v>631953</v>
      </c>
      <c r="F27" s="380">
        <f t="shared" ref="F27" si="13">SUM(F28:F33)</f>
        <v>673878</v>
      </c>
      <c r="G27" s="380">
        <f t="shared" ref="G27" si="14">SUM(G28:G33)</f>
        <v>746561</v>
      </c>
      <c r="H27" s="380">
        <f t="shared" ref="H27" si="15">SUM(H28:H33)</f>
        <v>822353</v>
      </c>
      <c r="J27" s="105"/>
    </row>
    <row r="28" spans="2:10" ht="11.5" customHeight="1" x14ac:dyDescent="0.25">
      <c r="C28" s="20" t="s">
        <v>600</v>
      </c>
      <c r="D28" s="34" t="s">
        <v>162</v>
      </c>
      <c r="E28" s="28">
        <f>ROUNDUP('1.1 Control Panel'!E$57*SUMIFS('4.3 Global SME Data'!$C$13:$C$18,'4.3 Global SME Data'!$B$13:$B$18,$C28)*1000000*(1+'1.1 Control Panel'!E$55-'1.1 Control Panel'!E$56)*SUMIFS('4.3 Global SME Data'!$C$21:$C$41,'4.3 Global SME Data'!$E$21:$E$41,$C$27)*SUMIFS('1.1 Control Panel'!E$76:E$81,'1.1 Control Panel'!C$76:C$81,$C28)*SUMIFS('1.1 Control Panel'!E$161:E$166,'1.1 Control Panel'!C$161:C$166,$C28)*SUMIFS('1.1 Control Panel'!E$246:E$251,'1.1 Control Panel'!C$246:C$251,$C28),0)</f>
        <v>326384</v>
      </c>
      <c r="F28" s="28">
        <f>ROUNDUP('1.1 Control Panel'!F$57*SUMIFS('4.3 Global SME Data'!$C$13:$C$18,'4.3 Global SME Data'!$B$13:$B$18,$C28)*1000000*(1+'1.1 Control Panel'!E$55-'1.1 Control Panel'!E$56)*(1+'1.1 Control Panel'!F$55-'1.1 Control Panel'!F$56)*SUMIFS('4.3 Global SME Data'!$C$21:$C$41,'4.3 Global SME Data'!$E$21:$E$41,$C$27)*SUMIFS('1.1 Control Panel'!F$76:F$81,'1.1 Control Panel'!C$76:C$81,$C28)*SUMIFS('1.1 Control Panel'!F$161:F$166,'1.1 Control Panel'!C$161:C$166,$C28)*SUMIFS('1.1 Control Panel'!F$246:F$251,'1.1 Control Panel'!C$246:C$251,$C28),0)</f>
        <v>351497</v>
      </c>
      <c r="G28" s="28">
        <f>ROUNDUP('1.1 Control Panel'!G$57*SUMIFS('4.3 Global SME Data'!$C$13:$C$18,'4.3 Global SME Data'!$B$13:$B$18,$C28)*1000000*(1+'1.1 Control Panel'!E$55-'1.1 Control Panel'!E$56)*(1+'1.1 Control Panel'!F$55-'1.1 Control Panel'!F$56)*(1+'1.1 Control Panel'!G$55-'1.1 Control Panel'!G$56)*SUMIFS('4.3 Global SME Data'!$C$21:$C$41,'4.3 Global SME Data'!$E$21:$E$41,$C$27)*SUMIFS('1.1 Control Panel'!G$76:G$81,'1.1 Control Panel'!C$76:C$81,$C28)*SUMIFS('1.1 Control Panel'!G$161:G$166,'1.1 Control Panel'!C$161:C$166,$C28)*SUMIFS('1.1 Control Panel'!G$246:G$251,'1.1 Control Panel'!C$246:C$251,$C28),0)</f>
        <v>395257</v>
      </c>
      <c r="H28" s="28">
        <f>ROUNDUP('1.1 Control Panel'!H$57*SUMIFS('4.3 Global SME Data'!$C$13:$C$18,'4.3 Global SME Data'!$B$13:$B$18,$C28)*1000000*(1+'1.1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Data'!$E$21:$E$41,$C$27)*SUMIFS('1.1 Control Panel'!H$76:H$81,'1.1 Control Panel'!C$76:C$81,$C28)*SUMIFS('1.1 Control Panel'!H$161:H$166,'1.1 Control Panel'!C$161:C$166,$C28)*SUMIFS('1.1 Control Panel'!H$246:H$251,'1.1 Control Panel'!C$246:C$251,$C28),0)</f>
        <v>441180</v>
      </c>
      <c r="J28" s="20"/>
    </row>
    <row r="29" spans="2:10" ht="11.5" customHeight="1" x14ac:dyDescent="0.25">
      <c r="C29" s="20" t="s">
        <v>392</v>
      </c>
      <c r="D29" s="34" t="s">
        <v>162</v>
      </c>
      <c r="E29" s="28">
        <f>ROUNDUP('1.1 Control Panel'!E$57*SUMIFS('4.3 Global SME Data'!$C$13:$C$18,'4.3 Global SME Data'!$B$13:$B$18,$C29)*1000000*(1+'1.1 Control Panel'!E$55-'1.1 Control Panel'!E$56)*SUMIFS('4.3 Global SME Data'!$C$21:$C$41,'4.3 Global SME Data'!$E$21:$E$41,$C$27)*SUMIFS('1.1 Control Panel'!E$76:E$81,'1.1 Control Panel'!C$76:C$81,$C29)*SUMIFS('1.1 Control Panel'!E$161:E$166,'1.1 Control Panel'!C$161:C$166,$C29)*SUMIFS('1.1 Control Panel'!E$246:E$251,'1.1 Control Panel'!C$246:C$251,$C29),0)</f>
        <v>10929</v>
      </c>
      <c r="F29" s="28">
        <f>ROUNDUP('1.1 Control Panel'!F$57*SUMIFS('4.3 Global SME Data'!$C$13:$C$18,'4.3 Global SME Data'!$B$13:$B$18,$C29)*1000000*(1+'1.1 Control Panel'!E$55-'1.1 Control Panel'!E$56)*(1+'1.1 Control Panel'!F$55-'1.1 Control Panel'!F$56)*SUMIFS('4.3 Global SME Data'!$C$21:$C$41,'4.3 Global SME Data'!$E$21:$E$41,$C$27)*SUMIFS('1.1 Control Panel'!F$76:F$81,'1.1 Control Panel'!C$76:C$81,$C29)*SUMIFS('1.1 Control Panel'!F$161:F$166,'1.1 Control Panel'!C$161:C$166,$C29)*SUMIFS('1.1 Control Panel'!F$246:F$251,'1.1 Control Panel'!C$246:C$251,$C29),0)</f>
        <v>11615</v>
      </c>
      <c r="G29" s="28">
        <f>ROUNDUP('1.1 Control Panel'!G$57*SUMIFS('4.3 Global SME Data'!$C$13:$C$18,'4.3 Global SME Data'!$B$13:$B$18,$C29)*1000000*(1+'1.1 Control Panel'!E$55-'1.1 Control Panel'!E$56)*(1+'1.1 Control Panel'!F$55-'1.1 Control Panel'!F$56)*(1+'1.1 Control Panel'!G$55-'1.1 Control Panel'!G$56)*SUMIFS('4.3 Global SME Data'!$C$21:$C$41,'4.3 Global SME Data'!$E$21:$E$41,$C$27)*SUMIFS('1.1 Control Panel'!G$76:G$81,'1.1 Control Panel'!C$76:C$81,$C29)*SUMIFS('1.1 Control Panel'!G$161:G$166,'1.1 Control Panel'!C$161:C$166,$C29)*SUMIFS('1.1 Control Panel'!G$246:G$251,'1.1 Control Panel'!C$246:C$251,$C29),0)</f>
        <v>12799</v>
      </c>
      <c r="H29" s="28">
        <f>ROUNDUP('1.1 Control Panel'!H$57*SUMIFS('4.3 Global SME Data'!$C$13:$C$18,'4.3 Global SME Data'!$B$13:$B$18,$C29)*1000000*(1+'1.1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Data'!$E$21:$E$41,$C$27)*SUMIFS('1.1 Control Panel'!H$76:H$81,'1.1 Control Panel'!C$76:C$81,$C29)*SUMIFS('1.1 Control Panel'!H$161:H$166,'1.1 Control Panel'!C$161:C$166,$C29)*SUMIFS('1.1 Control Panel'!H$246:H$251,'1.1 Control Panel'!C$246:C$251,$C29),0)</f>
        <v>14027</v>
      </c>
      <c r="J29" s="20"/>
    </row>
    <row r="30" spans="2:10" ht="11.5" customHeight="1" x14ac:dyDescent="0.25">
      <c r="C30" s="20" t="s">
        <v>454</v>
      </c>
      <c r="D30" s="34" t="s">
        <v>162</v>
      </c>
      <c r="E30" s="28">
        <f>ROUNDUP('1.1 Control Panel'!E$57*SUMIFS('4.3 Global SME Data'!$C$13:$C$18,'4.3 Global SME Data'!$B$13:$B$18,$C30)*1000000*(1+'1.1 Control Panel'!E$55-'1.1 Control Panel'!E$56)*SUMIFS('4.3 Global SME Data'!$C$21:$C$41,'4.3 Global SME Data'!$E$21:$E$41,$C$27)*SUMIFS('1.1 Control Panel'!E$76:E$81,'1.1 Control Panel'!C$76:C$81,$C30)*SUMIFS('1.1 Control Panel'!E$161:E$166,'1.1 Control Panel'!C$161:C$166,$C30)*SUMIFS('1.1 Control Panel'!E$246:E$251,'1.1 Control Panel'!C$246:C$251,$C30),0)</f>
        <v>15932</v>
      </c>
      <c r="F30" s="28">
        <f>ROUNDUP('1.1 Control Panel'!F$57*SUMIFS('4.3 Global SME Data'!$C$13:$C$18,'4.3 Global SME Data'!$B$13:$B$18,$C30)*1000000*(1+'1.1 Control Panel'!E$55-'1.1 Control Panel'!E$56)*(1+'1.1 Control Panel'!F$55-'1.1 Control Panel'!F$56)*SUMIFS('4.3 Global SME Data'!$C$21:$C$41,'4.3 Global SME Data'!$E$21:$E$41,$C$27)*SUMIFS('1.1 Control Panel'!F$76:F$81,'1.1 Control Panel'!C$76:C$81,$C30)*SUMIFS('1.1 Control Panel'!F$161:F$166,'1.1 Control Panel'!C$161:C$166,$C30)*SUMIFS('1.1 Control Panel'!F$246:F$251,'1.1 Control Panel'!C$246:C$251,$C30),0)</f>
        <v>16484</v>
      </c>
      <c r="G30" s="28">
        <f>ROUNDUP('1.1 Control Panel'!G$57*SUMIFS('4.3 Global SME Data'!$C$13:$C$18,'4.3 Global SME Data'!$B$13:$B$18,$C30)*1000000*(1+'1.1 Control Panel'!E$55-'1.1 Control Panel'!E$56)*(1+'1.1 Control Panel'!F$55-'1.1 Control Panel'!F$56)*(1+'1.1 Control Panel'!G$55-'1.1 Control Panel'!G$56)*SUMIFS('4.3 Global SME Data'!$C$21:$C$41,'4.3 Global SME Data'!$E$21:$E$41,$C$27)*SUMIFS('1.1 Control Panel'!G$76:G$81,'1.1 Control Panel'!C$76:C$81,$C30)*SUMIFS('1.1 Control Panel'!G$161:G$166,'1.1 Control Panel'!C$161:C$166,$C30)*SUMIFS('1.1 Control Panel'!G$246:G$251,'1.1 Control Panel'!C$246:C$251,$C30),0)</f>
        <v>17420</v>
      </c>
      <c r="H30" s="28">
        <f>ROUNDUP('1.1 Control Panel'!H$57*SUMIFS('4.3 Global SME Data'!$C$13:$C$18,'4.3 Global SME Data'!$B$13:$B$18,$C30)*1000000*(1+'1.1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Data'!$E$21:$E$41,$C$27)*SUMIFS('1.1 Control Panel'!H$76:H$81,'1.1 Control Panel'!C$76:C$81,$C30)*SUMIFS('1.1 Control Panel'!H$161:H$166,'1.1 Control Panel'!C$161:C$166,$C30)*SUMIFS('1.1 Control Panel'!H$246:H$251,'1.1 Control Panel'!C$246:C$251,$C30),0)</f>
        <v>18366</v>
      </c>
      <c r="J30" s="20"/>
    </row>
    <row r="31" spans="2:10" ht="11.5" customHeight="1" x14ac:dyDescent="0.25">
      <c r="C31" s="21" t="s">
        <v>455</v>
      </c>
      <c r="D31" s="38" t="s">
        <v>162</v>
      </c>
      <c r="E31" s="376">
        <f>ROUNDUP('1.1 Control Panel'!E$57*SUMIFS('4.3 Global SME Data'!$C$13:$C$18,'4.3 Global SME Data'!$B$13:$B$18,$C31)*1000000*(1+'1.1 Control Panel'!E$55-'1.1 Control Panel'!E$56)*SUMIFS('4.3 Global SME Data'!$C$21:$C$41,'4.3 Global SME Data'!$E$21:$E$41,$C$27)*SUMIFS('1.1 Control Panel'!E$76:E$81,'1.1 Control Panel'!C$76:C$81,$C31)*SUMIFS('1.1 Control Panel'!E$161:E$166,'1.1 Control Panel'!C$161:C$166,$C31)*SUMIFS('1.1 Control Panel'!E$246:E$251,'1.1 Control Panel'!C$246:C$251,$C31),0)</f>
        <v>92192</v>
      </c>
      <c r="F31" s="376">
        <f>ROUNDUP('1.1 Control Panel'!F$57*SUMIFS('4.3 Global SME Data'!$C$13:$C$18,'4.3 Global SME Data'!$B$13:$B$18,$C31)*1000000*(1+'1.1 Control Panel'!E$55-'1.1 Control Panel'!E$56)*(1+'1.1 Control Panel'!F$55-'1.1 Control Panel'!F$56)*SUMIFS('4.3 Global SME Data'!$C$21:$C$41,'4.3 Global SME Data'!$E$21:$E$41,$C$27)*SUMIFS('1.1 Control Panel'!F$76:F$81,'1.1 Control Panel'!C$76:C$81,$C31)*SUMIFS('1.1 Control Panel'!F$161:F$166,'1.1 Control Panel'!C$161:C$166,$C31)*SUMIFS('1.1 Control Panel'!F$246:F$251,'1.1 Control Panel'!C$246:C$251,$C31),0)</f>
        <v>97801</v>
      </c>
      <c r="G31" s="376">
        <f>ROUNDUP('1.1 Control Panel'!G$57*SUMIFS('4.3 Global SME Data'!$C$13:$C$18,'4.3 Global SME Data'!$B$13:$B$18,$C31)*1000000*(1+'1.1 Control Panel'!E$55-'1.1 Control Panel'!E$56)*(1+'1.1 Control Panel'!F$55-'1.1 Control Panel'!F$56)*(1+'1.1 Control Panel'!G$55-'1.1 Control Panel'!G$56)*SUMIFS('4.3 Global SME Data'!$C$21:$C$41,'4.3 Global SME Data'!$E$21:$E$41,$C$27)*SUMIFS('1.1 Control Panel'!G$76:G$81,'1.1 Control Panel'!C$76:C$81,$C31)*SUMIFS('1.1 Control Panel'!G$161:G$166,'1.1 Control Panel'!C$161:C$166,$C31)*SUMIFS('1.1 Control Panel'!G$246:G$251,'1.1 Control Panel'!C$246:C$251,$C31),0)</f>
        <v>107482</v>
      </c>
      <c r="H31" s="376">
        <f>ROUNDUP('1.1 Control Panel'!H$57*SUMIFS('4.3 Global SME Data'!$C$13:$C$18,'4.3 Global SME Data'!$B$13:$B$18,$C31)*1000000*(1+'1.1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Data'!$E$21:$E$41,$C$27)*SUMIFS('1.1 Control Panel'!H$76:H$81,'1.1 Control Panel'!C$76:C$81,$C31)*SUMIFS('1.1 Control Panel'!H$161:H$166,'1.1 Control Panel'!C$161:C$166,$C31)*SUMIFS('1.1 Control Panel'!H$246:H$251,'1.1 Control Panel'!C$246:C$251,$C31),0)</f>
        <v>117520</v>
      </c>
      <c r="J31" s="21"/>
    </row>
    <row r="32" spans="2:10" ht="11.5" customHeight="1" x14ac:dyDescent="0.25">
      <c r="C32" s="21" t="s">
        <v>393</v>
      </c>
      <c r="D32" s="38" t="s">
        <v>162</v>
      </c>
      <c r="E32" s="376">
        <f>ROUNDUP('1.1 Control Panel'!E$57*SUMIFS('4.3 Global SME Data'!$C$13:$C$18,'4.3 Global SME Data'!$B$13:$B$18,$C32)*1000000*(1+'1.1 Control Panel'!E$55-'1.1 Control Panel'!E$56)*SUMIFS('4.3 Global SME Data'!$C$21:$C$41,'4.3 Global SME Data'!$E$21:$E$41,$C$27)*SUMIFS('1.1 Control Panel'!E$76:E$81,'1.1 Control Panel'!C$76:C$81,$C32)*SUMIFS('1.1 Control Panel'!E$161:E$166,'1.1 Control Panel'!C$161:C$166,$C32)*SUMIFS('1.1 Control Panel'!E$246:E$251,'1.1 Control Panel'!C$246:C$251,$C32),0)</f>
        <v>161258</v>
      </c>
      <c r="F32" s="376">
        <f>ROUNDUP('1.1 Control Panel'!F$57*SUMIFS('4.3 Global SME Data'!$C$13:$C$18,'4.3 Global SME Data'!$B$13:$B$18,$C32)*1000000*(1+'1.1 Control Panel'!E$55-'1.1 Control Panel'!E$56)*(1+'1.1 Control Panel'!F$55-'1.1 Control Panel'!F$56)*SUMIFS('4.3 Global SME Data'!$C$21:$C$41,'4.3 Global SME Data'!$E$21:$E$41,$C$27)*SUMIFS('1.1 Control Panel'!F$76:F$81,'1.1 Control Panel'!C$76:C$81,$C32)*SUMIFS('1.1 Control Panel'!F$161:F$166,'1.1 Control Panel'!C$161:C$166,$C32)*SUMIFS('1.1 Control Panel'!F$246:F$251,'1.1 Control Panel'!C$246:C$251,$C32),0)</f>
        <v>170348</v>
      </c>
      <c r="G32" s="376">
        <f>ROUNDUP('1.1 Control Panel'!G$57*SUMIFS('4.3 Global SME Data'!$C$13:$C$18,'4.3 Global SME Data'!$B$13:$B$18,$C32)*1000000*(1+'1.1 Control Panel'!E$55-'1.1 Control Panel'!E$56)*(1+'1.1 Control Panel'!F$55-'1.1 Control Panel'!F$56)*(1+'1.1 Control Panel'!G$55-'1.1 Control Panel'!G$56)*SUMIFS('4.3 Global SME Data'!$C$21:$C$41,'4.3 Global SME Data'!$E$21:$E$41,$C$27)*SUMIFS('1.1 Control Panel'!G$76:G$81,'1.1 Control Panel'!C$76:C$81,$C32)*SUMIFS('1.1 Control Panel'!G$161:G$166,'1.1 Control Panel'!C$161:C$166,$C32)*SUMIFS('1.1 Control Panel'!G$246:G$251,'1.1 Control Panel'!C$246:C$251,$C32),0)</f>
        <v>185987</v>
      </c>
      <c r="H32" s="376">
        <f>ROUNDUP('1.1 Control Panel'!H$57*SUMIFS('4.3 Global SME Data'!$C$13:$C$18,'4.3 Global SME Data'!$B$13:$B$18,$C32)*1000000*(1+'1.1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Data'!$E$21:$E$41,$C$27)*SUMIFS('1.1 Control Panel'!H$76:H$81,'1.1 Control Panel'!C$76:C$81,$C32)*SUMIFS('1.1 Control Panel'!H$161:H$166,'1.1 Control Panel'!C$161:C$166,$C32)*SUMIFS('1.1 Control Panel'!H$246:H$251,'1.1 Control Panel'!C$246:C$251,$C32),0)</f>
        <v>202143</v>
      </c>
      <c r="J32" s="21"/>
    </row>
    <row r="33" spans="2:10" ht="11.5" customHeight="1" x14ac:dyDescent="0.25">
      <c r="C33" s="21" t="s">
        <v>456</v>
      </c>
      <c r="D33" s="38" t="s">
        <v>162</v>
      </c>
      <c r="E33" s="376">
        <f>ROUNDUP('1.1 Control Panel'!E$57*SUMIFS('4.3 Global SME Data'!$C$13:$C$18,'4.3 Global SME Data'!$B$13:$B$18,$C33)*1000000*(1+'1.1 Control Panel'!E$55-'1.1 Control Panel'!E$56)*SUMIFS('4.3 Global SME Data'!$C$21:$C$41,'4.3 Global SME Data'!$E$21:$E$41,$C$27)*SUMIFS('1.1 Control Panel'!E$76:E$81,'1.1 Control Panel'!C$76:C$81,$C33)*SUMIFS('1.1 Control Panel'!E$161:E$166,'1.1 Control Panel'!C$161:C$166,$C33)*SUMIFS('1.1 Control Panel'!E$246:E$251,'1.1 Control Panel'!C$246:C$251,$C33),0)</f>
        <v>25258</v>
      </c>
      <c r="F33" s="376">
        <f>ROUNDUP('1.1 Control Panel'!F$57*SUMIFS('4.3 Global SME Data'!$C$13:$C$18,'4.3 Global SME Data'!$B$13:$B$18,$C33)*1000000*(1+'1.1 Control Panel'!E$55-'1.1 Control Panel'!E$56)*(1+'1.1 Control Panel'!F$55-'1.1 Control Panel'!F$56)*SUMIFS('4.3 Global SME Data'!$C$21:$C$41,'4.3 Global SME Data'!$E$21:$E$41,$C$27)*SUMIFS('1.1 Control Panel'!F$76:F$81,'1.1 Control Panel'!C$76:C$81,$C33)*SUMIFS('1.1 Control Panel'!F$161:F$166,'1.1 Control Panel'!C$161:C$166,$C33)*SUMIFS('1.1 Control Panel'!F$246:F$251,'1.1 Control Panel'!C$246:C$251,$C33),0)</f>
        <v>26133</v>
      </c>
      <c r="G33" s="376">
        <f>ROUNDUP('1.1 Control Panel'!G$57*SUMIFS('4.3 Global SME Data'!$C$13:$C$18,'4.3 Global SME Data'!$B$13:$B$18,$C33)*1000000*(1+'1.1 Control Panel'!E$55-'1.1 Control Panel'!E$56)*(1+'1.1 Control Panel'!F$55-'1.1 Control Panel'!F$56)*(1+'1.1 Control Panel'!G$55-'1.1 Control Panel'!G$56)*SUMIFS('4.3 Global SME Data'!$C$21:$C$41,'4.3 Global SME Data'!$E$21:$E$41,$C$27)*SUMIFS('1.1 Control Panel'!G$76:G$81,'1.1 Control Panel'!C$76:C$81,$C33)*SUMIFS('1.1 Control Panel'!G$161:G$166,'1.1 Control Panel'!C$161:C$166,$C33)*SUMIFS('1.1 Control Panel'!G$246:G$251,'1.1 Control Panel'!C$246:C$251,$C33),0)</f>
        <v>27616</v>
      </c>
      <c r="H33" s="376">
        <f>ROUNDUP('1.1 Control Panel'!H$57*SUMIFS('4.3 Global SME Data'!$C$13:$C$18,'4.3 Global SME Data'!$B$13:$B$18,$C33)*1000000*(1+'1.1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Data'!$E$21:$E$41,$C$27)*SUMIFS('1.1 Control Panel'!H$76:H$81,'1.1 Control Panel'!C$76:C$81,$C33)*SUMIFS('1.1 Control Panel'!H$161:H$166,'1.1 Control Panel'!C$161:C$166,$C33)*SUMIFS('1.1 Control Panel'!H$246:H$251,'1.1 Control Panel'!C$246:C$251,$C33),0)</f>
        <v>29117</v>
      </c>
      <c r="J33" s="21"/>
    </row>
    <row r="34" spans="2:10" s="74" customFormat="1" ht="11.5" customHeight="1" x14ac:dyDescent="0.25">
      <c r="B34" s="99" t="s">
        <v>9</v>
      </c>
      <c r="C34" s="105" t="str">
        <f>'4.2 Sector Mapping'!$B$8</f>
        <v>Financial Services</v>
      </c>
      <c r="D34" s="106" t="s">
        <v>162</v>
      </c>
      <c r="E34" s="380">
        <f>SUM(E35:E40)</f>
        <v>2017462</v>
      </c>
      <c r="F34" s="380">
        <f t="shared" ref="F34" si="16">SUM(F35:F40)</f>
        <v>2100767</v>
      </c>
      <c r="G34" s="380">
        <f t="shared" ref="G34" si="17">SUM(G35:G40)</f>
        <v>2242717</v>
      </c>
      <c r="H34" s="380">
        <f t="shared" ref="H34" si="18">SUM(H35:H40)</f>
        <v>2387493</v>
      </c>
      <c r="J34" s="105"/>
    </row>
    <row r="35" spans="2:10" ht="11.5" customHeight="1" x14ac:dyDescent="0.25">
      <c r="C35" s="20" t="s">
        <v>600</v>
      </c>
      <c r="D35" s="34" t="s">
        <v>162</v>
      </c>
      <c r="E35" s="28">
        <f>ROUNDUP('1.1 Control Panel'!E$57*SUMIFS('4.3 Global SME Data'!$C$13:$C$18,'4.3 Global SME Data'!$B$13:$B$18,$C35)*1000000*(1+'1.1 Control Panel'!E$55-'1.1 Control Panel'!E$56)*SUMIFS('4.3 Global SME Data'!$C$21:$C$41,'4.3 Global SME Data'!$E$21:$E$41,$C$34)*SUMIFS('1.1 Control Panel'!E$83:E$88,'1.1 Control Panel'!C$83:C$88,$C35)*SUMIFS('1.1 Control Panel'!E$168:E$173,'1.1 Control Panel'!C$168:C$173,$C35)*SUMIFS('1.1 Control Panel'!E$253:E$258,'1.1 Control Panel'!C$253:C$258,$C35),0)</f>
        <v>1298602</v>
      </c>
      <c r="F35" s="28">
        <f>ROUNDUP('1.1 Control Panel'!F$57*SUMIFS('4.3 Global SME Data'!$C$13:$C$18,'4.3 Global SME Data'!$B$13:$B$18,$C35)*1000000*(1+'1.1 Control Panel'!E$55-'1.1 Control Panel'!E$56)*(1+'1.1 Control Panel'!F$55-'1.1 Control Panel'!F$56)*SUMIFS('4.3 Global SME Data'!$C$21:$C$41,'4.3 Global SME Data'!$E$21:$E$41,$C$34)*SUMIFS('1.1 Control Panel'!F$83:F$88,'1.1 Control Panel'!C$83:C$88,$C35)*SUMIFS('1.1 Control Panel'!F$168:F$173,'1.1 Control Panel'!C$168:C$173,$C35)*SUMIFS('1.1 Control Panel'!F$253:F$258,'1.1 Control Panel'!C$253:C$258,$C35),0)</f>
        <v>1353531</v>
      </c>
      <c r="G35" s="28">
        <f>ROUNDUP('1.1 Control Panel'!G$57*SUMIFS('4.3 Global SME Data'!$C$13:$C$18,'4.3 Global SME Data'!$B$13:$B$18,$C35)*1000000*(1+'1.1 Control Panel'!E$55-'1.1 Control Panel'!E$56)*(1+'1.1 Control Panel'!F$55-'1.1 Control Panel'!F$56)*(1+'1.1 Control Panel'!G$55-'1.1 Control Panel'!G$56)*SUMIFS('4.3 Global SME Data'!$C$21:$C$41,'4.3 Global SME Data'!$E$21:$E$41,$C$34)*SUMIFS('1.1 Control Panel'!G$83:G$88,'1.1 Control Panel'!C$83:C$88,$C35)*SUMIFS('1.1 Control Panel'!G$168:G$173,'1.1 Control Panel'!C$168:C$173,$C35)*SUMIFS('1.1 Control Panel'!G$253:G$258,'1.1 Control Panel'!C$253:C$258,$C35),0)</f>
        <v>1447169</v>
      </c>
      <c r="H35" s="28">
        <f>ROUNDUP('1.1 Control Panel'!H$57*SUMIFS('4.3 Global SME Data'!$C$13:$C$18,'4.3 Global SME Data'!$B$13:$B$18,$C35)*1000000*(1+'1.1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Data'!$E$21:$E$41,$C$34)*SUMIFS('1.1 Control Panel'!H$83:H$88,'1.1 Control Panel'!C$83:C$88,$C35)*SUMIFS('1.1 Control Panel'!H$168:H$173,'1.1 Control Panel'!C$168:C$173,$C35)*SUMIFS('1.1 Control Panel'!H$253:H$258,'1.1 Control Panel'!C$253:C$258,$C35),0)</f>
        <v>1542731</v>
      </c>
      <c r="J35" s="20"/>
    </row>
    <row r="36" spans="2:10" ht="11.5" customHeight="1" x14ac:dyDescent="0.25">
      <c r="C36" s="20" t="s">
        <v>392</v>
      </c>
      <c r="D36" s="34" t="s">
        <v>162</v>
      </c>
      <c r="E36" s="28">
        <f>ROUNDUP('1.1 Control Panel'!E$57*SUMIFS('4.3 Global SME Data'!$C$13:$C$18,'4.3 Global SME Data'!$B$13:$B$18,$C36)*1000000*(1+'1.1 Control Panel'!E$55-'1.1 Control Panel'!E$56)*SUMIFS('4.3 Global SME Data'!$C$21:$C$41,'4.3 Global SME Data'!$E$21:$E$41,$C$34)*SUMIFS('1.1 Control Panel'!E$83:E$88,'1.1 Control Panel'!C$83:C$88,$C36)*SUMIFS('1.1 Control Panel'!E$168:E$173,'1.1 Control Panel'!C$168:C$173,$C36)*SUMIFS('1.1 Control Panel'!E$253:E$258,'1.1 Control Panel'!C$253:C$258,$C36),0)</f>
        <v>63919</v>
      </c>
      <c r="F36" s="28">
        <f>ROUNDUP('1.1 Control Panel'!F$57*SUMIFS('4.3 Global SME Data'!$C$13:$C$18,'4.3 Global SME Data'!$B$13:$B$18,$C36)*1000000*(1+'1.1 Control Panel'!E$55-'1.1 Control Panel'!E$56)*(1+'1.1 Control Panel'!F$55-'1.1 Control Panel'!F$56)*SUMIFS('4.3 Global SME Data'!$C$21:$C$41,'4.3 Global SME Data'!$E$21:$E$41,$C$34)*SUMIFS('1.1 Control Panel'!F$83:F$88,'1.1 Control Panel'!C$83:C$88,$C36)*SUMIFS('1.1 Control Panel'!F$168:F$173,'1.1 Control Panel'!C$168:C$173,$C36)*SUMIFS('1.1 Control Panel'!F$253:F$258,'1.1 Control Panel'!C$253:C$258,$C36),0)</f>
        <v>65774</v>
      </c>
      <c r="G36" s="28">
        <f>ROUNDUP('1.1 Control Panel'!G$57*SUMIFS('4.3 Global SME Data'!$C$13:$C$18,'4.3 Global SME Data'!$B$13:$B$18,$C36)*1000000*(1+'1.1 Control Panel'!E$55-'1.1 Control Panel'!E$56)*(1+'1.1 Control Panel'!F$55-'1.1 Control Panel'!F$56)*(1+'1.1 Control Panel'!G$55-'1.1 Control Panel'!G$56)*SUMIFS('4.3 Global SME Data'!$C$21:$C$41,'4.3 Global SME Data'!$E$21:$E$41,$C$34)*SUMIFS('1.1 Control Panel'!G$83:G$88,'1.1 Control Panel'!C$83:C$88,$C36)*SUMIFS('1.1 Control Panel'!G$168:G$173,'1.1 Control Panel'!C$168:C$173,$C36)*SUMIFS('1.1 Control Panel'!G$253:G$258,'1.1 Control Panel'!C$253:C$258,$C36),0)</f>
        <v>68901</v>
      </c>
      <c r="H36" s="28">
        <f>ROUNDUP('1.1 Control Panel'!H$57*SUMIFS('4.3 Global SME Data'!$C$13:$C$18,'4.3 Global SME Data'!$B$13:$B$18,$C36)*1000000*(1+'1.1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Data'!$E$21:$E$41,$C$34)*SUMIFS('1.1 Control Panel'!H$83:H$88,'1.1 Control Panel'!C$83:C$88,$C36)*SUMIFS('1.1 Control Panel'!H$168:H$173,'1.1 Control Panel'!C$168:C$173,$C36)*SUMIFS('1.1 Control Panel'!H$253:H$258,'1.1 Control Panel'!C$253:C$258,$C36),0)</f>
        <v>72041</v>
      </c>
      <c r="J36" s="20"/>
    </row>
    <row r="37" spans="2:10" ht="11.5" customHeight="1" x14ac:dyDescent="0.25">
      <c r="C37" s="20" t="s">
        <v>454</v>
      </c>
      <c r="D37" s="34" t="s">
        <v>162</v>
      </c>
      <c r="E37" s="28">
        <f>ROUNDUP('1.1 Control Panel'!E$57*SUMIFS('4.3 Global SME Data'!$C$13:$C$18,'4.3 Global SME Data'!$B$13:$B$18,$C37)*1000000*(1+'1.1 Control Panel'!E$55-'1.1 Control Panel'!E$56)*SUMIFS('4.3 Global SME Data'!$C$21:$C$41,'4.3 Global SME Data'!$E$21:$E$41,$C$34)*SUMIFS('1.1 Control Panel'!E$83:E$88,'1.1 Control Panel'!C$83:C$88,$C37)*SUMIFS('1.1 Control Panel'!E$168:E$173,'1.1 Control Panel'!C$168:C$173,$C37)*SUMIFS('1.1 Control Panel'!E$253:E$258,'1.1 Control Panel'!C$253:C$258,$C37),0)</f>
        <v>55467</v>
      </c>
      <c r="F37" s="28">
        <f>ROUNDUP('1.1 Control Panel'!F$57*SUMIFS('4.3 Global SME Data'!$C$13:$C$18,'4.3 Global SME Data'!$B$13:$B$18,$C37)*1000000*(1+'1.1 Control Panel'!E$55-'1.1 Control Panel'!E$56)*(1+'1.1 Control Panel'!F$55-'1.1 Control Panel'!F$56)*SUMIFS('4.3 Global SME Data'!$C$21:$C$41,'4.3 Global SME Data'!$E$21:$E$41,$C$34)*SUMIFS('1.1 Control Panel'!F$83:F$88,'1.1 Control Panel'!C$83:C$88,$C37)*SUMIFS('1.1 Control Panel'!F$168:F$173,'1.1 Control Panel'!C$168:C$173,$C37)*SUMIFS('1.1 Control Panel'!F$253:F$258,'1.1 Control Panel'!C$253:C$258,$C37),0)</f>
        <v>56603</v>
      </c>
      <c r="G37" s="28">
        <f>ROUNDUP('1.1 Control Panel'!G$57*SUMIFS('4.3 Global SME Data'!$C$13:$C$18,'4.3 Global SME Data'!$B$13:$B$18,$C37)*1000000*(1+'1.1 Control Panel'!E$55-'1.1 Control Panel'!E$56)*(1+'1.1 Control Panel'!F$55-'1.1 Control Panel'!F$56)*(1+'1.1 Control Panel'!G$55-'1.1 Control Panel'!G$56)*SUMIFS('4.3 Global SME Data'!$C$21:$C$41,'4.3 Global SME Data'!$E$21:$E$41,$C$34)*SUMIFS('1.1 Control Panel'!G$83:G$88,'1.1 Control Panel'!C$83:C$88,$C37)*SUMIFS('1.1 Control Panel'!G$168:G$173,'1.1 Control Panel'!C$168:C$173,$C37)*SUMIFS('1.1 Control Panel'!G$253:G$258,'1.1 Control Panel'!C$253:C$258,$C37),0)</f>
        <v>58504</v>
      </c>
      <c r="H37" s="28">
        <f>ROUNDUP('1.1 Control Panel'!H$57*SUMIFS('4.3 Global SME Data'!$C$13:$C$18,'4.3 Global SME Data'!$B$13:$B$18,$C37)*1000000*(1+'1.1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Data'!$E$21:$E$41,$C$34)*SUMIFS('1.1 Control Panel'!H$83:H$88,'1.1 Control Panel'!C$83:C$88,$C37)*SUMIFS('1.1 Control Panel'!H$168:H$173,'1.1 Control Panel'!C$168:C$173,$C37)*SUMIFS('1.1 Control Panel'!H$253:H$258,'1.1 Control Panel'!C$253:C$258,$C37),0)</f>
        <v>60392</v>
      </c>
      <c r="J37" s="20"/>
    </row>
    <row r="38" spans="2:10" ht="11.5" customHeight="1" x14ac:dyDescent="0.25">
      <c r="C38" s="21" t="s">
        <v>455</v>
      </c>
      <c r="D38" s="38" t="s">
        <v>162</v>
      </c>
      <c r="E38" s="376">
        <f>ROUNDUP('1.1 Control Panel'!E$57*SUMIFS('4.3 Global SME Data'!$C$13:$C$18,'4.3 Global SME Data'!$B$13:$B$18,$C38)*1000000*(1+'1.1 Control Panel'!E$55-'1.1 Control Panel'!E$56)*SUMIFS('4.3 Global SME Data'!$C$21:$C$41,'4.3 Global SME Data'!$E$21:$E$41,$C$34)*SUMIFS('1.1 Control Panel'!E$83:E$88,'1.1 Control Panel'!C$83:C$88,$C38)*SUMIFS('1.1 Control Panel'!E$168:E$173,'1.1 Control Panel'!C$168:C$173,$C38)*SUMIFS('1.1 Control Panel'!E$253:E$258,'1.1 Control Panel'!C$253:C$258,$C38),0)</f>
        <v>233434</v>
      </c>
      <c r="F38" s="376">
        <f>ROUNDUP('1.1 Control Panel'!F$57*SUMIFS('4.3 Global SME Data'!$C$13:$C$18,'4.3 Global SME Data'!$B$13:$B$18,$C38)*1000000*(1+'1.1 Control Panel'!E$55-'1.1 Control Panel'!E$56)*(1+'1.1 Control Panel'!F$55-'1.1 Control Panel'!F$56)*SUMIFS('4.3 Global SME Data'!$C$21:$C$41,'4.3 Global SME Data'!$E$21:$E$41,$C$34)*SUMIFS('1.1 Control Panel'!F$83:F$88,'1.1 Control Panel'!C$83:C$88,$C38)*SUMIFS('1.1 Control Panel'!F$168:F$173,'1.1 Control Panel'!C$168:C$173,$C38)*SUMIFS('1.1 Control Panel'!F$253:F$258,'1.1 Control Panel'!C$253:C$258,$C38),0)</f>
        <v>243308</v>
      </c>
      <c r="G38" s="376">
        <f>ROUNDUP('1.1 Control Panel'!G$57*SUMIFS('4.3 Global SME Data'!$C$13:$C$18,'4.3 Global SME Data'!$B$13:$B$18,$C38)*1000000*(1+'1.1 Control Panel'!E$55-'1.1 Control Panel'!E$56)*(1+'1.1 Control Panel'!F$55-'1.1 Control Panel'!F$56)*(1+'1.1 Control Panel'!G$55-'1.1 Control Panel'!G$56)*SUMIFS('4.3 Global SME Data'!$C$21:$C$41,'4.3 Global SME Data'!$E$21:$E$41,$C$34)*SUMIFS('1.1 Control Panel'!G$83:G$88,'1.1 Control Panel'!C$83:C$88,$C38)*SUMIFS('1.1 Control Panel'!G$168:G$173,'1.1 Control Panel'!C$168:C$173,$C38)*SUMIFS('1.1 Control Panel'!G$253:G$258,'1.1 Control Panel'!C$253:C$258,$C38),0)</f>
        <v>260140</v>
      </c>
      <c r="H38" s="376">
        <f>ROUNDUP('1.1 Control Panel'!H$57*SUMIFS('4.3 Global SME Data'!$C$13:$C$18,'4.3 Global SME Data'!$B$13:$B$18,$C38)*1000000*(1+'1.1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Data'!$E$21:$E$41,$C$34)*SUMIFS('1.1 Control Panel'!H$83:H$88,'1.1 Control Panel'!C$83:C$88,$C38)*SUMIFS('1.1 Control Panel'!H$168:H$173,'1.1 Control Panel'!C$168:C$173,$C38)*SUMIFS('1.1 Control Panel'!H$253:H$258,'1.1 Control Panel'!C$253:C$258,$C38),0)</f>
        <v>277317</v>
      </c>
      <c r="J38" s="21"/>
    </row>
    <row r="39" spans="2:10" ht="11.5" customHeight="1" x14ac:dyDescent="0.25">
      <c r="C39" s="21" t="s">
        <v>393</v>
      </c>
      <c r="D39" s="38" t="s">
        <v>162</v>
      </c>
      <c r="E39" s="376">
        <f>ROUNDUP('1.1 Control Panel'!E$57*SUMIFS('4.3 Global SME Data'!$C$13:$C$18,'4.3 Global SME Data'!$B$13:$B$18,$C39)*1000000*(1+'1.1 Control Panel'!E$55-'1.1 Control Panel'!E$56)*SUMIFS('4.3 Global SME Data'!$C$21:$C$41,'4.3 Global SME Data'!$E$21:$E$41,$C$34)*SUMIFS('1.1 Control Panel'!E$83:E$88,'1.1 Control Panel'!C$83:C$88,$C39)*SUMIFS('1.1 Control Panel'!E$168:E$173,'1.1 Control Panel'!C$168:C$173,$C39)*SUMIFS('1.1 Control Panel'!E$253:E$258,'1.1 Control Panel'!C$253:C$258,$C39),0)</f>
        <v>324492</v>
      </c>
      <c r="F39" s="376">
        <f>ROUNDUP('1.1 Control Panel'!F$57*SUMIFS('4.3 Global SME Data'!$C$13:$C$18,'4.3 Global SME Data'!$B$13:$B$18,$C39)*1000000*(1+'1.1 Control Panel'!E$55-'1.1 Control Panel'!E$56)*(1+'1.1 Control Panel'!F$55-'1.1 Control Panel'!F$56)*SUMIFS('4.3 Global SME Data'!$C$21:$C$41,'4.3 Global SME Data'!$E$21:$E$41,$C$34)*SUMIFS('1.1 Control Panel'!F$83:F$88,'1.1 Control Panel'!C$83:C$88,$C39)*SUMIFS('1.1 Control Panel'!F$168:F$173,'1.1 Control Panel'!C$168:C$173,$C39)*SUMIFS('1.1 Control Panel'!F$253:F$258,'1.1 Control Panel'!C$253:C$258,$C39),0)</f>
        <v>338754</v>
      </c>
      <c r="G39" s="376">
        <f>ROUNDUP('1.1 Control Panel'!G$57*SUMIFS('4.3 Global SME Data'!$C$13:$C$18,'4.3 Global SME Data'!$B$13:$B$18,$C39)*1000000*(1+'1.1 Control Panel'!E$55-'1.1 Control Panel'!E$56)*(1+'1.1 Control Panel'!F$55-'1.1 Control Panel'!F$56)*(1+'1.1 Control Panel'!G$55-'1.1 Control Panel'!G$56)*SUMIFS('4.3 Global SME Data'!$C$21:$C$41,'4.3 Global SME Data'!$E$21:$E$41,$C$34)*SUMIFS('1.1 Control Panel'!G$83:G$88,'1.1 Control Panel'!C$83:C$88,$C39)*SUMIFS('1.1 Control Panel'!G$168:G$173,'1.1 Control Panel'!C$168:C$173,$C39)*SUMIFS('1.1 Control Panel'!G$253:G$258,'1.1 Control Panel'!C$253:C$258,$C39),0)</f>
        <v>363097</v>
      </c>
      <c r="H39" s="376">
        <f>ROUNDUP('1.1 Control Panel'!H$57*SUMIFS('4.3 Global SME Data'!$C$13:$C$18,'4.3 Global SME Data'!$B$13:$B$18,$C39)*1000000*(1+'1.1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Data'!$E$21:$E$41,$C$34)*SUMIFS('1.1 Control Panel'!H$83:H$88,'1.1 Control Panel'!C$83:C$88,$C39)*SUMIFS('1.1 Control Panel'!H$168:H$173,'1.1 Control Panel'!C$168:C$173,$C39)*SUMIFS('1.1 Control Panel'!H$253:H$258,'1.1 Control Panel'!C$253:C$258,$C39),0)</f>
        <v>387982</v>
      </c>
      <c r="J39" s="21"/>
    </row>
    <row r="40" spans="2:10" ht="11.5" customHeight="1" x14ac:dyDescent="0.25">
      <c r="C40" s="21" t="s">
        <v>456</v>
      </c>
      <c r="D40" s="38" t="s">
        <v>162</v>
      </c>
      <c r="E40" s="376">
        <f>ROUNDUP('1.1 Control Panel'!E$57*SUMIFS('4.3 Global SME Data'!$C$13:$C$18,'4.3 Global SME Data'!$B$13:$B$18,$C40)*1000000*(1+'1.1 Control Panel'!E$55-'1.1 Control Panel'!E$56)*SUMIFS('4.3 Global SME Data'!$C$21:$C$41,'4.3 Global SME Data'!$E$21:$E$41,$C$34)*SUMIFS('1.1 Control Panel'!E$83:E$88,'1.1 Control Panel'!C$83:C$88,$C40)*SUMIFS('1.1 Control Panel'!E$168:E$173,'1.1 Control Panel'!C$168:C$173,$C40)*SUMIFS('1.1 Control Panel'!E$253:E$258,'1.1 Control Panel'!C$253:C$258,$C40),0)</f>
        <v>41548</v>
      </c>
      <c r="F40" s="376">
        <f>ROUNDUP('1.1 Control Panel'!F$57*SUMIFS('4.3 Global SME Data'!$C$13:$C$18,'4.3 Global SME Data'!$B$13:$B$18,$C40)*1000000*(1+'1.1 Control Panel'!E$55-'1.1 Control Panel'!E$56)*(1+'1.1 Control Panel'!F$55-'1.1 Control Panel'!F$56)*SUMIFS('4.3 Global SME Data'!$C$21:$C$41,'4.3 Global SME Data'!$E$21:$E$41,$C$34)*SUMIFS('1.1 Control Panel'!F$83:F$88,'1.1 Control Panel'!C$83:C$88,$C40)*SUMIFS('1.1 Control Panel'!F$168:F$173,'1.1 Control Panel'!C$168:C$173,$C40)*SUMIFS('1.1 Control Panel'!F$253:F$258,'1.1 Control Panel'!C$253:C$258,$C40),0)</f>
        <v>42797</v>
      </c>
      <c r="G40" s="376">
        <f>ROUNDUP('1.1 Control Panel'!G$57*SUMIFS('4.3 Global SME Data'!$C$13:$C$18,'4.3 Global SME Data'!$B$13:$B$18,$C40)*1000000*(1+'1.1 Control Panel'!E$55-'1.1 Control Panel'!E$56)*(1+'1.1 Control Panel'!F$55-'1.1 Control Panel'!F$56)*(1+'1.1 Control Panel'!G$55-'1.1 Control Panel'!G$56)*SUMIFS('4.3 Global SME Data'!$C$21:$C$41,'4.3 Global SME Data'!$E$21:$E$41,$C$34)*SUMIFS('1.1 Control Panel'!G$83:G$88,'1.1 Control Panel'!C$83:C$88,$C40)*SUMIFS('1.1 Control Panel'!G$168:G$173,'1.1 Control Panel'!C$168:C$173,$C40)*SUMIFS('1.1 Control Panel'!G$253:G$258,'1.1 Control Panel'!C$253:C$258,$C40),0)</f>
        <v>44906</v>
      </c>
      <c r="H40" s="376">
        <f>ROUNDUP('1.1 Control Panel'!H$57*SUMIFS('4.3 Global SME Data'!$C$13:$C$18,'4.3 Global SME Data'!$B$13:$B$18,$C40)*1000000*(1+'1.1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Data'!$E$21:$E$41,$C$34)*SUMIFS('1.1 Control Panel'!H$83:H$88,'1.1 Control Panel'!C$83:C$88,$C40)*SUMIFS('1.1 Control Panel'!H$168:H$173,'1.1 Control Panel'!C$168:C$173,$C40)*SUMIFS('1.1 Control Panel'!H$253:H$258,'1.1 Control Panel'!C$253:C$258,$C40),0)</f>
        <v>47030</v>
      </c>
      <c r="J40" s="21"/>
    </row>
    <row r="41" spans="2:10" s="74" customFormat="1" ht="11.5" customHeight="1" x14ac:dyDescent="0.25">
      <c r="B41" s="99" t="s">
        <v>9</v>
      </c>
      <c r="C41" s="105" t="str">
        <f>'4.2 Sector Mapping'!$B$9</f>
        <v>Healthcare</v>
      </c>
      <c r="D41" s="106" t="s">
        <v>162</v>
      </c>
      <c r="E41" s="380">
        <f>SUM(E42:E47)</f>
        <v>484172</v>
      </c>
      <c r="F41" s="380">
        <f t="shared" ref="F41" si="19">SUM(F42:F47)</f>
        <v>512578</v>
      </c>
      <c r="G41" s="380">
        <f t="shared" ref="G41" si="20">SUM(G42:G47)</f>
        <v>561580</v>
      </c>
      <c r="H41" s="380">
        <f t="shared" ref="H41" si="21">SUM(H42:H47)</f>
        <v>612369</v>
      </c>
      <c r="J41" s="105"/>
    </row>
    <row r="42" spans="2:10" ht="11.5" customHeight="1" x14ac:dyDescent="0.25">
      <c r="C42" s="20" t="s">
        <v>600</v>
      </c>
      <c r="D42" s="34" t="s">
        <v>162</v>
      </c>
      <c r="E42" s="28">
        <f>ROUNDUP('1.1 Control Panel'!E$57*SUMIFS('4.3 Global SME Data'!$C$13:$C$18,'4.3 Global SME Data'!$B$13:$B$18,$C42)*1000000*(1+'1.1 Control Panel'!E$55-'1.1 Control Panel'!E$56)*SUMIFS('4.3 Global SME Data'!$C$21:$C$41,'4.3 Global SME Data'!$E$21:$E$41,$C$41)*SUMIFS('1.1 Control Panel'!E$90:E$95,'1.1 Control Panel'!C$90:C$95,$C42)*SUMIFS('1.1 Control Panel'!E$175:E$180,'1.1 Control Panel'!C$175:C$180,$C42)*SUMIFS('1.1 Control Panel'!E$260:E$265,'1.1 Control Panel'!C$260:C$265,$C42),0)</f>
        <v>250457</v>
      </c>
      <c r="F42" s="28">
        <f>ROUNDUP('1.1 Control Panel'!F$57*SUMIFS('4.3 Global SME Data'!$C$13:$C$18,'4.3 Global SME Data'!$B$13:$B$18,$C42)*1000000*(1+'1.1 Control Panel'!E$55-'1.1 Control Panel'!E$56)*(1+'1.1 Control Panel'!F$55-'1.1 Control Panel'!F$56)*SUMIFS('4.3 Global SME Data'!$C$21:$C$41,'4.3 Global SME Data'!$E$21:$E$41,$C$41)*SUMIFS('1.1 Control Panel'!F$90:F$95,'1.1 Control Panel'!C$90:C$95,$C42)*SUMIFS('1.1 Control Panel'!F$175:F$180,'1.1 Control Panel'!C$175:C$180,$C42)*SUMIFS('1.1 Control Panel'!F$260:F$265,'1.1 Control Panel'!C$260:C$265,$C42),0)</f>
        <v>267478</v>
      </c>
      <c r="G42" s="28">
        <f>ROUNDUP('1.1 Control Panel'!G$57*SUMIFS('4.3 Global SME Data'!$C$13:$C$18,'4.3 Global SME Data'!$B$13:$B$18,$C42)*1000000*(1+'1.1 Control Panel'!E$55-'1.1 Control Panel'!E$56)*(1+'1.1 Control Panel'!F$55-'1.1 Control Panel'!F$56)*(1+'1.1 Control Panel'!G$55-'1.1 Control Panel'!G$56)*SUMIFS('4.3 Global SME Data'!$C$21:$C$41,'4.3 Global SME Data'!$E$21:$E$41,$C$41)*SUMIFS('1.1 Control Panel'!G$90:G$95,'1.1 Control Panel'!C$90:C$95,$C42)*SUMIFS('1.1 Control Panel'!G$175:G$180,'1.1 Control Panel'!C$175:C$180,$C42)*SUMIFS('1.1 Control Panel'!G$260:G$265,'1.1 Control Panel'!C$260:C$265,$C42),0)</f>
        <v>296976</v>
      </c>
      <c r="H42" s="28">
        <f>ROUNDUP('1.1 Control Panel'!H$57*SUMIFS('4.3 Global SME Data'!$C$13:$C$18,'4.3 Global SME Data'!$B$13:$B$18,$C42)*1000000*(1+'1.1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Data'!$E$21:$E$41,$C$41)*SUMIFS('1.1 Control Panel'!H$90:H$95,'1.1 Control Panel'!C$90:C$95,$C42)*SUMIFS('1.1 Control Panel'!H$175:H$180,'1.1 Control Panel'!C$175:C$180,$C42)*SUMIFS('1.1 Control Panel'!H$260:H$265,'1.1 Control Panel'!C$260:C$265,$C42),0)</f>
        <v>327732</v>
      </c>
      <c r="J42" s="20"/>
    </row>
    <row r="43" spans="2:10" ht="11.5" customHeight="1" x14ac:dyDescent="0.25">
      <c r="C43" s="20" t="s">
        <v>392</v>
      </c>
      <c r="D43" s="34" t="s">
        <v>162</v>
      </c>
      <c r="E43" s="28">
        <f>ROUNDUP('1.1 Control Panel'!E$57*SUMIFS('4.3 Global SME Data'!$C$13:$C$18,'4.3 Global SME Data'!$B$13:$B$18,$C43)*1000000*(1+'1.1 Control Panel'!E$55-'1.1 Control Panel'!E$56)*SUMIFS('4.3 Global SME Data'!$C$21:$C$41,'4.3 Global SME Data'!$E$21:$E$41,$C$41)*SUMIFS('1.1 Control Panel'!E$90:E$95,'1.1 Control Panel'!C$90:C$95,$C43)*SUMIFS('1.1 Control Panel'!E$175:E$180,'1.1 Control Panel'!C$175:C$180,$C43)*SUMIFS('1.1 Control Panel'!E$260:E$265,'1.1 Control Panel'!C$260:C$265,$C43),0)</f>
        <v>16511</v>
      </c>
      <c r="F43" s="28">
        <f>ROUNDUP('1.1 Control Panel'!F$57*SUMIFS('4.3 Global SME Data'!$C$13:$C$18,'4.3 Global SME Data'!$B$13:$B$18,$C43)*1000000*(1+'1.1 Control Panel'!E$55-'1.1 Control Panel'!E$56)*(1+'1.1 Control Panel'!F$55-'1.1 Control Panel'!F$56)*SUMIFS('4.3 Global SME Data'!$C$21:$C$41,'4.3 Global SME Data'!$E$21:$E$41,$C$41)*SUMIFS('1.1 Control Panel'!F$90:F$95,'1.1 Control Panel'!C$90:C$95,$C43)*SUMIFS('1.1 Control Panel'!F$175:F$180,'1.1 Control Panel'!C$175:C$180,$C43)*SUMIFS('1.1 Control Panel'!F$260:F$265,'1.1 Control Panel'!C$260:C$265,$C43),0)</f>
        <v>17167</v>
      </c>
      <c r="G43" s="28">
        <f>ROUNDUP('1.1 Control Panel'!G$57*SUMIFS('4.3 Global SME Data'!$C$13:$C$18,'4.3 Global SME Data'!$B$13:$B$18,$C43)*1000000*(1+'1.1 Control Panel'!E$55-'1.1 Control Panel'!E$56)*(1+'1.1 Control Panel'!F$55-'1.1 Control Panel'!F$56)*(1+'1.1 Control Panel'!G$55-'1.1 Control Panel'!G$56)*SUMIFS('4.3 Global SME Data'!$C$21:$C$41,'4.3 Global SME Data'!$E$21:$E$41,$C$41)*SUMIFS('1.1 Control Panel'!G$90:G$95,'1.1 Control Panel'!C$90:C$95,$C43)*SUMIFS('1.1 Control Panel'!G$175:G$180,'1.1 Control Panel'!C$175:C$180,$C43)*SUMIFS('1.1 Control Panel'!G$260:G$265,'1.1 Control Panel'!C$260:C$265,$C43),0)</f>
        <v>18281</v>
      </c>
      <c r="H43" s="28">
        <f>ROUNDUP('1.1 Control Panel'!H$57*SUMIFS('4.3 Global SME Data'!$C$13:$C$18,'4.3 Global SME Data'!$B$13:$B$18,$C43)*1000000*(1+'1.1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Data'!$E$21:$E$41,$C$41)*SUMIFS('1.1 Control Panel'!H$90:H$95,'1.1 Control Panel'!C$90:C$95,$C43)*SUMIFS('1.1 Control Panel'!H$175:H$180,'1.1 Control Panel'!C$175:C$180,$C43)*SUMIFS('1.1 Control Panel'!H$260:H$265,'1.1 Control Panel'!C$260:C$265,$C43),0)</f>
        <v>19414</v>
      </c>
      <c r="J43" s="20"/>
    </row>
    <row r="44" spans="2:10" ht="11.5" customHeight="1" x14ac:dyDescent="0.25">
      <c r="C44" s="20" t="s">
        <v>454</v>
      </c>
      <c r="D44" s="34" t="s">
        <v>162</v>
      </c>
      <c r="E44" s="28">
        <f>ROUNDUP('1.1 Control Panel'!E$57*SUMIFS('4.3 Global SME Data'!$C$13:$C$18,'4.3 Global SME Data'!$B$13:$B$18,$C44)*1000000*(1+'1.1 Control Panel'!E$55-'1.1 Control Panel'!E$56)*SUMIFS('4.3 Global SME Data'!$C$21:$C$41,'4.3 Global SME Data'!$E$21:$E$41,$C$41)*SUMIFS('1.1 Control Panel'!E$90:E$95,'1.1 Control Panel'!C$90:C$95,$C44)*SUMIFS('1.1 Control Panel'!E$175:E$180,'1.1 Control Panel'!C$175:C$180,$C44)*SUMIFS('1.1 Control Panel'!E$260:E$265,'1.1 Control Panel'!C$260:C$265,$C44),0)</f>
        <v>11233</v>
      </c>
      <c r="F44" s="28">
        <f>ROUNDUP('1.1 Control Panel'!F$57*SUMIFS('4.3 Global SME Data'!$C$13:$C$18,'4.3 Global SME Data'!$B$13:$B$18,$C44)*1000000*(1+'1.1 Control Panel'!E$55-'1.1 Control Panel'!E$56)*(1+'1.1 Control Panel'!F$55-'1.1 Control Panel'!F$56)*SUMIFS('4.3 Global SME Data'!$C$21:$C$41,'4.3 Global SME Data'!$E$21:$E$41,$C$41)*SUMIFS('1.1 Control Panel'!F$90:F$95,'1.1 Control Panel'!C$90:C$95,$C44)*SUMIFS('1.1 Control Panel'!F$175:F$180,'1.1 Control Panel'!C$175:C$180,$C44)*SUMIFS('1.1 Control Panel'!F$260:F$265,'1.1 Control Panel'!C$260:C$265,$C44),0)</f>
        <v>11589</v>
      </c>
      <c r="G44" s="28">
        <f>ROUNDUP('1.1 Control Panel'!G$57*SUMIFS('4.3 Global SME Data'!$C$13:$C$18,'4.3 Global SME Data'!$B$13:$B$18,$C44)*1000000*(1+'1.1 Control Panel'!E$55-'1.1 Control Panel'!E$56)*(1+'1.1 Control Panel'!F$55-'1.1 Control Panel'!F$56)*(1+'1.1 Control Panel'!G$55-'1.1 Control Panel'!G$56)*SUMIFS('4.3 Global SME Data'!$C$21:$C$41,'4.3 Global SME Data'!$E$21:$E$41,$C$41)*SUMIFS('1.1 Control Panel'!G$90:G$95,'1.1 Control Panel'!C$90:C$95,$C44)*SUMIFS('1.1 Control Panel'!G$175:G$180,'1.1 Control Panel'!C$175:C$180,$C44)*SUMIFS('1.1 Control Panel'!G$260:G$265,'1.1 Control Panel'!C$260:C$265,$C44),0)</f>
        <v>12193</v>
      </c>
      <c r="H44" s="28">
        <f>ROUNDUP('1.1 Control Panel'!H$57*SUMIFS('4.3 Global SME Data'!$C$13:$C$18,'4.3 Global SME Data'!$B$13:$B$18,$C44)*1000000*(1+'1.1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Data'!$E$21:$E$41,$C$41)*SUMIFS('1.1 Control Panel'!H$90:H$95,'1.1 Control Panel'!C$90:C$95,$C44)*SUMIFS('1.1 Control Panel'!H$175:H$180,'1.1 Control Panel'!C$175:C$180,$C44)*SUMIFS('1.1 Control Panel'!H$260:H$265,'1.1 Control Panel'!C$260:C$265,$C44),0)</f>
        <v>12801</v>
      </c>
      <c r="J44" s="20"/>
    </row>
    <row r="45" spans="2:10" ht="11.5" customHeight="1" x14ac:dyDescent="0.25">
      <c r="C45" s="21" t="s">
        <v>455</v>
      </c>
      <c r="D45" s="38" t="s">
        <v>162</v>
      </c>
      <c r="E45" s="376">
        <f>ROUNDUP('1.1 Control Panel'!E$57*SUMIFS('4.3 Global SME Data'!$C$13:$C$18,'4.3 Global SME Data'!$B$13:$B$18,$C45)*1000000*(1+'1.1 Control Panel'!E$55-'1.1 Control Panel'!E$56)*SUMIFS('4.3 Global SME Data'!$C$21:$C$41,'4.3 Global SME Data'!$E$21:$E$41,$C$41)*SUMIFS('1.1 Control Panel'!E$90:E$95,'1.1 Control Panel'!C$90:C$95,$C45)*SUMIFS('1.1 Control Panel'!E$175:E$180,'1.1 Control Panel'!C$175:C$180,$C45)*SUMIFS('1.1 Control Panel'!E$260:E$265,'1.1 Control Panel'!C$260:C$265,$C45),0)</f>
        <v>67530</v>
      </c>
      <c r="F45" s="376">
        <f>ROUNDUP('1.1 Control Panel'!F$57*SUMIFS('4.3 Global SME Data'!$C$13:$C$18,'4.3 Global SME Data'!$B$13:$B$18,$C45)*1000000*(1+'1.1 Control Panel'!E$55-'1.1 Control Panel'!E$56)*(1+'1.1 Control Panel'!F$55-'1.1 Control Panel'!F$56)*SUMIFS('4.3 Global SME Data'!$C$21:$C$41,'4.3 Global SME Data'!$E$21:$E$41,$C$41)*SUMIFS('1.1 Control Panel'!F$90:F$95,'1.1 Control Panel'!C$90:C$95,$C45)*SUMIFS('1.1 Control Panel'!F$175:F$180,'1.1 Control Panel'!C$175:C$180,$C45)*SUMIFS('1.1 Control Panel'!F$260:F$265,'1.1 Control Panel'!C$260:C$265,$C45),0)</f>
        <v>71250</v>
      </c>
      <c r="G45" s="28">
        <f>ROUNDUP('1.1 Control Panel'!G$57*SUMIFS('4.3 Global SME Data'!$C$13:$C$18,'4.3 Global SME Data'!$B$13:$B$18,$C45)*1000000*(1+'1.1 Control Panel'!E$55-'1.1 Control Panel'!E$56)*(1+'1.1 Control Panel'!F$55-'1.1 Control Panel'!F$56)*(1+'1.1 Control Panel'!G$55-'1.1 Control Panel'!G$56)*SUMIFS('4.3 Global SME Data'!$C$21:$C$41,'4.3 Global SME Data'!$E$21:$E$41,$C$41)*SUMIFS('1.1 Control Panel'!G$90:G$95,'1.1 Control Panel'!C$90:C$95,$C45)*SUMIFS('1.1 Control Panel'!G$175:G$180,'1.1 Control Panel'!C$175:C$180,$C45)*SUMIFS('1.1 Control Panel'!G$260:G$265,'1.1 Control Panel'!C$260:C$265,$C45),0)</f>
        <v>77646</v>
      </c>
      <c r="H45" s="28">
        <f>ROUNDUP('1.1 Control Panel'!H$57*SUMIFS('4.3 Global SME Data'!$C$13:$C$18,'4.3 Global SME Data'!$B$13:$B$18,$C45)*1000000*(1+'1.1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Data'!$E$21:$E$41,$C$41)*SUMIFS('1.1 Control Panel'!H$90:H$95,'1.1 Control Panel'!C$90:C$95,$C45)*SUMIFS('1.1 Control Panel'!H$175:H$180,'1.1 Control Panel'!C$175:C$180,$C45)*SUMIFS('1.1 Control Panel'!H$260:H$265,'1.1 Control Panel'!C$260:C$265,$C45),0)</f>
        <v>84247</v>
      </c>
      <c r="J45" s="21"/>
    </row>
    <row r="46" spans="2:10" ht="11.5" customHeight="1" x14ac:dyDescent="0.25">
      <c r="C46" s="21" t="s">
        <v>393</v>
      </c>
      <c r="D46" s="38" t="s">
        <v>162</v>
      </c>
      <c r="E46" s="376">
        <f>ROUNDUP('1.1 Control Panel'!E$57*SUMIFS('4.3 Global SME Data'!$C$13:$C$18,'4.3 Global SME Data'!$B$13:$B$18,$C46)*1000000*(1+'1.1 Control Panel'!E$55-'1.1 Control Panel'!E$56)*SUMIFS('4.3 Global SME Data'!$C$21:$C$41,'4.3 Global SME Data'!$E$21:$E$41,$C$41)*SUMIFS('1.1 Control Panel'!E$90:E$95,'1.1 Control Panel'!C$90:C$95,$C46)*SUMIFS('1.1 Control Panel'!E$175:E$180,'1.1 Control Panel'!C$175:C$180,$C46)*SUMIFS('1.1 Control Panel'!E$260:E$265,'1.1 Control Panel'!C$260:C$265,$C46),0)</f>
        <v>121270</v>
      </c>
      <c r="F46" s="376">
        <f>ROUNDUP('1.1 Control Panel'!F$57*SUMIFS('4.3 Global SME Data'!$C$13:$C$18,'4.3 Global SME Data'!$B$13:$B$18,$C46)*1000000*(1+'1.1 Control Panel'!E$55-'1.1 Control Panel'!E$56)*(1+'1.1 Control Panel'!F$55-'1.1 Control Panel'!F$56)*SUMIFS('4.3 Global SME Data'!$C$21:$C$41,'4.3 Global SME Data'!$E$21:$E$41,$C$41)*SUMIFS('1.1 Control Panel'!F$90:F$95,'1.1 Control Panel'!C$90:C$95,$C46)*SUMIFS('1.1 Control Panel'!F$175:F$180,'1.1 Control Panel'!C$175:C$180,$C46)*SUMIFS('1.1 Control Panel'!F$260:F$265,'1.1 Control Panel'!C$260:C$265,$C46),0)</f>
        <v>127357</v>
      </c>
      <c r="G46" s="28">
        <f>ROUNDUP('1.1 Control Panel'!G$57*SUMIFS('4.3 Global SME Data'!$C$13:$C$18,'4.3 Global SME Data'!$B$13:$B$18,$C46)*1000000*(1+'1.1 Control Panel'!E$55-'1.1 Control Panel'!E$56)*(1+'1.1 Control Panel'!F$55-'1.1 Control Panel'!F$56)*(1+'1.1 Control Panel'!G$55-'1.1 Control Panel'!G$56)*SUMIFS('4.3 Global SME Data'!$C$21:$C$41,'4.3 Global SME Data'!$E$21:$E$41,$C$41)*SUMIFS('1.1 Control Panel'!G$90:G$95,'1.1 Control Panel'!C$90:C$95,$C46)*SUMIFS('1.1 Control Panel'!G$175:G$180,'1.1 Control Panel'!C$175:C$180,$C46)*SUMIFS('1.1 Control Panel'!G$260:G$265,'1.1 Control Panel'!C$260:C$265,$C46),0)</f>
        <v>137789</v>
      </c>
      <c r="H46" s="28">
        <f>ROUNDUP('1.1 Control Panel'!H$57*SUMIFS('4.3 Global SME Data'!$C$13:$C$18,'4.3 Global SME Data'!$B$13:$B$18,$C46)*1000000*(1+'1.1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Data'!$E$21:$E$41,$C$41)*SUMIFS('1.1 Control Panel'!H$90:H$95,'1.1 Control Panel'!C$90:C$95,$C46)*SUMIFS('1.1 Control Panel'!H$175:H$180,'1.1 Control Panel'!C$175:C$180,$C46)*SUMIFS('1.1 Control Panel'!H$260:H$265,'1.1 Control Panel'!C$260:C$265,$C46),0)</f>
        <v>148514</v>
      </c>
      <c r="J46" s="21"/>
    </row>
    <row r="47" spans="2:10" ht="11.5" customHeight="1" x14ac:dyDescent="0.25">
      <c r="C47" s="21" t="s">
        <v>456</v>
      </c>
      <c r="D47" s="38" t="s">
        <v>162</v>
      </c>
      <c r="E47" s="376">
        <f>ROUNDUP('1.1 Control Panel'!E$57*SUMIFS('4.3 Global SME Data'!$C$13:$C$18,'4.3 Global SME Data'!$B$13:$B$18,$C47)*1000000*(1+'1.1 Control Panel'!E$55-'1.1 Control Panel'!E$56)*SUMIFS('4.3 Global SME Data'!$C$21:$C$41,'4.3 Global SME Data'!$E$21:$E$41,$C$41)*SUMIFS('1.1 Control Panel'!E$90:E$95,'1.1 Control Panel'!C$90:C$95,$C47)*SUMIFS('1.1 Control Panel'!E$175:E$180,'1.1 Control Panel'!C$175:C$180,$C47)*SUMIFS('1.1 Control Panel'!E$260:E$265,'1.1 Control Panel'!C$260:C$265,$C47),0)</f>
        <v>17171</v>
      </c>
      <c r="F47" s="376">
        <f>ROUNDUP('1.1 Control Panel'!F$57*SUMIFS('4.3 Global SME Data'!$C$13:$C$18,'4.3 Global SME Data'!$B$13:$B$18,$C47)*1000000*(1+'1.1 Control Panel'!E$55-'1.1 Control Panel'!E$56)*(1+'1.1 Control Panel'!F$55-'1.1 Control Panel'!F$56)*SUMIFS('4.3 Global SME Data'!$C$21:$C$41,'4.3 Global SME Data'!$E$21:$E$41,$C$41)*SUMIFS('1.1 Control Panel'!F$90:F$95,'1.1 Control Panel'!C$90:C$95,$C47)*SUMIFS('1.1 Control Panel'!F$175:F$180,'1.1 Control Panel'!C$175:C$180,$C47)*SUMIFS('1.1 Control Panel'!F$260:F$265,'1.1 Control Panel'!C$260:C$265,$C47),0)</f>
        <v>17737</v>
      </c>
      <c r="G47" s="28">
        <f>ROUNDUP('1.1 Control Panel'!G$57*SUMIFS('4.3 Global SME Data'!$C$13:$C$18,'4.3 Global SME Data'!$B$13:$B$18,$C47)*1000000*(1+'1.1 Control Panel'!E$55-'1.1 Control Panel'!E$56)*(1+'1.1 Control Panel'!F$55-'1.1 Control Panel'!F$56)*(1+'1.1 Control Panel'!G$55-'1.1 Control Panel'!G$56)*SUMIFS('4.3 Global SME Data'!$C$21:$C$41,'4.3 Global SME Data'!$E$21:$E$41,$C$41)*SUMIFS('1.1 Control Panel'!G$90:G$95,'1.1 Control Panel'!C$90:C$95,$C47)*SUMIFS('1.1 Control Panel'!G$175:G$180,'1.1 Control Panel'!C$175:C$180,$C47)*SUMIFS('1.1 Control Panel'!G$260:G$265,'1.1 Control Panel'!C$260:C$265,$C47),0)</f>
        <v>18695</v>
      </c>
      <c r="H47" s="28">
        <f>ROUNDUP('1.1 Control Panel'!H$57*SUMIFS('4.3 Global SME Data'!$C$13:$C$18,'4.3 Global SME Data'!$B$13:$B$18,$C47)*1000000*(1+'1.1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Data'!$E$21:$E$41,$C$41)*SUMIFS('1.1 Control Panel'!H$90:H$95,'1.1 Control Panel'!C$90:C$95,$C47)*SUMIFS('1.1 Control Panel'!H$175:H$180,'1.1 Control Panel'!C$175:C$180,$C47)*SUMIFS('1.1 Control Panel'!H$260:H$265,'1.1 Control Panel'!C$260:C$265,$C47),0)</f>
        <v>19661</v>
      </c>
      <c r="J47" s="21"/>
    </row>
    <row r="48" spans="2:10" s="74" customFormat="1" ht="11.5" customHeight="1" x14ac:dyDescent="0.25">
      <c r="B48" s="99" t="s">
        <v>9</v>
      </c>
      <c r="C48" s="105" t="str">
        <f>'4.2 Sector Mapping'!$B$10</f>
        <v>Industrials and Services</v>
      </c>
      <c r="D48" s="106" t="s">
        <v>162</v>
      </c>
      <c r="E48" s="380">
        <f>SUM(E49:E54)</f>
        <v>1660984</v>
      </c>
      <c r="F48" s="380">
        <f t="shared" ref="F48" si="22">SUM(F49:F54)</f>
        <v>1742372</v>
      </c>
      <c r="G48" s="380">
        <f t="shared" ref="G48" si="23">SUM(G49:G54)</f>
        <v>1881744</v>
      </c>
      <c r="H48" s="380">
        <f t="shared" ref="H48" si="24">SUM(H49:H54)</f>
        <v>2024847</v>
      </c>
      <c r="J48" s="105"/>
    </row>
    <row r="49" spans="2:10" ht="11.5" customHeight="1" x14ac:dyDescent="0.25">
      <c r="C49" s="20" t="s">
        <v>600</v>
      </c>
      <c r="D49" s="34" t="s">
        <v>162</v>
      </c>
      <c r="E49" s="28">
        <f>ROUNDUP('1.1 Control Panel'!E$57*SUMIFS('4.3 Global SME Data'!$C$13:$C$18,'4.3 Global SME Data'!$B$13:$B$18,$C49)*1000000*(1+'1.1 Control Panel'!E$55-'1.1 Control Panel'!E$56)*SUMIFS('4.3 Global SME Data'!$C$21:$C$41,'4.3 Global SME Data'!$E$21:$E$41,$C$48)*SUMIFS('1.1 Control Panel'!E$97:E$102,'1.1 Control Panel'!C$97:C$102,$C49)*SUMIFS('1.1 Control Panel'!E$182:E$187,'1.1 Control Panel'!C$182:C$187,$C49)*SUMIFS('1.1 Control Panel'!E$267:E$272,'1.1 Control Panel'!C$267:C$272,$C49),0)</f>
        <v>981292</v>
      </c>
      <c r="F49" s="28">
        <f>ROUNDUP('1.1 Control Panel'!F$57*SUMIFS('4.3 Global SME Data'!$C$13:$C$18,'4.3 Global SME Data'!$B$13:$B$18,$C49)*1000000*(1+'1.1 Control Panel'!E$55-'1.1 Control Panel'!E$56)*(1+'1.1 Control Panel'!F$55-'1.1 Control Panel'!F$56)*SUMIFS('4.3 Global SME Data'!$C$21:$C$41,'4.3 Global SME Data'!$E$21:$E$41,$C$48)*SUMIFS('1.1 Control Panel'!F$97:F$102,'1.1 Control Panel'!C$97:C$102,$C49)*SUMIFS('1.1 Control Panel'!F$182:F$187,'1.1 Control Panel'!C$182:C$187,$C49)*SUMIFS('1.1 Control Panel'!F$267:F$272,'1.1 Control Panel'!C$267:C$272,$C49),0)</f>
        <v>1032825</v>
      </c>
      <c r="G49" s="28">
        <f>ROUNDUP('1.1 Control Panel'!G$57*SUMIFS('4.3 Global SME Data'!$C$13:$C$18,'4.3 Global SME Data'!$B$13:$B$18,$C49)*1000000*(1+'1.1 Control Panel'!E$55-'1.1 Control Panel'!E$56)*(1+'1.1 Control Panel'!F$55-'1.1 Control Panel'!F$56)*(1+'1.1 Control Panel'!G$55-'1.1 Control Panel'!G$56)*SUMIFS('4.3 Global SME Data'!$C$21:$C$41,'4.3 Global SME Data'!$E$21:$E$41,$C$48)*SUMIFS('1.1 Control Panel'!G$97:G$102,'1.1 Control Panel'!C$97:C$102,$C49)*SUMIFS('1.1 Control Panel'!G$182:G$187,'1.1 Control Panel'!C$182:C$187,$C49)*SUMIFS('1.1 Control Panel'!G$267:G$272,'1.1 Control Panel'!C$267:C$272,$C49),0)</f>
        <v>1121238</v>
      </c>
      <c r="H49" s="28">
        <f>ROUNDUP('1.1 Control Panel'!H$57*SUMIFS('4.3 Global SME Data'!$C$13:$C$18,'4.3 Global SME Data'!$B$13:$B$18,$C49)*1000000*(1+'1.1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Data'!$E$21:$E$41,$C$48)*SUMIFS('1.1 Control Panel'!H$97:H$102,'1.1 Control Panel'!C$97:C$102,$C49)*SUMIFS('1.1 Control Panel'!H$182:H$187,'1.1 Control Panel'!C$182:C$187,$C49)*SUMIFS('1.1 Control Panel'!H$267:H$272,'1.1 Control Panel'!C$267:C$272,$C49),0)</f>
        <v>1212251</v>
      </c>
      <c r="J49" s="20"/>
    </row>
    <row r="50" spans="2:10" ht="11.5" customHeight="1" x14ac:dyDescent="0.25">
      <c r="C50" s="20" t="s">
        <v>392</v>
      </c>
      <c r="D50" s="34" t="s">
        <v>162</v>
      </c>
      <c r="E50" s="28">
        <f>ROUNDUP('1.1 Control Panel'!E$57*SUMIFS('4.3 Global SME Data'!$C$13:$C$18,'4.3 Global SME Data'!$B$13:$B$18,$C50)*1000000*(1+'1.1 Control Panel'!E$55-'1.1 Control Panel'!E$56)*SUMIFS('4.3 Global SME Data'!$C$21:$C$41,'4.3 Global SME Data'!$E$21:$E$41,$C$48)*SUMIFS('1.1 Control Panel'!E$97:E$102,'1.1 Control Panel'!C$97:C$102,$C50)*SUMIFS('1.1 Control Panel'!E$182:E$187,'1.1 Control Panel'!C$182:C$187,$C50)*SUMIFS('1.1 Control Panel'!E$267:E$272,'1.1 Control Panel'!C$267:C$272,$C50),0)</f>
        <v>28462</v>
      </c>
      <c r="F50" s="28">
        <f>ROUNDUP('1.1 Control Panel'!F$57*SUMIFS('4.3 Global SME Data'!$C$13:$C$18,'4.3 Global SME Data'!$B$13:$B$18,$C50)*1000000*(1+'1.1 Control Panel'!E$55-'1.1 Control Panel'!E$56)*(1+'1.1 Control Panel'!F$55-'1.1 Control Panel'!F$56)*SUMIFS('4.3 Global SME Data'!$C$21:$C$41,'4.3 Global SME Data'!$E$21:$E$41,$C$48)*SUMIFS('1.1 Control Panel'!F$97:F$102,'1.1 Control Panel'!C$97:C$102,$C50)*SUMIFS('1.1 Control Panel'!F$182:F$187,'1.1 Control Panel'!C$182:C$187,$C50)*SUMIFS('1.1 Control Panel'!F$267:F$272,'1.1 Control Panel'!C$267:C$272,$C50),0)</f>
        <v>29797</v>
      </c>
      <c r="G50" s="28">
        <f>ROUNDUP('1.1 Control Panel'!G$57*SUMIFS('4.3 Global SME Data'!$C$13:$C$18,'4.3 Global SME Data'!$B$13:$B$18,$C50)*1000000*(1+'1.1 Control Panel'!E$55-'1.1 Control Panel'!E$56)*(1+'1.1 Control Panel'!F$55-'1.1 Control Panel'!F$56)*(1+'1.1 Control Panel'!G$55-'1.1 Control Panel'!G$56)*SUMIFS('4.3 Global SME Data'!$C$21:$C$41,'4.3 Global SME Data'!$E$21:$E$41,$C$48)*SUMIFS('1.1 Control Panel'!G$97:G$102,'1.1 Control Panel'!C$97:C$102,$C50)*SUMIFS('1.1 Control Panel'!G$182:G$187,'1.1 Control Panel'!C$182:C$187,$C50)*SUMIFS('1.1 Control Panel'!G$267:G$272,'1.1 Control Panel'!C$267:C$272,$C50),0)</f>
        <v>32075</v>
      </c>
      <c r="H50" s="28">
        <f>ROUNDUP('1.1 Control Panel'!H$57*SUMIFS('4.3 Global SME Data'!$C$13:$C$18,'4.3 Global SME Data'!$B$13:$B$18,$C50)*1000000*(1+'1.1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Data'!$E$21:$E$41,$C$48)*SUMIFS('1.1 Control Panel'!H$97:H$102,'1.1 Control Panel'!C$97:C$102,$C50)*SUMIFS('1.1 Control Panel'!H$182:H$187,'1.1 Control Panel'!C$182:C$187,$C50)*SUMIFS('1.1 Control Panel'!H$267:H$272,'1.1 Control Panel'!C$267:C$272,$C50),0)</f>
        <v>34403</v>
      </c>
      <c r="J50" s="20"/>
    </row>
    <row r="51" spans="2:10" ht="11.5" customHeight="1" x14ac:dyDescent="0.25">
      <c r="C51" s="20" t="s">
        <v>454</v>
      </c>
      <c r="D51" s="34" t="s">
        <v>162</v>
      </c>
      <c r="E51" s="28">
        <f>ROUNDUP('1.1 Control Panel'!E$57*SUMIFS('4.3 Global SME Data'!$C$13:$C$18,'4.3 Global SME Data'!$B$13:$B$18,$C51)*1000000*(1+'1.1 Control Panel'!E$55-'1.1 Control Panel'!E$56)*SUMIFS('4.3 Global SME Data'!$C$21:$C$41,'4.3 Global SME Data'!$E$21:$E$41,$C$48)*SUMIFS('1.1 Control Panel'!E$97:E$102,'1.1 Control Panel'!C$97:C$102,$C51)*SUMIFS('1.1 Control Panel'!E$182:E$187,'1.1 Control Panel'!C$182:C$187,$C51)*SUMIFS('1.1 Control Panel'!E$267:E$272,'1.1 Control Panel'!C$267:C$272,$C51),0)</f>
        <v>20274</v>
      </c>
      <c r="F51" s="28">
        <f>ROUNDUP('1.1 Control Panel'!F$57*SUMIFS('4.3 Global SME Data'!$C$13:$C$18,'4.3 Global SME Data'!$B$13:$B$18,$C51)*1000000*(1+'1.1 Control Panel'!E$55-'1.1 Control Panel'!E$56)*(1+'1.1 Control Panel'!F$55-'1.1 Control Panel'!F$56)*SUMIFS('4.3 Global SME Data'!$C$21:$C$41,'4.3 Global SME Data'!$E$21:$E$41,$C$48)*SUMIFS('1.1 Control Panel'!F$97:F$102,'1.1 Control Panel'!C$97:C$102,$C51)*SUMIFS('1.1 Control Panel'!F$182:F$187,'1.1 Control Panel'!C$182:C$187,$C51)*SUMIFS('1.1 Control Panel'!F$267:F$272,'1.1 Control Panel'!C$267:C$272,$C51),0)</f>
        <v>21037</v>
      </c>
      <c r="G51" s="28">
        <f>ROUNDUP('1.1 Control Panel'!G$57*SUMIFS('4.3 Global SME Data'!$C$13:$C$18,'4.3 Global SME Data'!$B$13:$B$18,$C51)*1000000*(1+'1.1 Control Panel'!E$55-'1.1 Control Panel'!E$56)*(1+'1.1 Control Panel'!F$55-'1.1 Control Panel'!F$56)*(1+'1.1 Control Panel'!G$55-'1.1 Control Panel'!G$56)*SUMIFS('4.3 Global SME Data'!$C$21:$C$41,'4.3 Global SME Data'!$E$21:$E$41,$C$48)*SUMIFS('1.1 Control Panel'!G$97:G$102,'1.1 Control Panel'!C$97:C$102,$C51)*SUMIFS('1.1 Control Panel'!G$182:G$187,'1.1 Control Panel'!C$182:C$187,$C51)*SUMIFS('1.1 Control Panel'!G$267:G$272,'1.1 Control Panel'!C$267:C$272,$C51),0)</f>
        <v>22332</v>
      </c>
      <c r="H51" s="28">
        <f>ROUNDUP('1.1 Control Panel'!H$57*SUMIFS('4.3 Global SME Data'!$C$13:$C$18,'4.3 Global SME Data'!$B$13:$B$18,$C51)*1000000*(1+'1.1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Data'!$E$21:$E$41,$C$48)*SUMIFS('1.1 Control Panel'!H$97:H$102,'1.1 Control Panel'!C$97:C$102,$C51)*SUMIFS('1.1 Control Panel'!H$182:H$187,'1.1 Control Panel'!C$182:C$187,$C51)*SUMIFS('1.1 Control Panel'!H$267:H$272,'1.1 Control Panel'!C$267:C$272,$C51),0)</f>
        <v>23644</v>
      </c>
      <c r="J51" s="20"/>
    </row>
    <row r="52" spans="2:10" ht="11.5" customHeight="1" x14ac:dyDescent="0.25">
      <c r="C52" s="21" t="s">
        <v>455</v>
      </c>
      <c r="D52" s="38" t="s">
        <v>162</v>
      </c>
      <c r="E52" s="376">
        <f>ROUNDUP('1.1 Control Panel'!E$57*SUMIFS('4.3 Global SME Data'!$C$13:$C$18,'4.3 Global SME Data'!$B$13:$B$18,$C52)*1000000*(1+'1.1 Control Panel'!E$55-'1.1 Control Panel'!E$56)*SUMIFS('4.3 Global SME Data'!$C$21:$C$41,'4.3 Global SME Data'!$E$21:$E$41,$C$48)*SUMIFS('1.1 Control Panel'!E$97:E$102,'1.1 Control Panel'!C$97:C$102,$C52)*SUMIFS('1.1 Control Panel'!E$182:E$187,'1.1 Control Panel'!C$182:C$187,$C52)*SUMIFS('1.1 Control Panel'!E$267:E$272,'1.1 Control Panel'!C$267:C$272,$C52),0)</f>
        <v>264580</v>
      </c>
      <c r="F52" s="376">
        <f>ROUNDUP('1.1 Control Panel'!F$57*SUMIFS('4.3 Global SME Data'!$C$13:$C$18,'4.3 Global SME Data'!$B$13:$B$18,$C52)*1000000*(1+'1.1 Control Panel'!E$55-'1.1 Control Panel'!E$56)*(1+'1.1 Control Panel'!F$55-'1.1 Control Panel'!F$56)*SUMIFS('4.3 Global SME Data'!$C$21:$C$41,'4.3 Global SME Data'!$E$21:$E$41,$C$48)*SUMIFS('1.1 Control Panel'!F$97:F$102,'1.1 Control Panel'!C$97:C$102,$C52)*SUMIFS('1.1 Control Panel'!F$182:F$187,'1.1 Control Panel'!C$182:C$187,$C52)*SUMIFS('1.1 Control Panel'!F$267:F$272,'1.1 Control Panel'!C$267:C$272,$C52),0)</f>
        <v>275770</v>
      </c>
      <c r="G52" s="376">
        <f>ROUNDUP('1.1 Control Panel'!G$57*SUMIFS('4.3 Global SME Data'!$C$13:$C$18,'4.3 Global SME Data'!$B$13:$B$18,$C52)*1000000*(1+'1.1 Control Panel'!E$55-'1.1 Control Panel'!E$56)*(1+'1.1 Control Panel'!F$55-'1.1 Control Panel'!F$56)*(1+'1.1 Control Panel'!G$55-'1.1 Control Panel'!G$56)*SUMIFS('4.3 Global SME Data'!$C$21:$C$41,'4.3 Global SME Data'!$E$21:$E$41,$C$48)*SUMIFS('1.1 Control Panel'!G$97:G$102,'1.1 Control Panel'!C$97:C$102,$C52)*SUMIFS('1.1 Control Panel'!G$182:G$187,'1.1 Control Panel'!C$182:C$187,$C52)*SUMIFS('1.1 Control Panel'!G$267:G$272,'1.1 Control Panel'!C$267:C$272,$C52),0)</f>
        <v>294848</v>
      </c>
      <c r="H52" s="376">
        <f>ROUNDUP('1.1 Control Panel'!H$57*SUMIFS('4.3 Global SME Data'!$C$13:$C$18,'4.3 Global SME Data'!$B$13:$B$18,$C52)*1000000*(1+'1.1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Data'!$E$21:$E$41,$C$48)*SUMIFS('1.1 Control Panel'!H$97:H$102,'1.1 Control Panel'!C$97:C$102,$C52)*SUMIFS('1.1 Control Panel'!H$182:H$187,'1.1 Control Panel'!C$182:C$187,$C52)*SUMIFS('1.1 Control Panel'!H$267:H$272,'1.1 Control Panel'!C$267:C$272,$C52),0)</f>
        <v>314317</v>
      </c>
      <c r="J52" s="21"/>
    </row>
    <row r="53" spans="2:10" ht="11.5" customHeight="1" x14ac:dyDescent="0.25">
      <c r="C53" s="21" t="s">
        <v>393</v>
      </c>
      <c r="D53" s="38" t="s">
        <v>162</v>
      </c>
      <c r="E53" s="376">
        <f>ROUNDUP('1.1 Control Panel'!E$57*SUMIFS('4.3 Global SME Data'!$C$13:$C$18,'4.3 Global SME Data'!$B$13:$B$18,$C53)*1000000*(1+'1.1 Control Panel'!E$55-'1.1 Control Panel'!E$56)*SUMIFS('4.3 Global SME Data'!$C$21:$C$41,'4.3 Global SME Data'!$E$21:$E$41,$C$48)*SUMIFS('1.1 Control Panel'!E$97:E$102,'1.1 Control Panel'!C$97:C$102,$C53)*SUMIFS('1.1 Control Panel'!E$182:E$187,'1.1 Control Panel'!C$182:C$187,$C53)*SUMIFS('1.1 Control Panel'!E$267:E$272,'1.1 Control Panel'!C$267:C$272,$C53),0)</f>
        <v>324517</v>
      </c>
      <c r="F53" s="376">
        <f>ROUNDUP('1.1 Control Panel'!F$57*SUMIFS('4.3 Global SME Data'!$C$13:$C$18,'4.3 Global SME Data'!$B$13:$B$18,$C53)*1000000*(1+'1.1 Control Panel'!E$55-'1.1 Control Panel'!E$56)*(1+'1.1 Control Panel'!F$55-'1.1 Control Panel'!F$56)*SUMIFS('4.3 Global SME Data'!$C$21:$C$41,'4.3 Global SME Data'!$E$21:$E$41,$C$48)*SUMIFS('1.1 Control Panel'!F$97:F$102,'1.1 Control Panel'!C$97:C$102,$C53)*SUMIFS('1.1 Control Panel'!F$182:F$187,'1.1 Control Panel'!C$182:C$187,$C53)*SUMIFS('1.1 Control Panel'!F$267:F$272,'1.1 Control Panel'!C$267:C$272,$C53),0)</f>
        <v>339755</v>
      </c>
      <c r="G53" s="376">
        <f>ROUNDUP('1.1 Control Panel'!G$57*SUMIFS('4.3 Global SME Data'!$C$13:$C$18,'4.3 Global SME Data'!$B$13:$B$18,$C53)*1000000*(1+'1.1 Control Panel'!E$55-'1.1 Control Panel'!E$56)*(1+'1.1 Control Panel'!F$55-'1.1 Control Panel'!F$56)*(1+'1.1 Control Panel'!G$55-'1.1 Control Panel'!G$56)*SUMIFS('4.3 Global SME Data'!$C$21:$C$41,'4.3 Global SME Data'!$E$21:$E$41,$C$48)*SUMIFS('1.1 Control Panel'!G$97:G$102,'1.1 Control Panel'!C$97:C$102,$C53)*SUMIFS('1.1 Control Panel'!G$182:G$187,'1.1 Control Panel'!C$182:C$187,$C53)*SUMIFS('1.1 Control Panel'!G$267:G$272,'1.1 Control Panel'!C$267:C$272,$C53),0)</f>
        <v>365815</v>
      </c>
      <c r="H53" s="376">
        <f>ROUNDUP('1.1 Control Panel'!H$57*SUMIFS('4.3 Global SME Data'!$C$13:$C$18,'4.3 Global SME Data'!$B$13:$B$18,$C53)*1000000*(1+'1.1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Data'!$E$21:$E$41,$C$48)*SUMIFS('1.1 Control Panel'!H$97:H$102,'1.1 Control Panel'!C$97:C$102,$C53)*SUMIFS('1.1 Control Panel'!H$182:H$187,'1.1 Control Panel'!C$182:C$187,$C53)*SUMIFS('1.1 Control Panel'!H$267:H$272,'1.1 Control Panel'!C$267:C$272,$C53),0)</f>
        <v>392526</v>
      </c>
      <c r="J53" s="21"/>
    </row>
    <row r="54" spans="2:10" ht="11.5" customHeight="1" x14ac:dyDescent="0.25">
      <c r="C54" s="21" t="s">
        <v>456</v>
      </c>
      <c r="D54" s="38" t="s">
        <v>162</v>
      </c>
      <c r="E54" s="376">
        <f>ROUNDUP('1.1 Control Panel'!E$57*SUMIFS('4.3 Global SME Data'!$C$13:$C$18,'4.3 Global SME Data'!$B$13:$B$18,$C54)*1000000*(1+'1.1 Control Panel'!E$55-'1.1 Control Panel'!E$56)*SUMIFS('4.3 Global SME Data'!$C$21:$C$41,'4.3 Global SME Data'!$E$21:$E$41,$C$48)*SUMIFS('1.1 Control Panel'!E$97:E$102,'1.1 Control Panel'!C$97:C$102,$C54)*SUMIFS('1.1 Control Panel'!E$182:E$187,'1.1 Control Panel'!C$182:C$187,$C54)*SUMIFS('1.1 Control Panel'!E$267:E$272,'1.1 Control Panel'!C$267:C$272,$C54),0)</f>
        <v>41859</v>
      </c>
      <c r="F54" s="376">
        <f>ROUNDUP('1.1 Control Panel'!F$57*SUMIFS('4.3 Global SME Data'!$C$13:$C$18,'4.3 Global SME Data'!$B$13:$B$18,$C54)*1000000*(1+'1.1 Control Panel'!E$55-'1.1 Control Panel'!E$56)*(1+'1.1 Control Panel'!F$55-'1.1 Control Panel'!F$56)*SUMIFS('4.3 Global SME Data'!$C$21:$C$41,'4.3 Global SME Data'!$E$21:$E$41,$C$48)*SUMIFS('1.1 Control Panel'!F$97:F$102,'1.1 Control Panel'!C$97:C$102,$C54)*SUMIFS('1.1 Control Panel'!F$182:F$187,'1.1 Control Panel'!C$182:C$187,$C54)*SUMIFS('1.1 Control Panel'!F$267:F$272,'1.1 Control Panel'!C$267:C$272,$C54),0)</f>
        <v>43188</v>
      </c>
      <c r="G54" s="376">
        <f>ROUNDUP('1.1 Control Panel'!G$57*SUMIFS('4.3 Global SME Data'!$C$13:$C$18,'4.3 Global SME Data'!$B$13:$B$18,$C54)*1000000*(1+'1.1 Control Panel'!E$55-'1.1 Control Panel'!E$56)*(1+'1.1 Control Panel'!F$55-'1.1 Control Panel'!F$56)*(1+'1.1 Control Panel'!G$55-'1.1 Control Panel'!G$56)*SUMIFS('4.3 Global SME Data'!$C$21:$C$41,'4.3 Global SME Data'!$E$21:$E$41,$C$48)*SUMIFS('1.1 Control Panel'!G$97:G$102,'1.1 Control Panel'!C$97:C$102,$C54)*SUMIFS('1.1 Control Panel'!G$182:G$187,'1.1 Control Panel'!C$182:C$187,$C54)*SUMIFS('1.1 Control Panel'!G$267:G$272,'1.1 Control Panel'!C$267:C$272,$C54),0)</f>
        <v>45436</v>
      </c>
      <c r="H54" s="376">
        <f>ROUNDUP('1.1 Control Panel'!H$57*SUMIFS('4.3 Global SME Data'!$C$13:$C$18,'4.3 Global SME Data'!$B$13:$B$18,$C54)*1000000*(1+'1.1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Data'!$E$21:$E$41,$C$48)*SUMIFS('1.1 Control Panel'!H$97:H$102,'1.1 Control Panel'!C$97:C$102,$C54)*SUMIFS('1.1 Control Panel'!H$182:H$187,'1.1 Control Panel'!C$182:C$187,$C54)*SUMIFS('1.1 Control Panel'!H$267:H$272,'1.1 Control Panel'!C$267:C$272,$C54),0)</f>
        <v>47706</v>
      </c>
      <c r="J54" s="21"/>
    </row>
    <row r="55" spans="2:10" s="74" customFormat="1" ht="11.5" customHeight="1" x14ac:dyDescent="0.25">
      <c r="B55" s="99" t="s">
        <v>9</v>
      </c>
      <c r="C55" s="105" t="str">
        <f>'4.2 Sector Mapping'!$B$11</f>
        <v>Professional Services: Human Resources, Education, Consulting, Legal</v>
      </c>
      <c r="D55" s="106" t="s">
        <v>162</v>
      </c>
      <c r="E55" s="380">
        <f>SUM(E56:E61)</f>
        <v>1010530</v>
      </c>
      <c r="F55" s="380">
        <f t="shared" ref="F55" si="25">SUM(F56:F61)</f>
        <v>1060045</v>
      </c>
      <c r="G55" s="380">
        <f t="shared" ref="G55" si="26">SUM(G56:G61)</f>
        <v>1144838</v>
      </c>
      <c r="H55" s="380">
        <f t="shared" ref="H55" si="27">SUM(H56:H61)</f>
        <v>1231901</v>
      </c>
      <c r="J55" s="105"/>
    </row>
    <row r="56" spans="2:10" ht="11.5" customHeight="1" x14ac:dyDescent="0.25">
      <c r="C56" s="20" t="s">
        <v>600</v>
      </c>
      <c r="D56" s="34" t="s">
        <v>162</v>
      </c>
      <c r="E56" s="28">
        <f>ROUNDUP('1.1 Control Panel'!E$57*SUMIFS('4.3 Global SME Data'!$C$13:$C$18,'4.3 Global SME Data'!$B$13:$B$18,$C56)*1000000*(1+'1.1 Control Panel'!E$55-'1.1 Control Panel'!E$56)*SUMIFS('4.3 Global SME Data'!$C$21:$C$41,'4.3 Global SME Data'!$E$21:$E$41,$C$55)*SUMIFS('1.1 Control Panel'!E$104:E$109,'1.1 Control Panel'!C$104:C$109,$C56)*SUMIFS('1.1 Control Panel'!E$189:E$194,'1.1 Control Panel'!C$189:C$194,$C56)*SUMIFS('1.1 Control Panel'!E$274:E$279,'1.1 Control Panel'!C$274:C$279,$C56),0)</f>
        <v>597010</v>
      </c>
      <c r="F56" s="28">
        <f>ROUNDUP('1.1 Control Panel'!F$57*SUMIFS('4.3 Global SME Data'!$C$13:$C$18,'4.3 Global SME Data'!$B$13:$B$18,$C56)*1000000*(1+'1.1 Control Panel'!E$55-'1.1 Control Panel'!E$56)*(1+'1.1 Control Panel'!F$55-'1.1 Control Panel'!F$56)*SUMIFS('4.3 Global SME Data'!$C$21:$C$41,'4.3 Global SME Data'!$E$21:$E$41,$C$55)*SUMIFS('1.1 Control Panel'!F$104:F$109,'1.1 Control Panel'!C$104:C$109,$C56)*SUMIFS('1.1 Control Panel'!F$189:F$194,'1.1 Control Panel'!C$189:C$194,$C56)*SUMIFS('1.1 Control Panel'!F$274:F$279,'1.1 Control Panel'!C$274:C$279,$C56),0)</f>
        <v>628362</v>
      </c>
      <c r="G56" s="28">
        <f>ROUNDUP('1.1 Control Panel'!G$57*SUMIFS('4.3 Global SME Data'!$C$13:$C$18,'4.3 Global SME Data'!$B$13:$B$18,$C56)*1000000*(1+'1.1 Control Panel'!E$55-'1.1 Control Panel'!E$56)*(1+'1.1 Control Panel'!F$55-'1.1 Control Panel'!F$56)*(1+'1.1 Control Panel'!G$55-'1.1 Control Panel'!G$56)*SUMIFS('4.3 Global SME Data'!$C$21:$C$41,'4.3 Global SME Data'!$E$21:$E$41,$C$55)*SUMIFS('1.1 Control Panel'!G$104:G$109,'1.1 Control Panel'!C$104:C$109,$C56)*SUMIFS('1.1 Control Panel'!G$189:G$194,'1.1 Control Panel'!C$189:C$194,$C56)*SUMIFS('1.1 Control Panel'!G$274:G$279,'1.1 Control Panel'!C$274:C$279,$C56),0)</f>
        <v>682152</v>
      </c>
      <c r="H56" s="28">
        <f>ROUNDUP('1.1 Control Panel'!H$57*SUMIFS('4.3 Global SME Data'!$C$13:$C$18,'4.3 Global SME Data'!$B$13:$B$18,$C56)*1000000*(1+'1.1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Data'!$E$21:$E$41,$C$55)*SUMIFS('1.1 Control Panel'!H$104:H$109,'1.1 Control Panel'!C$104:C$109,$C56)*SUMIFS('1.1 Control Panel'!H$189:H$194,'1.1 Control Panel'!C$189:C$194,$C56)*SUMIFS('1.1 Control Panel'!H$274:H$279,'1.1 Control Panel'!C$274:C$279,$C56),0)</f>
        <v>737523</v>
      </c>
      <c r="J56" s="20"/>
    </row>
    <row r="57" spans="2:10" ht="11.5" customHeight="1" x14ac:dyDescent="0.25">
      <c r="C57" s="20" t="s">
        <v>392</v>
      </c>
      <c r="D57" s="34" t="s">
        <v>162</v>
      </c>
      <c r="E57" s="28">
        <f>ROUNDUP('1.1 Control Panel'!E$57*SUMIFS('4.3 Global SME Data'!$C$13:$C$18,'4.3 Global SME Data'!$B$13:$B$18,$C57)*1000000*(1+'1.1 Control Panel'!E$55-'1.1 Control Panel'!E$56)*SUMIFS('4.3 Global SME Data'!$C$21:$C$41,'4.3 Global SME Data'!$E$21:$E$41,$C$55)*SUMIFS('1.1 Control Panel'!E$104:E$109,'1.1 Control Panel'!C$104:C$109,$C57)*SUMIFS('1.1 Control Panel'!E$189:E$194,'1.1 Control Panel'!C$189:C$194,$C57)*SUMIFS('1.1 Control Panel'!E$274:E$279,'1.1 Control Panel'!C$274:C$279,$C57),0)</f>
        <v>17316</v>
      </c>
      <c r="F57" s="28">
        <f>ROUNDUP('1.1 Control Panel'!F$57*SUMIFS('4.3 Global SME Data'!$C$13:$C$18,'4.3 Global SME Data'!$B$13:$B$18,$C57)*1000000*(1+'1.1 Control Panel'!E$55-'1.1 Control Panel'!E$56)*(1+'1.1 Control Panel'!F$55-'1.1 Control Panel'!F$56)*SUMIFS('4.3 Global SME Data'!$C$21:$C$41,'4.3 Global SME Data'!$E$21:$E$41,$C$55)*SUMIFS('1.1 Control Panel'!F$104:F$109,'1.1 Control Panel'!C$104:C$109,$C57)*SUMIFS('1.1 Control Panel'!F$189:F$194,'1.1 Control Panel'!C$189:C$194,$C57)*SUMIFS('1.1 Control Panel'!F$274:F$279,'1.1 Control Panel'!C$274:C$279,$C57),0)</f>
        <v>18128</v>
      </c>
      <c r="G57" s="28">
        <f>ROUNDUP('1.1 Control Panel'!G$57*SUMIFS('4.3 Global SME Data'!$C$13:$C$18,'4.3 Global SME Data'!$B$13:$B$18,$C57)*1000000*(1+'1.1 Control Panel'!E$55-'1.1 Control Panel'!E$56)*(1+'1.1 Control Panel'!F$55-'1.1 Control Panel'!F$56)*(1+'1.1 Control Panel'!G$55-'1.1 Control Panel'!G$56)*SUMIFS('4.3 Global SME Data'!$C$21:$C$41,'4.3 Global SME Data'!$E$21:$E$41,$C$55)*SUMIFS('1.1 Control Panel'!G$104:G$109,'1.1 Control Panel'!C$104:C$109,$C57)*SUMIFS('1.1 Control Panel'!G$189:G$194,'1.1 Control Panel'!C$189:C$194,$C57)*SUMIFS('1.1 Control Panel'!G$274:G$279,'1.1 Control Panel'!C$274:C$279,$C57),0)</f>
        <v>19514</v>
      </c>
      <c r="H57" s="28">
        <f>ROUNDUP('1.1 Control Panel'!H$57*SUMIFS('4.3 Global SME Data'!$C$13:$C$18,'4.3 Global SME Data'!$B$13:$B$18,$C57)*1000000*(1+'1.1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Data'!$E$21:$E$41,$C$55)*SUMIFS('1.1 Control Panel'!H$104:H$109,'1.1 Control Panel'!C$104:C$109,$C57)*SUMIFS('1.1 Control Panel'!H$189:H$194,'1.1 Control Panel'!C$189:C$194,$C57)*SUMIFS('1.1 Control Panel'!H$274:H$279,'1.1 Control Panel'!C$274:C$279,$C57),0)</f>
        <v>20931</v>
      </c>
      <c r="J57" s="20"/>
    </row>
    <row r="58" spans="2:10" ht="11.5" customHeight="1" x14ac:dyDescent="0.25">
      <c r="C58" s="20" t="s">
        <v>454</v>
      </c>
      <c r="D58" s="34" t="s">
        <v>162</v>
      </c>
      <c r="E58" s="28">
        <f>ROUNDUP('1.1 Control Panel'!E$57*SUMIFS('4.3 Global SME Data'!$C$13:$C$18,'4.3 Global SME Data'!$B$13:$B$18,$C58)*1000000*(1+'1.1 Control Panel'!E$55-'1.1 Control Panel'!E$56)*SUMIFS('4.3 Global SME Data'!$C$21:$C$41,'4.3 Global SME Data'!$E$21:$E$41,$C$55)*SUMIFS('1.1 Control Panel'!E$104:E$109,'1.1 Control Panel'!C$104:C$109,$C58)*SUMIFS('1.1 Control Panel'!E$189:E$194,'1.1 Control Panel'!C$189:C$194,$C58)*SUMIFS('1.1 Control Panel'!E$274:E$279,'1.1 Control Panel'!C$274:C$279,$C58),0)</f>
        <v>12335</v>
      </c>
      <c r="F58" s="28">
        <f>ROUNDUP('1.1 Control Panel'!F$57*SUMIFS('4.3 Global SME Data'!$C$13:$C$18,'4.3 Global SME Data'!$B$13:$B$18,$C58)*1000000*(1+'1.1 Control Panel'!E$55-'1.1 Control Panel'!E$56)*(1+'1.1 Control Panel'!F$55-'1.1 Control Panel'!F$56)*SUMIFS('4.3 Global SME Data'!$C$21:$C$41,'4.3 Global SME Data'!$E$21:$E$41,$C$55)*SUMIFS('1.1 Control Panel'!F$104:F$109,'1.1 Control Panel'!C$104:C$109,$C58)*SUMIFS('1.1 Control Panel'!F$189:F$194,'1.1 Control Panel'!C$189:C$194,$C58)*SUMIFS('1.1 Control Panel'!F$274:F$279,'1.1 Control Panel'!C$274:C$279,$C58),0)</f>
        <v>12799</v>
      </c>
      <c r="G58" s="28">
        <f>ROUNDUP('1.1 Control Panel'!G$57*SUMIFS('4.3 Global SME Data'!$C$13:$C$18,'4.3 Global SME Data'!$B$13:$B$18,$C58)*1000000*(1+'1.1 Control Panel'!E$55-'1.1 Control Panel'!E$56)*(1+'1.1 Control Panel'!F$55-'1.1 Control Panel'!F$56)*(1+'1.1 Control Panel'!G$55-'1.1 Control Panel'!G$56)*SUMIFS('4.3 Global SME Data'!$C$21:$C$41,'4.3 Global SME Data'!$E$21:$E$41,$C$55)*SUMIFS('1.1 Control Panel'!G$104:G$109,'1.1 Control Panel'!C$104:C$109,$C58)*SUMIFS('1.1 Control Panel'!G$189:G$194,'1.1 Control Panel'!C$189:C$194,$C58)*SUMIFS('1.1 Control Panel'!G$274:G$279,'1.1 Control Panel'!C$274:C$279,$C58),0)</f>
        <v>13587</v>
      </c>
      <c r="H58" s="28">
        <f>ROUNDUP('1.1 Control Panel'!H$57*SUMIFS('4.3 Global SME Data'!$C$13:$C$18,'4.3 Global SME Data'!$B$13:$B$18,$C58)*1000000*(1+'1.1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Data'!$E$21:$E$41,$C$55)*SUMIFS('1.1 Control Panel'!H$104:H$109,'1.1 Control Panel'!C$104:C$109,$C58)*SUMIFS('1.1 Control Panel'!H$189:H$194,'1.1 Control Panel'!C$189:C$194,$C58)*SUMIFS('1.1 Control Panel'!H$274:H$279,'1.1 Control Panel'!C$274:C$279,$C58),0)</f>
        <v>14385</v>
      </c>
      <c r="J58" s="20"/>
    </row>
    <row r="59" spans="2:10" ht="11.5" customHeight="1" x14ac:dyDescent="0.25">
      <c r="C59" s="21" t="s">
        <v>455</v>
      </c>
      <c r="D59" s="38" t="s">
        <v>162</v>
      </c>
      <c r="E59" s="376">
        <f>ROUNDUP('1.1 Control Panel'!E$57*SUMIFS('4.3 Global SME Data'!$C$13:$C$18,'4.3 Global SME Data'!$B$13:$B$18,$C59)*1000000*(1+'1.1 Control Panel'!E$55-'1.1 Control Panel'!E$56)*SUMIFS('4.3 Global SME Data'!$C$21:$C$41,'4.3 Global SME Data'!$E$21:$E$41,$C$55)*SUMIFS('1.1 Control Panel'!E$104:E$109,'1.1 Control Panel'!C$104:C$109,$C59)*SUMIFS('1.1 Control Panel'!E$189:E$194,'1.1 Control Panel'!C$189:C$194,$C59)*SUMIFS('1.1 Control Panel'!E$274:E$279,'1.1 Control Panel'!C$274:C$279,$C59),0)</f>
        <v>160968</v>
      </c>
      <c r="F59" s="376">
        <f>ROUNDUP('1.1 Control Panel'!F$57*SUMIFS('4.3 Global SME Data'!$C$13:$C$18,'4.3 Global SME Data'!$B$13:$B$18,$C59)*1000000*(1+'1.1 Control Panel'!E$55-'1.1 Control Panel'!E$56)*(1+'1.1 Control Panel'!F$55-'1.1 Control Panel'!F$56)*SUMIFS('4.3 Global SME Data'!$C$21:$C$41,'4.3 Global SME Data'!$E$21:$E$41,$C$55)*SUMIFS('1.1 Control Panel'!F$104:F$109,'1.1 Control Panel'!C$104:C$109,$C59)*SUMIFS('1.1 Control Panel'!F$189:F$194,'1.1 Control Panel'!C$189:C$194,$C59)*SUMIFS('1.1 Control Panel'!F$274:F$279,'1.1 Control Panel'!C$274:C$279,$C59),0)</f>
        <v>167777</v>
      </c>
      <c r="G59" s="376">
        <f>ROUNDUP('1.1 Control Panel'!G$57*SUMIFS('4.3 Global SME Data'!$C$13:$C$18,'4.3 Global SME Data'!$B$13:$B$18,$C59)*1000000*(1+'1.1 Control Panel'!E$55-'1.1 Control Panel'!E$56)*(1+'1.1 Control Panel'!F$55-'1.1 Control Panel'!F$56)*(1+'1.1 Control Panel'!G$55-'1.1 Control Panel'!G$56)*SUMIFS('4.3 Global SME Data'!$C$21:$C$41,'4.3 Global SME Data'!$E$21:$E$41,$C$55)*SUMIFS('1.1 Control Panel'!G$104:G$109,'1.1 Control Panel'!C$104:C$109,$C59)*SUMIFS('1.1 Control Panel'!G$189:G$194,'1.1 Control Panel'!C$189:C$194,$C59)*SUMIFS('1.1 Control Panel'!G$274:G$279,'1.1 Control Panel'!C$274:C$279,$C59),0)</f>
        <v>179383</v>
      </c>
      <c r="H59" s="376">
        <f>ROUNDUP('1.1 Control Panel'!H$57*SUMIFS('4.3 Global SME Data'!$C$13:$C$18,'4.3 Global SME Data'!$B$13:$B$18,$C59)*1000000*(1+'1.1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Data'!$E$21:$E$41,$C$55)*SUMIFS('1.1 Control Panel'!H$104:H$109,'1.1 Control Panel'!C$104:C$109,$C59)*SUMIFS('1.1 Control Panel'!H$189:H$194,'1.1 Control Panel'!C$189:C$194,$C59)*SUMIFS('1.1 Control Panel'!H$274:H$279,'1.1 Control Panel'!C$274:C$279,$C59),0)</f>
        <v>191228</v>
      </c>
      <c r="J59" s="21"/>
    </row>
    <row r="60" spans="2:10" ht="11.5" customHeight="1" x14ac:dyDescent="0.25">
      <c r="C60" s="21" t="s">
        <v>393</v>
      </c>
      <c r="D60" s="38" t="s">
        <v>162</v>
      </c>
      <c r="E60" s="376">
        <f>ROUNDUP('1.1 Control Panel'!E$57*SUMIFS('4.3 Global SME Data'!$C$13:$C$18,'4.3 Global SME Data'!$B$13:$B$18,$C60)*1000000*(1+'1.1 Control Panel'!E$55-'1.1 Control Panel'!E$56)*SUMIFS('4.3 Global SME Data'!$C$21:$C$41,'4.3 Global SME Data'!$E$21:$E$41,$C$55)*SUMIFS('1.1 Control Panel'!E$104:E$109,'1.1 Control Panel'!C$104:C$109,$C60)*SUMIFS('1.1 Control Panel'!E$189:E$194,'1.1 Control Panel'!C$189:C$194,$C60)*SUMIFS('1.1 Control Panel'!E$274:E$279,'1.1 Control Panel'!C$274:C$279,$C60),0)</f>
        <v>197434</v>
      </c>
      <c r="F60" s="376">
        <f>ROUNDUP('1.1 Control Panel'!F$57*SUMIFS('4.3 Global SME Data'!$C$13:$C$18,'4.3 Global SME Data'!$B$13:$B$18,$C60)*1000000*(1+'1.1 Control Panel'!E$55-'1.1 Control Panel'!E$56)*(1+'1.1 Control Panel'!F$55-'1.1 Control Panel'!F$56)*SUMIFS('4.3 Global SME Data'!$C$21:$C$41,'4.3 Global SME Data'!$E$21:$E$41,$C$55)*SUMIFS('1.1 Control Panel'!F$104:F$109,'1.1 Control Panel'!C$104:C$109,$C60)*SUMIFS('1.1 Control Panel'!F$189:F$194,'1.1 Control Panel'!C$189:C$194,$C60)*SUMIFS('1.1 Control Panel'!F$274:F$279,'1.1 Control Panel'!C$274:C$279,$C60),0)</f>
        <v>206704</v>
      </c>
      <c r="G60" s="376">
        <f>ROUNDUP('1.1 Control Panel'!G$57*SUMIFS('4.3 Global SME Data'!$C$13:$C$18,'4.3 Global SME Data'!$B$13:$B$18,$C60)*1000000*(1+'1.1 Control Panel'!E$55-'1.1 Control Panel'!E$56)*(1+'1.1 Control Panel'!F$55-'1.1 Control Panel'!F$56)*(1+'1.1 Control Panel'!G$55-'1.1 Control Panel'!G$56)*SUMIFS('4.3 Global SME Data'!$C$21:$C$41,'4.3 Global SME Data'!$E$21:$E$41,$C$55)*SUMIFS('1.1 Control Panel'!G$104:G$109,'1.1 Control Panel'!C$104:C$109,$C60)*SUMIFS('1.1 Control Panel'!G$189:G$194,'1.1 Control Panel'!C$189:C$194,$C60)*SUMIFS('1.1 Control Panel'!G$274:G$279,'1.1 Control Panel'!C$274:C$279,$C60),0)</f>
        <v>222559</v>
      </c>
      <c r="H60" s="376">
        <f>ROUNDUP('1.1 Control Panel'!H$57*SUMIFS('4.3 Global SME Data'!$C$13:$C$18,'4.3 Global SME Data'!$B$13:$B$18,$C60)*1000000*(1+'1.1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Data'!$E$21:$E$41,$C$55)*SUMIFS('1.1 Control Panel'!H$104:H$109,'1.1 Control Panel'!C$104:C$109,$C60)*SUMIFS('1.1 Control Panel'!H$189:H$194,'1.1 Control Panel'!C$189:C$194,$C60)*SUMIFS('1.1 Control Panel'!H$274:H$279,'1.1 Control Panel'!C$274:C$279,$C60),0)</f>
        <v>238810</v>
      </c>
      <c r="J60" s="21"/>
    </row>
    <row r="61" spans="2:10" ht="11.5" customHeight="1" x14ac:dyDescent="0.25">
      <c r="C61" s="21" t="s">
        <v>456</v>
      </c>
      <c r="D61" s="38" t="s">
        <v>162</v>
      </c>
      <c r="E61" s="376">
        <f>ROUNDUP('1.1 Control Panel'!E$57*SUMIFS('4.3 Global SME Data'!$C$13:$C$18,'4.3 Global SME Data'!$B$13:$B$18,$C61)*1000000*(1+'1.1 Control Panel'!E$55-'1.1 Control Panel'!E$56)*SUMIFS('4.3 Global SME Data'!$C$21:$C$41,'4.3 Global SME Data'!$E$21:$E$41,$C$55)*SUMIFS('1.1 Control Panel'!E$104:E$109,'1.1 Control Panel'!C$104:C$109,$C61)*SUMIFS('1.1 Control Panel'!E$189:E$194,'1.1 Control Panel'!C$189:C$194,$C61)*SUMIFS('1.1 Control Panel'!E$274:E$279,'1.1 Control Panel'!C$274:C$279,$C61),0)</f>
        <v>25467</v>
      </c>
      <c r="F61" s="376">
        <f>ROUNDUP('1.1 Control Panel'!F$57*SUMIFS('4.3 Global SME Data'!$C$13:$C$18,'4.3 Global SME Data'!$B$13:$B$18,$C61)*1000000*(1+'1.1 Control Panel'!E$55-'1.1 Control Panel'!E$56)*(1+'1.1 Control Panel'!F$55-'1.1 Control Panel'!F$56)*SUMIFS('4.3 Global SME Data'!$C$21:$C$41,'4.3 Global SME Data'!$E$21:$E$41,$C$55)*SUMIFS('1.1 Control Panel'!F$104:F$109,'1.1 Control Panel'!C$104:C$109,$C61)*SUMIFS('1.1 Control Panel'!F$189:F$194,'1.1 Control Panel'!C$189:C$194,$C61)*SUMIFS('1.1 Control Panel'!F$274:F$279,'1.1 Control Panel'!C$274:C$279,$C61),0)</f>
        <v>26275</v>
      </c>
      <c r="G61" s="376">
        <f>ROUNDUP('1.1 Control Panel'!G$57*SUMIFS('4.3 Global SME Data'!$C$13:$C$18,'4.3 Global SME Data'!$B$13:$B$18,$C61)*1000000*(1+'1.1 Control Panel'!E$55-'1.1 Control Panel'!E$56)*(1+'1.1 Control Panel'!F$55-'1.1 Control Panel'!F$56)*(1+'1.1 Control Panel'!G$55-'1.1 Control Panel'!G$56)*SUMIFS('4.3 Global SME Data'!$C$21:$C$41,'4.3 Global SME Data'!$E$21:$E$41,$C$55)*SUMIFS('1.1 Control Panel'!G$104:G$109,'1.1 Control Panel'!C$104:C$109,$C61)*SUMIFS('1.1 Control Panel'!G$189:G$194,'1.1 Control Panel'!C$189:C$194,$C61)*SUMIFS('1.1 Control Panel'!G$274:G$279,'1.1 Control Panel'!C$274:C$279,$C61),0)</f>
        <v>27643</v>
      </c>
      <c r="H61" s="376">
        <f>ROUNDUP('1.1 Control Panel'!H$57*SUMIFS('4.3 Global SME Data'!$C$13:$C$18,'4.3 Global SME Data'!$B$13:$B$18,$C61)*1000000*(1+'1.1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Data'!$E$21:$E$41,$C$55)*SUMIFS('1.1 Control Panel'!H$104:H$109,'1.1 Control Panel'!C$104:C$109,$C61)*SUMIFS('1.1 Control Panel'!H$189:H$194,'1.1 Control Panel'!C$189:C$194,$C61)*SUMIFS('1.1 Control Panel'!H$274:H$279,'1.1 Control Panel'!C$274:C$279,$C61),0)</f>
        <v>29024</v>
      </c>
      <c r="J61" s="21"/>
    </row>
    <row r="62" spans="2:10" s="74" customFormat="1" ht="11.5" customHeight="1" x14ac:dyDescent="0.25">
      <c r="B62" s="99" t="s">
        <v>9</v>
      </c>
      <c r="C62" s="105" t="str">
        <f>'4.2 Sector Mapping'!$B$12</f>
        <v>Public and Social Services</v>
      </c>
      <c r="D62" s="106" t="s">
        <v>162</v>
      </c>
      <c r="E62" s="380">
        <f>SUM(E63:E68)</f>
        <v>797263</v>
      </c>
      <c r="F62" s="380">
        <f t="shared" ref="F62" si="28">SUM(F63:F68)</f>
        <v>850157</v>
      </c>
      <c r="G62" s="380">
        <f t="shared" ref="G62" si="29">SUM(G63:G68)</f>
        <v>941852</v>
      </c>
      <c r="H62" s="380">
        <f t="shared" ref="H62" si="30">SUM(H63:H68)</f>
        <v>1037473</v>
      </c>
      <c r="J62" s="105"/>
    </row>
    <row r="63" spans="2:10" ht="11.5" customHeight="1" x14ac:dyDescent="0.25">
      <c r="C63" s="20" t="s">
        <v>600</v>
      </c>
      <c r="D63" s="34" t="s">
        <v>162</v>
      </c>
      <c r="E63" s="28">
        <f>ROUNDUP('1.1 Control Panel'!E$57*SUMIFS('4.3 Global SME Data'!$C$13:$C$18,'4.3 Global SME Data'!$B$13:$B$18,$C63)*1000000*(1+'1.1 Control Panel'!E$55-'1.1 Control Panel'!E$56)*SUMIFS('4.3 Global SME Data'!$C$21:$C$41,'4.3 Global SME Data'!$E$21:$E$41,$C$62)*SUMIFS('1.1 Control Panel'!E$111:E$116,'1.1 Control Panel'!C$111:C$116,$C63)*SUMIFS('1.1 Control Panel'!E$196:E$201,'1.1 Control Panel'!C$196:C$201,$C63)*SUMIFS('1.1 Control Panel'!E$281:E$286,'1.1 Control Panel'!C$281:C$286,$C63),0)</f>
        <v>411762</v>
      </c>
      <c r="F63" s="28">
        <f>ROUNDUP('1.1 Control Panel'!F$57*SUMIFS('4.3 Global SME Data'!$C$13:$C$18,'4.3 Global SME Data'!$B$13:$B$18,$C63)*1000000*(1+'1.1 Control Panel'!E$55-'1.1 Control Panel'!E$56)*(1+'1.1 Control Panel'!F$55-'1.1 Control Panel'!F$56)*SUMIFS('4.3 Global SME Data'!$C$21:$C$41,'4.3 Global SME Data'!$E$21:$E$41,$C$62)*SUMIFS('1.1 Control Panel'!F$111:F$116,'1.1 Control Panel'!C$111:C$116,$C63)*SUMIFS('1.1 Control Panel'!F$196:F$201,'1.1 Control Panel'!C$196:C$201,$C63)*SUMIFS('1.1 Control Panel'!F$281:F$286,'1.1 Control Panel'!C$281:C$286,$C63),0)</f>
        <v>443445</v>
      </c>
      <c r="G63" s="28">
        <f>ROUNDUP('1.1 Control Panel'!G$57*SUMIFS('4.3 Global SME Data'!$C$13:$C$18,'4.3 Global SME Data'!$B$13:$B$18,$C63)*1000000*(1+'1.1 Control Panel'!E$55-'1.1 Control Panel'!E$56)*(1+'1.1 Control Panel'!F$55-'1.1 Control Panel'!F$56)*(1+'1.1 Control Panel'!G$55-'1.1 Control Panel'!G$56)*SUMIFS('4.3 Global SME Data'!$C$21:$C$41,'4.3 Global SME Data'!$E$21:$E$41,$C$62)*SUMIFS('1.1 Control Panel'!G$111:G$116,'1.1 Control Panel'!C$111:C$116,$C63)*SUMIFS('1.1 Control Panel'!G$196:G$201,'1.1 Control Panel'!C$196:C$201,$C63)*SUMIFS('1.1 Control Panel'!G$281:G$286,'1.1 Control Panel'!C$281:C$286,$C63),0)</f>
        <v>498652</v>
      </c>
      <c r="H63" s="28">
        <f>ROUNDUP('1.1 Control Panel'!H$57*SUMIFS('4.3 Global SME Data'!$C$13:$C$18,'4.3 Global SME Data'!$B$13:$B$18,$C63)*1000000*(1+'1.1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Data'!$E$21:$E$41,$C$62)*SUMIFS('1.1 Control Panel'!H$111:H$116,'1.1 Control Panel'!C$111:C$116,$C63)*SUMIFS('1.1 Control Panel'!H$196:H$201,'1.1 Control Panel'!C$196:C$201,$C63)*SUMIFS('1.1 Control Panel'!H$281:H$286,'1.1 Control Panel'!C$281:C$286,$C63),0)</f>
        <v>556588</v>
      </c>
      <c r="J63" s="20"/>
    </row>
    <row r="64" spans="2:10" ht="11.5" customHeight="1" x14ac:dyDescent="0.25">
      <c r="C64" s="20" t="s">
        <v>392</v>
      </c>
      <c r="D64" s="34" t="s">
        <v>162</v>
      </c>
      <c r="E64" s="28">
        <f>ROUNDUP('1.1 Control Panel'!E$57*SUMIFS('4.3 Global SME Data'!$C$13:$C$18,'4.3 Global SME Data'!$B$13:$B$18,$C64)*1000000*(1+'1.1 Control Panel'!E$55-'1.1 Control Panel'!E$56)*SUMIFS('4.3 Global SME Data'!$C$21:$C$41,'4.3 Global SME Data'!$E$21:$E$41,$C$62)*SUMIFS('1.1 Control Panel'!E$111:E$116,'1.1 Control Panel'!C$111:C$116,$C64)*SUMIFS('1.1 Control Panel'!E$196:E$201,'1.1 Control Panel'!C$196:C$201,$C64)*SUMIFS('1.1 Control Panel'!E$281:E$286,'1.1 Control Panel'!C$281:C$286,$C64),0)</f>
        <v>13788</v>
      </c>
      <c r="F64" s="28">
        <f>ROUNDUP('1.1 Control Panel'!F$57*SUMIFS('4.3 Global SME Data'!$C$13:$C$18,'4.3 Global SME Data'!$B$13:$B$18,$C64)*1000000*(1+'1.1 Control Panel'!E$55-'1.1 Control Panel'!E$56)*(1+'1.1 Control Panel'!F$55-'1.1 Control Panel'!F$56)*SUMIFS('4.3 Global SME Data'!$C$21:$C$41,'4.3 Global SME Data'!$E$21:$E$41,$C$62)*SUMIFS('1.1 Control Panel'!F$111:F$116,'1.1 Control Panel'!C$111:C$116,$C64)*SUMIFS('1.1 Control Panel'!F$196:F$201,'1.1 Control Panel'!C$196:C$201,$C64)*SUMIFS('1.1 Control Panel'!F$281:F$286,'1.1 Control Panel'!C$281:C$286,$C64),0)</f>
        <v>14653</v>
      </c>
      <c r="G64" s="28">
        <f>ROUNDUP('1.1 Control Panel'!G$57*SUMIFS('4.3 Global SME Data'!$C$13:$C$18,'4.3 Global SME Data'!$B$13:$B$18,$C64)*1000000*(1+'1.1 Control Panel'!E$55-'1.1 Control Panel'!E$56)*(1+'1.1 Control Panel'!F$55-'1.1 Control Panel'!F$56)*(1+'1.1 Control Panel'!G$55-'1.1 Control Panel'!G$56)*SUMIFS('4.3 Global SME Data'!$C$21:$C$41,'4.3 Global SME Data'!$E$21:$E$41,$C$62)*SUMIFS('1.1 Control Panel'!G$111:G$116,'1.1 Control Panel'!C$111:C$116,$C64)*SUMIFS('1.1 Control Panel'!G$196:G$201,'1.1 Control Panel'!C$196:C$201,$C64)*SUMIFS('1.1 Control Panel'!G$281:G$286,'1.1 Control Panel'!C$281:C$286,$C64),0)</f>
        <v>16147</v>
      </c>
      <c r="H64" s="28">
        <f>ROUNDUP('1.1 Control Panel'!H$57*SUMIFS('4.3 Global SME Data'!$C$13:$C$18,'4.3 Global SME Data'!$B$13:$B$18,$C64)*1000000*(1+'1.1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Data'!$E$21:$E$41,$C$62)*SUMIFS('1.1 Control Panel'!H$111:H$116,'1.1 Control Panel'!C$111:C$116,$C64)*SUMIFS('1.1 Control Panel'!H$196:H$201,'1.1 Control Panel'!C$196:C$201,$C64)*SUMIFS('1.1 Control Panel'!H$281:H$286,'1.1 Control Panel'!C$281:C$286,$C64),0)</f>
        <v>17696</v>
      </c>
      <c r="J64" s="20"/>
    </row>
    <row r="65" spans="2:10" ht="11.5" customHeight="1" x14ac:dyDescent="0.25">
      <c r="C65" s="20" t="s">
        <v>454</v>
      </c>
      <c r="D65" s="34" t="s">
        <v>162</v>
      </c>
      <c r="E65" s="28">
        <f>ROUNDUP('1.1 Control Panel'!E$57*SUMIFS('4.3 Global SME Data'!$C$13:$C$18,'4.3 Global SME Data'!$B$13:$B$18,$C65)*1000000*(1+'1.1 Control Panel'!E$55-'1.1 Control Panel'!E$56)*SUMIFS('4.3 Global SME Data'!$C$21:$C$41,'4.3 Global SME Data'!$E$21:$E$41,$C$62)*SUMIFS('1.1 Control Panel'!E$111:E$116,'1.1 Control Panel'!C$111:C$116,$C65)*SUMIFS('1.1 Control Panel'!E$196:E$201,'1.1 Control Panel'!C$196:C$201,$C65)*SUMIFS('1.1 Control Panel'!E$281:E$286,'1.1 Control Panel'!C$281:C$286,$C65),0)</f>
        <v>20099</v>
      </c>
      <c r="F65" s="28">
        <f>ROUNDUP('1.1 Control Panel'!F$57*SUMIFS('4.3 Global SME Data'!$C$13:$C$18,'4.3 Global SME Data'!$B$13:$B$18,$C65)*1000000*(1+'1.1 Control Panel'!E$55-'1.1 Control Panel'!E$56)*(1+'1.1 Control Panel'!F$55-'1.1 Control Panel'!F$56)*SUMIFS('4.3 Global SME Data'!$C$21:$C$41,'4.3 Global SME Data'!$E$21:$E$41,$C$62)*SUMIFS('1.1 Control Panel'!F$111:F$116,'1.1 Control Panel'!C$111:C$116,$C65)*SUMIFS('1.1 Control Panel'!F$196:F$201,'1.1 Control Panel'!C$196:C$201,$C65)*SUMIFS('1.1 Control Panel'!F$281:F$286,'1.1 Control Panel'!C$281:C$286,$C65),0)</f>
        <v>20796</v>
      </c>
      <c r="G65" s="28">
        <f>ROUNDUP('1.1 Control Panel'!G$57*SUMIFS('4.3 Global SME Data'!$C$13:$C$18,'4.3 Global SME Data'!$B$13:$B$18,$C65)*1000000*(1+'1.1 Control Panel'!E$55-'1.1 Control Panel'!E$56)*(1+'1.1 Control Panel'!F$55-'1.1 Control Panel'!F$56)*(1+'1.1 Control Panel'!G$55-'1.1 Control Panel'!G$56)*SUMIFS('4.3 Global SME Data'!$C$21:$C$41,'4.3 Global SME Data'!$E$21:$E$41,$C$62)*SUMIFS('1.1 Control Panel'!G$111:G$116,'1.1 Control Panel'!C$111:C$116,$C65)*SUMIFS('1.1 Control Panel'!G$196:G$201,'1.1 Control Panel'!C$196:C$201,$C65)*SUMIFS('1.1 Control Panel'!G$281:G$286,'1.1 Control Panel'!C$281:C$286,$C65),0)</f>
        <v>21976</v>
      </c>
      <c r="H65" s="28">
        <f>ROUNDUP('1.1 Control Panel'!H$57*SUMIFS('4.3 Global SME Data'!$C$13:$C$18,'4.3 Global SME Data'!$B$13:$B$18,$C65)*1000000*(1+'1.1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Data'!$E$21:$E$41,$C$62)*SUMIFS('1.1 Control Panel'!H$111:H$116,'1.1 Control Panel'!C$111:C$116,$C65)*SUMIFS('1.1 Control Panel'!H$196:H$201,'1.1 Control Panel'!C$196:C$201,$C65)*SUMIFS('1.1 Control Panel'!H$281:H$286,'1.1 Control Panel'!C$281:C$286,$C65),0)</f>
        <v>23171</v>
      </c>
      <c r="J65" s="20"/>
    </row>
    <row r="66" spans="2:10" ht="11.5" customHeight="1" x14ac:dyDescent="0.25">
      <c r="C66" s="21" t="s">
        <v>455</v>
      </c>
      <c r="D66" s="38" t="s">
        <v>162</v>
      </c>
      <c r="E66" s="376">
        <f>ROUNDUP('1.1 Control Panel'!E$57*SUMIFS('4.3 Global SME Data'!$C$13:$C$18,'4.3 Global SME Data'!$B$13:$B$18,$C66)*1000000*(1+'1.1 Control Panel'!E$55-'1.1 Control Panel'!E$56)*SUMIFS('4.3 Global SME Data'!$C$21:$C$41,'4.3 Global SME Data'!$E$21:$E$41,$C$62)*SUMIFS('1.1 Control Panel'!E$111:E$116,'1.1 Control Panel'!C$111:C$116,$C66)*SUMIFS('1.1 Control Panel'!E$196:E$201,'1.1 Control Panel'!C$196:C$201,$C66)*SUMIFS('1.1 Control Panel'!E$281:E$286,'1.1 Control Panel'!C$281:C$286,$C66),0)</f>
        <v>116308</v>
      </c>
      <c r="F66" s="376">
        <f>ROUNDUP('1.1 Control Panel'!F$57*SUMIFS('4.3 Global SME Data'!$C$13:$C$18,'4.3 Global SME Data'!$B$13:$B$18,$C66)*1000000*(1+'1.1 Control Panel'!E$55-'1.1 Control Panel'!E$56)*(1+'1.1 Control Panel'!F$55-'1.1 Control Panel'!F$56)*SUMIFS('4.3 Global SME Data'!$C$21:$C$41,'4.3 Global SME Data'!$E$21:$E$41,$C$62)*SUMIFS('1.1 Control Panel'!F$111:F$116,'1.1 Control Panel'!C$111:C$116,$C66)*SUMIFS('1.1 Control Panel'!F$196:F$201,'1.1 Control Panel'!C$196:C$201,$C66)*SUMIFS('1.1 Control Panel'!F$281:F$286,'1.1 Control Panel'!C$281:C$286,$C66),0)</f>
        <v>123385</v>
      </c>
      <c r="G66" s="376">
        <f>ROUNDUP('1.1 Control Panel'!G$57*SUMIFS('4.3 Global SME Data'!$C$13:$C$18,'4.3 Global SME Data'!$B$13:$B$18,$C66)*1000000*(1+'1.1 Control Panel'!E$55-'1.1 Control Panel'!E$56)*(1+'1.1 Control Panel'!F$55-'1.1 Control Panel'!F$56)*(1+'1.1 Control Panel'!G$55-'1.1 Control Panel'!G$56)*SUMIFS('4.3 Global SME Data'!$C$21:$C$41,'4.3 Global SME Data'!$E$21:$E$41,$C$62)*SUMIFS('1.1 Control Panel'!G$111:G$116,'1.1 Control Panel'!C$111:C$116,$C66)*SUMIFS('1.1 Control Panel'!G$196:G$201,'1.1 Control Panel'!C$196:C$201,$C66)*SUMIFS('1.1 Control Panel'!G$281:G$286,'1.1 Control Panel'!C$281:C$286,$C66),0)</f>
        <v>135598</v>
      </c>
      <c r="H66" s="376">
        <f>ROUNDUP('1.1 Control Panel'!H$57*SUMIFS('4.3 Global SME Data'!$C$13:$C$18,'4.3 Global SME Data'!$B$13:$B$18,$C66)*1000000*(1+'1.1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Data'!$E$21:$E$41,$C$62)*SUMIFS('1.1 Control Panel'!H$111:H$116,'1.1 Control Panel'!C$111:C$116,$C66)*SUMIFS('1.1 Control Panel'!H$196:H$201,'1.1 Control Panel'!C$196:C$201,$C66)*SUMIFS('1.1 Control Panel'!H$281:H$286,'1.1 Control Panel'!C$281:C$286,$C66),0)</f>
        <v>148262</v>
      </c>
      <c r="J66" s="21"/>
    </row>
    <row r="67" spans="2:10" ht="11.5" customHeight="1" x14ac:dyDescent="0.25">
      <c r="C67" s="21" t="s">
        <v>393</v>
      </c>
      <c r="D67" s="38" t="s">
        <v>162</v>
      </c>
      <c r="E67" s="376">
        <f>ROUNDUP('1.1 Control Panel'!E$57*SUMIFS('4.3 Global SME Data'!$C$13:$C$18,'4.3 Global SME Data'!$B$13:$B$18,$C67)*1000000*(1+'1.1 Control Panel'!E$55-'1.1 Control Panel'!E$56)*SUMIFS('4.3 Global SME Data'!$C$21:$C$41,'4.3 Global SME Data'!$E$21:$E$41,$C$62)*SUMIFS('1.1 Control Panel'!E$111:E$116,'1.1 Control Panel'!C$111:C$116,$C67)*SUMIFS('1.1 Control Panel'!E$196:E$201,'1.1 Control Panel'!C$196:C$201,$C67)*SUMIFS('1.1 Control Panel'!E$281:E$286,'1.1 Control Panel'!C$281:C$286,$C67),0)</f>
        <v>203441</v>
      </c>
      <c r="F67" s="376">
        <f>ROUNDUP('1.1 Control Panel'!F$57*SUMIFS('4.3 Global SME Data'!$C$13:$C$18,'4.3 Global SME Data'!$B$13:$B$18,$C67)*1000000*(1+'1.1 Control Panel'!E$55-'1.1 Control Panel'!E$56)*(1+'1.1 Control Panel'!F$55-'1.1 Control Panel'!F$56)*SUMIFS('4.3 Global SME Data'!$C$21:$C$41,'4.3 Global SME Data'!$E$21:$E$41,$C$62)*SUMIFS('1.1 Control Panel'!F$111:F$116,'1.1 Control Panel'!C$111:C$116,$C67)*SUMIFS('1.1 Control Panel'!F$196:F$201,'1.1 Control Panel'!C$196:C$201,$C67)*SUMIFS('1.1 Control Panel'!F$281:F$286,'1.1 Control Panel'!C$281:C$286,$C67),0)</f>
        <v>214909</v>
      </c>
      <c r="G67" s="376">
        <f>ROUNDUP('1.1 Control Panel'!G$57*SUMIFS('4.3 Global SME Data'!$C$13:$C$18,'4.3 Global SME Data'!$B$13:$B$18,$C67)*1000000*(1+'1.1 Control Panel'!E$55-'1.1 Control Panel'!E$56)*(1+'1.1 Control Panel'!F$55-'1.1 Control Panel'!F$56)*(1+'1.1 Control Panel'!G$55-'1.1 Control Panel'!G$56)*SUMIFS('4.3 Global SME Data'!$C$21:$C$41,'4.3 Global SME Data'!$E$21:$E$41,$C$62)*SUMIFS('1.1 Control Panel'!G$111:G$116,'1.1 Control Panel'!C$111:C$116,$C67)*SUMIFS('1.1 Control Panel'!G$196:G$201,'1.1 Control Panel'!C$196:C$201,$C67)*SUMIFS('1.1 Control Panel'!G$281:G$286,'1.1 Control Panel'!C$281:C$286,$C67),0)</f>
        <v>234639</v>
      </c>
      <c r="H67" s="376">
        <f>ROUNDUP('1.1 Control Panel'!H$57*SUMIFS('4.3 Global SME Data'!$C$13:$C$18,'4.3 Global SME Data'!$B$13:$B$18,$C67)*1000000*(1+'1.1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Data'!$E$21:$E$41,$C$62)*SUMIFS('1.1 Control Panel'!H$111:H$116,'1.1 Control Panel'!C$111:C$116,$C67)*SUMIFS('1.1 Control Panel'!H$196:H$201,'1.1 Control Panel'!C$196:C$201,$C67)*SUMIFS('1.1 Control Panel'!H$281:H$286,'1.1 Control Panel'!C$281:C$286,$C67),0)</f>
        <v>255022</v>
      </c>
      <c r="J67" s="21"/>
    </row>
    <row r="68" spans="2:10" ht="11.5" customHeight="1" x14ac:dyDescent="0.25">
      <c r="C68" s="21" t="s">
        <v>456</v>
      </c>
      <c r="D68" s="38" t="s">
        <v>162</v>
      </c>
      <c r="E68" s="376">
        <f>ROUNDUP('1.1 Control Panel'!E$57*SUMIFS('4.3 Global SME Data'!$C$13:$C$18,'4.3 Global SME Data'!$B$13:$B$18,$C68)*1000000*(1+'1.1 Control Panel'!E$55-'1.1 Control Panel'!E$56)*SUMIFS('4.3 Global SME Data'!$C$21:$C$41,'4.3 Global SME Data'!$E$21:$E$41,$C$62)*SUMIFS('1.1 Control Panel'!E$111:E$116,'1.1 Control Panel'!C$111:C$116,$C68)*SUMIFS('1.1 Control Panel'!E$196:E$201,'1.1 Control Panel'!C$196:C$201,$C68)*SUMIFS('1.1 Control Panel'!E$281:E$286,'1.1 Control Panel'!C$281:C$286,$C68),0)</f>
        <v>31865</v>
      </c>
      <c r="F68" s="376">
        <f>ROUNDUP('1.1 Control Panel'!F$57*SUMIFS('4.3 Global SME Data'!$C$13:$C$18,'4.3 Global SME Data'!$B$13:$B$18,$C68)*1000000*(1+'1.1 Control Panel'!E$55-'1.1 Control Panel'!E$56)*(1+'1.1 Control Panel'!F$55-'1.1 Control Panel'!F$56)*SUMIFS('4.3 Global SME Data'!$C$21:$C$41,'4.3 Global SME Data'!$E$21:$E$41,$C$62)*SUMIFS('1.1 Control Panel'!F$111:F$116,'1.1 Control Panel'!C$111:C$116,$C68)*SUMIFS('1.1 Control Panel'!F$196:F$201,'1.1 Control Panel'!C$196:C$201,$C68)*SUMIFS('1.1 Control Panel'!F$281:F$286,'1.1 Control Panel'!C$281:C$286,$C68),0)</f>
        <v>32969</v>
      </c>
      <c r="G68" s="376">
        <f>ROUNDUP('1.1 Control Panel'!G$57*SUMIFS('4.3 Global SME Data'!$C$13:$C$18,'4.3 Global SME Data'!$B$13:$B$18,$C68)*1000000*(1+'1.1 Control Panel'!E$55-'1.1 Control Panel'!E$56)*(1+'1.1 Control Panel'!F$55-'1.1 Control Panel'!F$56)*(1+'1.1 Control Panel'!G$55-'1.1 Control Panel'!G$56)*SUMIFS('4.3 Global SME Data'!$C$21:$C$41,'4.3 Global SME Data'!$E$21:$E$41,$C$62)*SUMIFS('1.1 Control Panel'!G$111:G$116,'1.1 Control Panel'!C$111:C$116,$C68)*SUMIFS('1.1 Control Panel'!G$196:G$201,'1.1 Control Panel'!C$196:C$201,$C68)*SUMIFS('1.1 Control Panel'!G$281:G$286,'1.1 Control Panel'!C$281:C$286,$C68),0)</f>
        <v>34840</v>
      </c>
      <c r="H68" s="376">
        <f>ROUNDUP('1.1 Control Panel'!H$57*SUMIFS('4.3 Global SME Data'!$C$13:$C$18,'4.3 Global SME Data'!$B$13:$B$18,$C68)*1000000*(1+'1.1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Data'!$E$21:$E$41,$C$62)*SUMIFS('1.1 Control Panel'!H$111:H$116,'1.1 Control Panel'!C$111:C$116,$C68)*SUMIFS('1.1 Control Panel'!H$196:H$201,'1.1 Control Panel'!C$196:C$201,$C68)*SUMIFS('1.1 Control Panel'!H$281:H$286,'1.1 Control Panel'!C$281:C$286,$C68),0)</f>
        <v>36734</v>
      </c>
      <c r="J68" s="21"/>
    </row>
    <row r="69" spans="2:10" s="74" customFormat="1" ht="11.5" customHeight="1" x14ac:dyDescent="0.25">
      <c r="B69" s="99" t="s">
        <v>9</v>
      </c>
      <c r="C69" s="105" t="str">
        <f>'4.2 Sector Mapping'!$B$13</f>
        <v>Real Estate and Construction</v>
      </c>
      <c r="D69" s="106" t="s">
        <v>162</v>
      </c>
      <c r="E69" s="380">
        <f>SUM(E70:E75)</f>
        <v>942605</v>
      </c>
      <c r="F69" s="380">
        <f t="shared" ref="F69" si="31">SUM(F70:F75)</f>
        <v>1026176</v>
      </c>
      <c r="G69" s="380">
        <f t="shared" ref="G69" si="32">SUM(G70:G75)</f>
        <v>1172317</v>
      </c>
      <c r="H69" s="380">
        <f t="shared" ref="H69" si="33">SUM(H70:H75)</f>
        <v>1326359</v>
      </c>
      <c r="J69" s="105"/>
    </row>
    <row r="70" spans="2:10" ht="11.5" customHeight="1" x14ac:dyDescent="0.25">
      <c r="C70" s="20" t="s">
        <v>600</v>
      </c>
      <c r="D70" s="34" t="s">
        <v>162</v>
      </c>
      <c r="E70" s="28">
        <f>ROUNDUP('1.1 Control Panel'!E$57*SUMIFS('4.3 Global SME Data'!$C$13:$C$18,'4.3 Global SME Data'!$B$13:$B$18,$C70)*1000000*(1+'1.1 Control Panel'!E$55-'1.1 Control Panel'!E$56)*SUMIFS('4.3 Global SME Data'!$C$21:$C$41,'4.3 Global SME Data'!$E$21:$E$41,$C$69)*SUMIFS('1.1 Control Panel'!E$118:E$123,'1.1 Control Panel'!C$118:C$123,$C70)*SUMIFS('1.1 Control Panel'!E$203:E$208,'1.1 Control Panel'!C$203:C$208,$C70)*SUMIFS('1.1 Control Panel'!E$288:E$293,'1.1 Control Panel'!C$288:C$293,$C70),0)</f>
        <v>443412</v>
      </c>
      <c r="F70" s="28">
        <f>ROUNDUP('1.1 Control Panel'!F$57*SUMIFS('4.3 Global SME Data'!$C$13:$C$18,'4.3 Global SME Data'!$B$13:$B$18,$C70)*1000000*(1+'1.1 Control Panel'!E$55-'1.1 Control Panel'!E$56)*(1+'1.1 Control Panel'!F$55-'1.1 Control Panel'!F$56)*SUMIFS('4.3 Global SME Data'!$C$21:$C$41,'4.3 Global SME Data'!$E$21:$E$41,$C$69)*SUMIFS('1.1 Control Panel'!F$118:F$123,'1.1 Control Panel'!C$118:C$123,$C70)*SUMIFS('1.1 Control Panel'!F$203:F$208,'1.1 Control Panel'!C$203:C$208,$C70)*SUMIFS('1.1 Control Panel'!F$288:F$293,'1.1 Control Panel'!C$288:C$293,$C70),0)</f>
        <v>492249</v>
      </c>
      <c r="G70" s="28">
        <f>ROUNDUP('1.1 Control Panel'!G$57*SUMIFS('4.3 Global SME Data'!$C$13:$C$18,'4.3 Global SME Data'!$B$13:$B$18,$C70)*1000000*(1+'1.1 Control Panel'!E$55-'1.1 Control Panel'!E$56)*(1+'1.1 Control Panel'!F$55-'1.1 Control Panel'!F$56)*(1+'1.1 Control Panel'!G$55-'1.1 Control Panel'!G$56)*SUMIFS('4.3 Global SME Data'!$C$21:$C$41,'4.3 Global SME Data'!$E$21:$E$41,$C$69)*SUMIFS('1.1 Control Panel'!G$118:G$123,'1.1 Control Panel'!C$118:C$123,$C70)*SUMIFS('1.1 Control Panel'!G$203:G$208,'1.1 Control Panel'!C$203:C$208,$C70)*SUMIFS('1.1 Control Panel'!G$288:G$293,'1.1 Control Panel'!C$288:C$293,$C70),0)</f>
        <v>578287</v>
      </c>
      <c r="H70" s="28">
        <f>ROUNDUP('1.1 Control Panel'!H$57*SUMIFS('4.3 Global SME Data'!$C$13:$C$18,'4.3 Global SME Data'!$B$13:$B$18,$C70)*1000000*(1+'1.1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Data'!$E$21:$E$41,$C$69)*SUMIFS('1.1 Control Panel'!H$118:H$123,'1.1 Control Panel'!C$118:C$123,$C70)*SUMIFS('1.1 Control Panel'!H$203:H$208,'1.1 Control Panel'!C$203:C$208,$C70)*SUMIFS('1.1 Control Panel'!H$288:H$293,'1.1 Control Panel'!C$288:C$293,$C70),0)</f>
        <v>669779</v>
      </c>
      <c r="J70" s="20"/>
    </row>
    <row r="71" spans="2:10" ht="11.5" customHeight="1" x14ac:dyDescent="0.25">
      <c r="C71" s="20" t="s">
        <v>392</v>
      </c>
      <c r="D71" s="34" t="s">
        <v>162</v>
      </c>
      <c r="E71" s="28">
        <f>ROUNDUP('1.1 Control Panel'!E$57*SUMIFS('4.3 Global SME Data'!$C$13:$C$18,'4.3 Global SME Data'!$B$13:$B$18,$C71)*1000000*(1+'1.1 Control Panel'!E$55-'1.1 Control Panel'!E$56)*SUMIFS('4.3 Global SME Data'!$C$21:$C$41,'4.3 Global SME Data'!$E$21:$E$41,$C$69)*SUMIFS('1.1 Control Panel'!E$118:E$123,'1.1 Control Panel'!C$118:C$123,$C71)*SUMIFS('1.1 Control Panel'!E$203:E$208,'1.1 Control Panel'!C$203:C$208,$C71)*SUMIFS('1.1 Control Panel'!E$288:E$293,'1.1 Control Panel'!C$288:C$293,$C71),0)</f>
        <v>25983</v>
      </c>
      <c r="F71" s="28">
        <f>ROUNDUP('1.1 Control Panel'!F$57*SUMIFS('4.3 Global SME Data'!$C$13:$C$18,'4.3 Global SME Data'!$B$13:$B$18,$C71)*1000000*(1+'1.1 Control Panel'!E$55-'1.1 Control Panel'!E$56)*(1+'1.1 Control Panel'!F$55-'1.1 Control Panel'!F$56)*SUMIFS('4.3 Global SME Data'!$C$21:$C$41,'4.3 Global SME Data'!$E$21:$E$41,$C$69)*SUMIFS('1.1 Control Panel'!F$118:F$123,'1.1 Control Panel'!C$118:C$123,$C71)*SUMIFS('1.1 Control Panel'!F$203:F$208,'1.1 Control Panel'!C$203:C$208,$C71)*SUMIFS('1.1 Control Panel'!F$288:F$293,'1.1 Control Panel'!C$288:C$293,$C71),0)</f>
        <v>27614</v>
      </c>
      <c r="G71" s="28">
        <f>ROUNDUP('1.1 Control Panel'!G$57*SUMIFS('4.3 Global SME Data'!$C$13:$C$18,'4.3 Global SME Data'!$B$13:$B$18,$C71)*1000000*(1+'1.1 Control Panel'!E$55-'1.1 Control Panel'!E$56)*(1+'1.1 Control Panel'!F$55-'1.1 Control Panel'!F$56)*(1+'1.1 Control Panel'!G$55-'1.1 Control Panel'!G$56)*SUMIFS('4.3 Global SME Data'!$C$21:$C$41,'4.3 Global SME Data'!$E$21:$E$41,$C$69)*SUMIFS('1.1 Control Panel'!G$118:G$123,'1.1 Control Panel'!C$118:C$123,$C71)*SUMIFS('1.1 Control Panel'!G$203:G$208,'1.1 Control Panel'!C$203:C$208,$C71)*SUMIFS('1.1 Control Panel'!G$288:G$293,'1.1 Control Panel'!C$288:C$293,$C71),0)</f>
        <v>30429</v>
      </c>
      <c r="H71" s="28">
        <f>ROUNDUP('1.1 Control Panel'!H$57*SUMIFS('4.3 Global SME Data'!$C$13:$C$18,'4.3 Global SME Data'!$B$13:$B$18,$C71)*1000000*(1+'1.1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Data'!$E$21:$E$41,$C$69)*SUMIFS('1.1 Control Panel'!H$118:H$123,'1.1 Control Panel'!C$118:C$123,$C71)*SUMIFS('1.1 Control Panel'!H$203:H$208,'1.1 Control Panel'!C$203:C$208,$C71)*SUMIFS('1.1 Control Panel'!H$288:H$293,'1.1 Control Panel'!C$288:C$293,$C71),0)</f>
        <v>33348</v>
      </c>
      <c r="J71" s="20"/>
    </row>
    <row r="72" spans="2:10" ht="11.5" customHeight="1" x14ac:dyDescent="0.25">
      <c r="C72" s="20" t="s">
        <v>454</v>
      </c>
      <c r="D72" s="34" t="s">
        <v>162</v>
      </c>
      <c r="E72" s="28">
        <f>ROUNDUP('1.1 Control Panel'!E$57*SUMIFS('4.3 Global SME Data'!$C$13:$C$18,'4.3 Global SME Data'!$B$13:$B$18,$C72)*1000000*(1+'1.1 Control Panel'!E$55-'1.1 Control Panel'!E$56)*SUMIFS('4.3 Global SME Data'!$C$21:$C$41,'4.3 Global SME Data'!$E$21:$E$41,$C$69)*SUMIFS('1.1 Control Panel'!E$118:E$123,'1.1 Control Panel'!C$118:C$123,$C72)*SUMIFS('1.1 Control Panel'!E$203:E$208,'1.1 Control Panel'!C$203:C$208,$C72)*SUMIFS('1.1 Control Panel'!E$288:E$293,'1.1 Control Panel'!C$288:C$293,$C72),0)</f>
        <v>25252</v>
      </c>
      <c r="F72" s="28">
        <f>ROUNDUP('1.1 Control Panel'!F$57*SUMIFS('4.3 Global SME Data'!$C$13:$C$18,'4.3 Global SME Data'!$B$13:$B$18,$C72)*1000000*(1+'1.1 Control Panel'!E$55-'1.1 Control Panel'!E$56)*(1+'1.1 Control Panel'!F$55-'1.1 Control Panel'!F$56)*SUMIFS('4.3 Global SME Data'!$C$21:$C$41,'4.3 Global SME Data'!$E$21:$E$41,$C$69)*SUMIFS('1.1 Control Panel'!F$118:F$123,'1.1 Control Panel'!C$118:C$123,$C72)*SUMIFS('1.1 Control Panel'!F$203:F$208,'1.1 Control Panel'!C$203:C$208,$C72)*SUMIFS('1.1 Control Panel'!F$288:F$293,'1.1 Control Panel'!C$288:C$293,$C72),0)</f>
        <v>26383</v>
      </c>
      <c r="G72" s="28">
        <f>ROUNDUP('1.1 Control Panel'!G$57*SUMIFS('4.3 Global SME Data'!$C$13:$C$18,'4.3 Global SME Data'!$B$13:$B$18,$C72)*1000000*(1+'1.1 Control Panel'!E$55-'1.1 Control Panel'!E$56)*(1+'1.1 Control Panel'!F$55-'1.1 Control Panel'!F$56)*(1+'1.1 Control Panel'!G$55-'1.1 Control Panel'!G$56)*SUMIFS('4.3 Global SME Data'!$C$21:$C$41,'4.3 Global SME Data'!$E$21:$E$41,$C$69)*SUMIFS('1.1 Control Panel'!G$118:G$123,'1.1 Control Panel'!C$118:C$123,$C72)*SUMIFS('1.1 Control Panel'!G$203:G$208,'1.1 Control Panel'!C$203:C$208,$C72)*SUMIFS('1.1 Control Panel'!G$288:G$293,'1.1 Control Panel'!C$288:C$293,$C72),0)</f>
        <v>28309</v>
      </c>
      <c r="H72" s="28">
        <f>ROUNDUP('1.1 Control Panel'!H$57*SUMIFS('4.3 Global SME Data'!$C$13:$C$18,'4.3 Global SME Data'!$B$13:$B$18,$C72)*1000000*(1+'1.1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Data'!$E$21:$E$41,$C$69)*SUMIFS('1.1 Control Panel'!H$118:H$123,'1.1 Control Panel'!C$118:C$123,$C72)*SUMIFS('1.1 Control Panel'!H$203:H$208,'1.1 Control Panel'!C$203:C$208,$C72)*SUMIFS('1.1 Control Panel'!H$288:H$293,'1.1 Control Panel'!C$288:C$293,$C72),0)</f>
        <v>30271</v>
      </c>
      <c r="J72" s="20"/>
    </row>
    <row r="73" spans="2:10" ht="11.5" customHeight="1" x14ac:dyDescent="0.25">
      <c r="C73" s="21" t="s">
        <v>455</v>
      </c>
      <c r="D73" s="38" t="s">
        <v>162</v>
      </c>
      <c r="E73" s="376">
        <f>ROUNDUP('1.1 Control Panel'!E$57*SUMIFS('4.3 Global SME Data'!$C$13:$C$18,'4.3 Global SME Data'!$B$13:$B$18,$C73)*1000000*(1+'1.1 Control Panel'!E$55-'1.1 Control Panel'!E$56)*SUMIFS('4.3 Global SME Data'!$C$21:$C$41,'4.3 Global SME Data'!$E$21:$E$41,$C$69)*SUMIFS('1.1 Control Panel'!E$118:E$123,'1.1 Control Panel'!C$118:C$123,$C73)*SUMIFS('1.1 Control Panel'!E$203:E$208,'1.1 Control Panel'!C$203:C$208,$C73)*SUMIFS('1.1 Control Panel'!E$288:E$293,'1.1 Control Panel'!C$288:C$293,$C73),0)</f>
        <v>162342</v>
      </c>
      <c r="F73" s="376">
        <f>ROUNDUP('1.1 Control Panel'!F$57*SUMIFS('4.3 Global SME Data'!$C$13:$C$18,'4.3 Global SME Data'!$B$13:$B$18,$C73)*1000000*(1+'1.1 Control Panel'!E$55-'1.1 Control Panel'!E$56)*(1+'1.1 Control Panel'!F$55-'1.1 Control Panel'!F$56)*SUMIFS('4.3 Global SME Data'!$C$21:$C$41,'4.3 Global SME Data'!$E$21:$E$41,$C$69)*SUMIFS('1.1 Control Panel'!F$118:F$123,'1.1 Control Panel'!C$118:C$123,$C73)*SUMIFS('1.1 Control Panel'!F$203:F$208,'1.1 Control Panel'!C$203:C$208,$C73)*SUMIFS('1.1 Control Panel'!F$288:F$293,'1.1 Control Panel'!C$288:C$293,$C73),0)</f>
        <v>174166</v>
      </c>
      <c r="G73" s="376">
        <f>ROUNDUP('1.1 Control Panel'!G$57*SUMIFS('4.3 Global SME Data'!$C$13:$C$18,'4.3 Global SME Data'!$B$13:$B$18,$C73)*1000000*(1+'1.1 Control Panel'!E$55-'1.1 Control Panel'!E$56)*(1+'1.1 Control Panel'!F$55-'1.1 Control Panel'!F$56)*(1+'1.1 Control Panel'!G$55-'1.1 Control Panel'!G$56)*SUMIFS('4.3 Global SME Data'!$C$21:$C$41,'4.3 Global SME Data'!$E$21:$E$41,$C$69)*SUMIFS('1.1 Control Panel'!G$118:G$123,'1.1 Control Panel'!C$118:C$123,$C73)*SUMIFS('1.1 Control Panel'!G$203:G$208,'1.1 Control Panel'!C$203:C$208,$C73)*SUMIFS('1.1 Control Panel'!G$288:G$293,'1.1 Control Panel'!C$288:C$293,$C73),0)</f>
        <v>194676</v>
      </c>
      <c r="H73" s="376">
        <f>ROUNDUP('1.1 Control Panel'!H$57*SUMIFS('4.3 Global SME Data'!$C$13:$C$18,'4.3 Global SME Data'!$B$13:$B$18,$C73)*1000000*(1+'1.1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Data'!$E$21:$E$41,$C$69)*SUMIFS('1.1 Control Panel'!H$118:H$123,'1.1 Control Panel'!C$118:C$123,$C73)*SUMIFS('1.1 Control Panel'!H$203:H$208,'1.1 Control Panel'!C$203:C$208,$C73)*SUMIFS('1.1 Control Panel'!H$288:H$293,'1.1 Control Panel'!C$288:C$293,$C73),0)</f>
        <v>216088</v>
      </c>
      <c r="J73" s="21"/>
    </row>
    <row r="74" spans="2:10" ht="11.5" customHeight="1" x14ac:dyDescent="0.25">
      <c r="C74" s="21" t="s">
        <v>393</v>
      </c>
      <c r="D74" s="38" t="s">
        <v>162</v>
      </c>
      <c r="E74" s="376">
        <f>ROUNDUP('1.1 Control Panel'!E$57*SUMIFS('4.3 Global SME Data'!$C$13:$C$18,'4.3 Global SME Data'!$B$13:$B$18,$C74)*1000000*(1+'1.1 Control Panel'!E$55-'1.1 Control Panel'!E$56)*SUMIFS('4.3 Global SME Data'!$C$21:$C$41,'4.3 Global SME Data'!$E$21:$E$41,$C$69)*SUMIFS('1.1 Control Panel'!E$118:E$123,'1.1 Control Panel'!C$118:C$123,$C74)*SUMIFS('1.1 Control Panel'!E$203:E$208,'1.1 Control Panel'!C$203:C$208,$C74)*SUMIFS('1.1 Control Panel'!E$288:E$293,'1.1 Control Panel'!C$288:C$293,$C74),0)</f>
        <v>255591</v>
      </c>
      <c r="F74" s="376">
        <f>ROUNDUP('1.1 Control Panel'!F$57*SUMIFS('4.3 Global SME Data'!$C$13:$C$18,'4.3 Global SME Data'!$B$13:$B$18,$C74)*1000000*(1+'1.1 Control Panel'!E$55-'1.1 Control Panel'!E$56)*(1+'1.1 Control Panel'!F$55-'1.1 Control Panel'!F$56)*SUMIFS('4.3 Global SME Data'!$C$21:$C$41,'4.3 Global SME Data'!$E$21:$E$41,$C$69)*SUMIFS('1.1 Control Panel'!F$118:F$123,'1.1 Control Panel'!C$118:C$123,$C74)*SUMIFS('1.1 Control Panel'!F$203:F$208,'1.1 Control Panel'!C$203:C$208,$C74)*SUMIFS('1.1 Control Panel'!F$288:F$293,'1.1 Control Panel'!C$288:C$293,$C74),0)</f>
        <v>274090</v>
      </c>
      <c r="G74" s="376">
        <f>ROUNDUP('1.1 Control Panel'!G$57*SUMIFS('4.3 Global SME Data'!$C$13:$C$18,'4.3 Global SME Data'!$B$13:$B$18,$C74)*1000000*(1+'1.1 Control Panel'!E$55-'1.1 Control Panel'!E$56)*(1+'1.1 Control Panel'!F$55-'1.1 Control Panel'!F$56)*(1+'1.1 Control Panel'!G$55-'1.1 Control Panel'!G$56)*SUMIFS('4.3 Global SME Data'!$C$21:$C$41,'4.3 Global SME Data'!$E$21:$E$41,$C$69)*SUMIFS('1.1 Control Panel'!G$118:G$123,'1.1 Control Panel'!C$118:C$123,$C74)*SUMIFS('1.1 Control Panel'!G$203:G$208,'1.1 Control Panel'!C$203:C$208,$C74)*SUMIFS('1.1 Control Panel'!G$288:G$293,'1.1 Control Panel'!C$288:C$293,$C74),0)</f>
        <v>306125</v>
      </c>
      <c r="H74" s="376">
        <f>ROUNDUP('1.1 Control Panel'!H$57*SUMIFS('4.3 Global SME Data'!$C$13:$C$18,'4.3 Global SME Data'!$B$13:$B$18,$C74)*1000000*(1+'1.1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Data'!$E$21:$E$41,$C$69)*SUMIFS('1.1 Control Panel'!H$118:H$123,'1.1 Control Panel'!C$118:C$123,$C74)*SUMIFS('1.1 Control Panel'!H$203:H$208,'1.1 Control Panel'!C$203:C$208,$C74)*SUMIFS('1.1 Control Panel'!H$288:H$293,'1.1 Control Panel'!C$288:C$293,$C74),0)</f>
        <v>339500</v>
      </c>
      <c r="J74" s="21"/>
    </row>
    <row r="75" spans="2:10" ht="11.5" customHeight="1" x14ac:dyDescent="0.25">
      <c r="C75" s="21" t="s">
        <v>456</v>
      </c>
      <c r="D75" s="38" t="s">
        <v>162</v>
      </c>
      <c r="E75" s="376">
        <f>ROUNDUP('1.1 Control Panel'!E$57*SUMIFS('4.3 Global SME Data'!$C$13:$C$18,'4.3 Global SME Data'!$B$13:$B$18,$C75)*1000000*(1+'1.1 Control Panel'!E$55-'1.1 Control Panel'!E$56)*SUMIFS('4.3 Global SME Data'!$C$21:$C$41,'4.3 Global SME Data'!$E$21:$E$41,$C$69)*SUMIFS('1.1 Control Panel'!E$118:E$123,'1.1 Control Panel'!C$118:C$123,$C75)*SUMIFS('1.1 Control Panel'!E$203:E$208,'1.1 Control Panel'!C$203:C$208,$C75)*SUMIFS('1.1 Control Panel'!E$288:E$293,'1.1 Control Panel'!C$288:C$293,$C75),0)</f>
        <v>30025</v>
      </c>
      <c r="F75" s="376">
        <f>ROUNDUP('1.1 Control Panel'!F$57*SUMIFS('4.3 Global SME Data'!$C$13:$C$18,'4.3 Global SME Data'!$B$13:$B$18,$C75)*1000000*(1+'1.1 Control Panel'!E$55-'1.1 Control Panel'!E$56)*(1+'1.1 Control Panel'!F$55-'1.1 Control Panel'!F$56)*SUMIFS('4.3 Global SME Data'!$C$21:$C$41,'4.3 Global SME Data'!$E$21:$E$41,$C$69)*SUMIFS('1.1 Control Panel'!F$118:F$123,'1.1 Control Panel'!C$118:C$123,$C75)*SUMIFS('1.1 Control Panel'!F$203:F$208,'1.1 Control Panel'!C$203:C$208,$C75)*SUMIFS('1.1 Control Panel'!F$288:F$293,'1.1 Control Panel'!C$288:C$293,$C75),0)</f>
        <v>31674</v>
      </c>
      <c r="G75" s="376">
        <f>ROUNDUP('1.1 Control Panel'!G$57*SUMIFS('4.3 Global SME Data'!$C$13:$C$18,'4.3 Global SME Data'!$B$13:$B$18,$C75)*1000000*(1+'1.1 Control Panel'!E$55-'1.1 Control Panel'!E$56)*(1+'1.1 Control Panel'!F$55-'1.1 Control Panel'!F$56)*(1+'1.1 Control Panel'!G$55-'1.1 Control Panel'!G$56)*SUMIFS('4.3 Global SME Data'!$C$21:$C$41,'4.3 Global SME Data'!$E$21:$E$41,$C$69)*SUMIFS('1.1 Control Panel'!G$118:G$123,'1.1 Control Panel'!C$118:C$123,$C75)*SUMIFS('1.1 Control Panel'!G$203:G$208,'1.1 Control Panel'!C$203:C$208,$C75)*SUMIFS('1.1 Control Panel'!G$288:G$293,'1.1 Control Panel'!C$288:C$293,$C75),0)</f>
        <v>34491</v>
      </c>
      <c r="H75" s="376">
        <f>ROUNDUP('1.1 Control Panel'!H$57*SUMIFS('4.3 Global SME Data'!$C$13:$C$18,'4.3 Global SME Data'!$B$13:$B$18,$C75)*1000000*(1+'1.1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Data'!$E$21:$E$41,$C$69)*SUMIFS('1.1 Control Panel'!H$118:H$123,'1.1 Control Panel'!C$118:C$123,$C75)*SUMIFS('1.1 Control Panel'!H$203:H$208,'1.1 Control Panel'!C$203:C$208,$C75)*SUMIFS('1.1 Control Panel'!H$288:H$293,'1.1 Control Panel'!C$288:C$293,$C75),0)</f>
        <v>37373</v>
      </c>
      <c r="J75" s="21"/>
    </row>
    <row r="76" spans="2:10" s="74" customFormat="1" ht="11.5" customHeight="1" x14ac:dyDescent="0.25">
      <c r="B76" s="99" t="s">
        <v>9</v>
      </c>
      <c r="C76" s="105" t="str">
        <f>'4.2 Sector Mapping'!$B$14</f>
        <v>Retail and Consumer Goods</v>
      </c>
      <c r="D76" s="106" t="s">
        <v>162</v>
      </c>
      <c r="E76" s="380">
        <f>SUM(E77:E82)</f>
        <v>5380701</v>
      </c>
      <c r="F76" s="380">
        <f t="shared" ref="F76" si="34">SUM(F77:F82)</f>
        <v>5672333</v>
      </c>
      <c r="G76" s="380">
        <f t="shared" ref="G76" si="35">SUM(G77:G82)</f>
        <v>6173882</v>
      </c>
      <c r="H76" s="380">
        <f t="shared" ref="H76" si="36">SUM(H77:H82)</f>
        <v>6691715</v>
      </c>
      <c r="J76" s="105"/>
    </row>
    <row r="77" spans="2:10" ht="11.5" customHeight="1" x14ac:dyDescent="0.25">
      <c r="C77" s="20" t="s">
        <v>600</v>
      </c>
      <c r="D77" s="34" t="s">
        <v>162</v>
      </c>
      <c r="E77" s="28">
        <f>ROUNDUP('1.1 Control Panel'!E$57*SUMIFS('4.3 Global SME Data'!$C$13:$C$18,'4.3 Global SME Data'!$B$13:$B$18,$C77)*1000000*(1+'1.1 Control Panel'!E$55-'1.1 Control Panel'!E$56)*SUMIFS('4.3 Global SME Data'!$C$21:$C$41,'4.3 Global SME Data'!$E$21:$E$41,$C$76)*SUMIFS('1.1 Control Panel'!E$125:E$130,'1.1 Control Panel'!C$125:C$130,$C77)*SUMIFS('1.1 Control Panel'!E$210:E$215,'1.1 Control Panel'!C$210:C$215,$C77)*SUMIFS('1.1 Control Panel'!E$295:E$300,'1.1 Control Panel'!C$295:C$300,$C77),0)</f>
        <v>2974605</v>
      </c>
      <c r="F77" s="28">
        <f>ROUNDUP('1.1 Control Panel'!F$57*SUMIFS('4.3 Global SME Data'!$C$13:$C$18,'4.3 Global SME Data'!$B$13:$B$18,$C77)*1000000*(1+'1.1 Control Panel'!E$55-'1.1 Control Panel'!E$56)*(1+'1.1 Control Panel'!F$55-'1.1 Control Panel'!F$56)*SUMIFS('4.3 Global SME Data'!$C$21:$C$41,'4.3 Global SME Data'!$E$21:$E$41,$C$76)*SUMIFS('1.1 Control Panel'!F$125:F$130,'1.1 Control Panel'!C$125:C$130,$C77)*SUMIFS('1.1 Control Panel'!F$210:F$215,'1.1 Control Panel'!C$210:C$215,$C77)*SUMIFS('1.1 Control Panel'!F$295:F$300,'1.1 Control Panel'!C$295:C$300,$C77),0)</f>
        <v>3153786</v>
      </c>
      <c r="G77" s="28">
        <f>ROUNDUP('1.1 Control Panel'!G$57*SUMIFS('4.3 Global SME Data'!$C$13:$C$18,'4.3 Global SME Data'!$B$13:$B$18,$C77)*1000000*(1+'1.1 Control Panel'!E$55-'1.1 Control Panel'!E$56)*(1+'1.1 Control Panel'!F$55-'1.1 Control Panel'!F$56)*(1+'1.1 Control Panel'!G$55-'1.1 Control Panel'!G$56)*SUMIFS('4.3 Global SME Data'!$C$21:$C$41,'4.3 Global SME Data'!$E$21:$E$41,$C$76)*SUMIFS('1.1 Control Panel'!G$125:G$130,'1.1 Control Panel'!C$125:C$130,$C77)*SUMIFS('1.1 Control Panel'!G$210:G$215,'1.1 Control Panel'!C$210:C$215,$C77)*SUMIFS('1.1 Control Panel'!G$295:G$300,'1.1 Control Panel'!C$295:C$300,$C77),0)</f>
        <v>3462965</v>
      </c>
      <c r="H77" s="28">
        <f>ROUNDUP('1.1 Control Panel'!H$57*SUMIFS('4.3 Global SME Data'!$C$13:$C$18,'4.3 Global SME Data'!$B$13:$B$18,$C77)*1000000*(1+'1.1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Data'!$E$21:$E$41,$C$76)*SUMIFS('1.1 Control Panel'!H$125:H$130,'1.1 Control Panel'!C$125:C$130,$C77)*SUMIFS('1.1 Control Panel'!H$210:H$215,'1.1 Control Panel'!C$210:C$215,$C77)*SUMIFS('1.1 Control Panel'!H$295:H$300,'1.1 Control Panel'!C$295:C$300,$C77),0)</f>
        <v>3783550</v>
      </c>
      <c r="J77" s="20"/>
    </row>
    <row r="78" spans="2:10" ht="11.5" customHeight="1" x14ac:dyDescent="0.25">
      <c r="C78" s="20" t="s">
        <v>392</v>
      </c>
      <c r="D78" s="34" t="s">
        <v>162</v>
      </c>
      <c r="E78" s="28">
        <f>ROUNDUP('1.1 Control Panel'!E$57*SUMIFS('4.3 Global SME Data'!$C$13:$C$18,'4.3 Global SME Data'!$B$13:$B$18,$C78)*1000000*(1+'1.1 Control Panel'!E$55-'1.1 Control Panel'!E$56)*SUMIFS('4.3 Global SME Data'!$C$21:$C$41,'4.3 Global SME Data'!$E$21:$E$41,$C$76)*SUMIFS('1.1 Control Panel'!E$125:E$130,'1.1 Control Panel'!C$125:C$130,$C78)*SUMIFS('1.1 Control Panel'!E$210:E$215,'1.1 Control Panel'!C$210:C$215,$C78)*SUMIFS('1.1 Control Panel'!E$295:E$300,'1.1 Control Panel'!C$295:C$300,$C78),0)</f>
        <v>65364</v>
      </c>
      <c r="F78" s="28">
        <f>ROUNDUP('1.1 Control Panel'!F$57*SUMIFS('4.3 Global SME Data'!$C$13:$C$18,'4.3 Global SME Data'!$B$13:$B$18,$C78)*1000000*(1+'1.1 Control Panel'!E$55-'1.1 Control Panel'!E$56)*(1+'1.1 Control Panel'!F$55-'1.1 Control Panel'!F$56)*SUMIFS('4.3 Global SME Data'!$C$21:$C$41,'4.3 Global SME Data'!$E$21:$E$41,$C$76)*SUMIFS('1.1 Control Panel'!F$125:F$130,'1.1 Control Panel'!C$125:C$130,$C78)*SUMIFS('1.1 Control Panel'!F$210:F$215,'1.1 Control Panel'!C$210:C$215,$C78)*SUMIFS('1.1 Control Panel'!F$295:F$300,'1.1 Control Panel'!C$295:C$300,$C78),0)</f>
        <v>69301</v>
      </c>
      <c r="G78" s="28">
        <f>ROUNDUP('1.1 Control Panel'!G$57*SUMIFS('4.3 Global SME Data'!$C$13:$C$18,'4.3 Global SME Data'!$B$13:$B$18,$C78)*1000000*(1+'1.1 Control Panel'!E$55-'1.1 Control Panel'!E$56)*(1+'1.1 Control Panel'!F$55-'1.1 Control Panel'!F$56)*(1+'1.1 Control Panel'!G$55-'1.1 Control Panel'!G$56)*SUMIFS('4.3 Global SME Data'!$C$21:$C$41,'4.3 Global SME Data'!$E$21:$E$41,$C$76)*SUMIFS('1.1 Control Panel'!G$125:G$130,'1.1 Control Panel'!C$125:C$130,$C78)*SUMIFS('1.1 Control Panel'!G$210:G$215,'1.1 Control Panel'!C$210:C$215,$C78)*SUMIFS('1.1 Control Panel'!G$295:G$300,'1.1 Control Panel'!C$295:C$300,$C78),0)</f>
        <v>76095</v>
      </c>
      <c r="H78" s="28">
        <f>ROUNDUP('1.1 Control Panel'!H$57*SUMIFS('4.3 Global SME Data'!$C$13:$C$18,'4.3 Global SME Data'!$B$13:$B$18,$C78)*1000000*(1+'1.1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Data'!$E$21:$E$41,$C$76)*SUMIFS('1.1 Control Panel'!H$125:H$130,'1.1 Control Panel'!C$125:C$130,$C78)*SUMIFS('1.1 Control Panel'!H$210:H$215,'1.1 Control Panel'!C$210:C$215,$C78)*SUMIFS('1.1 Control Panel'!H$295:H$300,'1.1 Control Panel'!C$295:C$300,$C78),0)</f>
        <v>83139</v>
      </c>
      <c r="J78" s="20"/>
    </row>
    <row r="79" spans="2:10" ht="11.5" customHeight="1" x14ac:dyDescent="0.25">
      <c r="C79" s="20" t="s">
        <v>454</v>
      </c>
      <c r="D79" s="34" t="s">
        <v>162</v>
      </c>
      <c r="E79" s="28">
        <f>ROUNDUP('1.1 Control Panel'!E$57*SUMIFS('4.3 Global SME Data'!$C$13:$C$18,'4.3 Global SME Data'!$B$13:$B$18,$C79)*1000000*(1+'1.1 Control Panel'!E$55-'1.1 Control Panel'!E$56)*SUMIFS('4.3 Global SME Data'!$C$21:$C$41,'4.3 Global SME Data'!$E$21:$E$41,$C$76)*SUMIFS('1.1 Control Panel'!E$125:E$130,'1.1 Control Panel'!C$125:C$130,$C79)*SUMIFS('1.1 Control Panel'!E$210:E$215,'1.1 Control Panel'!C$210:C$215,$C79)*SUMIFS('1.1 Control Panel'!E$295:E$300,'1.1 Control Panel'!C$295:C$300,$C79),0)</f>
        <v>84682</v>
      </c>
      <c r="F79" s="28">
        <f>ROUNDUP('1.1 Control Panel'!F$57*SUMIFS('4.3 Global SME Data'!$C$13:$C$18,'4.3 Global SME Data'!$B$13:$B$18,$C79)*1000000*(1+'1.1 Control Panel'!E$55-'1.1 Control Panel'!E$56)*(1+'1.1 Control Panel'!F$55-'1.1 Control Panel'!F$56)*SUMIFS('4.3 Global SME Data'!$C$21:$C$41,'4.3 Global SME Data'!$E$21:$E$41,$C$76)*SUMIFS('1.1 Control Panel'!F$125:F$130,'1.1 Control Panel'!C$125:C$130,$C79)*SUMIFS('1.1 Control Panel'!F$210:F$215,'1.1 Control Panel'!C$210:C$215,$C79)*SUMIFS('1.1 Control Panel'!F$295:F$300,'1.1 Control Panel'!C$295:C$300,$C79),0)</f>
        <v>87703</v>
      </c>
      <c r="G79" s="28">
        <f>ROUNDUP('1.1 Control Panel'!G$57*SUMIFS('4.3 Global SME Data'!$C$13:$C$18,'4.3 Global SME Data'!$B$13:$B$18,$C79)*1000000*(1+'1.1 Control Panel'!E$55-'1.1 Control Panel'!E$56)*(1+'1.1 Control Panel'!F$55-'1.1 Control Panel'!F$56)*(1+'1.1 Control Panel'!G$55-'1.1 Control Panel'!G$56)*SUMIFS('4.3 Global SME Data'!$C$21:$C$41,'4.3 Global SME Data'!$E$21:$E$41,$C$76)*SUMIFS('1.1 Control Panel'!G$125:G$130,'1.1 Control Panel'!C$125:C$130,$C79)*SUMIFS('1.1 Control Panel'!G$210:G$215,'1.1 Control Panel'!C$210:C$215,$C79)*SUMIFS('1.1 Control Panel'!G$295:G$300,'1.1 Control Panel'!C$295:C$300,$C79),0)</f>
        <v>92830</v>
      </c>
      <c r="H79" s="28">
        <f>ROUNDUP('1.1 Control Panel'!H$57*SUMIFS('4.3 Global SME Data'!$C$13:$C$18,'4.3 Global SME Data'!$B$13:$B$18,$C79)*1000000*(1+'1.1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Data'!$E$21:$E$41,$C$76)*SUMIFS('1.1 Control Panel'!H$125:H$130,'1.1 Control Panel'!C$125:C$130,$C79)*SUMIFS('1.1 Control Panel'!H$210:H$215,'1.1 Control Panel'!C$210:C$215,$C79)*SUMIFS('1.1 Control Panel'!H$295:H$300,'1.1 Control Panel'!C$295:C$300,$C79),0)</f>
        <v>98027</v>
      </c>
      <c r="J79" s="20"/>
    </row>
    <row r="80" spans="2:10" ht="11.5" customHeight="1" x14ac:dyDescent="0.25">
      <c r="C80" s="21" t="s">
        <v>455</v>
      </c>
      <c r="D80" s="38" t="s">
        <v>162</v>
      </c>
      <c r="E80" s="376">
        <f>ROUNDUP('1.1 Control Panel'!E$57*SUMIFS('4.3 Global SME Data'!$C$13:$C$18,'4.3 Global SME Data'!$B$13:$B$18,$C80)*1000000*(1+'1.1 Control Panel'!E$55-'1.1 Control Panel'!E$56)*SUMIFS('4.3 Global SME Data'!$C$21:$C$41,'4.3 Global SME Data'!$E$21:$E$41,$C$76)*SUMIFS('1.1 Control Panel'!E$125:E$130,'1.1 Control Panel'!C$125:C$130,$C80)*SUMIFS('1.1 Control Panel'!E$210:E$215,'1.1 Control Panel'!C$210:C$215,$C80)*SUMIFS('1.1 Control Panel'!E$295:E$300,'1.1 Control Panel'!C$295:C$300,$C80),0)</f>
        <v>950641</v>
      </c>
      <c r="F80" s="376">
        <f>ROUNDUP('1.1 Control Panel'!F$57*SUMIFS('4.3 Global SME Data'!$C$13:$C$18,'4.3 Global SME Data'!$B$13:$B$18,$C80)*1000000*(1+'1.1 Control Panel'!E$55-'1.1 Control Panel'!E$56)*(1+'1.1 Control Panel'!F$55-'1.1 Control Panel'!F$56)*SUMIFS('4.3 Global SME Data'!$C$21:$C$41,'4.3 Global SME Data'!$E$21:$E$41,$C$76)*SUMIFS('1.1 Control Panel'!F$125:F$130,'1.1 Control Panel'!C$125:C$130,$C80)*SUMIFS('1.1 Control Panel'!F$210:F$215,'1.1 Control Panel'!C$210:C$215,$C80)*SUMIFS('1.1 Control Panel'!F$295:F$300,'1.1 Control Panel'!C$295:C$300,$C80),0)</f>
        <v>993278</v>
      </c>
      <c r="G80" s="376">
        <f>ROUNDUP('1.1 Control Panel'!G$57*SUMIFS('4.3 Global SME Data'!$C$13:$C$18,'4.3 Global SME Data'!$B$13:$B$18,$C80)*1000000*(1+'1.1 Control Panel'!E$55-'1.1 Control Panel'!E$56)*(1+'1.1 Control Panel'!F$55-'1.1 Control Panel'!F$56)*(1+'1.1 Control Panel'!G$55-'1.1 Control Panel'!G$56)*SUMIFS('4.3 Global SME Data'!$C$21:$C$41,'4.3 Global SME Data'!$E$21:$E$41,$C$76)*SUMIFS('1.1 Control Panel'!G$125:G$130,'1.1 Control Panel'!C$125:C$130,$C80)*SUMIFS('1.1 Control Panel'!G$210:G$215,'1.1 Control Panel'!C$210:C$215,$C80)*SUMIFS('1.1 Control Panel'!G$295:G$300,'1.1 Control Panel'!C$295:C$300,$C80),0)</f>
        <v>1066098</v>
      </c>
      <c r="H80" s="376">
        <f>ROUNDUP('1.1 Control Panel'!H$57*SUMIFS('4.3 Global SME Data'!$C$13:$C$18,'4.3 Global SME Data'!$B$13:$B$18,$C80)*1000000*(1+'1.1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Data'!$E$21:$E$41,$C$76)*SUMIFS('1.1 Control Panel'!H$125:H$130,'1.1 Control Panel'!C$125:C$130,$C80)*SUMIFS('1.1 Control Panel'!H$210:H$215,'1.1 Control Panel'!C$210:C$215,$C80)*SUMIFS('1.1 Control Panel'!H$295:H$300,'1.1 Control Panel'!C$295:C$300,$C80),0)</f>
        <v>1140605</v>
      </c>
      <c r="J80" s="21"/>
    </row>
    <row r="81" spans="2:10" ht="11.5" customHeight="1" x14ac:dyDescent="0.25">
      <c r="C81" s="21" t="s">
        <v>393</v>
      </c>
      <c r="D81" s="38" t="s">
        <v>162</v>
      </c>
      <c r="E81" s="376">
        <f>ROUNDUP('1.1 Control Panel'!E$57*SUMIFS('4.3 Global SME Data'!$C$13:$C$18,'4.3 Global SME Data'!$B$13:$B$18,$C81)*1000000*(1+'1.1 Control Panel'!E$55-'1.1 Control Panel'!E$56)*SUMIFS('4.3 Global SME Data'!$C$21:$C$41,'4.3 Global SME Data'!$E$21:$E$41,$C$76)*SUMIFS('1.1 Control Panel'!E$125:E$130,'1.1 Control Panel'!C$125:C$130,$C81)*SUMIFS('1.1 Control Panel'!E$210:E$215,'1.1 Control Panel'!C$210:C$215,$C81)*SUMIFS('1.1 Control Panel'!E$295:E$300,'1.1 Control Panel'!C$295:C$300,$C81),0)</f>
        <v>1157368</v>
      </c>
      <c r="F81" s="376">
        <f>ROUNDUP('1.1 Control Panel'!F$57*SUMIFS('4.3 Global SME Data'!$C$13:$C$18,'4.3 Global SME Data'!$B$13:$B$18,$C81)*1000000*(1+'1.1 Control Panel'!E$55-'1.1 Control Panel'!E$56)*(1+'1.1 Control Panel'!F$55-'1.1 Control Panel'!F$56)*SUMIFS('4.3 Global SME Data'!$C$21:$C$41,'4.3 Global SME Data'!$E$21:$E$41,$C$76)*SUMIFS('1.1 Control Panel'!F$125:F$130,'1.1 Control Panel'!C$125:C$130,$C81)*SUMIFS('1.1 Control Panel'!F$210:F$215,'1.1 Control Panel'!C$210:C$215,$C81)*SUMIFS('1.1 Control Panel'!F$295:F$300,'1.1 Control Panel'!C$295:C$300,$C81),0)</f>
        <v>1215200</v>
      </c>
      <c r="G81" s="376">
        <f>ROUNDUP('1.1 Control Panel'!G$57*SUMIFS('4.3 Global SME Data'!$C$13:$C$18,'4.3 Global SME Data'!$B$13:$B$18,$C81)*1000000*(1+'1.1 Control Panel'!E$55-'1.1 Control Panel'!E$56)*(1+'1.1 Control Panel'!F$55-'1.1 Control Panel'!F$56)*(1+'1.1 Control Panel'!G$55-'1.1 Control Panel'!G$56)*SUMIFS('4.3 Global SME Data'!$C$21:$C$41,'4.3 Global SME Data'!$E$21:$E$41,$C$76)*SUMIFS('1.1 Control Panel'!G$125:G$130,'1.1 Control Panel'!C$125:C$130,$C81)*SUMIFS('1.1 Control Panel'!G$210:G$215,'1.1 Control Panel'!C$210:C$215,$C81)*SUMIFS('1.1 Control Panel'!G$295:G$300,'1.1 Control Panel'!C$295:C$300,$C81),0)</f>
        <v>1314317</v>
      </c>
      <c r="H81" s="376">
        <f>ROUNDUP('1.1 Control Panel'!H$57*SUMIFS('4.3 Global SME Data'!$C$13:$C$18,'4.3 Global SME Data'!$B$13:$B$18,$C81)*1000000*(1+'1.1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Data'!$E$21:$E$41,$C$76)*SUMIFS('1.1 Control Panel'!H$125:H$130,'1.1 Control Panel'!C$125:C$130,$C81)*SUMIFS('1.1 Control Panel'!H$210:H$215,'1.1 Control Panel'!C$210:C$215,$C81)*SUMIFS('1.1 Control Panel'!H$295:H$300,'1.1 Control Panel'!C$295:C$300,$C81),0)</f>
        <v>1416203</v>
      </c>
      <c r="J81" s="21"/>
    </row>
    <row r="82" spans="2:10" ht="11.5" customHeight="1" x14ac:dyDescent="0.25">
      <c r="C82" s="21" t="s">
        <v>456</v>
      </c>
      <c r="D82" s="38" t="s">
        <v>162</v>
      </c>
      <c r="E82" s="376">
        <f>ROUNDUP('1.1 Control Panel'!E$57*SUMIFS('4.3 Global SME Data'!$C$13:$C$18,'4.3 Global SME Data'!$B$13:$B$18,$C82)*1000000*(1+'1.1 Control Panel'!E$55-'1.1 Control Panel'!E$56)*SUMIFS('4.3 Global SME Data'!$C$21:$C$41,'4.3 Global SME Data'!$E$21:$E$41,$C$76)*SUMIFS('1.1 Control Panel'!E$125:E$130,'1.1 Control Panel'!C$125:C$130,$C82)*SUMIFS('1.1 Control Panel'!E$210:E$215,'1.1 Control Panel'!C$210:C$215,$C82)*SUMIFS('1.1 Control Panel'!E$295:E$300,'1.1 Control Panel'!C$295:C$300,$C82),0)</f>
        <v>148041</v>
      </c>
      <c r="F82" s="376">
        <f>ROUNDUP('1.1 Control Panel'!F$57*SUMIFS('4.3 Global SME Data'!$C$13:$C$18,'4.3 Global SME Data'!$B$13:$B$18,$C82)*1000000*(1+'1.1 Control Panel'!E$55-'1.1 Control Panel'!E$56)*(1+'1.1 Control Panel'!F$55-'1.1 Control Panel'!F$56)*SUMIFS('4.3 Global SME Data'!$C$21:$C$41,'4.3 Global SME Data'!$E$21:$E$41,$C$76)*SUMIFS('1.1 Control Panel'!F$125:F$130,'1.1 Control Panel'!C$125:C$130,$C82)*SUMIFS('1.1 Control Panel'!F$210:F$215,'1.1 Control Panel'!C$210:C$215,$C82)*SUMIFS('1.1 Control Panel'!F$295:F$300,'1.1 Control Panel'!C$295:C$300,$C82),0)</f>
        <v>153065</v>
      </c>
      <c r="G82" s="376">
        <f>ROUNDUP('1.1 Control Panel'!G$57*SUMIFS('4.3 Global SME Data'!$C$13:$C$18,'4.3 Global SME Data'!$B$13:$B$18,$C82)*1000000*(1+'1.1 Control Panel'!E$55-'1.1 Control Panel'!E$56)*(1+'1.1 Control Panel'!F$55-'1.1 Control Panel'!F$56)*(1+'1.1 Control Panel'!G$55-'1.1 Control Panel'!G$56)*SUMIFS('4.3 Global SME Data'!$C$21:$C$41,'4.3 Global SME Data'!$E$21:$E$41,$C$76)*SUMIFS('1.1 Control Panel'!G$125:G$130,'1.1 Control Panel'!C$125:C$130,$C82)*SUMIFS('1.1 Control Panel'!G$210:G$215,'1.1 Control Panel'!C$210:C$215,$C82)*SUMIFS('1.1 Control Panel'!G$295:G$300,'1.1 Control Panel'!C$295:C$300,$C82),0)</f>
        <v>161577</v>
      </c>
      <c r="H82" s="376">
        <f>ROUNDUP('1.1 Control Panel'!H$57*SUMIFS('4.3 Global SME Data'!$C$13:$C$18,'4.3 Global SME Data'!$B$13:$B$18,$C82)*1000000*(1+'1.1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Data'!$E$21:$E$41,$C$76)*SUMIFS('1.1 Control Panel'!H$125:H$130,'1.1 Control Panel'!C$125:C$130,$C82)*SUMIFS('1.1 Control Panel'!H$210:H$215,'1.1 Control Panel'!C$210:C$215,$C82)*SUMIFS('1.1 Control Panel'!H$295:H$300,'1.1 Control Panel'!C$295:C$300,$C82),0)</f>
        <v>170191</v>
      </c>
      <c r="J82" s="21"/>
    </row>
    <row r="83" spans="2:10" s="74" customFormat="1" ht="11.5" customHeight="1" x14ac:dyDescent="0.25">
      <c r="B83" s="99" t="s">
        <v>9</v>
      </c>
      <c r="C83" s="105" t="str">
        <f>'4.2 Sector Mapping'!$B$15</f>
        <v>Entertainment and Recreation</v>
      </c>
      <c r="D83" s="106" t="s">
        <v>162</v>
      </c>
      <c r="E83" s="380">
        <f>SUM(E84:E89)</f>
        <v>149283</v>
      </c>
      <c r="F83" s="380">
        <f t="shared" ref="F83" si="37">SUM(F84:F89)</f>
        <v>155527</v>
      </c>
      <c r="G83" s="380">
        <f t="shared" ref="G83" si="38">SUM(G84:G89)</f>
        <v>166176</v>
      </c>
      <c r="H83" s="380">
        <f t="shared" ref="H83" si="39">SUM(H84:H89)</f>
        <v>177047</v>
      </c>
      <c r="J83" s="105"/>
    </row>
    <row r="84" spans="2:10" ht="11.5" customHeight="1" x14ac:dyDescent="0.25">
      <c r="C84" s="20" t="s">
        <v>600</v>
      </c>
      <c r="D84" s="34" t="s">
        <v>162</v>
      </c>
      <c r="E84" s="28">
        <f>ROUNDUP('1.1 Control Panel'!E$57*SUMIFS('4.3 Global SME Data'!$C$13:$C$18,'4.3 Global SME Data'!$B$13:$B$18,$C84)*1000000*(1+'1.1 Control Panel'!E$55-'1.1 Control Panel'!E$56)*SUMIFS('4.3 Global SME Data'!$C$21:$C$41,'4.3 Global SME Data'!$E$21:$E$41,$C$83)*SUMIFS('1.1 Control Panel'!E$132:E$137,'1.1 Control Panel'!C$132:C$137,$C84)*SUMIFS('1.1 Control Panel'!E$217:E$222,'1.1 Control Panel'!C$217:C$222,$C84)*SUMIFS('1.1 Control Panel'!E$302:E$307,'1.1 Control Panel'!C$302:C$307,$C84),0)</f>
        <v>92869</v>
      </c>
      <c r="F84" s="28">
        <f>ROUNDUP('1.1 Control Panel'!F$57*SUMIFS('4.3 Global SME Data'!$C$13:$C$18,'4.3 Global SME Data'!$B$13:$B$18,$C84)*1000000*(1+'1.1 Control Panel'!E$55-'1.1 Control Panel'!E$56)*(1+'1.1 Control Panel'!F$55-'1.1 Control Panel'!F$56)*SUMIFS('4.3 Global SME Data'!$C$21:$C$41,'4.3 Global SME Data'!$E$21:$E$41,$C$83)*SUMIFS('1.1 Control Panel'!F$132:F$137,'1.1 Control Panel'!C$132:C$137,$C84)*SUMIFS('1.1 Control Panel'!F$217:F$222,'1.1 Control Panel'!C$217:C$222,$C84)*SUMIFS('1.1 Control Panel'!F$302:F$307,'1.1 Control Panel'!C$302:C$307,$C84),0)</f>
        <v>96932</v>
      </c>
      <c r="G84" s="28">
        <f>ROUNDUP('1.1 Control Panel'!G$57*SUMIFS('4.3 Global SME Data'!$C$13:$C$18,'4.3 Global SME Data'!$B$13:$B$18,$C84)*1000000*(1+'1.1 Control Panel'!E$55-'1.1 Control Panel'!E$56)*(1+'1.1 Control Panel'!F$55-'1.1 Control Panel'!F$56)*(1+'1.1 Control Panel'!G$55-'1.1 Control Panel'!G$56)*SUMIFS('4.3 Global SME Data'!$C$21:$C$41,'4.3 Global SME Data'!$E$21:$E$41,$C$83)*SUMIFS('1.1 Control Panel'!G$132:G$137,'1.1 Control Panel'!C$132:C$137,$C84)*SUMIFS('1.1 Control Panel'!G$217:G$222,'1.1 Control Panel'!C$217:C$222,$C84)*SUMIFS('1.1 Control Panel'!G$302:G$307,'1.1 Control Panel'!C$302:C$307,$C84),0)</f>
        <v>103867</v>
      </c>
      <c r="H84" s="28">
        <f>ROUNDUP('1.1 Control Panel'!H$57*SUMIFS('4.3 Global SME Data'!$C$13:$C$18,'4.3 Global SME Data'!$B$13:$B$18,$C84)*1000000*(1+'1.1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Data'!$E$21:$E$41,$C$83)*SUMIFS('1.1 Control Panel'!H$132:H$137,'1.1 Control Panel'!C$132:C$137,$C84)*SUMIFS('1.1 Control Panel'!H$217:H$222,'1.1 Control Panel'!C$217:C$222,$C84)*SUMIFS('1.1 Control Panel'!H$302:H$307,'1.1 Control Panel'!C$302:C$307,$C84),0)</f>
        <v>110955</v>
      </c>
      <c r="J84" s="20"/>
    </row>
    <row r="85" spans="2:10" ht="11.5" customHeight="1" x14ac:dyDescent="0.25">
      <c r="C85" s="20" t="s">
        <v>392</v>
      </c>
      <c r="D85" s="34" t="s">
        <v>162</v>
      </c>
      <c r="E85" s="28">
        <f>ROUNDUP('1.1 Control Panel'!E$57*SUMIFS('4.3 Global SME Data'!$C$13:$C$18,'4.3 Global SME Data'!$B$13:$B$18,$C85)*1000000*(1+'1.1 Control Panel'!E$55-'1.1 Control Panel'!E$56)*SUMIFS('4.3 Global SME Data'!$C$21:$C$41,'4.3 Global SME Data'!$E$21:$E$41,$C$83)*SUMIFS('1.1 Control Panel'!E$132:E$137,'1.1 Control Panel'!C$132:C$137,$C85)*SUMIFS('1.1 Control Panel'!E$217:E$222,'1.1 Control Panel'!C$217:C$222,$C85)*SUMIFS('1.1 Control Panel'!E$302:E$307,'1.1 Control Panel'!C$302:C$307,$C85),0)</f>
        <v>4198</v>
      </c>
      <c r="F85" s="28">
        <f>ROUNDUP('1.1 Control Panel'!F$57*SUMIFS('4.3 Global SME Data'!$C$13:$C$18,'4.3 Global SME Data'!$B$13:$B$18,$C85)*1000000*(1+'1.1 Control Panel'!E$55-'1.1 Control Panel'!E$56)*(1+'1.1 Control Panel'!F$55-'1.1 Control Panel'!F$56)*SUMIFS('4.3 Global SME Data'!$C$21:$C$41,'4.3 Global SME Data'!$E$21:$E$41,$C$83)*SUMIFS('1.1 Control Panel'!F$132:F$137,'1.1 Control Panel'!C$132:C$137,$C85)*SUMIFS('1.1 Control Panel'!F$217:F$222,'1.1 Control Panel'!C$217:C$222,$C85)*SUMIFS('1.1 Control Panel'!F$302:F$307,'1.1 Control Panel'!C$302:C$307,$C85),0)</f>
        <v>4328</v>
      </c>
      <c r="G85" s="28">
        <f>ROUNDUP('1.1 Control Panel'!G$57*SUMIFS('4.3 Global SME Data'!$C$13:$C$18,'4.3 Global SME Data'!$B$13:$B$18,$C85)*1000000*(1+'1.1 Control Panel'!E$55-'1.1 Control Panel'!E$56)*(1+'1.1 Control Panel'!F$55-'1.1 Control Panel'!F$56)*(1+'1.1 Control Panel'!G$55-'1.1 Control Panel'!G$56)*SUMIFS('4.3 Global SME Data'!$C$21:$C$41,'4.3 Global SME Data'!$E$21:$E$41,$C$83)*SUMIFS('1.1 Control Panel'!G$132:G$137,'1.1 Control Panel'!C$132:C$137,$C85)*SUMIFS('1.1 Control Panel'!G$217:G$222,'1.1 Control Panel'!C$217:C$222,$C85)*SUMIFS('1.1 Control Panel'!G$302:G$307,'1.1 Control Panel'!C$302:C$307,$C85),0)</f>
        <v>4546</v>
      </c>
      <c r="H85" s="28">
        <f>ROUNDUP('1.1 Control Panel'!H$57*SUMIFS('4.3 Global SME Data'!$C$13:$C$18,'4.3 Global SME Data'!$B$13:$B$18,$C85)*1000000*(1+'1.1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Data'!$E$21:$E$41,$C$83)*SUMIFS('1.1 Control Panel'!H$132:H$137,'1.1 Control Panel'!C$132:C$137,$C85)*SUMIFS('1.1 Control Panel'!H$217:H$222,'1.1 Control Panel'!C$217:C$222,$C85)*SUMIFS('1.1 Control Panel'!H$302:H$307,'1.1 Control Panel'!C$302:C$307,$C85),0)</f>
        <v>4767</v>
      </c>
      <c r="J85" s="20"/>
    </row>
    <row r="86" spans="2:10" ht="11.5" customHeight="1" x14ac:dyDescent="0.25">
      <c r="C86" s="20" t="s">
        <v>454</v>
      </c>
      <c r="D86" s="34" t="s">
        <v>162</v>
      </c>
      <c r="E86" s="28">
        <f>ROUNDUP('1.1 Control Panel'!E$57*SUMIFS('4.3 Global SME Data'!$C$13:$C$18,'4.3 Global SME Data'!$B$13:$B$18,$C86)*1000000*(1+'1.1 Control Panel'!E$55-'1.1 Control Panel'!E$56)*SUMIFS('4.3 Global SME Data'!$C$21:$C$41,'4.3 Global SME Data'!$E$21:$E$41,$C$83)*SUMIFS('1.1 Control Panel'!E$132:E$137,'1.1 Control Panel'!C$132:C$137,$C86)*SUMIFS('1.1 Control Panel'!E$217:E$222,'1.1 Control Panel'!C$217:C$222,$C86)*SUMIFS('1.1 Control Panel'!E$302:E$307,'1.1 Control Panel'!C$302:C$307,$C86),0)</f>
        <v>3825</v>
      </c>
      <c r="F86" s="28">
        <f>ROUNDUP('1.1 Control Panel'!F$57*SUMIFS('4.3 Global SME Data'!$C$13:$C$18,'4.3 Global SME Data'!$B$13:$B$18,$C86)*1000000*(1+'1.1 Control Panel'!E$55-'1.1 Control Panel'!E$56)*(1+'1.1 Control Panel'!F$55-'1.1 Control Panel'!F$56)*SUMIFS('4.3 Global SME Data'!$C$21:$C$41,'4.3 Global SME Data'!$E$21:$E$41,$C$83)*SUMIFS('1.1 Control Panel'!F$132:F$137,'1.1 Control Panel'!C$132:C$137,$C86)*SUMIFS('1.1 Control Panel'!F$217:F$222,'1.1 Control Panel'!C$217:C$222,$C86)*SUMIFS('1.1 Control Panel'!F$302:F$307,'1.1 Control Panel'!C$302:C$307,$C86),0)</f>
        <v>3907</v>
      </c>
      <c r="G86" s="28">
        <f>ROUNDUP('1.1 Control Panel'!G$57*SUMIFS('4.3 Global SME Data'!$C$13:$C$18,'4.3 Global SME Data'!$B$13:$B$18,$C86)*1000000*(1+'1.1 Control Panel'!E$55-'1.1 Control Panel'!E$56)*(1+'1.1 Control Panel'!F$55-'1.1 Control Panel'!F$56)*(1+'1.1 Control Panel'!G$55-'1.1 Control Panel'!G$56)*SUMIFS('4.3 Global SME Data'!$C$21:$C$41,'4.3 Global SME Data'!$E$21:$E$41,$C$83)*SUMIFS('1.1 Control Panel'!G$132:G$137,'1.1 Control Panel'!C$132:C$137,$C86)*SUMIFS('1.1 Control Panel'!G$217:G$222,'1.1 Control Panel'!C$217:C$222,$C86)*SUMIFS('1.1 Control Panel'!G$302:G$307,'1.1 Control Panel'!C$302:C$307,$C86),0)</f>
        <v>4045</v>
      </c>
      <c r="H86" s="28">
        <f>ROUNDUP('1.1 Control Panel'!H$57*SUMIFS('4.3 Global SME Data'!$C$13:$C$18,'4.3 Global SME Data'!$B$13:$B$18,$C86)*1000000*(1+'1.1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Data'!$E$21:$E$41,$C$83)*SUMIFS('1.1 Control Panel'!H$132:H$137,'1.1 Control Panel'!C$132:C$137,$C86)*SUMIFS('1.1 Control Panel'!H$217:H$222,'1.1 Control Panel'!C$217:C$222,$C86)*SUMIFS('1.1 Control Panel'!H$302:H$307,'1.1 Control Panel'!C$302:C$307,$C86),0)</f>
        <v>4182</v>
      </c>
      <c r="J86" s="20"/>
    </row>
    <row r="87" spans="2:10" ht="11.5" customHeight="1" x14ac:dyDescent="0.25">
      <c r="C87" s="21" t="s">
        <v>455</v>
      </c>
      <c r="D87" s="38" t="s">
        <v>162</v>
      </c>
      <c r="E87" s="376">
        <f>ROUNDUP('1.1 Control Panel'!E$57*SUMIFS('4.3 Global SME Data'!$C$13:$C$18,'4.3 Global SME Data'!$B$13:$B$18,$C87)*1000000*(1+'1.1 Control Panel'!E$55-'1.1 Control Panel'!E$56)*SUMIFS('4.3 Global SME Data'!$C$21:$C$41,'4.3 Global SME Data'!$E$21:$E$41,$C$83)*SUMIFS('1.1 Control Panel'!E$132:E$137,'1.1 Control Panel'!C$132:C$137,$C87)*SUMIFS('1.1 Control Panel'!E$217:E$222,'1.1 Control Panel'!C$217:C$222,$C87)*SUMIFS('1.1 Control Panel'!E$302:E$307,'1.1 Control Panel'!C$302:C$307,$C87),0)</f>
        <v>20120</v>
      </c>
      <c r="F87" s="376">
        <f>ROUNDUP('1.1 Control Panel'!F$57*SUMIFS('4.3 Global SME Data'!$C$13:$C$18,'4.3 Global SME Data'!$B$13:$B$18,$C87)*1000000*(1+'1.1 Control Panel'!E$55-'1.1 Control Panel'!E$56)*(1+'1.1 Control Panel'!F$55-'1.1 Control Panel'!F$56)*SUMIFS('4.3 Global SME Data'!$C$21:$C$41,'4.3 Global SME Data'!$E$21:$E$41,$C$83)*SUMIFS('1.1 Control Panel'!F$132:F$137,'1.1 Control Panel'!C$132:C$137,$C87)*SUMIFS('1.1 Control Panel'!F$217:F$222,'1.1 Control Panel'!C$217:C$222,$C87)*SUMIFS('1.1 Control Panel'!F$302:F$307,'1.1 Control Panel'!C$302:C$307,$C87),0)</f>
        <v>20920</v>
      </c>
      <c r="G87" s="376">
        <f>ROUNDUP('1.1 Control Panel'!G$57*SUMIFS('4.3 Global SME Data'!$C$13:$C$18,'4.3 Global SME Data'!$B$13:$B$18,$C87)*1000000*(1+'1.1 Control Panel'!E$55-'1.1 Control Panel'!E$56)*(1+'1.1 Control Panel'!F$55-'1.1 Control Panel'!F$56)*(1+'1.1 Control Panel'!G$55-'1.1 Control Panel'!G$56)*SUMIFS('4.3 Global SME Data'!$C$21:$C$41,'4.3 Global SME Data'!$E$21:$E$41,$C$83)*SUMIFS('1.1 Control Panel'!G$132:G$137,'1.1 Control Panel'!C$132:C$137,$C87)*SUMIFS('1.1 Control Panel'!G$217:G$222,'1.1 Control Panel'!C$217:C$222,$C87)*SUMIFS('1.1 Control Panel'!G$302:G$307,'1.1 Control Panel'!C$302:C$307,$C87),0)</f>
        <v>22281</v>
      </c>
      <c r="H87" s="376">
        <f>ROUNDUP('1.1 Control Panel'!H$57*SUMIFS('4.3 Global SME Data'!$C$13:$C$18,'4.3 Global SME Data'!$B$13:$B$18,$C87)*1000000*(1+'1.1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Data'!$E$21:$E$41,$C$83)*SUMIFS('1.1 Control Panel'!H$132:H$137,'1.1 Control Panel'!C$132:C$137,$C87)*SUMIFS('1.1 Control Panel'!H$217:H$222,'1.1 Control Panel'!C$217:C$222,$C87)*SUMIFS('1.1 Control Panel'!H$302:H$307,'1.1 Control Panel'!C$302:C$307,$C87),0)</f>
        <v>23667</v>
      </c>
      <c r="J87" s="21"/>
    </row>
    <row r="88" spans="2:10" ht="11.5" customHeight="1" x14ac:dyDescent="0.25">
      <c r="C88" s="21" t="s">
        <v>393</v>
      </c>
      <c r="D88" s="38" t="s">
        <v>162</v>
      </c>
      <c r="E88" s="376">
        <f>ROUNDUP('1.1 Control Panel'!E$57*SUMIFS('4.3 Global SME Data'!$C$13:$C$18,'4.3 Global SME Data'!$B$13:$B$18,$C88)*1000000*(1+'1.1 Control Panel'!E$55-'1.1 Control Panel'!E$56)*SUMIFS('4.3 Global SME Data'!$C$21:$C$41,'4.3 Global SME Data'!$E$21:$E$41,$C$83)*SUMIFS('1.1 Control Panel'!E$132:E$137,'1.1 Control Panel'!C$132:C$137,$C88)*SUMIFS('1.1 Control Panel'!E$217:E$222,'1.1 Control Panel'!C$217:C$222,$C88)*SUMIFS('1.1 Control Panel'!E$302:E$307,'1.1 Control Panel'!C$302:C$307,$C88),0)</f>
        <v>22712</v>
      </c>
      <c r="F88" s="376">
        <f>ROUNDUP('1.1 Control Panel'!F$57*SUMIFS('4.3 Global SME Data'!$C$13:$C$18,'4.3 Global SME Data'!$B$13:$B$18,$C88)*1000000*(1+'1.1 Control Panel'!E$55-'1.1 Control Panel'!E$56)*(1+'1.1 Control Panel'!F$55-'1.1 Control Panel'!F$56)*SUMIFS('4.3 Global SME Data'!$C$21:$C$41,'4.3 Global SME Data'!$E$21:$E$41,$C$83)*SUMIFS('1.1 Control Panel'!F$132:F$137,'1.1 Control Panel'!C$132:C$137,$C88)*SUMIFS('1.1 Control Panel'!F$217:F$222,'1.1 Control Panel'!C$217:C$222,$C88)*SUMIFS('1.1 Control Panel'!F$302:F$307,'1.1 Control Panel'!C$302:C$307,$C88),0)</f>
        <v>23757</v>
      </c>
      <c r="G88" s="376">
        <f>ROUNDUP('1.1 Control Panel'!G$57*SUMIFS('4.3 Global SME Data'!$C$13:$C$18,'4.3 Global SME Data'!$B$13:$B$18,$C88)*1000000*(1+'1.1 Control Panel'!E$55-'1.1 Control Panel'!E$56)*(1+'1.1 Control Panel'!F$55-'1.1 Control Panel'!F$56)*(1+'1.1 Control Panel'!G$55-'1.1 Control Panel'!G$56)*SUMIFS('4.3 Global SME Data'!$C$21:$C$41,'4.3 Global SME Data'!$E$21:$E$41,$C$83)*SUMIFS('1.1 Control Panel'!G$132:G$137,'1.1 Control Panel'!C$132:C$137,$C88)*SUMIFS('1.1 Control Panel'!G$217:G$222,'1.1 Control Panel'!C$217:C$222,$C88)*SUMIFS('1.1 Control Panel'!G$302:G$307,'1.1 Control Panel'!C$302:C$307,$C88),0)</f>
        <v>25545</v>
      </c>
      <c r="H88" s="376">
        <f>ROUNDUP('1.1 Control Panel'!H$57*SUMIFS('4.3 Global SME Data'!$C$13:$C$18,'4.3 Global SME Data'!$B$13:$B$18,$C88)*1000000*(1+'1.1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Data'!$E$21:$E$41,$C$83)*SUMIFS('1.1 Control Panel'!H$132:H$137,'1.1 Control Panel'!C$132:C$137,$C88)*SUMIFS('1.1 Control Panel'!H$217:H$222,'1.1 Control Panel'!C$217:C$222,$C88)*SUMIFS('1.1 Control Panel'!H$302:H$307,'1.1 Control Panel'!C$302:C$307,$C88),0)</f>
        <v>27376</v>
      </c>
      <c r="J88" s="21"/>
    </row>
    <row r="89" spans="2:10" ht="11.5" customHeight="1" x14ac:dyDescent="0.25">
      <c r="C89" s="21" t="s">
        <v>456</v>
      </c>
      <c r="D89" s="38" t="s">
        <v>162</v>
      </c>
      <c r="E89" s="376">
        <f>ROUNDUP('1.1 Control Panel'!E$57*SUMIFS('4.3 Global SME Data'!$C$13:$C$18,'4.3 Global SME Data'!$B$13:$B$18,$C89)*1000000*(1+'1.1 Control Panel'!E$55-'1.1 Control Panel'!E$56)*SUMIFS('4.3 Global SME Data'!$C$21:$C$41,'4.3 Global SME Data'!$E$21:$E$41,$C$83)*SUMIFS('1.1 Control Panel'!E$132:E$137,'1.1 Control Panel'!C$132:C$137,$C89)*SUMIFS('1.1 Control Panel'!E$217:E$222,'1.1 Control Panel'!C$217:C$222,$C89)*SUMIFS('1.1 Control Panel'!E$302:E$307,'1.1 Control Panel'!C$302:C$307,$C89),0)</f>
        <v>5559</v>
      </c>
      <c r="F89" s="376">
        <f>ROUNDUP('1.1 Control Panel'!F$57*SUMIFS('4.3 Global SME Data'!$C$13:$C$18,'4.3 Global SME Data'!$B$13:$B$18,$C89)*1000000*(1+'1.1 Control Panel'!E$55-'1.1 Control Panel'!E$56)*(1+'1.1 Control Panel'!F$55-'1.1 Control Panel'!F$56)*SUMIFS('4.3 Global SME Data'!$C$21:$C$41,'4.3 Global SME Data'!$E$21:$E$41,$C$83)*SUMIFS('1.1 Control Panel'!F$132:F$137,'1.1 Control Panel'!C$132:C$137,$C89)*SUMIFS('1.1 Control Panel'!F$217:F$222,'1.1 Control Panel'!C$217:C$222,$C89)*SUMIFS('1.1 Control Panel'!F$302:F$307,'1.1 Control Panel'!C$302:C$307,$C89),0)</f>
        <v>5683</v>
      </c>
      <c r="G89" s="376">
        <f>ROUNDUP('1.1 Control Panel'!G$57*SUMIFS('4.3 Global SME Data'!$C$13:$C$18,'4.3 Global SME Data'!$B$13:$B$18,$C89)*1000000*(1+'1.1 Control Panel'!E$55-'1.1 Control Panel'!E$56)*(1+'1.1 Control Panel'!F$55-'1.1 Control Panel'!F$56)*(1+'1.1 Control Panel'!G$55-'1.1 Control Panel'!G$56)*SUMIFS('4.3 Global SME Data'!$C$21:$C$41,'4.3 Global SME Data'!$E$21:$E$41,$C$83)*SUMIFS('1.1 Control Panel'!G$132:G$137,'1.1 Control Panel'!C$132:C$137,$C89)*SUMIFS('1.1 Control Panel'!G$217:G$222,'1.1 Control Panel'!C$217:C$222,$C89)*SUMIFS('1.1 Control Panel'!G$302:G$307,'1.1 Control Panel'!C$302:C$307,$C89),0)</f>
        <v>5892</v>
      </c>
      <c r="H89" s="376">
        <f>ROUNDUP('1.1 Control Panel'!H$57*SUMIFS('4.3 Global SME Data'!$C$13:$C$18,'4.3 Global SME Data'!$B$13:$B$18,$C89)*1000000*(1+'1.1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Data'!$E$21:$E$41,$C$83)*SUMIFS('1.1 Control Panel'!H$132:H$137,'1.1 Control Panel'!C$132:C$137,$C89)*SUMIFS('1.1 Control Panel'!H$217:H$222,'1.1 Control Panel'!C$217:C$222,$C89)*SUMIFS('1.1 Control Panel'!H$302:H$307,'1.1 Control Panel'!C$302:C$307,$C89),0)</f>
        <v>6100</v>
      </c>
      <c r="J89" s="21"/>
    </row>
    <row r="90" spans="2:10" s="74" customFormat="1" ht="11.5" customHeight="1" x14ac:dyDescent="0.25">
      <c r="B90" s="99" t="s">
        <v>9</v>
      </c>
      <c r="C90" s="105" t="str">
        <f>'4.2 Sector Mapping'!$B$16</f>
        <v>Transportation and Services</v>
      </c>
      <c r="D90" s="106" t="s">
        <v>162</v>
      </c>
      <c r="E90" s="380">
        <f>SUM(E91:E96)</f>
        <v>680493</v>
      </c>
      <c r="F90" s="380">
        <f t="shared" ref="F90" si="40">SUM(F91:F96)</f>
        <v>720415</v>
      </c>
      <c r="G90" s="380">
        <f t="shared" ref="G90" si="41">SUM(G91:G96)</f>
        <v>789288</v>
      </c>
      <c r="H90" s="380">
        <f t="shared" ref="H90" si="42">SUM(H91:H96)</f>
        <v>860670</v>
      </c>
      <c r="J90" s="105"/>
    </row>
    <row r="91" spans="2:10" ht="11.5" customHeight="1" x14ac:dyDescent="0.25">
      <c r="C91" s="20" t="s">
        <v>600</v>
      </c>
      <c r="D91" s="34" t="s">
        <v>162</v>
      </c>
      <c r="E91" s="28">
        <f>ROUNDUP('1.1 Control Panel'!E$57*SUMIFS('4.3 Global SME Data'!$C$13:$C$18,'4.3 Global SME Data'!$B$13:$B$18,$C91)*1000000*(1+'1.1 Control Panel'!E$55-'1.1 Control Panel'!E$56)*SUMIFS('4.3 Global SME Data'!$C$21:$C$41,'4.3 Global SME Data'!$E$21:$E$41,$C$90)*SUMIFS('1.1 Control Panel'!E$139:E$144,'1.1 Control Panel'!C$139:C$144,$C91)*SUMIFS('1.1 Control Panel'!E$224:E$229,'1.1 Control Panel'!C$224:C$229,$C91)*SUMIFS('1.1 Control Panel'!E$309:E$314,'1.1 Control Panel'!C$309:C$314,$C91),0)</f>
        <v>352013</v>
      </c>
      <c r="F91" s="28">
        <f>ROUNDUP('1.1 Control Panel'!F$57*SUMIFS('4.3 Global SME Data'!$C$13:$C$18,'4.3 Global SME Data'!$B$13:$B$18,$C91)*1000000*(1+'1.1 Control Panel'!E$55-'1.1 Control Panel'!E$56)*(1+'1.1 Control Panel'!F$55-'1.1 Control Panel'!F$56)*SUMIFS('4.3 Global SME Data'!$C$21:$C$41,'4.3 Global SME Data'!$E$21:$E$41,$C$90)*SUMIFS('1.1 Control Panel'!F$139:F$144,'1.1 Control Panel'!C$139:C$144,$C91)*SUMIFS('1.1 Control Panel'!F$224:F$229,'1.1 Control Panel'!C$224:C$229,$C91)*SUMIFS('1.1 Control Panel'!F$309:F$314,'1.1 Control Panel'!C$309:C$314,$C91),0)</f>
        <v>375934</v>
      </c>
      <c r="G91" s="28">
        <f>ROUNDUP('1.1 Control Panel'!G$57*SUMIFS('4.3 Global SME Data'!$C$13:$C$18,'4.3 Global SME Data'!$B$13:$B$18,$C91)*1000000*(1+'1.1 Control Panel'!E$55-'1.1 Control Panel'!E$56)*(1+'1.1 Control Panel'!F$55-'1.1 Control Panel'!F$56)*(1+'1.1 Control Panel'!G$55-'1.1 Control Panel'!G$56)*SUMIFS('4.3 Global SME Data'!$C$21:$C$41,'4.3 Global SME Data'!$E$21:$E$41,$C$90)*SUMIFS('1.1 Control Panel'!G$139:G$144,'1.1 Control Panel'!C$139:C$144,$C91)*SUMIFS('1.1 Control Panel'!G$224:G$229,'1.1 Control Panel'!C$224:C$229,$C91)*SUMIFS('1.1 Control Panel'!G$309:G$314,'1.1 Control Panel'!C$309:C$314,$C91),0)</f>
        <v>417394</v>
      </c>
      <c r="H91" s="28">
        <f>ROUNDUP('1.1 Control Panel'!H$57*SUMIFS('4.3 Global SME Data'!$C$13:$C$18,'4.3 Global SME Data'!$B$13:$B$18,$C91)*1000000*(1+'1.1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Data'!$E$21:$E$41,$C$90)*SUMIFS('1.1 Control Panel'!H$139:H$144,'1.1 Control Panel'!C$139:C$144,$C91)*SUMIFS('1.1 Control Panel'!H$224:H$229,'1.1 Control Panel'!C$224:C$229,$C91)*SUMIFS('1.1 Control Panel'!H$309:H$314,'1.1 Control Panel'!C$309:C$314,$C91),0)</f>
        <v>460620</v>
      </c>
      <c r="J91" s="20"/>
    </row>
    <row r="92" spans="2:10" ht="11.5" customHeight="1" x14ac:dyDescent="0.25">
      <c r="C92" s="20" t="s">
        <v>392</v>
      </c>
      <c r="D92" s="34" t="s">
        <v>162</v>
      </c>
      <c r="E92" s="28">
        <f>ROUNDUP('1.1 Control Panel'!E$57*SUMIFS('4.3 Global SME Data'!$C$13:$C$18,'4.3 Global SME Data'!$B$13:$B$18,$C92)*1000000*(1+'1.1 Control Panel'!E$55-'1.1 Control Panel'!E$56)*SUMIFS('4.3 Global SME Data'!$C$21:$C$41,'4.3 Global SME Data'!$E$21:$E$41,$C$90)*SUMIFS('1.1 Control Panel'!E$139:E$144,'1.1 Control Panel'!C$139:C$144,$C92)*SUMIFS('1.1 Control Panel'!E$224:E$229,'1.1 Control Panel'!C$224:C$229,$C92)*SUMIFS('1.1 Control Panel'!E$309:E$314,'1.1 Control Panel'!C$309:C$314,$C92),0)</f>
        <v>23206</v>
      </c>
      <c r="F92" s="28">
        <f>ROUNDUP('1.1 Control Panel'!F$57*SUMIFS('4.3 Global SME Data'!$C$13:$C$18,'4.3 Global SME Data'!$B$13:$B$18,$C92)*1000000*(1+'1.1 Control Panel'!E$55-'1.1 Control Panel'!E$56)*(1+'1.1 Control Panel'!F$55-'1.1 Control Panel'!F$56)*SUMIFS('4.3 Global SME Data'!$C$21:$C$41,'4.3 Global SME Data'!$E$21:$E$41,$C$90)*SUMIFS('1.1 Control Panel'!F$139:F$144,'1.1 Control Panel'!C$139:C$144,$C92)*SUMIFS('1.1 Control Panel'!F$224:F$229,'1.1 Control Panel'!C$224:C$229,$C92)*SUMIFS('1.1 Control Panel'!F$309:F$314,'1.1 Control Panel'!C$309:C$314,$C92),0)</f>
        <v>24127</v>
      </c>
      <c r="G92" s="28">
        <f>ROUNDUP('1.1 Control Panel'!G$57*SUMIFS('4.3 Global SME Data'!$C$13:$C$18,'4.3 Global SME Data'!$B$13:$B$18,$C92)*1000000*(1+'1.1 Control Panel'!E$55-'1.1 Control Panel'!E$56)*(1+'1.1 Control Panel'!F$55-'1.1 Control Panel'!F$56)*(1+'1.1 Control Panel'!G$55-'1.1 Control Panel'!G$56)*SUMIFS('4.3 Global SME Data'!$C$21:$C$41,'4.3 Global SME Data'!$E$21:$E$41,$C$90)*SUMIFS('1.1 Control Panel'!G$139:G$144,'1.1 Control Panel'!C$139:C$144,$C92)*SUMIFS('1.1 Control Panel'!G$224:G$229,'1.1 Control Panel'!C$224:C$229,$C92)*SUMIFS('1.1 Control Panel'!G$309:G$314,'1.1 Control Panel'!C$309:C$314,$C92),0)</f>
        <v>25694</v>
      </c>
      <c r="H92" s="28">
        <f>ROUNDUP('1.1 Control Panel'!H$57*SUMIFS('4.3 Global SME Data'!$C$13:$C$18,'4.3 Global SME Data'!$B$13:$B$18,$C92)*1000000*(1+'1.1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Data'!$E$21:$E$41,$C$90)*SUMIFS('1.1 Control Panel'!H$139:H$144,'1.1 Control Panel'!C$139:C$144,$C92)*SUMIFS('1.1 Control Panel'!H$224:H$229,'1.1 Control Panel'!C$224:C$229,$C92)*SUMIFS('1.1 Control Panel'!H$309:H$314,'1.1 Control Panel'!C$309:C$314,$C92),0)</f>
        <v>27285</v>
      </c>
      <c r="J92" s="20"/>
    </row>
    <row r="93" spans="2:10" ht="11.5" customHeight="1" x14ac:dyDescent="0.25">
      <c r="C93" s="20" t="s">
        <v>454</v>
      </c>
      <c r="D93" s="34" t="s">
        <v>162</v>
      </c>
      <c r="E93" s="28">
        <f>ROUNDUP('1.1 Control Panel'!E$57*SUMIFS('4.3 Global SME Data'!$C$13:$C$18,'4.3 Global SME Data'!$B$13:$B$18,$C93)*1000000*(1+'1.1 Control Panel'!E$55-'1.1 Control Panel'!E$56)*SUMIFS('4.3 Global SME Data'!$C$21:$C$41,'4.3 Global SME Data'!$E$21:$E$41,$C$90)*SUMIFS('1.1 Control Panel'!E$139:E$144,'1.1 Control Panel'!C$139:C$144,$C93)*SUMIFS('1.1 Control Panel'!E$224:E$229,'1.1 Control Panel'!C$224:C$229,$C93)*SUMIFS('1.1 Control Panel'!E$309:E$314,'1.1 Control Panel'!C$309:C$314,$C93),0)</f>
        <v>15787</v>
      </c>
      <c r="F93" s="28">
        <f>ROUNDUP('1.1 Control Panel'!F$57*SUMIFS('4.3 Global SME Data'!$C$13:$C$18,'4.3 Global SME Data'!$B$13:$B$18,$C93)*1000000*(1+'1.1 Control Panel'!E$55-'1.1 Control Panel'!E$56)*(1+'1.1 Control Panel'!F$55-'1.1 Control Panel'!F$56)*SUMIFS('4.3 Global SME Data'!$C$21:$C$41,'4.3 Global SME Data'!$E$21:$E$41,$C$90)*SUMIFS('1.1 Control Panel'!F$139:F$144,'1.1 Control Panel'!C$139:C$144,$C93)*SUMIFS('1.1 Control Panel'!F$224:F$229,'1.1 Control Panel'!C$224:C$229,$C93)*SUMIFS('1.1 Control Panel'!F$309:F$314,'1.1 Control Panel'!C$309:C$314,$C93),0)</f>
        <v>16288</v>
      </c>
      <c r="G93" s="28">
        <f>ROUNDUP('1.1 Control Panel'!G$57*SUMIFS('4.3 Global SME Data'!$C$13:$C$18,'4.3 Global SME Data'!$B$13:$B$18,$C93)*1000000*(1+'1.1 Control Panel'!E$55-'1.1 Control Panel'!E$56)*(1+'1.1 Control Panel'!F$55-'1.1 Control Panel'!F$56)*(1+'1.1 Control Panel'!G$55-'1.1 Control Panel'!G$56)*SUMIFS('4.3 Global SME Data'!$C$21:$C$41,'4.3 Global SME Data'!$E$21:$E$41,$C$90)*SUMIFS('1.1 Control Panel'!G$139:G$144,'1.1 Control Panel'!C$139:C$144,$C93)*SUMIFS('1.1 Control Panel'!G$224:G$229,'1.1 Control Panel'!C$224:C$229,$C93)*SUMIFS('1.1 Control Panel'!G$309:G$314,'1.1 Control Panel'!C$309:C$314,$C93),0)</f>
        <v>17136</v>
      </c>
      <c r="H93" s="28">
        <f>ROUNDUP('1.1 Control Panel'!H$57*SUMIFS('4.3 Global SME Data'!$C$13:$C$18,'4.3 Global SME Data'!$B$13:$B$18,$C93)*1000000*(1+'1.1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Data'!$E$21:$E$41,$C$90)*SUMIFS('1.1 Control Panel'!H$139:H$144,'1.1 Control Panel'!C$139:C$144,$C93)*SUMIFS('1.1 Control Panel'!H$224:H$229,'1.1 Control Panel'!C$224:C$229,$C93)*SUMIFS('1.1 Control Panel'!H$309:H$314,'1.1 Control Panel'!C$309:C$314,$C93),0)</f>
        <v>17992</v>
      </c>
      <c r="J93" s="20"/>
    </row>
    <row r="94" spans="2:10" ht="11.5" customHeight="1" x14ac:dyDescent="0.25">
      <c r="C94" s="21" t="s">
        <v>455</v>
      </c>
      <c r="D94" s="38" t="s">
        <v>162</v>
      </c>
      <c r="E94" s="376">
        <f>ROUNDUP('1.1 Control Panel'!E$57*SUMIFS('4.3 Global SME Data'!$C$13:$C$18,'4.3 Global SME Data'!$B$13:$B$18,$C94)*1000000*(1+'1.1 Control Panel'!E$55-'1.1 Control Panel'!E$56)*SUMIFS('4.3 Global SME Data'!$C$21:$C$41,'4.3 Global SME Data'!$E$21:$E$41,$C$90)*SUMIFS('1.1 Control Panel'!E$139:E$144,'1.1 Control Panel'!C$139:C$144,$C94)*SUMIFS('1.1 Control Panel'!E$224:E$229,'1.1 Control Panel'!C$224:C$229,$C94)*SUMIFS('1.1 Control Panel'!E$309:E$314,'1.1 Control Panel'!C$309:C$314,$C94),0)</f>
        <v>94911</v>
      </c>
      <c r="F94" s="376">
        <f>ROUNDUP('1.1 Control Panel'!F$57*SUMIFS('4.3 Global SME Data'!$C$13:$C$18,'4.3 Global SME Data'!$B$13:$B$18,$C94)*1000000*(1+'1.1 Control Panel'!E$55-'1.1 Control Panel'!E$56)*(1+'1.1 Control Panel'!F$55-'1.1 Control Panel'!F$56)*SUMIFS('4.3 Global SME Data'!$C$21:$C$41,'4.3 Global SME Data'!$E$21:$E$41,$C$90)*SUMIFS('1.1 Control Panel'!F$139:F$144,'1.1 Control Panel'!C$139:C$144,$C94)*SUMIFS('1.1 Control Panel'!F$224:F$229,'1.1 Control Panel'!C$224:C$229,$C94)*SUMIFS('1.1 Control Panel'!F$309:F$314,'1.1 Control Panel'!C$309:C$314,$C94),0)</f>
        <v>100140</v>
      </c>
      <c r="G94" s="376">
        <f>ROUNDUP('1.1 Control Panel'!G$57*SUMIFS('4.3 Global SME Data'!$C$13:$C$18,'4.3 Global SME Data'!$B$13:$B$18,$C94)*1000000*(1+'1.1 Control Panel'!E$55-'1.1 Control Panel'!E$56)*(1+'1.1 Control Panel'!F$55-'1.1 Control Panel'!F$56)*(1+'1.1 Control Panel'!G$55-'1.1 Control Panel'!G$56)*SUMIFS('4.3 Global SME Data'!$C$21:$C$41,'4.3 Global SME Data'!$E$21:$E$41,$C$90)*SUMIFS('1.1 Control Panel'!G$139:G$144,'1.1 Control Panel'!C$139:C$144,$C94)*SUMIFS('1.1 Control Panel'!G$224:G$229,'1.1 Control Panel'!C$224:C$229,$C94)*SUMIFS('1.1 Control Panel'!G$309:G$314,'1.1 Control Panel'!C$309:C$314,$C94),0)</f>
        <v>109129</v>
      </c>
      <c r="H94" s="376">
        <f>ROUNDUP('1.1 Control Panel'!H$57*SUMIFS('4.3 Global SME Data'!$C$13:$C$18,'4.3 Global SME Data'!$B$13:$B$18,$C94)*1000000*(1+'1.1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Data'!$E$21:$E$41,$C$90)*SUMIFS('1.1 Control Panel'!H$139:H$144,'1.1 Control Panel'!C$139:C$144,$C94)*SUMIFS('1.1 Control Panel'!H$224:H$229,'1.1 Control Panel'!C$224:C$229,$C94)*SUMIFS('1.1 Control Panel'!H$309:H$314,'1.1 Control Panel'!C$309:C$314,$C94),0)</f>
        <v>118407</v>
      </c>
      <c r="J94" s="21"/>
    </row>
    <row r="95" spans="2:10" ht="11.5" customHeight="1" x14ac:dyDescent="0.25">
      <c r="C95" s="21" t="s">
        <v>393</v>
      </c>
      <c r="D95" s="38" t="s">
        <v>162</v>
      </c>
      <c r="E95" s="376">
        <f>ROUNDUP('1.1 Control Panel'!E$57*SUMIFS('4.3 Global SME Data'!$C$13:$C$18,'4.3 Global SME Data'!$B$13:$B$18,$C95)*1000000*(1+'1.1 Control Panel'!E$55-'1.1 Control Panel'!E$56)*SUMIFS('4.3 Global SME Data'!$C$21:$C$41,'4.3 Global SME Data'!$E$21:$E$41,$C$90)*SUMIFS('1.1 Control Panel'!E$139:E$144,'1.1 Control Panel'!C$139:C$144,$C95)*SUMIFS('1.1 Control Panel'!E$224:E$229,'1.1 Control Panel'!C$224:C$229,$C95)*SUMIFS('1.1 Control Panel'!E$309:E$314,'1.1 Control Panel'!C$309:C$314,$C95),0)</f>
        <v>170442</v>
      </c>
      <c r="F95" s="376">
        <f>ROUNDUP('1.1 Control Panel'!F$57*SUMIFS('4.3 Global SME Data'!$C$13:$C$18,'4.3 Global SME Data'!$B$13:$B$18,$C95)*1000000*(1+'1.1 Control Panel'!E$55-'1.1 Control Panel'!E$56)*(1+'1.1 Control Panel'!F$55-'1.1 Control Panel'!F$56)*SUMIFS('4.3 Global SME Data'!$C$21:$C$41,'4.3 Global SME Data'!$E$21:$E$41,$C$90)*SUMIFS('1.1 Control Panel'!F$139:F$144,'1.1 Control Panel'!C$139:C$144,$C95)*SUMIFS('1.1 Control Panel'!F$224:F$229,'1.1 Control Panel'!C$224:C$229,$C95)*SUMIFS('1.1 Control Panel'!F$309:F$314,'1.1 Control Panel'!C$309:C$314,$C95),0)</f>
        <v>178997</v>
      </c>
      <c r="G95" s="376">
        <f>ROUNDUP('1.1 Control Panel'!G$57*SUMIFS('4.3 Global SME Data'!$C$13:$C$18,'4.3 Global SME Data'!$B$13:$B$18,$C95)*1000000*(1+'1.1 Control Panel'!E$55-'1.1 Control Panel'!E$56)*(1+'1.1 Control Panel'!F$55-'1.1 Control Panel'!F$56)*(1+'1.1 Control Panel'!G$55-'1.1 Control Panel'!G$56)*SUMIFS('4.3 Global SME Data'!$C$21:$C$41,'4.3 Global SME Data'!$E$21:$E$41,$C$90)*SUMIFS('1.1 Control Panel'!G$139:G$144,'1.1 Control Panel'!C$139:C$144,$C95)*SUMIFS('1.1 Control Panel'!G$224:G$229,'1.1 Control Panel'!C$224:C$229,$C95)*SUMIFS('1.1 Control Panel'!G$309:G$314,'1.1 Control Panel'!C$309:C$314,$C95),0)</f>
        <v>193660</v>
      </c>
      <c r="H95" s="376">
        <f>ROUNDUP('1.1 Control Panel'!H$57*SUMIFS('4.3 Global SME Data'!$C$13:$C$18,'4.3 Global SME Data'!$B$13:$B$18,$C95)*1000000*(1+'1.1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Data'!$E$21:$E$41,$C$90)*SUMIFS('1.1 Control Panel'!H$139:H$144,'1.1 Control Panel'!C$139:C$144,$C95)*SUMIFS('1.1 Control Panel'!H$224:H$229,'1.1 Control Panel'!C$224:C$229,$C95)*SUMIFS('1.1 Control Panel'!H$309:H$314,'1.1 Control Panel'!C$309:C$314,$C95),0)</f>
        <v>208733</v>
      </c>
      <c r="J95" s="21"/>
    </row>
    <row r="96" spans="2:10" ht="11.5" customHeight="1" x14ac:dyDescent="0.25">
      <c r="C96" s="21" t="s">
        <v>456</v>
      </c>
      <c r="D96" s="38" t="s">
        <v>162</v>
      </c>
      <c r="E96" s="376">
        <f>ROUNDUP('1.1 Control Panel'!E$57*SUMIFS('4.3 Global SME Data'!$C$13:$C$18,'4.3 Global SME Data'!$B$13:$B$18,$C96)*1000000*(1+'1.1 Control Panel'!E$55-'1.1 Control Panel'!E$56)*SUMIFS('4.3 Global SME Data'!$C$21:$C$41,'4.3 Global SME Data'!$E$21:$E$41,$C$90)*SUMIFS('1.1 Control Panel'!E$139:E$144,'1.1 Control Panel'!C$139:C$144,$C96)*SUMIFS('1.1 Control Panel'!E$224:E$229,'1.1 Control Panel'!C$224:C$229,$C96)*SUMIFS('1.1 Control Panel'!E$309:E$314,'1.1 Control Panel'!C$309:C$314,$C96),0)</f>
        <v>24134</v>
      </c>
      <c r="F96" s="376">
        <f>ROUNDUP('1.1 Control Panel'!F$57*SUMIFS('4.3 Global SME Data'!$C$13:$C$18,'4.3 Global SME Data'!$B$13:$B$18,$C96)*1000000*(1+'1.1 Control Panel'!E$55-'1.1 Control Panel'!E$56)*(1+'1.1 Control Panel'!F$55-'1.1 Control Panel'!F$56)*SUMIFS('4.3 Global SME Data'!$C$21:$C$41,'4.3 Global SME Data'!$E$21:$E$41,$C$90)*SUMIFS('1.1 Control Panel'!F$139:F$144,'1.1 Control Panel'!C$139:C$144,$C96)*SUMIFS('1.1 Control Panel'!F$224:F$229,'1.1 Control Panel'!C$224:C$229,$C96)*SUMIFS('1.1 Control Panel'!F$309:F$314,'1.1 Control Panel'!C$309:C$314,$C96),0)</f>
        <v>24929</v>
      </c>
      <c r="G96" s="376">
        <f>ROUNDUP('1.1 Control Panel'!G$57*SUMIFS('4.3 Global SME Data'!$C$13:$C$18,'4.3 Global SME Data'!$B$13:$B$18,$C96)*1000000*(1+'1.1 Control Panel'!E$55-'1.1 Control Panel'!E$56)*(1+'1.1 Control Panel'!F$55-'1.1 Control Panel'!F$56)*(1+'1.1 Control Panel'!G$55-'1.1 Control Panel'!G$56)*SUMIFS('4.3 Global SME Data'!$C$21:$C$41,'4.3 Global SME Data'!$E$21:$E$41,$C$90)*SUMIFS('1.1 Control Panel'!G$139:G$144,'1.1 Control Panel'!C$139:C$144,$C96)*SUMIFS('1.1 Control Panel'!G$224:G$229,'1.1 Control Panel'!C$224:C$229,$C96)*SUMIFS('1.1 Control Panel'!G$309:G$314,'1.1 Control Panel'!C$309:C$314,$C96),0)</f>
        <v>26275</v>
      </c>
      <c r="H96" s="376">
        <f>ROUNDUP('1.1 Control Panel'!H$57*SUMIFS('4.3 Global SME Data'!$C$13:$C$18,'4.3 Global SME Data'!$B$13:$B$18,$C96)*1000000*(1+'1.1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Data'!$E$21:$E$41,$C$90)*SUMIFS('1.1 Control Panel'!H$139:H$144,'1.1 Control Panel'!C$139:C$144,$C96)*SUMIFS('1.1 Control Panel'!H$224:H$229,'1.1 Control Panel'!C$224:C$229,$C96)*SUMIFS('1.1 Control Panel'!H$309:H$314,'1.1 Control Panel'!C$309:C$314,$C96),0)</f>
        <v>27633</v>
      </c>
      <c r="J96" s="21"/>
    </row>
    <row r="97" spans="2:10" ht="11.5" customHeight="1" x14ac:dyDescent="0.25">
      <c r="B97" s="269" t="s">
        <v>9</v>
      </c>
      <c r="C97" s="267" t="s">
        <v>430</v>
      </c>
      <c r="D97" s="271" t="s">
        <v>162</v>
      </c>
      <c r="E97" s="381">
        <f>E98+E105+E112+E119+E126+E133+E140+E147+E154+E161+E168+E175</f>
        <v>1855851</v>
      </c>
      <c r="F97" s="379">
        <f t="shared" ref="F97" si="43">F98+F105+F112+F119+F126+F133+F140+F147+F154+F161+F168+F175</f>
        <v>1956858</v>
      </c>
      <c r="G97" s="379">
        <f t="shared" ref="G97" si="44">G98+G105+G112+G119+G126+G133+G140+G147+G154+G161+G168+G175</f>
        <v>2130781</v>
      </c>
      <c r="H97" s="379">
        <f t="shared" ref="H97" si="45">H98+H105+H112+H119+H126+H133+H140+H147+H154+H161+H168+H175</f>
        <v>2310613</v>
      </c>
      <c r="J97" s="268"/>
    </row>
    <row r="98" spans="2:10" s="74" customFormat="1" ht="11.5" customHeight="1" x14ac:dyDescent="0.25">
      <c r="B98" s="99" t="s">
        <v>9</v>
      </c>
      <c r="C98" s="105" t="str">
        <f>'4.2 Sector Mapping'!$B$5</f>
        <v>Agriculture</v>
      </c>
      <c r="D98" s="106" t="s">
        <v>162</v>
      </c>
      <c r="E98" s="383">
        <f>SUM(E99:E104)</f>
        <v>5915</v>
      </c>
      <c r="F98" s="380">
        <f t="shared" ref="F98:H98" si="46">SUM(F99:F104)</f>
        <v>6776</v>
      </c>
      <c r="G98" s="380">
        <f t="shared" si="46"/>
        <v>8340</v>
      </c>
      <c r="H98" s="380">
        <f t="shared" si="46"/>
        <v>10060</v>
      </c>
      <c r="J98" s="105"/>
    </row>
    <row r="99" spans="2:10" ht="11.5" customHeight="1" x14ac:dyDescent="0.25">
      <c r="C99" s="20" t="s">
        <v>600</v>
      </c>
      <c r="D99" s="34" t="s">
        <v>162</v>
      </c>
      <c r="E99" s="28">
        <f>ROUNDUP('1.1 Control Panel'!E$58*SUMIFS('4.3 Global SME Data'!$C$13:$C$18,'4.3 Global SME Data'!$B$13:$B$18,$C99)*1000000*(1+'1.1 Control Panel'!E$55-'1.1 Control Panel'!E$56)*SUMIFS('4.3 Global SME Data'!$C$21:$C$41,'4.3 Global SME Data'!$E$21:$E$41,$C$98)*SUMIFS('1.1 Control Panel'!E$62:E$67,'1.1 Control Panel'!C$62:C$67,$C99)*SUMIFS('1.1 Control Panel'!E$147:E$152,'1.1 Control Panel'!C$147:C$152,$C99)*SUMIFS('1.1 Control Panel'!E$232:E$237,'1.1 Control Panel'!C$232:C$237,$C99),0)</f>
        <v>2696</v>
      </c>
      <c r="F99" s="28">
        <f>ROUNDUP('1.1 Control Panel'!F$58*SUMIFS('4.3 Global SME Data'!$C$13:$C$18,'4.3 Global SME Data'!$B$13:$B$18,$C99)*1000000*(1+'1.1 Control Panel'!E$55-'1.1 Control Panel'!E$56)*(1+'1.1 Control Panel'!F$55-'1.1 Control Panel'!F$56)*SUMIFS('4.3 Global SME Data'!$C$21:$C$41,'4.3 Global SME Data'!$E$21:$E$41,$C$98)*SUMIFS('1.1 Control Panel'!F$62:F$67,'1.1 Control Panel'!C$62:C$67,$C99)*SUMIFS('1.1 Control Panel'!F$147:F$152,'1.1 Control Panel'!C$147:C$152,$C99)*SUMIFS('1.1 Control Panel'!F$232:F$237,'1.1 Control Panel'!C$232:C$237,$C99),0)</f>
        <v>3186</v>
      </c>
      <c r="G99" s="28">
        <f>ROUNDUP('1.1 Control Panel'!G$58*SUMIFS('4.3 Global SME Data'!$C$13:$C$18,'4.3 Global SME Data'!$B$13:$B$18,$C99)*1000000*(1+'1.1 Control Panel'!E$55-'1.1 Control Panel'!E$56)*(1+'1.1 Control Panel'!F$55-'1.1 Control Panel'!F$56)*(1+'1.1 Control Panel'!G$55-'1.1 Control Panel'!G$56)*SUMIFS('4.3 Global SME Data'!$C$21:$C$41,'4.3 Global SME Data'!$E$21:$E$41,$C$98)*SUMIFS('1.1 Control Panel'!G$62:G$67,'1.1 Control Panel'!C$62:C$67,$C99)*SUMIFS('1.1 Control Panel'!G$147:G$152,'1.1 Control Panel'!C$147:C$152,$C99)*SUMIFS('1.1 Control Panel'!G$232:G$237,'1.1 Control Panel'!C$232:C$237,$C99),0)</f>
        <v>4090</v>
      </c>
      <c r="H99" s="28">
        <f>ROUNDUP('1.1 Control Panel'!H$58*SUMIFS('4.3 Global SME Data'!$C$13:$C$18,'4.3 Global SME Data'!$B$13:$B$18,$C99)*1000000*(1+'1.1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Data'!$E$21:$E$41,$C$98)*SUMIFS('1.1 Control Panel'!H$62:H$67,'1.1 Control Panel'!C$62:C$67,$C99)*SUMIFS('1.1 Control Panel'!H$147:H$152,'1.1 Control Panel'!C$147:C$152,$C99)*SUMIFS('1.1 Control Panel'!H$232:H$237,'1.1 Control Panel'!C$232:C$237,$C99),0)</f>
        <v>5100</v>
      </c>
      <c r="J99" s="20"/>
    </row>
    <row r="100" spans="2:10" ht="11.5" customHeight="1" x14ac:dyDescent="0.25">
      <c r="C100" s="20" t="s">
        <v>392</v>
      </c>
      <c r="D100" s="34" t="s">
        <v>162</v>
      </c>
      <c r="E100" s="28">
        <f>ROUNDUP('1.1 Control Panel'!E$58*SUMIFS('4.3 Global SME Data'!$C$13:$C$18,'4.3 Global SME Data'!$B$13:$B$18,$C100)*1000000*(1+'1.1 Control Panel'!E$55-'1.1 Control Panel'!E$56)*SUMIFS('4.3 Global SME Data'!$C$21:$C$41,'4.3 Global SME Data'!$E$21:$E$41,$C$98)*SUMIFS('1.1 Control Panel'!E$62:E$67,'1.1 Control Panel'!C$62:C$67,$C100)*SUMIFS('1.1 Control Panel'!E$147:E$152,'1.1 Control Panel'!C$147:C$152,$C100)*SUMIFS('1.1 Control Panel'!E$232:E$237,'1.1 Control Panel'!C$232:C$237,$C100),0)</f>
        <v>158</v>
      </c>
      <c r="F100" s="28">
        <f>ROUNDUP('1.1 Control Panel'!F$58*SUMIFS('4.3 Global SME Data'!$C$13:$C$18,'4.3 Global SME Data'!$B$13:$B$18,$C100)*1000000*(1+'1.1 Control Panel'!E$55-'1.1 Control Panel'!E$56)*(1+'1.1 Control Panel'!F$55-'1.1 Control Panel'!F$56)*SUMIFS('4.3 Global SME Data'!$C$21:$C$41,'4.3 Global SME Data'!$E$21:$E$41,$C$98)*SUMIFS('1.1 Control Panel'!F$62:F$67,'1.1 Control Panel'!C$62:C$67,$C100)*SUMIFS('1.1 Control Panel'!F$147:F$152,'1.1 Control Panel'!C$147:C$152,$C100)*SUMIFS('1.1 Control Panel'!F$232:F$237,'1.1 Control Panel'!C$232:C$237,$C100),0)</f>
        <v>177</v>
      </c>
      <c r="G100" s="28">
        <f>ROUNDUP('1.1 Control Panel'!G$58*SUMIFS('4.3 Global SME Data'!$C$13:$C$18,'4.3 Global SME Data'!$B$13:$B$18,$C100)*1000000*(1+'1.1 Control Panel'!E$55-'1.1 Control Panel'!E$56)*(1+'1.1 Control Panel'!F$55-'1.1 Control Panel'!F$56)*(1+'1.1 Control Panel'!G$55-'1.1 Control Panel'!G$56)*SUMIFS('4.3 Global SME Data'!$C$21:$C$41,'4.3 Global SME Data'!$E$21:$E$41,$C$98)*SUMIFS('1.1 Control Panel'!G$62:G$67,'1.1 Control Panel'!C$62:C$67,$C100)*SUMIFS('1.1 Control Panel'!G$147:G$152,'1.1 Control Panel'!C$147:C$152,$C100)*SUMIFS('1.1 Control Panel'!G$232:G$237,'1.1 Control Panel'!C$232:C$237,$C100),0)</f>
        <v>209</v>
      </c>
      <c r="H100" s="28">
        <f>ROUNDUP('1.1 Control Panel'!H$58*SUMIFS('4.3 Global SME Data'!$C$13:$C$18,'4.3 Global SME Data'!$B$13:$B$18,$C100)*1000000*(1+'1.1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Data'!$E$21:$E$41,$C$98)*SUMIFS('1.1 Control Panel'!H$62:H$67,'1.1 Control Panel'!C$62:C$67,$C100)*SUMIFS('1.1 Control Panel'!H$147:H$152,'1.1 Control Panel'!C$147:C$152,$C100)*SUMIFS('1.1 Control Panel'!H$232:H$237,'1.1 Control Panel'!C$232:C$237,$C100),0)</f>
        <v>243</v>
      </c>
      <c r="J100" s="20"/>
    </row>
    <row r="101" spans="2:10" ht="11.5" customHeight="1" x14ac:dyDescent="0.25">
      <c r="C101" s="20" t="s">
        <v>454</v>
      </c>
      <c r="D101" s="34" t="s">
        <v>162</v>
      </c>
      <c r="E101" s="28">
        <f>ROUNDUP('1.1 Control Panel'!E$58*SUMIFS('4.3 Global SME Data'!$C$13:$C$18,'4.3 Global SME Data'!$B$13:$B$18,$C101)*1000000*(1+'1.1 Control Panel'!E$55-'1.1 Control Panel'!E$56)*SUMIFS('4.3 Global SME Data'!$C$21:$C$41,'4.3 Global SME Data'!$E$21:$E$41,$C$98)*SUMIFS('1.1 Control Panel'!E$62:E$67,'1.1 Control Panel'!C$62:C$67,$C101)*SUMIFS('1.1 Control Panel'!E$147:E$152,'1.1 Control Panel'!C$147:C$152,$C101)*SUMIFS('1.1 Control Panel'!E$232:E$237,'1.1 Control Panel'!C$232:C$237,$C101),0)</f>
        <v>216</v>
      </c>
      <c r="F101" s="28">
        <f>ROUNDUP('1.1 Control Panel'!F$58*SUMIFS('4.3 Global SME Data'!$C$13:$C$18,'4.3 Global SME Data'!$B$13:$B$18,$C101)*1000000*(1+'1.1 Control Panel'!E$55-'1.1 Control Panel'!E$56)*(1+'1.1 Control Panel'!F$55-'1.1 Control Panel'!F$56)*SUMIFS('4.3 Global SME Data'!$C$21:$C$41,'4.3 Global SME Data'!$E$21:$E$41,$C$98)*SUMIFS('1.1 Control Panel'!F$62:F$67,'1.1 Control Panel'!C$62:C$67,$C101)*SUMIFS('1.1 Control Panel'!F$147:F$152,'1.1 Control Panel'!C$147:C$152,$C101)*SUMIFS('1.1 Control Panel'!F$232:F$237,'1.1 Control Panel'!C$232:C$237,$C101),0)</f>
        <v>230</v>
      </c>
      <c r="G101" s="28">
        <f>ROUNDUP('1.1 Control Panel'!G$58*SUMIFS('4.3 Global SME Data'!$C$13:$C$18,'4.3 Global SME Data'!$B$13:$B$18,$C101)*1000000*(1+'1.1 Control Panel'!E$55-'1.1 Control Panel'!E$56)*(1+'1.1 Control Panel'!F$55-'1.1 Control Panel'!F$56)*(1+'1.1 Control Panel'!G$55-'1.1 Control Panel'!G$56)*SUMIFS('4.3 Global SME Data'!$C$21:$C$41,'4.3 Global SME Data'!$E$21:$E$41,$C$98)*SUMIFS('1.1 Control Panel'!G$62:G$67,'1.1 Control Panel'!C$62:C$67,$C101)*SUMIFS('1.1 Control Panel'!G$147:G$152,'1.1 Control Panel'!C$147:C$152,$C101)*SUMIFS('1.1 Control Panel'!G$232:G$237,'1.1 Control Panel'!C$232:C$237,$C101),0)</f>
        <v>254</v>
      </c>
      <c r="H101" s="28">
        <f>ROUNDUP('1.1 Control Panel'!H$58*SUMIFS('4.3 Global SME Data'!$C$13:$C$18,'4.3 Global SME Data'!$B$13:$B$18,$C101)*1000000*(1+'1.1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Data'!$E$21:$E$41,$C$98)*SUMIFS('1.1 Control Panel'!H$62:H$67,'1.1 Control Panel'!C$62:C$67,$C101)*SUMIFS('1.1 Control Panel'!H$147:H$152,'1.1 Control Panel'!C$147:C$152,$C101)*SUMIFS('1.1 Control Panel'!H$232:H$237,'1.1 Control Panel'!C$232:C$237,$C101),0)</f>
        <v>279</v>
      </c>
      <c r="J101" s="20"/>
    </row>
    <row r="102" spans="2:10" ht="11.5" customHeight="1" x14ac:dyDescent="0.25">
      <c r="C102" s="21" t="s">
        <v>455</v>
      </c>
      <c r="D102" s="38" t="s">
        <v>162</v>
      </c>
      <c r="E102" s="376">
        <f>ROUNDUP('1.1 Control Panel'!E$58*SUMIFS('4.3 Global SME Data'!$C$13:$C$18,'4.3 Global SME Data'!$B$13:$B$18,$C102)*1000000*(1+'1.1 Control Panel'!E$55-'1.1 Control Panel'!E$56)*SUMIFS('4.3 Global SME Data'!$C$21:$C$41,'4.3 Global SME Data'!$E$21:$E$41,$C$98)*SUMIFS('1.1 Control Panel'!E$62:E$67,'1.1 Control Panel'!C$62:C$67,$C102)*SUMIFS('1.1 Control Panel'!E$147:E$152,'1.1 Control Panel'!C$147:C$152,$C102)*SUMIFS('1.1 Control Panel'!E$232:E$237,'1.1 Control Panel'!C$232:C$237,$C102),0)</f>
        <v>1077</v>
      </c>
      <c r="F102" s="376">
        <f>ROUNDUP('1.1 Control Panel'!F$58*SUMIFS('4.3 Global SME Data'!$C$13:$C$18,'4.3 Global SME Data'!$B$13:$B$18,$C102)*1000000*(1+'1.1 Control Panel'!E$55-'1.1 Control Panel'!E$56)*(1+'1.1 Control Panel'!F$55-'1.1 Control Panel'!F$56)*SUMIFS('4.3 Global SME Data'!$C$21:$C$41,'4.3 Global SME Data'!$E$21:$E$41,$C$98)*SUMIFS('1.1 Control Panel'!F$62:F$67,'1.1 Control Panel'!C$62:C$67,$C102)*SUMIFS('1.1 Control Panel'!F$147:F$152,'1.1 Control Panel'!C$147:C$152,$C102)*SUMIFS('1.1 Control Panel'!F$232:F$237,'1.1 Control Panel'!C$232:C$237,$C102),0)</f>
        <v>1209</v>
      </c>
      <c r="G102" s="376">
        <f>ROUNDUP('1.1 Control Panel'!G$58*SUMIFS('4.3 Global SME Data'!$C$13:$C$18,'4.3 Global SME Data'!$B$13:$B$18,$C102)*1000000*(1+'1.1 Control Panel'!E$55-'1.1 Control Panel'!E$56)*(1+'1.1 Control Panel'!F$55-'1.1 Control Panel'!F$56)*(1+'1.1 Control Panel'!G$55-'1.1 Control Panel'!G$56)*SUMIFS('4.3 Global SME Data'!$C$21:$C$41,'4.3 Global SME Data'!$E$21:$E$41,$C$98)*SUMIFS('1.1 Control Panel'!G$62:G$67,'1.1 Control Panel'!C$62:C$67,$C102)*SUMIFS('1.1 Control Panel'!G$147:G$152,'1.1 Control Panel'!C$147:C$152,$C102)*SUMIFS('1.1 Control Panel'!G$232:G$237,'1.1 Control Panel'!C$232:C$237,$C102),0)</f>
        <v>1445</v>
      </c>
      <c r="H102" s="376">
        <f>ROUNDUP('1.1 Control Panel'!H$58*SUMIFS('4.3 Global SME Data'!$C$13:$C$18,'4.3 Global SME Data'!$B$13:$B$18,$C102)*1000000*(1+'1.1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Data'!$E$21:$E$41,$C$98)*SUMIFS('1.1 Control Panel'!H$62:H$67,'1.1 Control Panel'!C$62:C$67,$C102)*SUMIFS('1.1 Control Panel'!H$147:H$152,'1.1 Control Panel'!C$147:C$152,$C102)*SUMIFS('1.1 Control Panel'!H$232:H$237,'1.1 Control Panel'!C$232:C$237,$C102),0)</f>
        <v>1699</v>
      </c>
      <c r="J102" s="21"/>
    </row>
    <row r="103" spans="2:10" ht="11.5" customHeight="1" x14ac:dyDescent="0.25">
      <c r="C103" s="21" t="s">
        <v>393</v>
      </c>
      <c r="D103" s="38" t="s">
        <v>162</v>
      </c>
      <c r="E103" s="376">
        <f>ROUNDUP('1.1 Control Panel'!E$58*SUMIFS('4.3 Global SME Data'!$C$13:$C$18,'4.3 Global SME Data'!$B$13:$B$18,$C103)*1000000*(1+'1.1 Control Panel'!E$55-'1.1 Control Panel'!E$56)*SUMIFS('4.3 Global SME Data'!$C$21:$C$41,'4.3 Global SME Data'!$E$21:$E$41,$C$98)*SUMIFS('1.1 Control Panel'!E$62:E$67,'1.1 Control Panel'!C$62:C$67,$C103)*SUMIFS('1.1 Control Panel'!E$147:E$152,'1.1 Control Panel'!C$147:C$152,$C103)*SUMIFS('1.1 Control Panel'!E$232:E$237,'1.1 Control Panel'!C$232:C$237,$C103),0)</f>
        <v>1425</v>
      </c>
      <c r="F103" s="376">
        <f>ROUNDUP('1.1 Control Panel'!F$58*SUMIFS('4.3 Global SME Data'!$C$13:$C$18,'4.3 Global SME Data'!$B$13:$B$18,$C103)*1000000*(1+'1.1 Control Panel'!E$55-'1.1 Control Panel'!E$56)*(1+'1.1 Control Panel'!F$55-'1.1 Control Panel'!F$56)*SUMIFS('4.3 Global SME Data'!$C$21:$C$41,'4.3 Global SME Data'!$E$21:$E$41,$C$98)*SUMIFS('1.1 Control Panel'!F$62:F$67,'1.1 Control Panel'!C$62:C$67,$C103)*SUMIFS('1.1 Control Panel'!F$147:F$152,'1.1 Control Panel'!C$147:C$152,$C103)*SUMIFS('1.1 Control Panel'!F$232:F$237,'1.1 Control Panel'!C$232:C$237,$C103),0)</f>
        <v>1609</v>
      </c>
      <c r="G103" s="376">
        <f>ROUNDUP('1.1 Control Panel'!G$58*SUMIFS('4.3 Global SME Data'!$C$13:$C$18,'4.3 Global SME Data'!$B$13:$B$18,$C103)*1000000*(1+'1.1 Control Panel'!E$55-'1.1 Control Panel'!E$56)*(1+'1.1 Control Panel'!F$55-'1.1 Control Panel'!F$56)*(1+'1.1 Control Panel'!G$55-'1.1 Control Panel'!G$56)*SUMIFS('4.3 Global SME Data'!$C$21:$C$41,'4.3 Global SME Data'!$E$21:$E$41,$C$98)*SUMIFS('1.1 Control Panel'!G$62:G$67,'1.1 Control Panel'!C$62:C$67,$C103)*SUMIFS('1.1 Control Panel'!G$147:G$152,'1.1 Control Panel'!C$147:C$152,$C103)*SUMIFS('1.1 Control Panel'!G$232:G$237,'1.1 Control Panel'!C$232:C$237,$C103),0)</f>
        <v>1939</v>
      </c>
      <c r="H103" s="376">
        <f>ROUNDUP('1.1 Control Panel'!H$58*SUMIFS('4.3 Global SME Data'!$C$13:$C$18,'4.3 Global SME Data'!$B$13:$B$18,$C103)*1000000*(1+'1.1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Data'!$E$21:$E$41,$C$98)*SUMIFS('1.1 Control Panel'!H$62:H$67,'1.1 Control Panel'!C$62:C$67,$C103)*SUMIFS('1.1 Control Panel'!H$147:H$152,'1.1 Control Panel'!C$147:C$152,$C103)*SUMIFS('1.1 Control Panel'!H$232:H$237,'1.1 Control Panel'!C$232:C$237,$C103),0)</f>
        <v>2297</v>
      </c>
      <c r="J103" s="21"/>
    </row>
    <row r="104" spans="2:10" ht="11.5" customHeight="1" x14ac:dyDescent="0.25">
      <c r="C104" s="21" t="s">
        <v>456</v>
      </c>
      <c r="D104" s="38" t="s">
        <v>162</v>
      </c>
      <c r="E104" s="376">
        <f>ROUNDUP('1.1 Control Panel'!E$58*SUMIFS('4.3 Global SME Data'!$C$13:$C$18,'4.3 Global SME Data'!$B$13:$B$18,$C104)*1000000*(1+'1.1 Control Panel'!E$55-'1.1 Control Panel'!E$56)*SUMIFS('4.3 Global SME Data'!$C$21:$C$41,'4.3 Global SME Data'!$E$21:$E$41,$C$98)*SUMIFS('1.1 Control Panel'!E$62:E$67,'1.1 Control Panel'!C$62:C$67,$C104)*SUMIFS('1.1 Control Panel'!E$147:E$152,'1.1 Control Panel'!C$147:C$152,$C104)*SUMIFS('1.1 Control Panel'!E$232:E$237,'1.1 Control Panel'!C$232:C$237,$C104),0)</f>
        <v>343</v>
      </c>
      <c r="F104" s="376">
        <f>ROUNDUP('1.1 Control Panel'!F$58*SUMIFS('4.3 Global SME Data'!$C$13:$C$18,'4.3 Global SME Data'!$B$13:$B$18,$C104)*1000000*(1+'1.1 Control Panel'!E$55-'1.1 Control Panel'!E$56)*(1+'1.1 Control Panel'!F$55-'1.1 Control Panel'!F$56)*SUMIFS('4.3 Global SME Data'!$C$21:$C$41,'4.3 Global SME Data'!$E$21:$E$41,$C$98)*SUMIFS('1.1 Control Panel'!F$62:F$67,'1.1 Control Panel'!C$62:C$67,$C104)*SUMIFS('1.1 Control Panel'!F$147:F$152,'1.1 Control Panel'!C$147:C$152,$C104)*SUMIFS('1.1 Control Panel'!F$232:F$237,'1.1 Control Panel'!C$232:C$237,$C104),0)</f>
        <v>365</v>
      </c>
      <c r="G104" s="376">
        <f>ROUNDUP('1.1 Control Panel'!G$58*SUMIFS('4.3 Global SME Data'!$C$13:$C$18,'4.3 Global SME Data'!$B$13:$B$18,$C104)*1000000*(1+'1.1 Control Panel'!E$55-'1.1 Control Panel'!E$56)*(1+'1.1 Control Panel'!F$55-'1.1 Control Panel'!F$56)*(1+'1.1 Control Panel'!G$55-'1.1 Control Panel'!G$56)*SUMIFS('4.3 Global SME Data'!$C$21:$C$41,'4.3 Global SME Data'!$E$21:$E$41,$C$98)*SUMIFS('1.1 Control Panel'!G$62:G$67,'1.1 Control Panel'!C$62:C$67,$C104)*SUMIFS('1.1 Control Panel'!G$147:G$152,'1.1 Control Panel'!C$147:C$152,$C104)*SUMIFS('1.1 Control Panel'!G$232:G$237,'1.1 Control Panel'!C$232:C$237,$C104),0)</f>
        <v>403</v>
      </c>
      <c r="H104" s="376">
        <f>ROUNDUP('1.1 Control Panel'!H$58*SUMIFS('4.3 Global SME Data'!$C$13:$C$18,'4.3 Global SME Data'!$B$13:$B$18,$C104)*1000000*(1+'1.1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Data'!$E$21:$E$41,$C$98)*SUMIFS('1.1 Control Panel'!H$62:H$67,'1.1 Control Panel'!C$62:C$67,$C104)*SUMIFS('1.1 Control Panel'!H$147:H$152,'1.1 Control Panel'!C$147:C$152,$C104)*SUMIFS('1.1 Control Panel'!H$232:H$237,'1.1 Control Panel'!C$232:C$237,$C104),0)</f>
        <v>442</v>
      </c>
      <c r="J104" s="21"/>
    </row>
    <row r="105" spans="2:10" s="74" customFormat="1" ht="11.5" customHeight="1" x14ac:dyDescent="0.25">
      <c r="B105" s="99" t="s">
        <v>9</v>
      </c>
      <c r="C105" s="105" t="str">
        <f>'4.2 Sector Mapping'!$B$6</f>
        <v>Communication, Media and Technology</v>
      </c>
      <c r="D105" s="106" t="s">
        <v>162</v>
      </c>
      <c r="E105" s="380">
        <f>SUM(E106:E111)</f>
        <v>142489</v>
      </c>
      <c r="F105" s="380">
        <f t="shared" ref="F105:H105" si="47">SUM(F106:F111)</f>
        <v>148450</v>
      </c>
      <c r="G105" s="380">
        <f t="shared" si="47"/>
        <v>158613</v>
      </c>
      <c r="H105" s="380">
        <f t="shared" si="47"/>
        <v>168991</v>
      </c>
      <c r="J105" s="105"/>
    </row>
    <row r="106" spans="2:10" ht="11.5" customHeight="1" x14ac:dyDescent="0.25">
      <c r="C106" s="20" t="s">
        <v>600</v>
      </c>
      <c r="D106" s="34" t="s">
        <v>162</v>
      </c>
      <c r="E106" s="28">
        <f>ROUNDUP('1.1 Control Panel'!E$58*SUMIFS('4.3 Global SME Data'!$C$13:$C$18,'4.3 Global SME Data'!$B$13:$B$18,$C106)*1000000*(1+'1.1 Control Panel'!E$55-'1.1 Control Panel'!E$56)*SUMIFS('4.3 Global SME Data'!$C$21:$C$41,'4.3 Global SME Data'!$E$21:$E$41,$C$105)*SUMIFS('1.1 Control Panel'!E$69:E$74,'1.1 Control Panel'!C$69:C$74,$C106)*SUMIFS('1.1 Control Panel'!E$154:E$159,'1.1 Control Panel'!C$154:C$159,$C106)*SUMIFS('1.1 Control Panel'!E$239:E$244,'1.1 Control Panel'!C$239:C$244,$C106),0)</f>
        <v>88642</v>
      </c>
      <c r="F106" s="28">
        <f>ROUNDUP('1.1 Control Panel'!F$58*SUMIFS('4.3 Global SME Data'!$C$13:$C$18,'4.3 Global SME Data'!$B$13:$B$18,$C106)*1000000*(1+'1.1 Control Panel'!E$55-'1.1 Control Panel'!E$56)*(1+'1.1 Control Panel'!F$55-'1.1 Control Panel'!F$56)*SUMIFS('4.3 Global SME Data'!$C$21:$C$41,'4.3 Global SME Data'!$E$21:$E$41,$C$105)*SUMIFS('1.1 Control Panel'!F$69:F$74,'1.1 Control Panel'!C$69:C$74,$C106)*SUMIFS('1.1 Control Panel'!F$154:F$159,'1.1 Control Panel'!C$154:C$159,$C106)*SUMIFS('1.1 Control Panel'!F$239:F$244,'1.1 Control Panel'!C$239:C$244,$C106),0)</f>
        <v>92521</v>
      </c>
      <c r="G106" s="28">
        <f>ROUNDUP('1.1 Control Panel'!G$58*SUMIFS('4.3 Global SME Data'!$C$13:$C$18,'4.3 Global SME Data'!$B$13:$B$18,$C106)*1000000*(1+'1.1 Control Panel'!E$55-'1.1 Control Panel'!E$56)*(1+'1.1 Control Panel'!F$55-'1.1 Control Panel'!F$56)*(1+'1.1 Control Panel'!G$55-'1.1 Control Panel'!G$56)*SUMIFS('4.3 Global SME Data'!$C$21:$C$41,'4.3 Global SME Data'!$E$21:$E$41,$C$105)*SUMIFS('1.1 Control Panel'!G$69:G$74,'1.1 Control Panel'!C$69:C$74,$C106)*SUMIFS('1.1 Control Panel'!G$154:G$159,'1.1 Control Panel'!C$154:C$159,$C106)*SUMIFS('1.1 Control Panel'!G$239:G$244,'1.1 Control Panel'!C$239:C$244,$C106),0)</f>
        <v>99140</v>
      </c>
      <c r="H106" s="28">
        <f>ROUNDUP('1.1 Control Panel'!H$58*SUMIFS('4.3 Global SME Data'!$C$13:$C$18,'4.3 Global SME Data'!$B$13:$B$18,$C106)*1000000*(1+'1.1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Data'!$E$21:$E$41,$C$105)*SUMIFS('1.1 Control Panel'!H$69:H$74,'1.1 Control Panel'!C$69:C$74,$C106)*SUMIFS('1.1 Control Panel'!H$154:H$159,'1.1 Control Panel'!C$154:C$159,$C106)*SUMIFS('1.1 Control Panel'!H$239:H$244,'1.1 Control Panel'!C$239:C$244,$C106),0)</f>
        <v>105906</v>
      </c>
      <c r="J106" s="20"/>
    </row>
    <row r="107" spans="2:10" ht="11.5" customHeight="1" x14ac:dyDescent="0.25">
      <c r="C107" s="20" t="s">
        <v>392</v>
      </c>
      <c r="D107" s="34" t="s">
        <v>162</v>
      </c>
      <c r="E107" s="28">
        <f>ROUNDUP('1.1 Control Panel'!E$58*SUMIFS('4.3 Global SME Data'!$C$13:$C$18,'4.3 Global SME Data'!$B$13:$B$18,$C107)*1000000*(1+'1.1 Control Panel'!E$55-'1.1 Control Panel'!E$56)*SUMIFS('4.3 Global SME Data'!$C$21:$C$41,'4.3 Global SME Data'!$E$21:$E$41,$C$105)*SUMIFS('1.1 Control Panel'!E$69:E$74,'1.1 Control Panel'!C$69:C$74,$C107)*SUMIFS('1.1 Control Panel'!E$154:E$159,'1.1 Control Panel'!C$154:C$159,$C107)*SUMIFS('1.1 Control Panel'!E$239:E$244,'1.1 Control Panel'!C$239:C$244,$C107),0)</f>
        <v>4007</v>
      </c>
      <c r="F107" s="28">
        <f>ROUNDUP('1.1 Control Panel'!F$58*SUMIFS('4.3 Global SME Data'!$C$13:$C$18,'4.3 Global SME Data'!$B$13:$B$18,$C107)*1000000*(1+'1.1 Control Panel'!E$55-'1.1 Control Panel'!E$56)*(1+'1.1 Control Panel'!F$55-'1.1 Control Panel'!F$56)*SUMIFS('4.3 Global SME Data'!$C$21:$C$41,'4.3 Global SME Data'!$E$21:$E$41,$C$105)*SUMIFS('1.1 Control Panel'!F$69:F$74,'1.1 Control Panel'!C$69:C$74,$C107)*SUMIFS('1.1 Control Panel'!F$154:F$159,'1.1 Control Panel'!C$154:C$159,$C107)*SUMIFS('1.1 Control Panel'!F$239:F$244,'1.1 Control Panel'!C$239:C$244,$C107),0)</f>
        <v>4131</v>
      </c>
      <c r="G107" s="28">
        <f>ROUNDUP('1.1 Control Panel'!G$58*SUMIFS('4.3 Global SME Data'!$C$13:$C$18,'4.3 Global SME Data'!$B$13:$B$18,$C107)*1000000*(1+'1.1 Control Panel'!E$55-'1.1 Control Panel'!E$56)*(1+'1.1 Control Panel'!F$55-'1.1 Control Panel'!F$56)*(1+'1.1 Control Panel'!G$55-'1.1 Control Panel'!G$56)*SUMIFS('4.3 Global SME Data'!$C$21:$C$41,'4.3 Global SME Data'!$E$21:$E$41,$C$105)*SUMIFS('1.1 Control Panel'!G$69:G$74,'1.1 Control Panel'!C$69:C$74,$C107)*SUMIFS('1.1 Control Panel'!G$154:G$159,'1.1 Control Panel'!C$154:C$159,$C107)*SUMIFS('1.1 Control Panel'!G$239:G$244,'1.1 Control Panel'!C$239:C$244,$C107),0)</f>
        <v>4339</v>
      </c>
      <c r="H107" s="28">
        <f>ROUNDUP('1.1 Control Panel'!H$58*SUMIFS('4.3 Global SME Data'!$C$13:$C$18,'4.3 Global SME Data'!$B$13:$B$18,$C107)*1000000*(1+'1.1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Data'!$E$21:$E$41,$C$105)*SUMIFS('1.1 Control Panel'!H$69:H$74,'1.1 Control Panel'!C$69:C$74,$C107)*SUMIFS('1.1 Control Panel'!H$154:H$159,'1.1 Control Panel'!C$154:C$159,$C107)*SUMIFS('1.1 Control Panel'!H$239:H$244,'1.1 Control Panel'!C$239:C$244,$C107),0)</f>
        <v>4550</v>
      </c>
      <c r="J107" s="20"/>
    </row>
    <row r="108" spans="2:10" ht="11.5" customHeight="1" x14ac:dyDescent="0.25">
      <c r="C108" s="20" t="s">
        <v>454</v>
      </c>
      <c r="D108" s="34" t="s">
        <v>162</v>
      </c>
      <c r="E108" s="28">
        <f>ROUNDUP('1.1 Control Panel'!E$58*SUMIFS('4.3 Global SME Data'!$C$13:$C$18,'4.3 Global SME Data'!$B$13:$B$18,$C108)*1000000*(1+'1.1 Control Panel'!E$55-'1.1 Control Panel'!E$56)*SUMIFS('4.3 Global SME Data'!$C$21:$C$41,'4.3 Global SME Data'!$E$21:$E$41,$C$105)*SUMIFS('1.1 Control Panel'!E$69:E$74,'1.1 Control Panel'!C$69:C$74,$C108)*SUMIFS('1.1 Control Panel'!E$154:E$159,'1.1 Control Panel'!C$154:C$159,$C108)*SUMIFS('1.1 Control Panel'!E$239:E$244,'1.1 Control Panel'!C$239:C$244,$C108),0)</f>
        <v>3651</v>
      </c>
      <c r="F108" s="28">
        <f>ROUNDUP('1.1 Control Panel'!F$58*SUMIFS('4.3 Global SME Data'!$C$13:$C$18,'4.3 Global SME Data'!$B$13:$B$18,$C108)*1000000*(1+'1.1 Control Panel'!E$55-'1.1 Control Panel'!E$56)*(1+'1.1 Control Panel'!F$55-'1.1 Control Panel'!F$56)*SUMIFS('4.3 Global SME Data'!$C$21:$C$41,'4.3 Global SME Data'!$E$21:$E$41,$C$105)*SUMIFS('1.1 Control Panel'!F$69:F$74,'1.1 Control Panel'!C$69:C$74,$C108)*SUMIFS('1.1 Control Panel'!F$154:F$159,'1.1 Control Panel'!C$154:C$159,$C108)*SUMIFS('1.1 Control Panel'!F$239:F$244,'1.1 Control Panel'!C$239:C$244,$C108),0)</f>
        <v>3729</v>
      </c>
      <c r="G108" s="28">
        <f>ROUNDUP('1.1 Control Panel'!G$58*SUMIFS('4.3 Global SME Data'!$C$13:$C$18,'4.3 Global SME Data'!$B$13:$B$18,$C108)*1000000*(1+'1.1 Control Panel'!E$55-'1.1 Control Panel'!E$56)*(1+'1.1 Control Panel'!F$55-'1.1 Control Panel'!F$56)*(1+'1.1 Control Panel'!G$55-'1.1 Control Panel'!G$56)*SUMIFS('4.3 Global SME Data'!$C$21:$C$41,'4.3 Global SME Data'!$E$21:$E$41,$C$105)*SUMIFS('1.1 Control Panel'!G$69:G$74,'1.1 Control Panel'!C$69:C$74,$C108)*SUMIFS('1.1 Control Panel'!G$154:G$159,'1.1 Control Panel'!C$154:C$159,$C108)*SUMIFS('1.1 Control Panel'!G$239:G$244,'1.1 Control Panel'!C$239:C$244,$C108),0)</f>
        <v>3861</v>
      </c>
      <c r="H108" s="28">
        <f>ROUNDUP('1.1 Control Panel'!H$58*SUMIFS('4.3 Global SME Data'!$C$13:$C$18,'4.3 Global SME Data'!$B$13:$B$18,$C108)*1000000*(1+'1.1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Data'!$E$21:$E$41,$C$105)*SUMIFS('1.1 Control Panel'!H$69:H$74,'1.1 Control Panel'!C$69:C$74,$C108)*SUMIFS('1.1 Control Panel'!H$154:H$159,'1.1 Control Panel'!C$154:C$159,$C108)*SUMIFS('1.1 Control Panel'!H$239:H$244,'1.1 Control Panel'!C$239:C$244,$C108),0)</f>
        <v>3992</v>
      </c>
      <c r="J108" s="20"/>
    </row>
    <row r="109" spans="2:10" ht="11.5" customHeight="1" x14ac:dyDescent="0.25">
      <c r="C109" s="21" t="s">
        <v>455</v>
      </c>
      <c r="D109" s="38" t="s">
        <v>162</v>
      </c>
      <c r="E109" s="376">
        <f>ROUNDUP('1.1 Control Panel'!E$58*SUMIFS('4.3 Global SME Data'!$C$13:$C$18,'4.3 Global SME Data'!$B$13:$B$18,$C109)*1000000*(1+'1.1 Control Panel'!E$55-'1.1 Control Panel'!E$56)*SUMIFS('4.3 Global SME Data'!$C$21:$C$41,'4.3 Global SME Data'!$E$21:$E$41,$C$105)*SUMIFS('1.1 Control Panel'!E$69:E$74,'1.1 Control Panel'!C$69:C$74,$C109)*SUMIFS('1.1 Control Panel'!E$154:E$159,'1.1 Control Panel'!C$154:C$159,$C109)*SUMIFS('1.1 Control Panel'!E$239:E$244,'1.1 Control Panel'!C$239:C$244,$C109),0)</f>
        <v>19205</v>
      </c>
      <c r="F109" s="376">
        <f>ROUNDUP('1.1 Control Panel'!F$58*SUMIFS('4.3 Global SME Data'!$C$13:$C$18,'4.3 Global SME Data'!$B$13:$B$18,$C109)*1000000*(1+'1.1 Control Panel'!E$55-'1.1 Control Panel'!E$56)*(1+'1.1 Control Panel'!F$55-'1.1 Control Panel'!F$56)*SUMIFS('4.3 Global SME Data'!$C$21:$C$41,'4.3 Global SME Data'!$E$21:$E$41,$C$105)*SUMIFS('1.1 Control Panel'!F$69:F$74,'1.1 Control Panel'!C$69:C$74,$C109)*SUMIFS('1.1 Control Panel'!F$154:F$159,'1.1 Control Panel'!C$154:C$159,$C109)*SUMIFS('1.1 Control Panel'!F$239:F$244,'1.1 Control Panel'!C$239:C$244,$C109),0)</f>
        <v>19968</v>
      </c>
      <c r="G109" s="376">
        <f>ROUNDUP('1.1 Control Panel'!G$58*SUMIFS('4.3 Global SME Data'!$C$13:$C$18,'4.3 Global SME Data'!$B$13:$B$18,$C109)*1000000*(1+'1.1 Control Panel'!E$55-'1.1 Control Panel'!E$56)*(1+'1.1 Control Panel'!F$55-'1.1 Control Panel'!F$56)*(1+'1.1 Control Panel'!G$55-'1.1 Control Panel'!G$56)*SUMIFS('4.3 Global SME Data'!$C$21:$C$41,'4.3 Global SME Data'!$E$21:$E$41,$C$105)*SUMIFS('1.1 Control Panel'!G$69:G$74,'1.1 Control Panel'!C$69:C$74,$C109)*SUMIFS('1.1 Control Panel'!G$154:G$159,'1.1 Control Panel'!C$154:C$159,$C109)*SUMIFS('1.1 Control Panel'!G$239:G$244,'1.1 Control Panel'!C$239:C$244,$C109),0)</f>
        <v>21267</v>
      </c>
      <c r="H109" s="376">
        <f>ROUNDUP('1.1 Control Panel'!H$58*SUMIFS('4.3 Global SME Data'!$C$13:$C$18,'4.3 Global SME Data'!$B$13:$B$18,$C109)*1000000*(1+'1.1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Data'!$E$21:$E$41,$C$105)*SUMIFS('1.1 Control Panel'!H$69:H$74,'1.1 Control Panel'!C$69:C$74,$C109)*SUMIFS('1.1 Control Panel'!H$154:H$159,'1.1 Control Panel'!C$154:C$159,$C109)*SUMIFS('1.1 Control Panel'!H$239:H$244,'1.1 Control Panel'!C$239:C$244,$C109),0)</f>
        <v>22590</v>
      </c>
      <c r="J109" s="21"/>
    </row>
    <row r="110" spans="2:10" ht="11.5" customHeight="1" x14ac:dyDescent="0.25">
      <c r="C110" s="21" t="s">
        <v>393</v>
      </c>
      <c r="D110" s="38" t="s">
        <v>162</v>
      </c>
      <c r="E110" s="376">
        <f>ROUNDUP('1.1 Control Panel'!E$58*SUMIFS('4.3 Global SME Data'!$C$13:$C$18,'4.3 Global SME Data'!$B$13:$B$18,$C110)*1000000*(1+'1.1 Control Panel'!E$55-'1.1 Control Panel'!E$56)*SUMIFS('4.3 Global SME Data'!$C$21:$C$41,'4.3 Global SME Data'!$E$21:$E$41,$C$105)*SUMIFS('1.1 Control Panel'!E$69:E$74,'1.1 Control Panel'!C$69:C$74,$C110)*SUMIFS('1.1 Control Panel'!E$154:E$159,'1.1 Control Panel'!C$154:C$159,$C110)*SUMIFS('1.1 Control Panel'!E$239:E$244,'1.1 Control Panel'!C$239:C$244,$C110),0)</f>
        <v>21678</v>
      </c>
      <c r="F110" s="376">
        <f>ROUNDUP('1.1 Control Panel'!F$58*SUMIFS('4.3 Global SME Data'!$C$13:$C$18,'4.3 Global SME Data'!$B$13:$B$18,$C110)*1000000*(1+'1.1 Control Panel'!E$55-'1.1 Control Panel'!E$56)*(1+'1.1 Control Panel'!F$55-'1.1 Control Panel'!F$56)*SUMIFS('4.3 Global SME Data'!$C$21:$C$41,'4.3 Global SME Data'!$E$21:$E$41,$C$105)*SUMIFS('1.1 Control Panel'!F$69:F$74,'1.1 Control Panel'!C$69:C$74,$C110)*SUMIFS('1.1 Control Panel'!F$154:F$159,'1.1 Control Panel'!C$154:C$159,$C110)*SUMIFS('1.1 Control Panel'!F$239:F$244,'1.1 Control Panel'!C$239:C$244,$C110),0)</f>
        <v>22676</v>
      </c>
      <c r="G110" s="376">
        <f>ROUNDUP('1.1 Control Panel'!G$58*SUMIFS('4.3 Global SME Data'!$C$13:$C$18,'4.3 Global SME Data'!$B$13:$B$18,$C110)*1000000*(1+'1.1 Control Panel'!E$55-'1.1 Control Panel'!E$56)*(1+'1.1 Control Panel'!F$55-'1.1 Control Panel'!F$56)*(1+'1.1 Control Panel'!G$55-'1.1 Control Panel'!G$56)*SUMIFS('4.3 Global SME Data'!$C$21:$C$41,'4.3 Global SME Data'!$E$21:$E$41,$C$105)*SUMIFS('1.1 Control Panel'!G$69:G$74,'1.1 Control Panel'!C$69:C$74,$C110)*SUMIFS('1.1 Control Panel'!G$154:G$159,'1.1 Control Panel'!C$154:C$159,$C110)*SUMIFS('1.1 Control Panel'!G$239:G$244,'1.1 Control Panel'!C$239:C$244,$C110),0)</f>
        <v>24382</v>
      </c>
      <c r="H110" s="376">
        <f>ROUNDUP('1.1 Control Panel'!H$58*SUMIFS('4.3 Global SME Data'!$C$13:$C$18,'4.3 Global SME Data'!$B$13:$B$18,$C110)*1000000*(1+'1.1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Data'!$E$21:$E$41,$C$105)*SUMIFS('1.1 Control Panel'!H$69:H$74,'1.1 Control Panel'!C$69:C$74,$C110)*SUMIFS('1.1 Control Panel'!H$154:H$159,'1.1 Control Panel'!C$154:C$159,$C110)*SUMIFS('1.1 Control Panel'!H$239:H$244,'1.1 Control Panel'!C$239:C$244,$C110),0)</f>
        <v>26130</v>
      </c>
      <c r="J110" s="21"/>
    </row>
    <row r="111" spans="2:10" ht="11.5" customHeight="1" x14ac:dyDescent="0.25">
      <c r="C111" s="21" t="s">
        <v>456</v>
      </c>
      <c r="D111" s="38" t="s">
        <v>162</v>
      </c>
      <c r="E111" s="376">
        <f>ROUNDUP('1.1 Control Panel'!E$58*SUMIFS('4.3 Global SME Data'!$C$13:$C$18,'4.3 Global SME Data'!$B$13:$B$18,$C111)*1000000*(1+'1.1 Control Panel'!E$55-'1.1 Control Panel'!E$56)*SUMIFS('4.3 Global SME Data'!$C$21:$C$41,'4.3 Global SME Data'!$E$21:$E$41,$C$105)*SUMIFS('1.1 Control Panel'!E$69:E$74,'1.1 Control Panel'!C$69:C$74,$C111)*SUMIFS('1.1 Control Panel'!E$154:E$159,'1.1 Control Panel'!C$154:C$159,$C111)*SUMIFS('1.1 Control Panel'!E$239:E$244,'1.1 Control Panel'!C$239:C$244,$C111),0)</f>
        <v>5306</v>
      </c>
      <c r="F111" s="376">
        <f>ROUNDUP('1.1 Control Panel'!F$58*SUMIFS('4.3 Global SME Data'!$C$13:$C$18,'4.3 Global SME Data'!$B$13:$B$18,$C111)*1000000*(1+'1.1 Control Panel'!E$55-'1.1 Control Panel'!E$56)*(1+'1.1 Control Panel'!F$55-'1.1 Control Panel'!F$56)*SUMIFS('4.3 Global SME Data'!$C$21:$C$41,'4.3 Global SME Data'!$E$21:$E$41,$C$105)*SUMIFS('1.1 Control Panel'!F$69:F$74,'1.1 Control Panel'!C$69:C$74,$C111)*SUMIFS('1.1 Control Panel'!F$154:F$159,'1.1 Control Panel'!C$154:C$159,$C111)*SUMIFS('1.1 Control Panel'!F$239:F$244,'1.1 Control Panel'!C$239:C$244,$C111),0)</f>
        <v>5425</v>
      </c>
      <c r="G111" s="376">
        <f>ROUNDUP('1.1 Control Panel'!G$58*SUMIFS('4.3 Global SME Data'!$C$13:$C$18,'4.3 Global SME Data'!$B$13:$B$18,$C111)*1000000*(1+'1.1 Control Panel'!E$55-'1.1 Control Panel'!E$56)*(1+'1.1 Control Panel'!F$55-'1.1 Control Panel'!F$56)*(1+'1.1 Control Panel'!G$55-'1.1 Control Panel'!G$56)*SUMIFS('4.3 Global SME Data'!$C$21:$C$41,'4.3 Global SME Data'!$E$21:$E$41,$C$105)*SUMIFS('1.1 Control Panel'!G$69:G$74,'1.1 Control Panel'!C$69:C$74,$C111)*SUMIFS('1.1 Control Panel'!G$154:G$159,'1.1 Control Panel'!C$154:C$159,$C111)*SUMIFS('1.1 Control Panel'!G$239:G$244,'1.1 Control Panel'!C$239:C$244,$C111),0)</f>
        <v>5624</v>
      </c>
      <c r="H111" s="376">
        <f>ROUNDUP('1.1 Control Panel'!H$58*SUMIFS('4.3 Global SME Data'!$C$13:$C$18,'4.3 Global SME Data'!$B$13:$B$18,$C111)*1000000*(1+'1.1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Data'!$E$21:$E$41,$C$105)*SUMIFS('1.1 Control Panel'!H$69:H$74,'1.1 Control Panel'!C$69:C$74,$C111)*SUMIFS('1.1 Control Panel'!H$154:H$159,'1.1 Control Panel'!C$154:C$159,$C111)*SUMIFS('1.1 Control Panel'!H$239:H$244,'1.1 Control Panel'!C$239:C$244,$C111),0)</f>
        <v>5823</v>
      </c>
      <c r="J111" s="21"/>
    </row>
    <row r="112" spans="2:10" s="74" customFormat="1" ht="11.5" customHeight="1" x14ac:dyDescent="0.25">
      <c r="B112" s="99" t="s">
        <v>9</v>
      </c>
      <c r="C112" s="105" t="str">
        <f>'4.2 Sector Mapping'!$B$7</f>
        <v>Energy and Environment</v>
      </c>
      <c r="D112" s="106" t="s">
        <v>162</v>
      </c>
      <c r="E112" s="380">
        <f>SUM(E113:E118)</f>
        <v>78445</v>
      </c>
      <c r="F112" s="380">
        <f t="shared" ref="F112:H112" si="48">SUM(F113:F118)</f>
        <v>83649</v>
      </c>
      <c r="G112" s="380">
        <f t="shared" si="48"/>
        <v>92670</v>
      </c>
      <c r="H112" s="380">
        <f t="shared" si="48"/>
        <v>102080</v>
      </c>
      <c r="J112" s="105"/>
    </row>
    <row r="113" spans="2:10" ht="11.5" customHeight="1" x14ac:dyDescent="0.25">
      <c r="C113" s="20" t="s">
        <v>600</v>
      </c>
      <c r="D113" s="34" t="s">
        <v>162</v>
      </c>
      <c r="E113" s="28">
        <f>ROUNDUP('1.1 Control Panel'!E$58*SUMIFS('4.3 Global SME Data'!$C$13:$C$18,'4.3 Global SME Data'!$B$13:$B$18,$C113)*1000000*(1+'1.1 Control Panel'!E$55-'1.1 Control Panel'!E$56)*SUMIFS('4.3 Global SME Data'!$C$21:$C$41,'4.3 Global SME Data'!$E$21:$E$41,$C$112)*SUMIFS('1.1 Control Panel'!E$76:E$81,'1.1 Control Panel'!C$76:C$81,$C113)*SUMIFS('1.1 Control Panel'!E$161:E$166,'1.1 Control Panel'!C$161:C$166,$C113)*SUMIFS('1.1 Control Panel'!E$246:E$251,'1.1 Control Panel'!C$246:C$251,$C113),0)</f>
        <v>40513</v>
      </c>
      <c r="F113" s="28">
        <f>ROUNDUP('1.1 Control Panel'!F$58*SUMIFS('4.3 Global SME Data'!$C$13:$C$18,'4.3 Global SME Data'!$B$13:$B$18,$C113)*1000000*(1+'1.1 Control Panel'!E$55-'1.1 Control Panel'!E$56)*(1+'1.1 Control Panel'!F$55-'1.1 Control Panel'!F$56)*SUMIFS('4.3 Global SME Data'!$C$21:$C$41,'4.3 Global SME Data'!$E$21:$E$41,$C$112)*SUMIFS('1.1 Control Panel'!F$76:F$81,'1.1 Control Panel'!C$76:C$81,$C113)*SUMIFS('1.1 Control Panel'!F$161:F$166,'1.1 Control Panel'!C$161:C$166,$C113)*SUMIFS('1.1 Control Panel'!F$246:F$251,'1.1 Control Panel'!C$246:C$251,$C113),0)</f>
        <v>43631</v>
      </c>
      <c r="G113" s="28">
        <f>ROUNDUP('1.1 Control Panel'!G$58*SUMIFS('4.3 Global SME Data'!$C$13:$C$18,'4.3 Global SME Data'!$B$13:$B$18,$C113)*1000000*(1+'1.1 Control Panel'!E$55-'1.1 Control Panel'!E$56)*(1+'1.1 Control Panel'!F$55-'1.1 Control Panel'!F$56)*(1+'1.1 Control Panel'!G$55-'1.1 Control Panel'!G$56)*SUMIFS('4.3 Global SME Data'!$C$21:$C$41,'4.3 Global SME Data'!$E$21:$E$41,$C$112)*SUMIFS('1.1 Control Panel'!G$76:G$81,'1.1 Control Panel'!C$76:C$81,$C113)*SUMIFS('1.1 Control Panel'!G$161:G$166,'1.1 Control Panel'!C$161:C$166,$C113)*SUMIFS('1.1 Control Panel'!G$246:G$251,'1.1 Control Panel'!C$246:C$251,$C113),0)</f>
        <v>49062</v>
      </c>
      <c r="H113" s="28">
        <f>ROUNDUP('1.1 Control Panel'!H$58*SUMIFS('4.3 Global SME Data'!$C$13:$C$18,'4.3 Global SME Data'!$B$13:$B$18,$C113)*1000000*(1+'1.1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Data'!$E$21:$E$41,$C$112)*SUMIFS('1.1 Control Panel'!H$76:H$81,'1.1 Control Panel'!C$76:C$81,$C113)*SUMIFS('1.1 Control Panel'!H$161:H$166,'1.1 Control Panel'!C$161:C$166,$C113)*SUMIFS('1.1 Control Panel'!H$246:H$251,'1.1 Control Panel'!C$246:C$251,$C113),0)</f>
        <v>54763</v>
      </c>
      <c r="J113" s="20"/>
    </row>
    <row r="114" spans="2:10" ht="11.5" customHeight="1" x14ac:dyDescent="0.25">
      <c r="C114" s="20" t="s">
        <v>392</v>
      </c>
      <c r="D114" s="34" t="s">
        <v>162</v>
      </c>
      <c r="E114" s="28">
        <f>ROUNDUP('1.1 Control Panel'!E$58*SUMIFS('4.3 Global SME Data'!$C$13:$C$18,'4.3 Global SME Data'!$B$13:$B$18,$C114)*1000000*(1+'1.1 Control Panel'!E$55-'1.1 Control Panel'!E$56)*SUMIFS('4.3 Global SME Data'!$C$21:$C$41,'4.3 Global SME Data'!$E$21:$E$41,$C$112)*SUMIFS('1.1 Control Panel'!E$76:E$81,'1.1 Control Panel'!C$76:C$81,$C114)*SUMIFS('1.1 Control Panel'!E$161:E$166,'1.1 Control Panel'!C$161:C$166,$C114)*SUMIFS('1.1 Control Panel'!E$246:E$251,'1.1 Control Panel'!C$246:C$251,$C114),0)</f>
        <v>1357</v>
      </c>
      <c r="F114" s="28">
        <f>ROUNDUP('1.1 Control Panel'!F$58*SUMIFS('4.3 Global SME Data'!$C$13:$C$18,'4.3 Global SME Data'!$B$13:$B$18,$C114)*1000000*(1+'1.1 Control Panel'!E$55-'1.1 Control Panel'!E$56)*(1+'1.1 Control Panel'!F$55-'1.1 Control Panel'!F$56)*SUMIFS('4.3 Global SME Data'!$C$21:$C$41,'4.3 Global SME Data'!$E$21:$E$41,$C$112)*SUMIFS('1.1 Control Panel'!F$76:F$81,'1.1 Control Panel'!C$76:C$81,$C114)*SUMIFS('1.1 Control Panel'!F$161:F$166,'1.1 Control Panel'!C$161:C$166,$C114)*SUMIFS('1.1 Control Panel'!F$246:F$251,'1.1 Control Panel'!C$246:C$251,$C114),0)</f>
        <v>1442</v>
      </c>
      <c r="G114" s="28">
        <f>ROUNDUP('1.1 Control Panel'!G$58*SUMIFS('4.3 Global SME Data'!$C$13:$C$18,'4.3 Global SME Data'!$B$13:$B$18,$C114)*1000000*(1+'1.1 Control Panel'!E$55-'1.1 Control Panel'!E$56)*(1+'1.1 Control Panel'!F$55-'1.1 Control Panel'!F$56)*(1+'1.1 Control Panel'!G$55-'1.1 Control Panel'!G$56)*SUMIFS('4.3 Global SME Data'!$C$21:$C$41,'4.3 Global SME Data'!$E$21:$E$41,$C$112)*SUMIFS('1.1 Control Panel'!G$76:G$81,'1.1 Control Panel'!C$76:C$81,$C114)*SUMIFS('1.1 Control Panel'!G$161:G$166,'1.1 Control Panel'!C$161:C$166,$C114)*SUMIFS('1.1 Control Panel'!G$246:G$251,'1.1 Control Panel'!C$246:C$251,$C114),0)</f>
        <v>1589</v>
      </c>
      <c r="H114" s="28">
        <f>ROUNDUP('1.1 Control Panel'!H$58*SUMIFS('4.3 Global SME Data'!$C$13:$C$18,'4.3 Global SME Data'!$B$13:$B$18,$C114)*1000000*(1+'1.1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Data'!$E$21:$E$41,$C$112)*SUMIFS('1.1 Control Panel'!H$76:H$81,'1.1 Control Panel'!C$76:C$81,$C114)*SUMIFS('1.1 Control Panel'!H$161:H$166,'1.1 Control Panel'!C$161:C$166,$C114)*SUMIFS('1.1 Control Panel'!H$246:H$251,'1.1 Control Panel'!C$246:C$251,$C114),0)</f>
        <v>1742</v>
      </c>
      <c r="J114" s="20"/>
    </row>
    <row r="115" spans="2:10" ht="11.5" customHeight="1" x14ac:dyDescent="0.25">
      <c r="C115" s="20" t="s">
        <v>454</v>
      </c>
      <c r="D115" s="34" t="s">
        <v>162</v>
      </c>
      <c r="E115" s="28">
        <f>ROUNDUP('1.1 Control Panel'!E$58*SUMIFS('4.3 Global SME Data'!$C$13:$C$18,'4.3 Global SME Data'!$B$13:$B$18,$C115)*1000000*(1+'1.1 Control Panel'!E$55-'1.1 Control Panel'!E$56)*SUMIFS('4.3 Global SME Data'!$C$21:$C$41,'4.3 Global SME Data'!$E$21:$E$41,$C$112)*SUMIFS('1.1 Control Panel'!E$76:E$81,'1.1 Control Panel'!C$76:C$81,$C115)*SUMIFS('1.1 Control Panel'!E$161:E$166,'1.1 Control Panel'!C$161:C$166,$C115)*SUMIFS('1.1 Control Panel'!E$246:E$251,'1.1 Control Panel'!C$246:C$251,$C115),0)</f>
        <v>1978</v>
      </c>
      <c r="F115" s="28">
        <f>ROUNDUP('1.1 Control Panel'!F$58*SUMIFS('4.3 Global SME Data'!$C$13:$C$18,'4.3 Global SME Data'!$B$13:$B$18,$C115)*1000000*(1+'1.1 Control Panel'!E$55-'1.1 Control Panel'!E$56)*(1+'1.1 Control Panel'!F$55-'1.1 Control Panel'!F$56)*SUMIFS('4.3 Global SME Data'!$C$21:$C$41,'4.3 Global SME Data'!$E$21:$E$41,$C$112)*SUMIFS('1.1 Control Panel'!F$76:F$81,'1.1 Control Panel'!C$76:C$81,$C115)*SUMIFS('1.1 Control Panel'!F$161:F$166,'1.1 Control Panel'!C$161:C$166,$C115)*SUMIFS('1.1 Control Panel'!F$246:F$251,'1.1 Control Panel'!C$246:C$251,$C115),0)</f>
        <v>2047</v>
      </c>
      <c r="G115" s="28">
        <f>ROUNDUP('1.1 Control Panel'!G$58*SUMIFS('4.3 Global SME Data'!$C$13:$C$18,'4.3 Global SME Data'!$B$13:$B$18,$C115)*1000000*(1+'1.1 Control Panel'!E$55-'1.1 Control Panel'!E$56)*(1+'1.1 Control Panel'!F$55-'1.1 Control Panel'!F$56)*(1+'1.1 Control Panel'!G$55-'1.1 Control Panel'!G$56)*SUMIFS('4.3 Global SME Data'!$C$21:$C$41,'4.3 Global SME Data'!$E$21:$E$41,$C$112)*SUMIFS('1.1 Control Panel'!G$76:G$81,'1.1 Control Panel'!C$76:C$81,$C115)*SUMIFS('1.1 Control Panel'!G$161:G$166,'1.1 Control Panel'!C$161:C$166,$C115)*SUMIFS('1.1 Control Panel'!G$246:G$251,'1.1 Control Panel'!C$246:C$251,$C115),0)</f>
        <v>2163</v>
      </c>
      <c r="H115" s="28">
        <f>ROUNDUP('1.1 Control Panel'!H$58*SUMIFS('4.3 Global SME Data'!$C$13:$C$18,'4.3 Global SME Data'!$B$13:$B$18,$C115)*1000000*(1+'1.1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Data'!$E$21:$E$41,$C$112)*SUMIFS('1.1 Control Panel'!H$76:H$81,'1.1 Control Panel'!C$76:C$81,$C115)*SUMIFS('1.1 Control Panel'!H$161:H$166,'1.1 Control Panel'!C$161:C$166,$C115)*SUMIFS('1.1 Control Panel'!H$246:H$251,'1.1 Control Panel'!C$246:C$251,$C115),0)</f>
        <v>2280</v>
      </c>
      <c r="J115" s="20"/>
    </row>
    <row r="116" spans="2:10" ht="11.5" customHeight="1" x14ac:dyDescent="0.25">
      <c r="C116" s="21" t="s">
        <v>455</v>
      </c>
      <c r="D116" s="38" t="s">
        <v>162</v>
      </c>
      <c r="E116" s="376">
        <f>ROUNDUP('1.1 Control Panel'!E$58*SUMIFS('4.3 Global SME Data'!$C$13:$C$18,'4.3 Global SME Data'!$B$13:$B$18,$C116)*1000000*(1+'1.1 Control Panel'!E$55-'1.1 Control Panel'!E$56)*SUMIFS('4.3 Global SME Data'!$C$21:$C$41,'4.3 Global SME Data'!$E$21:$E$41,$C$112)*SUMIFS('1.1 Control Panel'!E$76:E$81,'1.1 Control Panel'!C$76:C$81,$C116)*SUMIFS('1.1 Control Panel'!E$161:E$166,'1.1 Control Panel'!C$161:C$166,$C116)*SUMIFS('1.1 Control Panel'!E$246:E$251,'1.1 Control Panel'!C$246:C$251,$C116),0)</f>
        <v>11444</v>
      </c>
      <c r="F116" s="376">
        <f>ROUNDUP('1.1 Control Panel'!F$58*SUMIFS('4.3 Global SME Data'!$C$13:$C$18,'4.3 Global SME Data'!$B$13:$B$18,$C116)*1000000*(1+'1.1 Control Panel'!E$55-'1.1 Control Panel'!E$56)*(1+'1.1 Control Panel'!F$55-'1.1 Control Panel'!F$56)*SUMIFS('4.3 Global SME Data'!$C$21:$C$41,'4.3 Global SME Data'!$E$21:$E$41,$C$112)*SUMIFS('1.1 Control Panel'!F$76:F$81,'1.1 Control Panel'!C$76:C$81,$C116)*SUMIFS('1.1 Control Panel'!F$161:F$166,'1.1 Control Panel'!C$161:C$166,$C116)*SUMIFS('1.1 Control Panel'!F$246:F$251,'1.1 Control Panel'!C$246:C$251,$C116),0)</f>
        <v>12140</v>
      </c>
      <c r="G116" s="376">
        <f>ROUNDUP('1.1 Control Panel'!G$58*SUMIFS('4.3 Global SME Data'!$C$13:$C$18,'4.3 Global SME Data'!$B$13:$B$18,$C116)*1000000*(1+'1.1 Control Panel'!E$55-'1.1 Control Panel'!E$56)*(1+'1.1 Control Panel'!F$55-'1.1 Control Panel'!F$56)*(1+'1.1 Control Panel'!G$55-'1.1 Control Panel'!G$56)*SUMIFS('4.3 Global SME Data'!$C$21:$C$41,'4.3 Global SME Data'!$E$21:$E$41,$C$112)*SUMIFS('1.1 Control Panel'!G$76:G$81,'1.1 Control Panel'!C$76:C$81,$C116)*SUMIFS('1.1 Control Panel'!G$161:G$166,'1.1 Control Panel'!C$161:C$166,$C116)*SUMIFS('1.1 Control Panel'!G$246:G$251,'1.1 Control Panel'!C$246:C$251,$C116),0)</f>
        <v>13342</v>
      </c>
      <c r="H116" s="376">
        <f>ROUNDUP('1.1 Control Panel'!H$58*SUMIFS('4.3 Global SME Data'!$C$13:$C$18,'4.3 Global SME Data'!$B$13:$B$18,$C116)*1000000*(1+'1.1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Data'!$E$21:$E$41,$C$112)*SUMIFS('1.1 Control Panel'!H$76:H$81,'1.1 Control Panel'!C$76:C$81,$C116)*SUMIFS('1.1 Control Panel'!H$161:H$166,'1.1 Control Panel'!C$161:C$166,$C116)*SUMIFS('1.1 Control Panel'!H$246:H$251,'1.1 Control Panel'!C$246:C$251,$C116),0)</f>
        <v>14588</v>
      </c>
      <c r="J116" s="21"/>
    </row>
    <row r="117" spans="2:10" ht="11.5" customHeight="1" x14ac:dyDescent="0.25">
      <c r="C117" s="21" t="s">
        <v>393</v>
      </c>
      <c r="D117" s="38" t="s">
        <v>162</v>
      </c>
      <c r="E117" s="376">
        <f>ROUNDUP('1.1 Control Panel'!E$58*SUMIFS('4.3 Global SME Data'!$C$13:$C$18,'4.3 Global SME Data'!$B$13:$B$18,$C117)*1000000*(1+'1.1 Control Panel'!E$55-'1.1 Control Panel'!E$56)*SUMIFS('4.3 Global SME Data'!$C$21:$C$41,'4.3 Global SME Data'!$E$21:$E$41,$C$112)*SUMIFS('1.1 Control Panel'!E$76:E$81,'1.1 Control Panel'!C$76:C$81,$C117)*SUMIFS('1.1 Control Panel'!E$161:E$166,'1.1 Control Panel'!C$161:C$166,$C117)*SUMIFS('1.1 Control Panel'!E$246:E$251,'1.1 Control Panel'!C$246:C$251,$C117),0)</f>
        <v>20017</v>
      </c>
      <c r="F117" s="376">
        <f>ROUNDUP('1.1 Control Panel'!F$58*SUMIFS('4.3 Global SME Data'!$C$13:$C$18,'4.3 Global SME Data'!$B$13:$B$18,$C117)*1000000*(1+'1.1 Control Panel'!E$55-'1.1 Control Panel'!E$56)*(1+'1.1 Control Panel'!F$55-'1.1 Control Panel'!F$56)*SUMIFS('4.3 Global SME Data'!$C$21:$C$41,'4.3 Global SME Data'!$E$21:$E$41,$C$112)*SUMIFS('1.1 Control Panel'!F$76:F$81,'1.1 Control Panel'!C$76:C$81,$C117)*SUMIFS('1.1 Control Panel'!F$161:F$166,'1.1 Control Panel'!C$161:C$166,$C117)*SUMIFS('1.1 Control Panel'!F$246:F$251,'1.1 Control Panel'!C$246:C$251,$C117),0)</f>
        <v>21145</v>
      </c>
      <c r="G117" s="376">
        <f>ROUNDUP('1.1 Control Panel'!G$58*SUMIFS('4.3 Global SME Data'!$C$13:$C$18,'4.3 Global SME Data'!$B$13:$B$18,$C117)*1000000*(1+'1.1 Control Panel'!E$55-'1.1 Control Panel'!E$56)*(1+'1.1 Control Panel'!F$55-'1.1 Control Panel'!F$56)*(1+'1.1 Control Panel'!G$55-'1.1 Control Panel'!G$56)*SUMIFS('4.3 Global SME Data'!$C$21:$C$41,'4.3 Global SME Data'!$E$21:$E$41,$C$112)*SUMIFS('1.1 Control Panel'!G$76:G$81,'1.1 Control Panel'!C$76:C$81,$C117)*SUMIFS('1.1 Control Panel'!G$161:G$166,'1.1 Control Panel'!C$161:C$166,$C117)*SUMIFS('1.1 Control Panel'!G$246:G$251,'1.1 Control Panel'!C$246:C$251,$C117),0)</f>
        <v>23086</v>
      </c>
      <c r="H117" s="376">
        <f>ROUNDUP('1.1 Control Panel'!H$58*SUMIFS('4.3 Global SME Data'!$C$13:$C$18,'4.3 Global SME Data'!$B$13:$B$18,$C117)*1000000*(1+'1.1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Data'!$E$21:$E$41,$C$112)*SUMIFS('1.1 Control Panel'!H$76:H$81,'1.1 Control Panel'!C$76:C$81,$C117)*SUMIFS('1.1 Control Panel'!H$161:H$166,'1.1 Control Panel'!C$161:C$166,$C117)*SUMIFS('1.1 Control Panel'!H$246:H$251,'1.1 Control Panel'!C$246:C$251,$C117),0)</f>
        <v>25092</v>
      </c>
      <c r="J117" s="21"/>
    </row>
    <row r="118" spans="2:10" ht="11.5" customHeight="1" x14ac:dyDescent="0.25">
      <c r="C118" s="21" t="s">
        <v>456</v>
      </c>
      <c r="D118" s="38" t="s">
        <v>162</v>
      </c>
      <c r="E118" s="376">
        <f>ROUNDUP('1.1 Control Panel'!E$58*SUMIFS('4.3 Global SME Data'!$C$13:$C$18,'4.3 Global SME Data'!$B$13:$B$18,$C118)*1000000*(1+'1.1 Control Panel'!E$55-'1.1 Control Panel'!E$56)*SUMIFS('4.3 Global SME Data'!$C$21:$C$41,'4.3 Global SME Data'!$E$21:$E$41,$C$112)*SUMIFS('1.1 Control Panel'!E$76:E$81,'1.1 Control Panel'!C$76:C$81,$C118)*SUMIFS('1.1 Control Panel'!E$161:E$166,'1.1 Control Panel'!C$161:C$166,$C118)*SUMIFS('1.1 Control Panel'!E$246:E$251,'1.1 Control Panel'!C$246:C$251,$C118),0)</f>
        <v>3136</v>
      </c>
      <c r="F118" s="376">
        <f>ROUNDUP('1.1 Control Panel'!F$58*SUMIFS('4.3 Global SME Data'!$C$13:$C$18,'4.3 Global SME Data'!$B$13:$B$18,$C118)*1000000*(1+'1.1 Control Panel'!E$55-'1.1 Control Panel'!E$56)*(1+'1.1 Control Panel'!F$55-'1.1 Control Panel'!F$56)*SUMIFS('4.3 Global SME Data'!$C$21:$C$41,'4.3 Global SME Data'!$E$21:$E$41,$C$112)*SUMIFS('1.1 Control Panel'!F$76:F$81,'1.1 Control Panel'!C$76:C$81,$C118)*SUMIFS('1.1 Control Panel'!F$161:F$166,'1.1 Control Panel'!C$161:C$166,$C118)*SUMIFS('1.1 Control Panel'!F$246:F$251,'1.1 Control Panel'!C$246:C$251,$C118),0)</f>
        <v>3244</v>
      </c>
      <c r="G118" s="376">
        <f>ROUNDUP('1.1 Control Panel'!G$58*SUMIFS('4.3 Global SME Data'!$C$13:$C$18,'4.3 Global SME Data'!$B$13:$B$18,$C118)*1000000*(1+'1.1 Control Panel'!E$55-'1.1 Control Panel'!E$56)*(1+'1.1 Control Panel'!F$55-'1.1 Control Panel'!F$56)*(1+'1.1 Control Panel'!G$55-'1.1 Control Panel'!G$56)*SUMIFS('4.3 Global SME Data'!$C$21:$C$41,'4.3 Global SME Data'!$E$21:$E$41,$C$112)*SUMIFS('1.1 Control Panel'!G$76:G$81,'1.1 Control Panel'!C$76:C$81,$C118)*SUMIFS('1.1 Control Panel'!G$161:G$166,'1.1 Control Panel'!C$161:C$166,$C118)*SUMIFS('1.1 Control Panel'!G$246:G$251,'1.1 Control Panel'!C$246:C$251,$C118),0)</f>
        <v>3428</v>
      </c>
      <c r="H118" s="376">
        <f>ROUNDUP('1.1 Control Panel'!H$58*SUMIFS('4.3 Global SME Data'!$C$13:$C$18,'4.3 Global SME Data'!$B$13:$B$18,$C118)*1000000*(1+'1.1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Data'!$E$21:$E$41,$C$112)*SUMIFS('1.1 Control Panel'!H$76:H$81,'1.1 Control Panel'!C$76:C$81,$C118)*SUMIFS('1.1 Control Panel'!H$161:H$166,'1.1 Control Panel'!C$161:C$166,$C118)*SUMIFS('1.1 Control Panel'!H$246:H$251,'1.1 Control Panel'!C$246:C$251,$C118),0)</f>
        <v>3615</v>
      </c>
      <c r="J118" s="21"/>
    </row>
    <row r="119" spans="2:10" s="74" customFormat="1" ht="11.5" customHeight="1" x14ac:dyDescent="0.25">
      <c r="B119" s="99" t="s">
        <v>9</v>
      </c>
      <c r="C119" s="105" t="str">
        <f>'4.2 Sector Mapping'!$B$8</f>
        <v>Financial Services</v>
      </c>
      <c r="D119" s="106" t="s">
        <v>162</v>
      </c>
      <c r="E119" s="380">
        <f>SUM(E120:E125)</f>
        <v>250425</v>
      </c>
      <c r="F119" s="380">
        <f t="shared" ref="F119:H119" si="49">SUM(F120:F125)</f>
        <v>260764</v>
      </c>
      <c r="G119" s="380">
        <f t="shared" si="49"/>
        <v>278383</v>
      </c>
      <c r="H119" s="380">
        <f t="shared" si="49"/>
        <v>296355</v>
      </c>
      <c r="J119" s="105"/>
    </row>
    <row r="120" spans="2:10" ht="11.5" customHeight="1" x14ac:dyDescent="0.25">
      <c r="C120" s="20" t="s">
        <v>600</v>
      </c>
      <c r="D120" s="34" t="s">
        <v>162</v>
      </c>
      <c r="E120" s="28">
        <f>ROUNDUP('1.1 Control Panel'!E$58*SUMIFS('4.3 Global SME Data'!$C$13:$C$18,'4.3 Global SME Data'!$B$13:$B$18,$C120)*1000000*(1+'1.1 Control Panel'!E$55-'1.1 Control Panel'!E$56)*SUMIFS('4.3 Global SME Data'!$C$21:$C$41,'4.3 Global SME Data'!$E$21:$E$41,$C$119)*SUMIFS('1.1 Control Panel'!E$83:E$88,'1.1 Control Panel'!C$83:C$88,$C120)*SUMIFS('1.1 Control Panel'!E$168:E$173,'1.1 Control Panel'!C$168:C$173,$C120)*SUMIFS('1.1 Control Panel'!E$253:E$258,'1.1 Control Panel'!C$253:C$258,$C120),0)</f>
        <v>161192</v>
      </c>
      <c r="F120" s="28">
        <f>ROUNDUP('1.1 Control Panel'!F$58*SUMIFS('4.3 Global SME Data'!$C$13:$C$18,'4.3 Global SME Data'!$B$13:$B$18,$C120)*1000000*(1+'1.1 Control Panel'!E$55-'1.1 Control Panel'!E$56)*(1+'1.1 Control Panel'!F$55-'1.1 Control Panel'!F$56)*SUMIFS('4.3 Global SME Data'!$C$21:$C$41,'4.3 Global SME Data'!$E$21:$E$41,$C$119)*SUMIFS('1.1 Control Panel'!F$83:F$88,'1.1 Control Panel'!C$83:C$88,$C120)*SUMIFS('1.1 Control Panel'!F$168:F$173,'1.1 Control Panel'!C$168:C$173,$C120)*SUMIFS('1.1 Control Panel'!F$253:F$258,'1.1 Control Panel'!C$253:C$258,$C120),0)</f>
        <v>168010</v>
      </c>
      <c r="G120" s="28">
        <f>ROUNDUP('1.1 Control Panel'!G$58*SUMIFS('4.3 Global SME Data'!$C$13:$C$18,'4.3 Global SME Data'!$B$13:$B$18,$C120)*1000000*(1+'1.1 Control Panel'!E$55-'1.1 Control Panel'!E$56)*(1+'1.1 Control Panel'!F$55-'1.1 Control Panel'!F$56)*(1+'1.1 Control Panel'!G$55-'1.1 Control Panel'!G$56)*SUMIFS('4.3 Global SME Data'!$C$21:$C$41,'4.3 Global SME Data'!$E$21:$E$41,$C$119)*SUMIFS('1.1 Control Panel'!G$83:G$88,'1.1 Control Panel'!C$83:C$88,$C120)*SUMIFS('1.1 Control Panel'!G$168:G$173,'1.1 Control Panel'!C$168:C$173,$C120)*SUMIFS('1.1 Control Panel'!G$253:G$258,'1.1 Control Panel'!C$253:C$258,$C120),0)</f>
        <v>179633</v>
      </c>
      <c r="H120" s="28">
        <f>ROUNDUP('1.1 Control Panel'!H$58*SUMIFS('4.3 Global SME Data'!$C$13:$C$18,'4.3 Global SME Data'!$B$13:$B$18,$C120)*1000000*(1+'1.1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Data'!$E$21:$E$41,$C$119)*SUMIFS('1.1 Control Panel'!H$83:H$88,'1.1 Control Panel'!C$83:C$88,$C120)*SUMIFS('1.1 Control Panel'!H$168:H$173,'1.1 Control Panel'!C$168:C$173,$C120)*SUMIFS('1.1 Control Panel'!H$253:H$258,'1.1 Control Panel'!C$253:C$258,$C120),0)</f>
        <v>191495</v>
      </c>
      <c r="J120" s="20"/>
    </row>
    <row r="121" spans="2:10" ht="11.5" customHeight="1" x14ac:dyDescent="0.25">
      <c r="C121" s="20" t="s">
        <v>392</v>
      </c>
      <c r="D121" s="34" t="s">
        <v>162</v>
      </c>
      <c r="E121" s="28">
        <f>ROUNDUP('1.1 Control Panel'!E$58*SUMIFS('4.3 Global SME Data'!$C$13:$C$18,'4.3 Global SME Data'!$B$13:$B$18,$C121)*1000000*(1+'1.1 Control Panel'!E$55-'1.1 Control Panel'!E$56)*SUMIFS('4.3 Global SME Data'!$C$21:$C$41,'4.3 Global SME Data'!$E$21:$E$41,$C$119)*SUMIFS('1.1 Control Panel'!E$83:E$88,'1.1 Control Panel'!C$83:C$88,$C121)*SUMIFS('1.1 Control Panel'!E$168:E$173,'1.1 Control Panel'!C$168:C$173,$C121)*SUMIFS('1.1 Control Panel'!E$253:E$258,'1.1 Control Panel'!C$253:C$258,$C121),0)</f>
        <v>7935</v>
      </c>
      <c r="F121" s="28">
        <f>ROUNDUP('1.1 Control Panel'!F$58*SUMIFS('4.3 Global SME Data'!$C$13:$C$18,'4.3 Global SME Data'!$B$13:$B$18,$C121)*1000000*(1+'1.1 Control Panel'!E$55-'1.1 Control Panel'!E$56)*(1+'1.1 Control Panel'!F$55-'1.1 Control Panel'!F$56)*SUMIFS('4.3 Global SME Data'!$C$21:$C$41,'4.3 Global SME Data'!$E$21:$E$41,$C$119)*SUMIFS('1.1 Control Panel'!F$83:F$88,'1.1 Control Panel'!C$83:C$88,$C121)*SUMIFS('1.1 Control Panel'!F$168:F$173,'1.1 Control Panel'!C$168:C$173,$C121)*SUMIFS('1.1 Control Panel'!F$253:F$258,'1.1 Control Panel'!C$253:C$258,$C121),0)</f>
        <v>8165</v>
      </c>
      <c r="G121" s="28">
        <f>ROUNDUP('1.1 Control Panel'!G$58*SUMIFS('4.3 Global SME Data'!$C$13:$C$18,'4.3 Global SME Data'!$B$13:$B$18,$C121)*1000000*(1+'1.1 Control Panel'!E$55-'1.1 Control Panel'!E$56)*(1+'1.1 Control Panel'!F$55-'1.1 Control Panel'!F$56)*(1+'1.1 Control Panel'!G$55-'1.1 Control Panel'!G$56)*SUMIFS('4.3 Global SME Data'!$C$21:$C$41,'4.3 Global SME Data'!$E$21:$E$41,$C$119)*SUMIFS('1.1 Control Panel'!G$83:G$88,'1.1 Control Panel'!C$83:C$88,$C121)*SUMIFS('1.1 Control Panel'!G$168:G$173,'1.1 Control Panel'!C$168:C$173,$C121)*SUMIFS('1.1 Control Panel'!G$253:G$258,'1.1 Control Panel'!C$253:C$258,$C121),0)</f>
        <v>8553</v>
      </c>
      <c r="H121" s="28">
        <f>ROUNDUP('1.1 Control Panel'!H$58*SUMIFS('4.3 Global SME Data'!$C$13:$C$18,'4.3 Global SME Data'!$B$13:$B$18,$C121)*1000000*(1+'1.1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Data'!$E$21:$E$41,$C$119)*SUMIFS('1.1 Control Panel'!H$83:H$88,'1.1 Control Panel'!C$83:C$88,$C121)*SUMIFS('1.1 Control Panel'!H$168:H$173,'1.1 Control Panel'!C$168:C$173,$C121)*SUMIFS('1.1 Control Panel'!H$253:H$258,'1.1 Control Panel'!C$253:C$258,$C121),0)</f>
        <v>8943</v>
      </c>
      <c r="J121" s="20"/>
    </row>
    <row r="122" spans="2:10" ht="11.5" customHeight="1" x14ac:dyDescent="0.25">
      <c r="C122" s="20" t="s">
        <v>454</v>
      </c>
      <c r="D122" s="34" t="s">
        <v>162</v>
      </c>
      <c r="E122" s="28">
        <f>ROUNDUP('1.1 Control Panel'!E$58*SUMIFS('4.3 Global SME Data'!$C$13:$C$18,'4.3 Global SME Data'!$B$13:$B$18,$C122)*1000000*(1+'1.1 Control Panel'!E$55-'1.1 Control Panel'!E$56)*SUMIFS('4.3 Global SME Data'!$C$21:$C$41,'4.3 Global SME Data'!$E$21:$E$41,$C$119)*SUMIFS('1.1 Control Panel'!E$83:E$88,'1.1 Control Panel'!C$83:C$88,$C122)*SUMIFS('1.1 Control Panel'!E$168:E$173,'1.1 Control Panel'!C$168:C$173,$C122)*SUMIFS('1.1 Control Panel'!E$253:E$258,'1.1 Control Panel'!C$253:C$258,$C122),0)</f>
        <v>6885</v>
      </c>
      <c r="F122" s="28">
        <f>ROUNDUP('1.1 Control Panel'!F$58*SUMIFS('4.3 Global SME Data'!$C$13:$C$18,'4.3 Global SME Data'!$B$13:$B$18,$C122)*1000000*(1+'1.1 Control Panel'!E$55-'1.1 Control Panel'!E$56)*(1+'1.1 Control Panel'!F$55-'1.1 Control Panel'!F$56)*SUMIFS('4.3 Global SME Data'!$C$21:$C$41,'4.3 Global SME Data'!$E$21:$E$41,$C$119)*SUMIFS('1.1 Control Panel'!F$83:F$88,'1.1 Control Panel'!C$83:C$88,$C122)*SUMIFS('1.1 Control Panel'!F$168:F$173,'1.1 Control Panel'!C$168:C$173,$C122)*SUMIFS('1.1 Control Panel'!F$253:F$258,'1.1 Control Panel'!C$253:C$258,$C122),0)</f>
        <v>7026</v>
      </c>
      <c r="G122" s="28">
        <f>ROUNDUP('1.1 Control Panel'!G$58*SUMIFS('4.3 Global SME Data'!$C$13:$C$18,'4.3 Global SME Data'!$B$13:$B$18,$C122)*1000000*(1+'1.1 Control Panel'!E$55-'1.1 Control Panel'!E$56)*(1+'1.1 Control Panel'!F$55-'1.1 Control Panel'!F$56)*(1+'1.1 Control Panel'!G$55-'1.1 Control Panel'!G$56)*SUMIFS('4.3 Global SME Data'!$C$21:$C$41,'4.3 Global SME Data'!$E$21:$E$41,$C$119)*SUMIFS('1.1 Control Panel'!G$83:G$88,'1.1 Control Panel'!C$83:C$88,$C122)*SUMIFS('1.1 Control Panel'!G$168:G$173,'1.1 Control Panel'!C$168:C$173,$C122)*SUMIFS('1.1 Control Panel'!G$253:G$258,'1.1 Control Panel'!C$253:C$258,$C122),0)</f>
        <v>7262</v>
      </c>
      <c r="H122" s="28">
        <f>ROUNDUP('1.1 Control Panel'!H$58*SUMIFS('4.3 Global SME Data'!$C$13:$C$18,'4.3 Global SME Data'!$B$13:$B$18,$C122)*1000000*(1+'1.1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Data'!$E$21:$E$41,$C$119)*SUMIFS('1.1 Control Panel'!H$83:H$88,'1.1 Control Panel'!C$83:C$88,$C122)*SUMIFS('1.1 Control Panel'!H$168:H$173,'1.1 Control Panel'!C$168:C$173,$C122)*SUMIFS('1.1 Control Panel'!H$253:H$258,'1.1 Control Panel'!C$253:C$258,$C122),0)</f>
        <v>7497</v>
      </c>
      <c r="J122" s="20"/>
    </row>
    <row r="123" spans="2:10" ht="11.5" customHeight="1" x14ac:dyDescent="0.25">
      <c r="C123" s="21" t="s">
        <v>455</v>
      </c>
      <c r="D123" s="38" t="s">
        <v>162</v>
      </c>
      <c r="E123" s="376">
        <f>ROUNDUP('1.1 Control Panel'!E$58*SUMIFS('4.3 Global SME Data'!$C$13:$C$18,'4.3 Global SME Data'!$B$13:$B$18,$C123)*1000000*(1+'1.1 Control Panel'!E$55-'1.1 Control Panel'!E$56)*SUMIFS('4.3 Global SME Data'!$C$21:$C$41,'4.3 Global SME Data'!$E$21:$E$41,$C$119)*SUMIFS('1.1 Control Panel'!E$83:E$88,'1.1 Control Panel'!C$83:C$88,$C123)*SUMIFS('1.1 Control Panel'!E$168:E$173,'1.1 Control Panel'!C$168:C$173,$C123)*SUMIFS('1.1 Control Panel'!E$253:E$258,'1.1 Control Panel'!C$253:C$258,$C123),0)</f>
        <v>28976</v>
      </c>
      <c r="F123" s="376">
        <f>ROUNDUP('1.1 Control Panel'!F$58*SUMIFS('4.3 Global SME Data'!$C$13:$C$18,'4.3 Global SME Data'!$B$13:$B$18,$C123)*1000000*(1+'1.1 Control Panel'!E$55-'1.1 Control Panel'!E$56)*(1+'1.1 Control Panel'!F$55-'1.1 Control Panel'!F$56)*SUMIFS('4.3 Global SME Data'!$C$21:$C$41,'4.3 Global SME Data'!$E$21:$E$41,$C$119)*SUMIFS('1.1 Control Panel'!F$83:F$88,'1.1 Control Panel'!C$83:C$88,$C123)*SUMIFS('1.1 Control Panel'!F$168:F$173,'1.1 Control Panel'!C$168:C$173,$C123)*SUMIFS('1.1 Control Panel'!F$253:F$258,'1.1 Control Panel'!C$253:C$258,$C123),0)</f>
        <v>30201</v>
      </c>
      <c r="G123" s="376">
        <f>ROUNDUP('1.1 Control Panel'!G$58*SUMIFS('4.3 Global SME Data'!$C$13:$C$18,'4.3 Global SME Data'!$B$13:$B$18,$C123)*1000000*(1+'1.1 Control Panel'!E$55-'1.1 Control Panel'!E$56)*(1+'1.1 Control Panel'!F$55-'1.1 Control Panel'!F$56)*(1+'1.1 Control Panel'!G$55-'1.1 Control Panel'!G$56)*SUMIFS('4.3 Global SME Data'!$C$21:$C$41,'4.3 Global SME Data'!$E$21:$E$41,$C$119)*SUMIFS('1.1 Control Panel'!G$83:G$88,'1.1 Control Panel'!C$83:C$88,$C123)*SUMIFS('1.1 Control Panel'!G$168:G$173,'1.1 Control Panel'!C$168:C$173,$C123)*SUMIFS('1.1 Control Panel'!G$253:G$258,'1.1 Control Panel'!C$253:C$258,$C123),0)</f>
        <v>32291</v>
      </c>
      <c r="H123" s="376">
        <f>ROUNDUP('1.1 Control Panel'!H$58*SUMIFS('4.3 Global SME Data'!$C$13:$C$18,'4.3 Global SME Data'!$B$13:$B$18,$C123)*1000000*(1+'1.1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Data'!$E$21:$E$41,$C$119)*SUMIFS('1.1 Control Panel'!H$83:H$88,'1.1 Control Panel'!C$83:C$88,$C123)*SUMIFS('1.1 Control Panel'!H$168:H$173,'1.1 Control Panel'!C$168:C$173,$C123)*SUMIFS('1.1 Control Panel'!H$253:H$258,'1.1 Control Panel'!C$253:C$258,$C123),0)</f>
        <v>34423</v>
      </c>
      <c r="J123" s="21"/>
    </row>
    <row r="124" spans="2:10" ht="11.5" customHeight="1" x14ac:dyDescent="0.25">
      <c r="C124" s="21" t="s">
        <v>393</v>
      </c>
      <c r="D124" s="38" t="s">
        <v>162</v>
      </c>
      <c r="E124" s="376">
        <f>ROUNDUP('1.1 Control Panel'!E$58*SUMIFS('4.3 Global SME Data'!$C$13:$C$18,'4.3 Global SME Data'!$B$13:$B$18,$C124)*1000000*(1+'1.1 Control Panel'!E$55-'1.1 Control Panel'!E$56)*SUMIFS('4.3 Global SME Data'!$C$21:$C$41,'4.3 Global SME Data'!$E$21:$E$41,$C$119)*SUMIFS('1.1 Control Panel'!E$83:E$88,'1.1 Control Panel'!C$83:C$88,$C124)*SUMIFS('1.1 Control Panel'!E$168:E$173,'1.1 Control Panel'!C$168:C$173,$C124)*SUMIFS('1.1 Control Panel'!E$253:E$258,'1.1 Control Panel'!C$253:C$258,$C124),0)</f>
        <v>40279</v>
      </c>
      <c r="F124" s="376">
        <f>ROUNDUP('1.1 Control Panel'!F$58*SUMIFS('4.3 Global SME Data'!$C$13:$C$18,'4.3 Global SME Data'!$B$13:$B$18,$C124)*1000000*(1+'1.1 Control Panel'!E$55-'1.1 Control Panel'!E$56)*(1+'1.1 Control Panel'!F$55-'1.1 Control Panel'!F$56)*SUMIFS('4.3 Global SME Data'!$C$21:$C$41,'4.3 Global SME Data'!$E$21:$E$41,$C$119)*SUMIFS('1.1 Control Panel'!F$83:F$88,'1.1 Control Panel'!C$83:C$88,$C124)*SUMIFS('1.1 Control Panel'!F$168:F$173,'1.1 Control Panel'!C$168:C$173,$C124)*SUMIFS('1.1 Control Panel'!F$253:F$258,'1.1 Control Panel'!C$253:C$258,$C124),0)</f>
        <v>42049</v>
      </c>
      <c r="G124" s="376">
        <f>ROUNDUP('1.1 Control Panel'!G$58*SUMIFS('4.3 Global SME Data'!$C$13:$C$18,'4.3 Global SME Data'!$B$13:$B$18,$C124)*1000000*(1+'1.1 Control Panel'!E$55-'1.1 Control Panel'!E$56)*(1+'1.1 Control Panel'!F$55-'1.1 Control Panel'!F$56)*(1+'1.1 Control Panel'!G$55-'1.1 Control Panel'!G$56)*SUMIFS('4.3 Global SME Data'!$C$21:$C$41,'4.3 Global SME Data'!$E$21:$E$41,$C$119)*SUMIFS('1.1 Control Panel'!G$83:G$88,'1.1 Control Panel'!C$83:C$88,$C124)*SUMIFS('1.1 Control Panel'!G$168:G$173,'1.1 Control Panel'!C$168:C$173,$C124)*SUMIFS('1.1 Control Panel'!G$253:G$258,'1.1 Control Panel'!C$253:C$258,$C124),0)</f>
        <v>45070</v>
      </c>
      <c r="H124" s="376">
        <f>ROUNDUP('1.1 Control Panel'!H$58*SUMIFS('4.3 Global SME Data'!$C$13:$C$18,'4.3 Global SME Data'!$B$13:$B$18,$C124)*1000000*(1+'1.1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Data'!$E$21:$E$41,$C$119)*SUMIFS('1.1 Control Panel'!H$83:H$88,'1.1 Control Panel'!C$83:C$88,$C124)*SUMIFS('1.1 Control Panel'!H$168:H$173,'1.1 Control Panel'!C$168:C$173,$C124)*SUMIFS('1.1 Control Panel'!H$253:H$258,'1.1 Control Panel'!C$253:C$258,$C124),0)</f>
        <v>48159</v>
      </c>
      <c r="J124" s="21"/>
    </row>
    <row r="125" spans="2:10" ht="11.5" customHeight="1" x14ac:dyDescent="0.25">
      <c r="C125" s="21" t="s">
        <v>456</v>
      </c>
      <c r="D125" s="38" t="s">
        <v>162</v>
      </c>
      <c r="E125" s="376">
        <f>ROUNDUP('1.1 Control Panel'!E$58*SUMIFS('4.3 Global SME Data'!$C$13:$C$18,'4.3 Global SME Data'!$B$13:$B$18,$C125)*1000000*(1+'1.1 Control Panel'!E$55-'1.1 Control Panel'!E$56)*SUMIFS('4.3 Global SME Data'!$C$21:$C$41,'4.3 Global SME Data'!$E$21:$E$41,$C$119)*SUMIFS('1.1 Control Panel'!E$83:E$88,'1.1 Control Panel'!C$83:C$88,$C125)*SUMIFS('1.1 Control Panel'!E$168:E$173,'1.1 Control Panel'!C$168:C$173,$C125)*SUMIFS('1.1 Control Panel'!E$253:E$258,'1.1 Control Panel'!C$253:C$258,$C125),0)</f>
        <v>5158</v>
      </c>
      <c r="F125" s="376">
        <f>ROUNDUP('1.1 Control Panel'!F$58*SUMIFS('4.3 Global SME Data'!$C$13:$C$18,'4.3 Global SME Data'!$B$13:$B$18,$C125)*1000000*(1+'1.1 Control Panel'!E$55-'1.1 Control Panel'!E$56)*(1+'1.1 Control Panel'!F$55-'1.1 Control Panel'!F$56)*SUMIFS('4.3 Global SME Data'!$C$21:$C$41,'4.3 Global SME Data'!$E$21:$E$41,$C$119)*SUMIFS('1.1 Control Panel'!F$83:F$88,'1.1 Control Panel'!C$83:C$88,$C125)*SUMIFS('1.1 Control Panel'!F$168:F$173,'1.1 Control Panel'!C$168:C$173,$C125)*SUMIFS('1.1 Control Panel'!F$253:F$258,'1.1 Control Panel'!C$253:C$258,$C125),0)</f>
        <v>5313</v>
      </c>
      <c r="G125" s="376">
        <f>ROUNDUP('1.1 Control Panel'!G$58*SUMIFS('4.3 Global SME Data'!$C$13:$C$18,'4.3 Global SME Data'!$B$13:$B$18,$C125)*1000000*(1+'1.1 Control Panel'!E$55-'1.1 Control Panel'!E$56)*(1+'1.1 Control Panel'!F$55-'1.1 Control Panel'!F$56)*(1+'1.1 Control Panel'!G$55-'1.1 Control Panel'!G$56)*SUMIFS('4.3 Global SME Data'!$C$21:$C$41,'4.3 Global SME Data'!$E$21:$E$41,$C$119)*SUMIFS('1.1 Control Panel'!G$83:G$88,'1.1 Control Panel'!C$83:C$88,$C125)*SUMIFS('1.1 Control Panel'!G$168:G$173,'1.1 Control Panel'!C$168:C$173,$C125)*SUMIFS('1.1 Control Panel'!G$253:G$258,'1.1 Control Panel'!C$253:C$258,$C125),0)</f>
        <v>5574</v>
      </c>
      <c r="H125" s="376">
        <f>ROUNDUP('1.1 Control Panel'!H$58*SUMIFS('4.3 Global SME Data'!$C$13:$C$18,'4.3 Global SME Data'!$B$13:$B$18,$C125)*1000000*(1+'1.1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Data'!$E$21:$E$41,$C$119)*SUMIFS('1.1 Control Panel'!H$83:H$88,'1.1 Control Panel'!C$83:C$88,$C125)*SUMIFS('1.1 Control Panel'!H$168:H$173,'1.1 Control Panel'!C$168:C$173,$C125)*SUMIFS('1.1 Control Panel'!H$253:H$258,'1.1 Control Panel'!C$253:C$258,$C125),0)</f>
        <v>5838</v>
      </c>
      <c r="J125" s="21"/>
    </row>
    <row r="126" spans="2:10" s="74" customFormat="1" ht="11.5" customHeight="1" x14ac:dyDescent="0.25">
      <c r="B126" s="99" t="s">
        <v>9</v>
      </c>
      <c r="C126" s="105" t="str">
        <f>'4.2 Sector Mapping'!$B$9</f>
        <v>Healthcare</v>
      </c>
      <c r="D126" s="106" t="s">
        <v>162</v>
      </c>
      <c r="E126" s="380">
        <f>SUM(E127:E132)</f>
        <v>60102</v>
      </c>
      <c r="F126" s="380">
        <f t="shared" ref="F126:H126" si="50">SUM(F127:F132)</f>
        <v>63627</v>
      </c>
      <c r="G126" s="380">
        <f t="shared" si="50"/>
        <v>69710</v>
      </c>
      <c r="H126" s="380">
        <f t="shared" si="50"/>
        <v>76014</v>
      </c>
      <c r="J126" s="105"/>
    </row>
    <row r="127" spans="2:10" ht="11.5" customHeight="1" x14ac:dyDescent="0.25">
      <c r="C127" s="20" t="s">
        <v>600</v>
      </c>
      <c r="D127" s="34" t="s">
        <v>162</v>
      </c>
      <c r="E127" s="28">
        <f>ROUNDUP('1.1 Control Panel'!E$58*SUMIFS('4.3 Global SME Data'!$C$13:$C$18,'4.3 Global SME Data'!$B$13:$B$18,$C127)*1000000*(1+'1.1 Control Panel'!E$55-'1.1 Control Panel'!E$56)*SUMIFS('4.3 Global SME Data'!$C$21:$C$41,'4.3 Global SME Data'!$E$21:$E$41,$C$126)*SUMIFS('1.1 Control Panel'!E$90:E$95,'1.1 Control Panel'!C$90:C$95,$C127)*SUMIFS('1.1 Control Panel'!E$175:E$180,'1.1 Control Panel'!C$175:C$180,$C127)*SUMIFS('1.1 Control Panel'!E$260:E$265,'1.1 Control Panel'!C$260:C$265,$C127),0)</f>
        <v>31089</v>
      </c>
      <c r="F127" s="28">
        <f>ROUNDUP('1.1 Control Panel'!F$58*SUMIFS('4.3 Global SME Data'!$C$13:$C$18,'4.3 Global SME Data'!$B$13:$B$18,$C127)*1000000*(1+'1.1 Control Panel'!E$55-'1.1 Control Panel'!E$56)*(1+'1.1 Control Panel'!F$55-'1.1 Control Panel'!F$56)*SUMIFS('4.3 Global SME Data'!$C$21:$C$41,'4.3 Global SME Data'!$E$21:$E$41,$C$126)*SUMIFS('1.1 Control Panel'!F$90:F$95,'1.1 Control Panel'!C$90:C$95,$C127)*SUMIFS('1.1 Control Panel'!F$175:F$180,'1.1 Control Panel'!C$175:C$180,$C127)*SUMIFS('1.1 Control Panel'!F$260:F$265,'1.1 Control Panel'!C$260:C$265,$C127),0)</f>
        <v>33202</v>
      </c>
      <c r="G127" s="28">
        <f>ROUNDUP('1.1 Control Panel'!G$58*SUMIFS('4.3 Global SME Data'!$C$13:$C$18,'4.3 Global SME Data'!$B$13:$B$18,$C127)*1000000*(1+'1.1 Control Panel'!E$55-'1.1 Control Panel'!E$56)*(1+'1.1 Control Panel'!F$55-'1.1 Control Panel'!F$56)*(1+'1.1 Control Panel'!G$55-'1.1 Control Panel'!G$56)*SUMIFS('4.3 Global SME Data'!$C$21:$C$41,'4.3 Global SME Data'!$E$21:$E$41,$C$126)*SUMIFS('1.1 Control Panel'!G$90:G$95,'1.1 Control Panel'!C$90:C$95,$C127)*SUMIFS('1.1 Control Panel'!G$175:G$180,'1.1 Control Panel'!C$175:C$180,$C127)*SUMIFS('1.1 Control Panel'!G$260:G$265,'1.1 Control Panel'!C$260:C$265,$C127),0)</f>
        <v>36863</v>
      </c>
      <c r="H127" s="28">
        <f>ROUNDUP('1.1 Control Panel'!H$58*SUMIFS('4.3 Global SME Data'!$C$13:$C$18,'4.3 Global SME Data'!$B$13:$B$18,$C127)*1000000*(1+'1.1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Data'!$E$21:$E$41,$C$126)*SUMIFS('1.1 Control Panel'!H$90:H$95,'1.1 Control Panel'!C$90:C$95,$C127)*SUMIFS('1.1 Control Panel'!H$175:H$180,'1.1 Control Panel'!C$175:C$180,$C127)*SUMIFS('1.1 Control Panel'!H$260:H$265,'1.1 Control Panel'!C$260:C$265,$C127),0)</f>
        <v>40681</v>
      </c>
      <c r="J127" s="20"/>
    </row>
    <row r="128" spans="2:10" ht="11.5" customHeight="1" x14ac:dyDescent="0.25">
      <c r="C128" s="20" t="s">
        <v>392</v>
      </c>
      <c r="D128" s="34" t="s">
        <v>162</v>
      </c>
      <c r="E128" s="28">
        <f>ROUNDUP('1.1 Control Panel'!E$58*SUMIFS('4.3 Global SME Data'!$C$13:$C$18,'4.3 Global SME Data'!$B$13:$B$18,$C128)*1000000*(1+'1.1 Control Panel'!E$55-'1.1 Control Panel'!E$56)*SUMIFS('4.3 Global SME Data'!$C$21:$C$41,'4.3 Global SME Data'!$E$21:$E$41,$C$126)*SUMIFS('1.1 Control Panel'!E$90:E$95,'1.1 Control Panel'!C$90:C$95,$C128)*SUMIFS('1.1 Control Panel'!E$175:E$180,'1.1 Control Panel'!C$175:C$180,$C128)*SUMIFS('1.1 Control Panel'!E$260:E$265,'1.1 Control Panel'!C$260:C$265,$C128),0)</f>
        <v>2050</v>
      </c>
      <c r="F128" s="28">
        <f>ROUNDUP('1.1 Control Panel'!F$58*SUMIFS('4.3 Global SME Data'!$C$13:$C$18,'4.3 Global SME Data'!$B$13:$B$18,$C128)*1000000*(1+'1.1 Control Panel'!E$55-'1.1 Control Panel'!E$56)*(1+'1.1 Control Panel'!F$55-'1.1 Control Panel'!F$56)*SUMIFS('4.3 Global SME Data'!$C$21:$C$41,'4.3 Global SME Data'!$E$21:$E$41,$C$126)*SUMIFS('1.1 Control Panel'!F$90:F$95,'1.1 Control Panel'!C$90:C$95,$C128)*SUMIFS('1.1 Control Panel'!F$175:F$180,'1.1 Control Panel'!C$175:C$180,$C128)*SUMIFS('1.1 Control Panel'!F$260:F$265,'1.1 Control Panel'!C$260:C$265,$C128),0)</f>
        <v>2131</v>
      </c>
      <c r="G128" s="28">
        <f>ROUNDUP('1.1 Control Panel'!G$58*SUMIFS('4.3 Global SME Data'!$C$13:$C$18,'4.3 Global SME Data'!$B$13:$B$18,$C128)*1000000*(1+'1.1 Control Panel'!E$55-'1.1 Control Panel'!E$56)*(1+'1.1 Control Panel'!F$55-'1.1 Control Panel'!F$56)*(1+'1.1 Control Panel'!G$55-'1.1 Control Panel'!G$56)*SUMIFS('4.3 Global SME Data'!$C$21:$C$41,'4.3 Global SME Data'!$E$21:$E$41,$C$126)*SUMIFS('1.1 Control Panel'!G$90:G$95,'1.1 Control Panel'!C$90:C$95,$C128)*SUMIFS('1.1 Control Panel'!G$175:G$180,'1.1 Control Panel'!C$175:C$180,$C128)*SUMIFS('1.1 Control Panel'!G$260:G$265,'1.1 Control Panel'!C$260:C$265,$C128),0)</f>
        <v>2270</v>
      </c>
      <c r="H128" s="28">
        <f>ROUNDUP('1.1 Control Panel'!H$58*SUMIFS('4.3 Global SME Data'!$C$13:$C$18,'4.3 Global SME Data'!$B$13:$B$18,$C128)*1000000*(1+'1.1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Data'!$E$21:$E$41,$C$126)*SUMIFS('1.1 Control Panel'!H$90:H$95,'1.1 Control Panel'!C$90:C$95,$C128)*SUMIFS('1.1 Control Panel'!H$175:H$180,'1.1 Control Panel'!C$175:C$180,$C128)*SUMIFS('1.1 Control Panel'!H$260:H$265,'1.1 Control Panel'!C$260:C$265,$C128),0)</f>
        <v>2410</v>
      </c>
      <c r="J128" s="20"/>
    </row>
    <row r="129" spans="2:10" ht="11.5" customHeight="1" x14ac:dyDescent="0.25">
      <c r="C129" s="20" t="s">
        <v>454</v>
      </c>
      <c r="D129" s="34" t="s">
        <v>162</v>
      </c>
      <c r="E129" s="28">
        <f>ROUNDUP('1.1 Control Panel'!E$58*SUMIFS('4.3 Global SME Data'!$C$13:$C$18,'4.3 Global SME Data'!$B$13:$B$18,$C129)*1000000*(1+'1.1 Control Panel'!E$55-'1.1 Control Panel'!E$56)*SUMIFS('4.3 Global SME Data'!$C$21:$C$41,'4.3 Global SME Data'!$E$21:$E$41,$C$126)*SUMIFS('1.1 Control Panel'!E$90:E$95,'1.1 Control Panel'!C$90:C$95,$C129)*SUMIFS('1.1 Control Panel'!E$175:E$180,'1.1 Control Panel'!C$175:C$180,$C129)*SUMIFS('1.1 Control Panel'!E$260:E$265,'1.1 Control Panel'!C$260:C$265,$C129),0)</f>
        <v>1395</v>
      </c>
      <c r="F129" s="28">
        <f>ROUNDUP('1.1 Control Panel'!F$58*SUMIFS('4.3 Global SME Data'!$C$13:$C$18,'4.3 Global SME Data'!$B$13:$B$18,$C129)*1000000*(1+'1.1 Control Panel'!E$55-'1.1 Control Panel'!E$56)*(1+'1.1 Control Panel'!F$55-'1.1 Control Panel'!F$56)*SUMIFS('4.3 Global SME Data'!$C$21:$C$41,'4.3 Global SME Data'!$E$21:$E$41,$C$126)*SUMIFS('1.1 Control Panel'!F$90:F$95,'1.1 Control Panel'!C$90:C$95,$C129)*SUMIFS('1.1 Control Panel'!F$175:F$180,'1.1 Control Panel'!C$175:C$180,$C129)*SUMIFS('1.1 Control Panel'!F$260:F$265,'1.1 Control Panel'!C$260:C$265,$C129),0)</f>
        <v>1439</v>
      </c>
      <c r="G129" s="28">
        <f>ROUNDUP('1.1 Control Panel'!G$58*SUMIFS('4.3 Global SME Data'!$C$13:$C$18,'4.3 Global SME Data'!$B$13:$B$18,$C129)*1000000*(1+'1.1 Control Panel'!E$55-'1.1 Control Panel'!E$56)*(1+'1.1 Control Panel'!F$55-'1.1 Control Panel'!F$56)*(1+'1.1 Control Panel'!G$55-'1.1 Control Panel'!G$56)*SUMIFS('4.3 Global SME Data'!$C$21:$C$41,'4.3 Global SME Data'!$E$21:$E$41,$C$126)*SUMIFS('1.1 Control Panel'!G$90:G$95,'1.1 Control Panel'!C$90:C$95,$C129)*SUMIFS('1.1 Control Panel'!G$175:G$180,'1.1 Control Panel'!C$175:C$180,$C129)*SUMIFS('1.1 Control Panel'!G$260:G$265,'1.1 Control Panel'!C$260:C$265,$C129),0)</f>
        <v>1514</v>
      </c>
      <c r="H129" s="28">
        <f>ROUNDUP('1.1 Control Panel'!H$58*SUMIFS('4.3 Global SME Data'!$C$13:$C$18,'4.3 Global SME Data'!$B$13:$B$18,$C129)*1000000*(1+'1.1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Data'!$E$21:$E$41,$C$126)*SUMIFS('1.1 Control Panel'!H$90:H$95,'1.1 Control Panel'!C$90:C$95,$C129)*SUMIFS('1.1 Control Panel'!H$175:H$180,'1.1 Control Panel'!C$175:C$180,$C129)*SUMIFS('1.1 Control Panel'!H$260:H$265,'1.1 Control Panel'!C$260:C$265,$C129),0)</f>
        <v>1589</v>
      </c>
      <c r="J129" s="20"/>
    </row>
    <row r="130" spans="2:10" ht="11.5" customHeight="1" x14ac:dyDescent="0.25">
      <c r="C130" s="21" t="s">
        <v>455</v>
      </c>
      <c r="D130" s="38" t="s">
        <v>162</v>
      </c>
      <c r="E130" s="376">
        <f>ROUNDUP('1.1 Control Panel'!E$58*SUMIFS('4.3 Global SME Data'!$C$13:$C$18,'4.3 Global SME Data'!$B$13:$B$18,$C130)*1000000*(1+'1.1 Control Panel'!E$55-'1.1 Control Panel'!E$56)*SUMIFS('4.3 Global SME Data'!$C$21:$C$41,'4.3 Global SME Data'!$E$21:$E$41,$C$126)*SUMIFS('1.1 Control Panel'!E$90:E$95,'1.1 Control Panel'!C$90:C$95,$C130)*SUMIFS('1.1 Control Panel'!E$175:E$180,'1.1 Control Panel'!C$175:C$180,$C130)*SUMIFS('1.1 Control Panel'!E$260:E$265,'1.1 Control Panel'!C$260:C$265,$C130),0)</f>
        <v>8383</v>
      </c>
      <c r="F130" s="376">
        <f>ROUNDUP('1.1 Control Panel'!F$58*SUMIFS('4.3 Global SME Data'!$C$13:$C$18,'4.3 Global SME Data'!$B$13:$B$18,$C130)*1000000*(1+'1.1 Control Panel'!E$55-'1.1 Control Panel'!E$56)*(1+'1.1 Control Panel'!F$55-'1.1 Control Panel'!F$56)*SUMIFS('4.3 Global SME Data'!$C$21:$C$41,'4.3 Global SME Data'!$E$21:$E$41,$C$126)*SUMIFS('1.1 Control Panel'!F$90:F$95,'1.1 Control Panel'!C$90:C$95,$C130)*SUMIFS('1.1 Control Panel'!F$175:F$180,'1.1 Control Panel'!C$175:C$180,$C130)*SUMIFS('1.1 Control Panel'!F$260:F$265,'1.1 Control Panel'!C$260:C$265,$C130),0)</f>
        <v>8844</v>
      </c>
      <c r="G130" s="28">
        <f>ROUNDUP('1.1 Control Panel'!G$58*SUMIFS('4.3 Global SME Data'!$C$13:$C$18,'4.3 Global SME Data'!$B$13:$B$18,$C130)*1000000*(1+'1.1 Control Panel'!E$55-'1.1 Control Panel'!E$56)*(1+'1.1 Control Panel'!F$55-'1.1 Control Panel'!F$56)*(1+'1.1 Control Panel'!G$55-'1.1 Control Panel'!G$56)*SUMIFS('4.3 Global SME Data'!$C$21:$C$41,'4.3 Global SME Data'!$E$21:$E$41,$C$126)*SUMIFS('1.1 Control Panel'!G$90:G$95,'1.1 Control Panel'!C$90:C$95,$C130)*SUMIFS('1.1 Control Panel'!G$175:G$180,'1.1 Control Panel'!C$175:C$180,$C130)*SUMIFS('1.1 Control Panel'!G$260:G$265,'1.1 Control Panel'!C$260:C$265,$C130),0)</f>
        <v>9638</v>
      </c>
      <c r="H130" s="28">
        <f>ROUNDUP('1.1 Control Panel'!H$58*SUMIFS('4.3 Global SME Data'!$C$13:$C$18,'4.3 Global SME Data'!$B$13:$B$18,$C130)*1000000*(1+'1.1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Data'!$E$21:$E$41,$C$126)*SUMIFS('1.1 Control Panel'!H$90:H$95,'1.1 Control Panel'!C$90:C$95,$C130)*SUMIFS('1.1 Control Panel'!H$175:H$180,'1.1 Control Panel'!C$175:C$180,$C130)*SUMIFS('1.1 Control Panel'!H$260:H$265,'1.1 Control Panel'!C$260:C$265,$C130),0)</f>
        <v>10458</v>
      </c>
      <c r="J130" s="21"/>
    </row>
    <row r="131" spans="2:10" ht="11.5" customHeight="1" x14ac:dyDescent="0.25">
      <c r="C131" s="21" t="s">
        <v>393</v>
      </c>
      <c r="D131" s="38" t="s">
        <v>162</v>
      </c>
      <c r="E131" s="376">
        <f>ROUNDUP('1.1 Control Panel'!E$58*SUMIFS('4.3 Global SME Data'!$C$13:$C$18,'4.3 Global SME Data'!$B$13:$B$18,$C131)*1000000*(1+'1.1 Control Panel'!E$55-'1.1 Control Panel'!E$56)*SUMIFS('4.3 Global SME Data'!$C$21:$C$41,'4.3 Global SME Data'!$E$21:$E$41,$C$126)*SUMIFS('1.1 Control Panel'!E$90:E$95,'1.1 Control Panel'!C$90:C$95,$C131)*SUMIFS('1.1 Control Panel'!E$175:E$180,'1.1 Control Panel'!C$175:C$180,$C131)*SUMIFS('1.1 Control Panel'!E$260:E$265,'1.1 Control Panel'!C$260:C$265,$C131),0)</f>
        <v>15053</v>
      </c>
      <c r="F131" s="376">
        <f>ROUNDUP('1.1 Control Panel'!F$58*SUMIFS('4.3 Global SME Data'!$C$13:$C$18,'4.3 Global SME Data'!$B$13:$B$18,$C131)*1000000*(1+'1.1 Control Panel'!E$55-'1.1 Control Panel'!E$56)*(1+'1.1 Control Panel'!F$55-'1.1 Control Panel'!F$56)*SUMIFS('4.3 Global SME Data'!$C$21:$C$41,'4.3 Global SME Data'!$E$21:$E$41,$C$126)*SUMIFS('1.1 Control Panel'!F$90:F$95,'1.1 Control Panel'!C$90:C$95,$C131)*SUMIFS('1.1 Control Panel'!F$175:F$180,'1.1 Control Panel'!C$175:C$180,$C131)*SUMIFS('1.1 Control Panel'!F$260:F$265,'1.1 Control Panel'!C$260:C$265,$C131),0)</f>
        <v>15809</v>
      </c>
      <c r="G131" s="28">
        <f>ROUNDUP('1.1 Control Panel'!G$58*SUMIFS('4.3 Global SME Data'!$C$13:$C$18,'4.3 Global SME Data'!$B$13:$B$18,$C131)*1000000*(1+'1.1 Control Panel'!E$55-'1.1 Control Panel'!E$56)*(1+'1.1 Control Panel'!F$55-'1.1 Control Panel'!F$56)*(1+'1.1 Control Panel'!G$55-'1.1 Control Panel'!G$56)*SUMIFS('4.3 Global SME Data'!$C$21:$C$41,'4.3 Global SME Data'!$E$21:$E$41,$C$126)*SUMIFS('1.1 Control Panel'!G$90:G$95,'1.1 Control Panel'!C$90:C$95,$C131)*SUMIFS('1.1 Control Panel'!G$175:G$180,'1.1 Control Panel'!C$175:C$180,$C131)*SUMIFS('1.1 Control Panel'!G$260:G$265,'1.1 Control Panel'!C$260:C$265,$C131),0)</f>
        <v>17104</v>
      </c>
      <c r="H131" s="28">
        <f>ROUNDUP('1.1 Control Panel'!H$58*SUMIFS('4.3 Global SME Data'!$C$13:$C$18,'4.3 Global SME Data'!$B$13:$B$18,$C131)*1000000*(1+'1.1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Data'!$E$21:$E$41,$C$126)*SUMIFS('1.1 Control Panel'!H$90:H$95,'1.1 Control Panel'!C$90:C$95,$C131)*SUMIFS('1.1 Control Panel'!H$175:H$180,'1.1 Control Panel'!C$175:C$180,$C131)*SUMIFS('1.1 Control Panel'!H$260:H$265,'1.1 Control Panel'!C$260:C$265,$C131),0)</f>
        <v>18435</v>
      </c>
      <c r="J131" s="21"/>
    </row>
    <row r="132" spans="2:10" ht="11.5" customHeight="1" x14ac:dyDescent="0.25">
      <c r="C132" s="21" t="s">
        <v>456</v>
      </c>
      <c r="D132" s="38" t="s">
        <v>162</v>
      </c>
      <c r="E132" s="376">
        <f>ROUNDUP('1.1 Control Panel'!E$58*SUMIFS('4.3 Global SME Data'!$C$13:$C$18,'4.3 Global SME Data'!$B$13:$B$18,$C132)*1000000*(1+'1.1 Control Panel'!E$55-'1.1 Control Panel'!E$56)*SUMIFS('4.3 Global SME Data'!$C$21:$C$41,'4.3 Global SME Data'!$E$21:$E$41,$C$126)*SUMIFS('1.1 Control Panel'!E$90:E$95,'1.1 Control Panel'!C$90:C$95,$C132)*SUMIFS('1.1 Control Panel'!E$175:E$180,'1.1 Control Panel'!C$175:C$180,$C132)*SUMIFS('1.1 Control Panel'!E$260:E$265,'1.1 Control Panel'!C$260:C$265,$C132),0)</f>
        <v>2132</v>
      </c>
      <c r="F132" s="376">
        <f>ROUNDUP('1.1 Control Panel'!F$58*SUMIFS('4.3 Global SME Data'!$C$13:$C$18,'4.3 Global SME Data'!$B$13:$B$18,$C132)*1000000*(1+'1.1 Control Panel'!E$55-'1.1 Control Panel'!E$56)*(1+'1.1 Control Panel'!F$55-'1.1 Control Panel'!F$56)*SUMIFS('4.3 Global SME Data'!$C$21:$C$41,'4.3 Global SME Data'!$E$21:$E$41,$C$126)*SUMIFS('1.1 Control Panel'!F$90:F$95,'1.1 Control Panel'!C$90:C$95,$C132)*SUMIFS('1.1 Control Panel'!F$175:F$180,'1.1 Control Panel'!C$175:C$180,$C132)*SUMIFS('1.1 Control Panel'!F$260:F$265,'1.1 Control Panel'!C$260:C$265,$C132),0)</f>
        <v>2202</v>
      </c>
      <c r="G132" s="28">
        <f>ROUNDUP('1.1 Control Panel'!G$58*SUMIFS('4.3 Global SME Data'!$C$13:$C$18,'4.3 Global SME Data'!$B$13:$B$18,$C132)*1000000*(1+'1.1 Control Panel'!E$55-'1.1 Control Panel'!E$56)*(1+'1.1 Control Panel'!F$55-'1.1 Control Panel'!F$56)*(1+'1.1 Control Panel'!G$55-'1.1 Control Panel'!G$56)*SUMIFS('4.3 Global SME Data'!$C$21:$C$41,'4.3 Global SME Data'!$E$21:$E$41,$C$126)*SUMIFS('1.1 Control Panel'!G$90:G$95,'1.1 Control Panel'!C$90:C$95,$C132)*SUMIFS('1.1 Control Panel'!G$175:G$180,'1.1 Control Panel'!C$175:C$180,$C132)*SUMIFS('1.1 Control Panel'!G$260:G$265,'1.1 Control Panel'!C$260:C$265,$C132),0)</f>
        <v>2321</v>
      </c>
      <c r="H132" s="28">
        <f>ROUNDUP('1.1 Control Panel'!H$58*SUMIFS('4.3 Global SME Data'!$C$13:$C$18,'4.3 Global SME Data'!$B$13:$B$18,$C132)*1000000*(1+'1.1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Data'!$E$21:$E$41,$C$126)*SUMIFS('1.1 Control Panel'!H$90:H$95,'1.1 Control Panel'!C$90:C$95,$C132)*SUMIFS('1.1 Control Panel'!H$175:H$180,'1.1 Control Panel'!C$175:C$180,$C132)*SUMIFS('1.1 Control Panel'!H$260:H$265,'1.1 Control Panel'!C$260:C$265,$C132),0)</f>
        <v>2441</v>
      </c>
      <c r="J132" s="21"/>
    </row>
    <row r="133" spans="2:10" s="74" customFormat="1" ht="11.5" customHeight="1" x14ac:dyDescent="0.25">
      <c r="B133" s="99" t="s">
        <v>9</v>
      </c>
      <c r="C133" s="105" t="str">
        <f>'4.2 Sector Mapping'!$B$10</f>
        <v>Industrials and Services</v>
      </c>
      <c r="D133" s="106" t="s">
        <v>162</v>
      </c>
      <c r="E133" s="380">
        <f>SUM(E134:E139)</f>
        <v>206175</v>
      </c>
      <c r="F133" s="380">
        <f t="shared" ref="F133:H133" si="51">SUM(F134:F139)</f>
        <v>216278</v>
      </c>
      <c r="G133" s="380">
        <f t="shared" si="51"/>
        <v>233577</v>
      </c>
      <c r="H133" s="380">
        <f t="shared" si="51"/>
        <v>251340</v>
      </c>
      <c r="J133" s="105"/>
    </row>
    <row r="134" spans="2:10" ht="11.5" customHeight="1" x14ac:dyDescent="0.25">
      <c r="C134" s="20" t="s">
        <v>600</v>
      </c>
      <c r="D134" s="34" t="s">
        <v>162</v>
      </c>
      <c r="E134" s="28">
        <f>ROUNDUP('1.1 Control Panel'!E$58*SUMIFS('4.3 Global SME Data'!$C$13:$C$18,'4.3 Global SME Data'!$B$13:$B$18,$C134)*1000000*(1+'1.1 Control Panel'!E$55-'1.1 Control Panel'!E$56)*SUMIFS('4.3 Global SME Data'!$C$21:$C$41,'4.3 Global SME Data'!$E$21:$E$41,$C$133)*SUMIFS('1.1 Control Panel'!E$97:E$102,'1.1 Control Panel'!C$97:C$102,$C134)*SUMIFS('1.1 Control Panel'!E$182:E$187,'1.1 Control Panel'!C$182:C$187,$C134)*SUMIFS('1.1 Control Panel'!E$267:E$272,'1.1 Control Panel'!C$267:C$272,$C134),0)</f>
        <v>121805</v>
      </c>
      <c r="F134" s="28">
        <f>ROUNDUP('1.1 Control Panel'!F$58*SUMIFS('4.3 Global SME Data'!$C$13:$C$18,'4.3 Global SME Data'!$B$13:$B$18,$C134)*1000000*(1+'1.1 Control Panel'!E$55-'1.1 Control Panel'!E$56)*(1+'1.1 Control Panel'!F$55-'1.1 Control Panel'!F$56)*SUMIFS('4.3 Global SME Data'!$C$21:$C$41,'4.3 Global SME Data'!$E$21:$E$41,$C$133)*SUMIFS('1.1 Control Panel'!F$97:F$102,'1.1 Control Panel'!C$97:C$102,$C134)*SUMIFS('1.1 Control Panel'!F$182:F$187,'1.1 Control Panel'!C$182:C$187,$C134)*SUMIFS('1.1 Control Panel'!F$267:F$272,'1.1 Control Panel'!C$267:C$272,$C134),0)</f>
        <v>128202</v>
      </c>
      <c r="G134" s="28">
        <f>ROUNDUP('1.1 Control Panel'!G$58*SUMIFS('4.3 Global SME Data'!$C$13:$C$18,'4.3 Global SME Data'!$B$13:$B$18,$C134)*1000000*(1+'1.1 Control Panel'!E$55-'1.1 Control Panel'!E$56)*(1+'1.1 Control Panel'!F$55-'1.1 Control Panel'!F$56)*(1+'1.1 Control Panel'!G$55-'1.1 Control Panel'!G$56)*SUMIFS('4.3 Global SME Data'!$C$21:$C$41,'4.3 Global SME Data'!$E$21:$E$41,$C$133)*SUMIFS('1.1 Control Panel'!G$97:G$102,'1.1 Control Panel'!C$97:C$102,$C134)*SUMIFS('1.1 Control Panel'!G$182:G$187,'1.1 Control Panel'!C$182:C$187,$C134)*SUMIFS('1.1 Control Panel'!G$267:G$272,'1.1 Control Panel'!C$267:C$272,$C134),0)</f>
        <v>139176</v>
      </c>
      <c r="H134" s="28">
        <f>ROUNDUP('1.1 Control Panel'!H$58*SUMIFS('4.3 Global SME Data'!$C$13:$C$18,'4.3 Global SME Data'!$B$13:$B$18,$C134)*1000000*(1+'1.1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Data'!$E$21:$E$41,$C$133)*SUMIFS('1.1 Control Panel'!H$97:H$102,'1.1 Control Panel'!C$97:C$102,$C134)*SUMIFS('1.1 Control Panel'!H$182:H$187,'1.1 Control Panel'!C$182:C$187,$C134)*SUMIFS('1.1 Control Panel'!H$267:H$272,'1.1 Control Panel'!C$267:C$272,$C134),0)</f>
        <v>150473</v>
      </c>
      <c r="J134" s="20"/>
    </row>
    <row r="135" spans="2:10" ht="11.5" customHeight="1" x14ac:dyDescent="0.25">
      <c r="C135" s="20" t="s">
        <v>392</v>
      </c>
      <c r="D135" s="34" t="s">
        <v>162</v>
      </c>
      <c r="E135" s="28">
        <f>ROUNDUP('1.1 Control Panel'!E$58*SUMIFS('4.3 Global SME Data'!$C$13:$C$18,'4.3 Global SME Data'!$B$13:$B$18,$C135)*1000000*(1+'1.1 Control Panel'!E$55-'1.1 Control Panel'!E$56)*SUMIFS('4.3 Global SME Data'!$C$21:$C$41,'4.3 Global SME Data'!$E$21:$E$41,$C$133)*SUMIFS('1.1 Control Panel'!E$97:E$102,'1.1 Control Panel'!C$97:C$102,$C135)*SUMIFS('1.1 Control Panel'!E$182:E$187,'1.1 Control Panel'!C$182:C$187,$C135)*SUMIFS('1.1 Control Panel'!E$267:E$272,'1.1 Control Panel'!C$267:C$272,$C135),0)</f>
        <v>3533</v>
      </c>
      <c r="F135" s="28">
        <f>ROUNDUP('1.1 Control Panel'!F$58*SUMIFS('4.3 Global SME Data'!$C$13:$C$18,'4.3 Global SME Data'!$B$13:$B$18,$C135)*1000000*(1+'1.1 Control Panel'!E$55-'1.1 Control Panel'!E$56)*(1+'1.1 Control Panel'!F$55-'1.1 Control Panel'!F$56)*SUMIFS('4.3 Global SME Data'!$C$21:$C$41,'4.3 Global SME Data'!$E$21:$E$41,$C$133)*SUMIFS('1.1 Control Panel'!F$97:F$102,'1.1 Control Panel'!C$97:C$102,$C135)*SUMIFS('1.1 Control Panel'!F$182:F$187,'1.1 Control Panel'!C$182:C$187,$C135)*SUMIFS('1.1 Control Panel'!F$267:F$272,'1.1 Control Panel'!C$267:C$272,$C135),0)</f>
        <v>3699</v>
      </c>
      <c r="G135" s="28">
        <f>ROUNDUP('1.1 Control Panel'!G$58*SUMIFS('4.3 Global SME Data'!$C$13:$C$18,'4.3 Global SME Data'!$B$13:$B$18,$C135)*1000000*(1+'1.1 Control Panel'!E$55-'1.1 Control Panel'!E$56)*(1+'1.1 Control Panel'!F$55-'1.1 Control Panel'!F$56)*(1+'1.1 Control Panel'!G$55-'1.1 Control Panel'!G$56)*SUMIFS('4.3 Global SME Data'!$C$21:$C$41,'4.3 Global SME Data'!$E$21:$E$41,$C$133)*SUMIFS('1.1 Control Panel'!G$97:G$102,'1.1 Control Panel'!C$97:C$102,$C135)*SUMIFS('1.1 Control Panel'!G$182:G$187,'1.1 Control Panel'!C$182:C$187,$C135)*SUMIFS('1.1 Control Panel'!G$267:G$272,'1.1 Control Panel'!C$267:C$272,$C135),0)</f>
        <v>3982</v>
      </c>
      <c r="H135" s="28">
        <f>ROUNDUP('1.1 Control Panel'!H$58*SUMIFS('4.3 Global SME Data'!$C$13:$C$18,'4.3 Global SME Data'!$B$13:$B$18,$C135)*1000000*(1+'1.1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Data'!$E$21:$E$41,$C$133)*SUMIFS('1.1 Control Panel'!H$97:H$102,'1.1 Control Panel'!C$97:C$102,$C135)*SUMIFS('1.1 Control Panel'!H$182:H$187,'1.1 Control Panel'!C$182:C$187,$C135)*SUMIFS('1.1 Control Panel'!H$267:H$272,'1.1 Control Panel'!C$267:C$272,$C135),0)</f>
        <v>4271</v>
      </c>
      <c r="J135" s="20"/>
    </row>
    <row r="136" spans="2:10" ht="11.5" customHeight="1" x14ac:dyDescent="0.25">
      <c r="C136" s="20" t="s">
        <v>454</v>
      </c>
      <c r="D136" s="34" t="s">
        <v>162</v>
      </c>
      <c r="E136" s="28">
        <f>ROUNDUP('1.1 Control Panel'!E$58*SUMIFS('4.3 Global SME Data'!$C$13:$C$18,'4.3 Global SME Data'!$B$13:$B$18,$C136)*1000000*(1+'1.1 Control Panel'!E$55-'1.1 Control Panel'!E$56)*SUMIFS('4.3 Global SME Data'!$C$21:$C$41,'4.3 Global SME Data'!$E$21:$E$41,$C$133)*SUMIFS('1.1 Control Panel'!E$97:E$102,'1.1 Control Panel'!C$97:C$102,$C136)*SUMIFS('1.1 Control Panel'!E$182:E$187,'1.1 Control Panel'!C$182:C$187,$C136)*SUMIFS('1.1 Control Panel'!E$267:E$272,'1.1 Control Panel'!C$267:C$272,$C136),0)</f>
        <v>2517</v>
      </c>
      <c r="F136" s="28">
        <f>ROUNDUP('1.1 Control Panel'!F$58*SUMIFS('4.3 Global SME Data'!$C$13:$C$18,'4.3 Global SME Data'!$B$13:$B$18,$C136)*1000000*(1+'1.1 Control Panel'!E$55-'1.1 Control Panel'!E$56)*(1+'1.1 Control Panel'!F$55-'1.1 Control Panel'!F$56)*SUMIFS('4.3 Global SME Data'!$C$21:$C$41,'4.3 Global SME Data'!$E$21:$E$41,$C$133)*SUMIFS('1.1 Control Panel'!F$97:F$102,'1.1 Control Panel'!C$97:C$102,$C136)*SUMIFS('1.1 Control Panel'!F$182:F$187,'1.1 Control Panel'!C$182:C$187,$C136)*SUMIFS('1.1 Control Panel'!F$267:F$272,'1.1 Control Panel'!C$267:C$272,$C136),0)</f>
        <v>2612</v>
      </c>
      <c r="G136" s="28">
        <f>ROUNDUP('1.1 Control Panel'!G$58*SUMIFS('4.3 Global SME Data'!$C$13:$C$18,'4.3 Global SME Data'!$B$13:$B$18,$C136)*1000000*(1+'1.1 Control Panel'!E$55-'1.1 Control Panel'!E$56)*(1+'1.1 Control Panel'!F$55-'1.1 Control Panel'!F$56)*(1+'1.1 Control Panel'!G$55-'1.1 Control Panel'!G$56)*SUMIFS('4.3 Global SME Data'!$C$21:$C$41,'4.3 Global SME Data'!$E$21:$E$41,$C$133)*SUMIFS('1.1 Control Panel'!G$97:G$102,'1.1 Control Panel'!C$97:C$102,$C136)*SUMIFS('1.1 Control Panel'!G$182:G$187,'1.1 Control Panel'!C$182:C$187,$C136)*SUMIFS('1.1 Control Panel'!G$267:G$272,'1.1 Control Panel'!C$267:C$272,$C136),0)</f>
        <v>2772</v>
      </c>
      <c r="H136" s="28">
        <f>ROUNDUP('1.1 Control Panel'!H$58*SUMIFS('4.3 Global SME Data'!$C$13:$C$18,'4.3 Global SME Data'!$B$13:$B$18,$C136)*1000000*(1+'1.1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Data'!$E$21:$E$41,$C$133)*SUMIFS('1.1 Control Panel'!H$97:H$102,'1.1 Control Panel'!C$97:C$102,$C136)*SUMIFS('1.1 Control Panel'!H$182:H$187,'1.1 Control Panel'!C$182:C$187,$C136)*SUMIFS('1.1 Control Panel'!H$267:H$272,'1.1 Control Panel'!C$267:C$272,$C136),0)</f>
        <v>2935</v>
      </c>
      <c r="J136" s="20"/>
    </row>
    <row r="137" spans="2:10" ht="11.5" customHeight="1" x14ac:dyDescent="0.25">
      <c r="C137" s="21" t="s">
        <v>455</v>
      </c>
      <c r="D137" s="38" t="s">
        <v>162</v>
      </c>
      <c r="E137" s="376">
        <f>ROUNDUP('1.1 Control Panel'!E$58*SUMIFS('4.3 Global SME Data'!$C$13:$C$18,'4.3 Global SME Data'!$B$13:$B$18,$C137)*1000000*(1+'1.1 Control Panel'!E$55-'1.1 Control Panel'!E$56)*SUMIFS('4.3 Global SME Data'!$C$21:$C$41,'4.3 Global SME Data'!$E$21:$E$41,$C$133)*SUMIFS('1.1 Control Panel'!E$97:E$102,'1.1 Control Panel'!C$97:C$102,$C137)*SUMIFS('1.1 Control Panel'!E$182:E$187,'1.1 Control Panel'!C$182:C$187,$C137)*SUMIFS('1.1 Control Panel'!E$267:E$272,'1.1 Control Panel'!C$267:C$272,$C137),0)</f>
        <v>32842</v>
      </c>
      <c r="F137" s="376">
        <f>ROUNDUP('1.1 Control Panel'!F$58*SUMIFS('4.3 Global SME Data'!$C$13:$C$18,'4.3 Global SME Data'!$B$13:$B$18,$C137)*1000000*(1+'1.1 Control Panel'!E$55-'1.1 Control Panel'!E$56)*(1+'1.1 Control Panel'!F$55-'1.1 Control Panel'!F$56)*SUMIFS('4.3 Global SME Data'!$C$21:$C$41,'4.3 Global SME Data'!$E$21:$E$41,$C$133)*SUMIFS('1.1 Control Panel'!F$97:F$102,'1.1 Control Panel'!C$97:C$102,$C137)*SUMIFS('1.1 Control Panel'!F$182:F$187,'1.1 Control Panel'!C$182:C$187,$C137)*SUMIFS('1.1 Control Panel'!F$267:F$272,'1.1 Control Panel'!C$267:C$272,$C137),0)</f>
        <v>34231</v>
      </c>
      <c r="G137" s="376">
        <f>ROUNDUP('1.1 Control Panel'!G$58*SUMIFS('4.3 Global SME Data'!$C$13:$C$18,'4.3 Global SME Data'!$B$13:$B$18,$C137)*1000000*(1+'1.1 Control Panel'!E$55-'1.1 Control Panel'!E$56)*(1+'1.1 Control Panel'!F$55-'1.1 Control Panel'!F$56)*(1+'1.1 Control Panel'!G$55-'1.1 Control Panel'!G$56)*SUMIFS('4.3 Global SME Data'!$C$21:$C$41,'4.3 Global SME Data'!$E$21:$E$41,$C$133)*SUMIFS('1.1 Control Panel'!G$97:G$102,'1.1 Control Panel'!C$97:C$102,$C137)*SUMIFS('1.1 Control Panel'!G$182:G$187,'1.1 Control Panel'!C$182:C$187,$C137)*SUMIFS('1.1 Control Panel'!G$267:G$272,'1.1 Control Panel'!C$267:C$272,$C137),0)</f>
        <v>36599</v>
      </c>
      <c r="H137" s="376">
        <f>ROUNDUP('1.1 Control Panel'!H$58*SUMIFS('4.3 Global SME Data'!$C$13:$C$18,'4.3 Global SME Data'!$B$13:$B$18,$C137)*1000000*(1+'1.1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Data'!$E$21:$E$41,$C$133)*SUMIFS('1.1 Control Panel'!H$97:H$102,'1.1 Control Panel'!C$97:C$102,$C137)*SUMIFS('1.1 Control Panel'!H$182:H$187,'1.1 Control Panel'!C$182:C$187,$C137)*SUMIFS('1.1 Control Panel'!H$267:H$272,'1.1 Control Panel'!C$267:C$272,$C137),0)</f>
        <v>39016</v>
      </c>
      <c r="J137" s="21"/>
    </row>
    <row r="138" spans="2:10" ht="11.5" customHeight="1" x14ac:dyDescent="0.25">
      <c r="C138" s="21" t="s">
        <v>393</v>
      </c>
      <c r="D138" s="38" t="s">
        <v>162</v>
      </c>
      <c r="E138" s="376">
        <f>ROUNDUP('1.1 Control Panel'!E$58*SUMIFS('4.3 Global SME Data'!$C$13:$C$18,'4.3 Global SME Data'!$B$13:$B$18,$C138)*1000000*(1+'1.1 Control Panel'!E$55-'1.1 Control Panel'!E$56)*SUMIFS('4.3 Global SME Data'!$C$21:$C$41,'4.3 Global SME Data'!$E$21:$E$41,$C$133)*SUMIFS('1.1 Control Panel'!E$97:E$102,'1.1 Control Panel'!C$97:C$102,$C138)*SUMIFS('1.1 Control Panel'!E$182:E$187,'1.1 Control Panel'!C$182:C$187,$C138)*SUMIFS('1.1 Control Panel'!E$267:E$272,'1.1 Control Panel'!C$267:C$272,$C138),0)</f>
        <v>40282</v>
      </c>
      <c r="F138" s="376">
        <f>ROUNDUP('1.1 Control Panel'!F$58*SUMIFS('4.3 Global SME Data'!$C$13:$C$18,'4.3 Global SME Data'!$B$13:$B$18,$C138)*1000000*(1+'1.1 Control Panel'!E$55-'1.1 Control Panel'!E$56)*(1+'1.1 Control Panel'!F$55-'1.1 Control Panel'!F$56)*SUMIFS('4.3 Global SME Data'!$C$21:$C$41,'4.3 Global SME Data'!$E$21:$E$41,$C$133)*SUMIFS('1.1 Control Panel'!F$97:F$102,'1.1 Control Panel'!C$97:C$102,$C138)*SUMIFS('1.1 Control Panel'!F$182:F$187,'1.1 Control Panel'!C$182:C$187,$C138)*SUMIFS('1.1 Control Panel'!F$267:F$272,'1.1 Control Panel'!C$267:C$272,$C138),0)</f>
        <v>42173</v>
      </c>
      <c r="G138" s="376">
        <f>ROUNDUP('1.1 Control Panel'!G$58*SUMIFS('4.3 Global SME Data'!$C$13:$C$18,'4.3 Global SME Data'!$B$13:$B$18,$C138)*1000000*(1+'1.1 Control Panel'!E$55-'1.1 Control Panel'!E$56)*(1+'1.1 Control Panel'!F$55-'1.1 Control Panel'!F$56)*(1+'1.1 Control Panel'!G$55-'1.1 Control Panel'!G$56)*SUMIFS('4.3 Global SME Data'!$C$21:$C$41,'4.3 Global SME Data'!$E$21:$E$41,$C$133)*SUMIFS('1.1 Control Panel'!G$97:G$102,'1.1 Control Panel'!C$97:C$102,$C138)*SUMIFS('1.1 Control Panel'!G$182:G$187,'1.1 Control Panel'!C$182:C$187,$C138)*SUMIFS('1.1 Control Panel'!G$267:G$272,'1.1 Control Panel'!C$267:C$272,$C138),0)</f>
        <v>45408</v>
      </c>
      <c r="H138" s="376">
        <f>ROUNDUP('1.1 Control Panel'!H$58*SUMIFS('4.3 Global SME Data'!$C$13:$C$18,'4.3 Global SME Data'!$B$13:$B$18,$C138)*1000000*(1+'1.1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Data'!$E$21:$E$41,$C$133)*SUMIFS('1.1 Control Panel'!H$97:H$102,'1.1 Control Panel'!C$97:C$102,$C138)*SUMIFS('1.1 Control Panel'!H$182:H$187,'1.1 Control Panel'!C$182:C$187,$C138)*SUMIFS('1.1 Control Panel'!H$267:H$272,'1.1 Control Panel'!C$267:C$272,$C138),0)</f>
        <v>48723</v>
      </c>
      <c r="J138" s="21"/>
    </row>
    <row r="139" spans="2:10" ht="11.5" customHeight="1" x14ac:dyDescent="0.25">
      <c r="C139" s="21" t="s">
        <v>456</v>
      </c>
      <c r="D139" s="38" t="s">
        <v>162</v>
      </c>
      <c r="E139" s="376">
        <f>ROUNDUP('1.1 Control Panel'!E$58*SUMIFS('4.3 Global SME Data'!$C$13:$C$18,'4.3 Global SME Data'!$B$13:$B$18,$C139)*1000000*(1+'1.1 Control Panel'!E$55-'1.1 Control Panel'!E$56)*SUMIFS('4.3 Global SME Data'!$C$21:$C$41,'4.3 Global SME Data'!$E$21:$E$41,$C$133)*SUMIFS('1.1 Control Panel'!E$97:E$102,'1.1 Control Panel'!C$97:C$102,$C139)*SUMIFS('1.1 Control Panel'!E$182:E$187,'1.1 Control Panel'!C$182:C$187,$C139)*SUMIFS('1.1 Control Panel'!E$267:E$272,'1.1 Control Panel'!C$267:C$272,$C139),0)</f>
        <v>5196</v>
      </c>
      <c r="F139" s="376">
        <f>ROUNDUP('1.1 Control Panel'!F$58*SUMIFS('4.3 Global SME Data'!$C$13:$C$18,'4.3 Global SME Data'!$B$13:$B$18,$C139)*1000000*(1+'1.1 Control Panel'!E$55-'1.1 Control Panel'!E$56)*(1+'1.1 Control Panel'!F$55-'1.1 Control Panel'!F$56)*SUMIFS('4.3 Global SME Data'!$C$21:$C$41,'4.3 Global SME Data'!$E$21:$E$41,$C$133)*SUMIFS('1.1 Control Panel'!F$97:F$102,'1.1 Control Panel'!C$97:C$102,$C139)*SUMIFS('1.1 Control Panel'!F$182:F$187,'1.1 Control Panel'!C$182:C$187,$C139)*SUMIFS('1.1 Control Panel'!F$267:F$272,'1.1 Control Panel'!C$267:C$272,$C139),0)</f>
        <v>5361</v>
      </c>
      <c r="G139" s="376">
        <f>ROUNDUP('1.1 Control Panel'!G$58*SUMIFS('4.3 Global SME Data'!$C$13:$C$18,'4.3 Global SME Data'!$B$13:$B$18,$C139)*1000000*(1+'1.1 Control Panel'!E$55-'1.1 Control Panel'!E$56)*(1+'1.1 Control Panel'!F$55-'1.1 Control Panel'!F$56)*(1+'1.1 Control Panel'!G$55-'1.1 Control Panel'!G$56)*SUMIFS('4.3 Global SME Data'!$C$21:$C$41,'4.3 Global SME Data'!$E$21:$E$41,$C$133)*SUMIFS('1.1 Control Panel'!G$97:G$102,'1.1 Control Panel'!C$97:C$102,$C139)*SUMIFS('1.1 Control Panel'!G$182:G$187,'1.1 Control Panel'!C$182:C$187,$C139)*SUMIFS('1.1 Control Panel'!G$267:G$272,'1.1 Control Panel'!C$267:C$272,$C139),0)</f>
        <v>5640</v>
      </c>
      <c r="H139" s="376">
        <f>ROUNDUP('1.1 Control Panel'!H$58*SUMIFS('4.3 Global SME Data'!$C$13:$C$18,'4.3 Global SME Data'!$B$13:$B$18,$C139)*1000000*(1+'1.1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Data'!$E$21:$E$41,$C$133)*SUMIFS('1.1 Control Panel'!H$97:H$102,'1.1 Control Panel'!C$97:C$102,$C139)*SUMIFS('1.1 Control Panel'!H$182:H$187,'1.1 Control Panel'!C$182:C$187,$C139)*SUMIFS('1.1 Control Panel'!H$267:H$272,'1.1 Control Panel'!C$267:C$272,$C139),0)</f>
        <v>5922</v>
      </c>
      <c r="J139" s="21"/>
    </row>
    <row r="140" spans="2:10" s="74" customFormat="1" ht="11.5" customHeight="1" x14ac:dyDescent="0.25">
      <c r="B140" s="99" t="s">
        <v>9</v>
      </c>
      <c r="C140" s="105" t="str">
        <f>'4.2 Sector Mapping'!$B$11</f>
        <v>Professional Services: Human Resources, Education, Consulting, Legal</v>
      </c>
      <c r="D140" s="106" t="s">
        <v>162</v>
      </c>
      <c r="E140" s="380">
        <f>SUM(E141:E146)</f>
        <v>125437</v>
      </c>
      <c r="F140" s="380">
        <f t="shared" ref="F140:H140" si="52">SUM(F141:F146)</f>
        <v>131583</v>
      </c>
      <c r="G140" s="380">
        <f t="shared" si="52"/>
        <v>142109</v>
      </c>
      <c r="H140" s="380">
        <f t="shared" si="52"/>
        <v>152915</v>
      </c>
      <c r="J140" s="105"/>
    </row>
    <row r="141" spans="2:10" ht="11.5" customHeight="1" x14ac:dyDescent="0.25">
      <c r="C141" s="20" t="s">
        <v>600</v>
      </c>
      <c r="D141" s="34" t="s">
        <v>162</v>
      </c>
      <c r="E141" s="28">
        <f>ROUNDUP('1.1 Control Panel'!E$58*SUMIFS('4.3 Global SME Data'!$C$13:$C$18,'4.3 Global SME Data'!$B$13:$B$18,$C141)*1000000*(1+'1.1 Control Panel'!E$55-'1.1 Control Panel'!E$56)*SUMIFS('4.3 Global SME Data'!$C$21:$C$41,'4.3 Global SME Data'!$E$21:$E$41,$C$140)*SUMIFS('1.1 Control Panel'!E$104:E$109,'1.1 Control Panel'!C$104:C$109,$C141)*SUMIFS('1.1 Control Panel'!E$189:E$194,'1.1 Control Panel'!C$189:C$194,$C141)*SUMIFS('1.1 Control Panel'!E$274:E$279,'1.1 Control Panel'!C$274:C$279,$C141),0)</f>
        <v>74105</v>
      </c>
      <c r="F141" s="28">
        <f>ROUNDUP('1.1 Control Panel'!F$58*SUMIFS('4.3 Global SME Data'!$C$13:$C$18,'4.3 Global SME Data'!$B$13:$B$18,$C141)*1000000*(1+'1.1 Control Panel'!E$55-'1.1 Control Panel'!E$56)*(1+'1.1 Control Panel'!F$55-'1.1 Control Panel'!F$56)*SUMIFS('4.3 Global SME Data'!$C$21:$C$41,'4.3 Global SME Data'!$E$21:$E$41,$C$140)*SUMIFS('1.1 Control Panel'!F$104:F$109,'1.1 Control Panel'!C$104:C$109,$C141)*SUMIFS('1.1 Control Panel'!F$189:F$194,'1.1 Control Panel'!C$189:C$194,$C141)*SUMIFS('1.1 Control Panel'!F$274:F$279,'1.1 Control Panel'!C$274:C$279,$C141),0)</f>
        <v>77997</v>
      </c>
      <c r="G141" s="28">
        <f>ROUNDUP('1.1 Control Panel'!G$58*SUMIFS('4.3 Global SME Data'!$C$13:$C$18,'4.3 Global SME Data'!$B$13:$B$18,$C141)*1000000*(1+'1.1 Control Panel'!E$55-'1.1 Control Panel'!E$56)*(1+'1.1 Control Panel'!F$55-'1.1 Control Panel'!F$56)*(1+'1.1 Control Panel'!G$55-'1.1 Control Panel'!G$56)*SUMIFS('4.3 Global SME Data'!$C$21:$C$41,'4.3 Global SME Data'!$E$21:$E$41,$C$140)*SUMIFS('1.1 Control Panel'!G$104:G$109,'1.1 Control Panel'!C$104:C$109,$C141)*SUMIFS('1.1 Control Panel'!G$189:G$194,'1.1 Control Panel'!C$189:C$194,$C141)*SUMIFS('1.1 Control Panel'!G$274:G$279,'1.1 Control Panel'!C$274:C$279,$C141),0)</f>
        <v>84674</v>
      </c>
      <c r="H141" s="28">
        <f>ROUNDUP('1.1 Control Panel'!H$58*SUMIFS('4.3 Global SME Data'!$C$13:$C$18,'4.3 Global SME Data'!$B$13:$B$18,$C141)*1000000*(1+'1.1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Data'!$E$21:$E$41,$C$140)*SUMIFS('1.1 Control Panel'!H$104:H$109,'1.1 Control Panel'!C$104:C$109,$C141)*SUMIFS('1.1 Control Panel'!H$189:H$194,'1.1 Control Panel'!C$189:C$194,$C141)*SUMIFS('1.1 Control Panel'!H$274:H$279,'1.1 Control Panel'!C$274:C$279,$C141),0)</f>
        <v>91547</v>
      </c>
      <c r="J141" s="20"/>
    </row>
    <row r="142" spans="2:10" ht="11.5" customHeight="1" x14ac:dyDescent="0.25">
      <c r="C142" s="20" t="s">
        <v>392</v>
      </c>
      <c r="D142" s="34" t="s">
        <v>162</v>
      </c>
      <c r="E142" s="28">
        <f>ROUNDUP('1.1 Control Panel'!E$58*SUMIFS('4.3 Global SME Data'!$C$13:$C$18,'4.3 Global SME Data'!$B$13:$B$18,$C142)*1000000*(1+'1.1 Control Panel'!E$55-'1.1 Control Panel'!E$56)*SUMIFS('4.3 Global SME Data'!$C$21:$C$41,'4.3 Global SME Data'!$E$21:$E$41,$C$140)*SUMIFS('1.1 Control Panel'!E$104:E$109,'1.1 Control Panel'!C$104:C$109,$C142)*SUMIFS('1.1 Control Panel'!E$189:E$194,'1.1 Control Panel'!C$189:C$194,$C142)*SUMIFS('1.1 Control Panel'!E$274:E$279,'1.1 Control Panel'!C$274:C$279,$C142),0)</f>
        <v>2150</v>
      </c>
      <c r="F142" s="28">
        <f>ROUNDUP('1.1 Control Panel'!F$58*SUMIFS('4.3 Global SME Data'!$C$13:$C$18,'4.3 Global SME Data'!$B$13:$B$18,$C142)*1000000*(1+'1.1 Control Panel'!E$55-'1.1 Control Panel'!E$56)*(1+'1.1 Control Panel'!F$55-'1.1 Control Panel'!F$56)*SUMIFS('4.3 Global SME Data'!$C$21:$C$41,'4.3 Global SME Data'!$E$21:$E$41,$C$140)*SUMIFS('1.1 Control Panel'!F$104:F$109,'1.1 Control Panel'!C$104:C$109,$C142)*SUMIFS('1.1 Control Panel'!F$189:F$194,'1.1 Control Panel'!C$189:C$194,$C142)*SUMIFS('1.1 Control Panel'!F$274:F$279,'1.1 Control Panel'!C$274:C$279,$C142),0)</f>
        <v>2251</v>
      </c>
      <c r="G142" s="28">
        <f>ROUNDUP('1.1 Control Panel'!G$58*SUMIFS('4.3 Global SME Data'!$C$13:$C$18,'4.3 Global SME Data'!$B$13:$B$18,$C142)*1000000*(1+'1.1 Control Panel'!E$55-'1.1 Control Panel'!E$56)*(1+'1.1 Control Panel'!F$55-'1.1 Control Panel'!F$56)*(1+'1.1 Control Panel'!G$55-'1.1 Control Panel'!G$56)*SUMIFS('4.3 Global SME Data'!$C$21:$C$41,'4.3 Global SME Data'!$E$21:$E$41,$C$140)*SUMIFS('1.1 Control Panel'!G$104:G$109,'1.1 Control Panel'!C$104:C$109,$C142)*SUMIFS('1.1 Control Panel'!G$189:G$194,'1.1 Control Panel'!C$189:C$194,$C142)*SUMIFS('1.1 Control Panel'!G$274:G$279,'1.1 Control Panel'!C$274:C$279,$C142),0)</f>
        <v>2423</v>
      </c>
      <c r="H142" s="28">
        <f>ROUNDUP('1.1 Control Panel'!H$58*SUMIFS('4.3 Global SME Data'!$C$13:$C$18,'4.3 Global SME Data'!$B$13:$B$18,$C142)*1000000*(1+'1.1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Data'!$E$21:$E$41,$C$140)*SUMIFS('1.1 Control Panel'!H$104:H$109,'1.1 Control Panel'!C$104:C$109,$C142)*SUMIFS('1.1 Control Panel'!H$189:H$194,'1.1 Control Panel'!C$189:C$194,$C142)*SUMIFS('1.1 Control Panel'!H$274:H$279,'1.1 Control Panel'!C$274:C$279,$C142),0)</f>
        <v>2599</v>
      </c>
      <c r="J142" s="20"/>
    </row>
    <row r="143" spans="2:10" ht="11.5" customHeight="1" x14ac:dyDescent="0.25">
      <c r="C143" s="20" t="s">
        <v>454</v>
      </c>
      <c r="D143" s="34" t="s">
        <v>162</v>
      </c>
      <c r="E143" s="28">
        <f>ROUNDUP('1.1 Control Panel'!E$58*SUMIFS('4.3 Global SME Data'!$C$13:$C$18,'4.3 Global SME Data'!$B$13:$B$18,$C143)*1000000*(1+'1.1 Control Panel'!E$55-'1.1 Control Panel'!E$56)*SUMIFS('4.3 Global SME Data'!$C$21:$C$41,'4.3 Global SME Data'!$E$21:$E$41,$C$140)*SUMIFS('1.1 Control Panel'!E$104:E$109,'1.1 Control Panel'!C$104:C$109,$C143)*SUMIFS('1.1 Control Panel'!E$189:E$194,'1.1 Control Panel'!C$189:C$194,$C143)*SUMIFS('1.1 Control Panel'!E$274:E$279,'1.1 Control Panel'!C$274:C$279,$C143),0)</f>
        <v>1532</v>
      </c>
      <c r="F143" s="28">
        <f>ROUNDUP('1.1 Control Panel'!F$58*SUMIFS('4.3 Global SME Data'!$C$13:$C$18,'4.3 Global SME Data'!$B$13:$B$18,$C143)*1000000*(1+'1.1 Control Panel'!E$55-'1.1 Control Panel'!E$56)*(1+'1.1 Control Panel'!F$55-'1.1 Control Panel'!F$56)*SUMIFS('4.3 Global SME Data'!$C$21:$C$41,'4.3 Global SME Data'!$E$21:$E$41,$C$140)*SUMIFS('1.1 Control Panel'!F$104:F$109,'1.1 Control Panel'!C$104:C$109,$C143)*SUMIFS('1.1 Control Panel'!F$189:F$194,'1.1 Control Panel'!C$189:C$194,$C143)*SUMIFS('1.1 Control Panel'!F$274:F$279,'1.1 Control Panel'!C$274:C$279,$C143),0)</f>
        <v>1589</v>
      </c>
      <c r="G143" s="28">
        <f>ROUNDUP('1.1 Control Panel'!G$58*SUMIFS('4.3 Global SME Data'!$C$13:$C$18,'4.3 Global SME Data'!$B$13:$B$18,$C143)*1000000*(1+'1.1 Control Panel'!E$55-'1.1 Control Panel'!E$56)*(1+'1.1 Control Panel'!F$55-'1.1 Control Panel'!F$56)*(1+'1.1 Control Panel'!G$55-'1.1 Control Panel'!G$56)*SUMIFS('4.3 Global SME Data'!$C$21:$C$41,'4.3 Global SME Data'!$E$21:$E$41,$C$140)*SUMIFS('1.1 Control Panel'!G$104:G$109,'1.1 Control Panel'!C$104:C$109,$C143)*SUMIFS('1.1 Control Panel'!G$189:G$194,'1.1 Control Panel'!C$189:C$194,$C143)*SUMIFS('1.1 Control Panel'!G$274:G$279,'1.1 Control Panel'!C$274:C$279,$C143),0)</f>
        <v>1687</v>
      </c>
      <c r="H143" s="28">
        <f>ROUNDUP('1.1 Control Panel'!H$58*SUMIFS('4.3 Global SME Data'!$C$13:$C$18,'4.3 Global SME Data'!$B$13:$B$18,$C143)*1000000*(1+'1.1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Data'!$E$21:$E$41,$C$140)*SUMIFS('1.1 Control Panel'!H$104:H$109,'1.1 Control Panel'!C$104:C$109,$C143)*SUMIFS('1.1 Control Panel'!H$189:H$194,'1.1 Control Panel'!C$189:C$194,$C143)*SUMIFS('1.1 Control Panel'!H$274:H$279,'1.1 Control Panel'!C$274:C$279,$C143),0)</f>
        <v>1786</v>
      </c>
      <c r="J143" s="20"/>
    </row>
    <row r="144" spans="2:10" ht="11.5" customHeight="1" x14ac:dyDescent="0.25">
      <c r="C144" s="21" t="s">
        <v>455</v>
      </c>
      <c r="D144" s="38" t="s">
        <v>162</v>
      </c>
      <c r="E144" s="376">
        <f>ROUNDUP('1.1 Control Panel'!E$58*SUMIFS('4.3 Global SME Data'!$C$13:$C$18,'4.3 Global SME Data'!$B$13:$B$18,$C144)*1000000*(1+'1.1 Control Panel'!E$55-'1.1 Control Panel'!E$56)*SUMIFS('4.3 Global SME Data'!$C$21:$C$41,'4.3 Global SME Data'!$E$21:$E$41,$C$140)*SUMIFS('1.1 Control Panel'!E$104:E$109,'1.1 Control Panel'!C$104:C$109,$C144)*SUMIFS('1.1 Control Panel'!E$189:E$194,'1.1 Control Panel'!C$189:C$194,$C144)*SUMIFS('1.1 Control Panel'!E$274:E$279,'1.1 Control Panel'!C$274:C$279,$C144),0)</f>
        <v>19981</v>
      </c>
      <c r="F144" s="376">
        <f>ROUNDUP('1.1 Control Panel'!F$58*SUMIFS('4.3 Global SME Data'!$C$13:$C$18,'4.3 Global SME Data'!$B$13:$B$18,$C144)*1000000*(1+'1.1 Control Panel'!E$55-'1.1 Control Panel'!E$56)*(1+'1.1 Control Panel'!F$55-'1.1 Control Panel'!F$56)*SUMIFS('4.3 Global SME Data'!$C$21:$C$41,'4.3 Global SME Data'!$E$21:$E$41,$C$140)*SUMIFS('1.1 Control Panel'!F$104:F$109,'1.1 Control Panel'!C$104:C$109,$C144)*SUMIFS('1.1 Control Panel'!F$189:F$194,'1.1 Control Panel'!C$189:C$194,$C144)*SUMIFS('1.1 Control Panel'!F$274:F$279,'1.1 Control Panel'!C$274:C$279,$C144),0)</f>
        <v>20826</v>
      </c>
      <c r="G144" s="376">
        <f>ROUNDUP('1.1 Control Panel'!G$58*SUMIFS('4.3 Global SME Data'!$C$13:$C$18,'4.3 Global SME Data'!$B$13:$B$18,$C144)*1000000*(1+'1.1 Control Panel'!E$55-'1.1 Control Panel'!E$56)*(1+'1.1 Control Panel'!F$55-'1.1 Control Panel'!F$56)*(1+'1.1 Control Panel'!G$55-'1.1 Control Panel'!G$56)*SUMIFS('4.3 Global SME Data'!$C$21:$C$41,'4.3 Global SME Data'!$E$21:$E$41,$C$140)*SUMIFS('1.1 Control Panel'!G$104:G$109,'1.1 Control Panel'!C$104:C$109,$C144)*SUMIFS('1.1 Control Panel'!G$189:G$194,'1.1 Control Panel'!C$189:C$194,$C144)*SUMIFS('1.1 Control Panel'!G$274:G$279,'1.1 Control Panel'!C$274:C$279,$C144),0)</f>
        <v>22267</v>
      </c>
      <c r="H144" s="376">
        <f>ROUNDUP('1.1 Control Panel'!H$58*SUMIFS('4.3 Global SME Data'!$C$13:$C$18,'4.3 Global SME Data'!$B$13:$B$18,$C144)*1000000*(1+'1.1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Data'!$E$21:$E$41,$C$140)*SUMIFS('1.1 Control Panel'!H$104:H$109,'1.1 Control Panel'!C$104:C$109,$C144)*SUMIFS('1.1 Control Panel'!H$189:H$194,'1.1 Control Panel'!C$189:C$194,$C144)*SUMIFS('1.1 Control Panel'!H$274:H$279,'1.1 Control Panel'!C$274:C$279,$C144),0)</f>
        <v>23737</v>
      </c>
      <c r="J144" s="21"/>
    </row>
    <row r="145" spans="2:10" ht="11.5" customHeight="1" x14ac:dyDescent="0.25">
      <c r="C145" s="21" t="s">
        <v>393</v>
      </c>
      <c r="D145" s="38" t="s">
        <v>162</v>
      </c>
      <c r="E145" s="376">
        <f>ROUNDUP('1.1 Control Panel'!E$58*SUMIFS('4.3 Global SME Data'!$C$13:$C$18,'4.3 Global SME Data'!$B$13:$B$18,$C145)*1000000*(1+'1.1 Control Panel'!E$55-'1.1 Control Panel'!E$56)*SUMIFS('4.3 Global SME Data'!$C$21:$C$41,'4.3 Global SME Data'!$E$21:$E$41,$C$140)*SUMIFS('1.1 Control Panel'!E$104:E$109,'1.1 Control Panel'!C$104:C$109,$C145)*SUMIFS('1.1 Control Panel'!E$189:E$194,'1.1 Control Panel'!C$189:C$194,$C145)*SUMIFS('1.1 Control Panel'!E$274:E$279,'1.1 Control Panel'!C$274:C$279,$C145),0)</f>
        <v>24507</v>
      </c>
      <c r="F145" s="376">
        <f>ROUNDUP('1.1 Control Panel'!F$58*SUMIFS('4.3 Global SME Data'!$C$13:$C$18,'4.3 Global SME Data'!$B$13:$B$18,$C145)*1000000*(1+'1.1 Control Panel'!E$55-'1.1 Control Panel'!E$56)*(1+'1.1 Control Panel'!F$55-'1.1 Control Panel'!F$56)*SUMIFS('4.3 Global SME Data'!$C$21:$C$41,'4.3 Global SME Data'!$E$21:$E$41,$C$140)*SUMIFS('1.1 Control Panel'!F$104:F$109,'1.1 Control Panel'!C$104:C$109,$C145)*SUMIFS('1.1 Control Panel'!F$189:F$194,'1.1 Control Panel'!C$189:C$194,$C145)*SUMIFS('1.1 Control Panel'!F$274:F$279,'1.1 Control Panel'!C$274:C$279,$C145),0)</f>
        <v>25658</v>
      </c>
      <c r="G145" s="376">
        <f>ROUNDUP('1.1 Control Panel'!G$58*SUMIFS('4.3 Global SME Data'!$C$13:$C$18,'4.3 Global SME Data'!$B$13:$B$18,$C145)*1000000*(1+'1.1 Control Panel'!E$55-'1.1 Control Panel'!E$56)*(1+'1.1 Control Panel'!F$55-'1.1 Control Panel'!F$56)*(1+'1.1 Control Panel'!G$55-'1.1 Control Panel'!G$56)*SUMIFS('4.3 Global SME Data'!$C$21:$C$41,'4.3 Global SME Data'!$E$21:$E$41,$C$140)*SUMIFS('1.1 Control Panel'!G$104:G$109,'1.1 Control Panel'!C$104:C$109,$C145)*SUMIFS('1.1 Control Panel'!G$189:G$194,'1.1 Control Panel'!C$189:C$194,$C145)*SUMIFS('1.1 Control Panel'!G$274:G$279,'1.1 Control Panel'!C$274:C$279,$C145),0)</f>
        <v>27626</v>
      </c>
      <c r="H145" s="376">
        <f>ROUNDUP('1.1 Control Panel'!H$58*SUMIFS('4.3 Global SME Data'!$C$13:$C$18,'4.3 Global SME Data'!$B$13:$B$18,$C145)*1000000*(1+'1.1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Data'!$E$21:$E$41,$C$140)*SUMIFS('1.1 Control Panel'!H$104:H$109,'1.1 Control Panel'!C$104:C$109,$C145)*SUMIFS('1.1 Control Panel'!H$189:H$194,'1.1 Control Panel'!C$189:C$194,$C145)*SUMIFS('1.1 Control Panel'!H$274:H$279,'1.1 Control Panel'!C$274:C$279,$C145),0)</f>
        <v>29643</v>
      </c>
      <c r="J145" s="21"/>
    </row>
    <row r="146" spans="2:10" ht="11.5" customHeight="1" x14ac:dyDescent="0.25">
      <c r="C146" s="21" t="s">
        <v>456</v>
      </c>
      <c r="D146" s="38" t="s">
        <v>162</v>
      </c>
      <c r="E146" s="376">
        <f>ROUNDUP('1.1 Control Panel'!E$58*SUMIFS('4.3 Global SME Data'!$C$13:$C$18,'4.3 Global SME Data'!$B$13:$B$18,$C146)*1000000*(1+'1.1 Control Panel'!E$55-'1.1 Control Panel'!E$56)*SUMIFS('4.3 Global SME Data'!$C$21:$C$41,'4.3 Global SME Data'!$E$21:$E$41,$C$140)*SUMIFS('1.1 Control Panel'!E$104:E$109,'1.1 Control Panel'!C$104:C$109,$C146)*SUMIFS('1.1 Control Panel'!E$189:E$194,'1.1 Control Panel'!C$189:C$194,$C146)*SUMIFS('1.1 Control Panel'!E$274:E$279,'1.1 Control Panel'!C$274:C$279,$C146),0)</f>
        <v>3162</v>
      </c>
      <c r="F146" s="376">
        <f>ROUNDUP('1.1 Control Panel'!F$58*SUMIFS('4.3 Global SME Data'!$C$13:$C$18,'4.3 Global SME Data'!$B$13:$B$18,$C146)*1000000*(1+'1.1 Control Panel'!E$55-'1.1 Control Panel'!E$56)*(1+'1.1 Control Panel'!F$55-'1.1 Control Panel'!F$56)*SUMIFS('4.3 Global SME Data'!$C$21:$C$41,'4.3 Global SME Data'!$E$21:$E$41,$C$140)*SUMIFS('1.1 Control Panel'!F$104:F$109,'1.1 Control Panel'!C$104:C$109,$C146)*SUMIFS('1.1 Control Panel'!F$189:F$194,'1.1 Control Panel'!C$189:C$194,$C146)*SUMIFS('1.1 Control Panel'!F$274:F$279,'1.1 Control Panel'!C$274:C$279,$C146),0)</f>
        <v>3262</v>
      </c>
      <c r="G146" s="376">
        <f>ROUNDUP('1.1 Control Panel'!G$58*SUMIFS('4.3 Global SME Data'!$C$13:$C$18,'4.3 Global SME Data'!$B$13:$B$18,$C146)*1000000*(1+'1.1 Control Panel'!E$55-'1.1 Control Panel'!E$56)*(1+'1.1 Control Panel'!F$55-'1.1 Control Panel'!F$56)*(1+'1.1 Control Panel'!G$55-'1.1 Control Panel'!G$56)*SUMIFS('4.3 Global SME Data'!$C$21:$C$41,'4.3 Global SME Data'!$E$21:$E$41,$C$140)*SUMIFS('1.1 Control Panel'!G$104:G$109,'1.1 Control Panel'!C$104:C$109,$C146)*SUMIFS('1.1 Control Panel'!G$189:G$194,'1.1 Control Panel'!C$189:C$194,$C146)*SUMIFS('1.1 Control Panel'!G$274:G$279,'1.1 Control Panel'!C$274:C$279,$C146),0)</f>
        <v>3432</v>
      </c>
      <c r="H146" s="376">
        <f>ROUNDUP('1.1 Control Panel'!H$58*SUMIFS('4.3 Global SME Data'!$C$13:$C$18,'4.3 Global SME Data'!$B$13:$B$18,$C146)*1000000*(1+'1.1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Data'!$E$21:$E$41,$C$140)*SUMIFS('1.1 Control Panel'!H$104:H$109,'1.1 Control Panel'!C$104:C$109,$C146)*SUMIFS('1.1 Control Panel'!H$189:H$194,'1.1 Control Panel'!C$189:C$194,$C146)*SUMIFS('1.1 Control Panel'!H$274:H$279,'1.1 Control Panel'!C$274:C$279,$C146),0)</f>
        <v>3603</v>
      </c>
      <c r="J146" s="21"/>
    </row>
    <row r="147" spans="2:10" s="74" customFormat="1" ht="11.5" customHeight="1" x14ac:dyDescent="0.25">
      <c r="B147" s="99" t="s">
        <v>9</v>
      </c>
      <c r="C147" s="105" t="str">
        <f>'4.2 Sector Mapping'!$B$12</f>
        <v>Public and Social Services</v>
      </c>
      <c r="D147" s="106" t="s">
        <v>162</v>
      </c>
      <c r="E147" s="380">
        <f>SUM(E148:E153)</f>
        <v>98964</v>
      </c>
      <c r="F147" s="380">
        <f t="shared" ref="F147:H147" si="53">SUM(F148:F153)</f>
        <v>105530</v>
      </c>
      <c r="G147" s="380">
        <f t="shared" si="53"/>
        <v>116911</v>
      </c>
      <c r="H147" s="380">
        <f t="shared" si="53"/>
        <v>128781</v>
      </c>
      <c r="J147" s="105"/>
    </row>
    <row r="148" spans="2:10" ht="11.5" customHeight="1" x14ac:dyDescent="0.25">
      <c r="C148" s="20" t="s">
        <v>600</v>
      </c>
      <c r="D148" s="34" t="s">
        <v>162</v>
      </c>
      <c r="E148" s="28">
        <f>ROUNDUP('1.1 Control Panel'!E$58*SUMIFS('4.3 Global SME Data'!$C$13:$C$18,'4.3 Global SME Data'!$B$13:$B$18,$C148)*1000000*(1+'1.1 Control Panel'!E$55-'1.1 Control Panel'!E$56)*SUMIFS('4.3 Global SME Data'!$C$21:$C$41,'4.3 Global SME Data'!$E$21:$E$41,$C$147)*SUMIFS('1.1 Control Panel'!E$111:E$116,'1.1 Control Panel'!C$111:C$116,$C148)*SUMIFS('1.1 Control Panel'!E$196:E$201,'1.1 Control Panel'!C$196:C$201,$C148)*SUMIFS('1.1 Control Panel'!E$281:E$286,'1.1 Control Panel'!C$281:C$286,$C148),0)</f>
        <v>51111</v>
      </c>
      <c r="F148" s="28">
        <f>ROUNDUP('1.1 Control Panel'!F$58*SUMIFS('4.3 Global SME Data'!$C$13:$C$18,'4.3 Global SME Data'!$B$13:$B$18,$C148)*1000000*(1+'1.1 Control Panel'!E$55-'1.1 Control Panel'!E$56)*(1+'1.1 Control Panel'!F$55-'1.1 Control Panel'!F$56)*SUMIFS('4.3 Global SME Data'!$C$21:$C$41,'4.3 Global SME Data'!$E$21:$E$41,$C$147)*SUMIFS('1.1 Control Panel'!F$111:F$116,'1.1 Control Panel'!C$111:C$116,$C148)*SUMIFS('1.1 Control Panel'!F$196:F$201,'1.1 Control Panel'!C$196:C$201,$C148)*SUMIFS('1.1 Control Panel'!F$281:F$286,'1.1 Control Panel'!C$281:C$286,$C148),0)</f>
        <v>55044</v>
      </c>
      <c r="G148" s="28">
        <f>ROUNDUP('1.1 Control Panel'!G$58*SUMIFS('4.3 Global SME Data'!$C$13:$C$18,'4.3 Global SME Data'!$B$13:$B$18,$C148)*1000000*(1+'1.1 Control Panel'!E$55-'1.1 Control Panel'!E$56)*(1+'1.1 Control Panel'!F$55-'1.1 Control Panel'!F$56)*(1+'1.1 Control Panel'!G$55-'1.1 Control Panel'!G$56)*SUMIFS('4.3 Global SME Data'!$C$21:$C$41,'4.3 Global SME Data'!$E$21:$E$41,$C$147)*SUMIFS('1.1 Control Panel'!G$111:G$116,'1.1 Control Panel'!C$111:C$116,$C148)*SUMIFS('1.1 Control Panel'!G$196:G$201,'1.1 Control Panel'!C$196:C$201,$C148)*SUMIFS('1.1 Control Panel'!G$281:G$286,'1.1 Control Panel'!C$281:C$286,$C148),0)</f>
        <v>61896</v>
      </c>
      <c r="H148" s="28">
        <f>ROUNDUP('1.1 Control Panel'!H$58*SUMIFS('4.3 Global SME Data'!$C$13:$C$18,'4.3 Global SME Data'!$B$13:$B$18,$C148)*1000000*(1+'1.1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Data'!$E$21:$E$41,$C$147)*SUMIFS('1.1 Control Panel'!H$111:H$116,'1.1 Control Panel'!C$111:C$116,$C148)*SUMIFS('1.1 Control Panel'!H$196:H$201,'1.1 Control Panel'!C$196:C$201,$C148)*SUMIFS('1.1 Control Panel'!H$281:H$286,'1.1 Control Panel'!C$281:C$286,$C148),0)</f>
        <v>69088</v>
      </c>
      <c r="J148" s="20"/>
    </row>
    <row r="149" spans="2:10" ht="11.5" customHeight="1" x14ac:dyDescent="0.25">
      <c r="C149" s="20" t="s">
        <v>392</v>
      </c>
      <c r="D149" s="34" t="s">
        <v>162</v>
      </c>
      <c r="E149" s="28">
        <f>ROUNDUP('1.1 Control Panel'!E$58*SUMIFS('4.3 Global SME Data'!$C$13:$C$18,'4.3 Global SME Data'!$B$13:$B$18,$C149)*1000000*(1+'1.1 Control Panel'!E$55-'1.1 Control Panel'!E$56)*SUMIFS('4.3 Global SME Data'!$C$21:$C$41,'4.3 Global SME Data'!$E$21:$E$41,$C$147)*SUMIFS('1.1 Control Panel'!E$111:E$116,'1.1 Control Panel'!C$111:C$116,$C149)*SUMIFS('1.1 Control Panel'!E$196:E$201,'1.1 Control Panel'!C$196:C$201,$C149)*SUMIFS('1.1 Control Panel'!E$281:E$286,'1.1 Control Panel'!C$281:C$286,$C149),0)</f>
        <v>1712</v>
      </c>
      <c r="F149" s="28">
        <f>ROUNDUP('1.1 Control Panel'!F$58*SUMIFS('4.3 Global SME Data'!$C$13:$C$18,'4.3 Global SME Data'!$B$13:$B$18,$C149)*1000000*(1+'1.1 Control Panel'!E$55-'1.1 Control Panel'!E$56)*(1+'1.1 Control Panel'!F$55-'1.1 Control Panel'!F$56)*SUMIFS('4.3 Global SME Data'!$C$21:$C$41,'4.3 Global SME Data'!$E$21:$E$41,$C$147)*SUMIFS('1.1 Control Panel'!F$111:F$116,'1.1 Control Panel'!C$111:C$116,$C149)*SUMIFS('1.1 Control Panel'!F$196:F$201,'1.1 Control Panel'!C$196:C$201,$C149)*SUMIFS('1.1 Control Panel'!F$281:F$286,'1.1 Control Panel'!C$281:C$286,$C149),0)</f>
        <v>1819</v>
      </c>
      <c r="G149" s="28">
        <f>ROUNDUP('1.1 Control Panel'!G$58*SUMIFS('4.3 Global SME Data'!$C$13:$C$18,'4.3 Global SME Data'!$B$13:$B$18,$C149)*1000000*(1+'1.1 Control Panel'!E$55-'1.1 Control Panel'!E$56)*(1+'1.1 Control Panel'!F$55-'1.1 Control Panel'!F$56)*(1+'1.1 Control Panel'!G$55-'1.1 Control Panel'!G$56)*SUMIFS('4.3 Global SME Data'!$C$21:$C$41,'4.3 Global SME Data'!$E$21:$E$41,$C$147)*SUMIFS('1.1 Control Panel'!G$111:G$116,'1.1 Control Panel'!C$111:C$116,$C149)*SUMIFS('1.1 Control Panel'!G$196:G$201,'1.1 Control Panel'!C$196:C$201,$C149)*SUMIFS('1.1 Control Panel'!G$281:G$286,'1.1 Control Panel'!C$281:C$286,$C149),0)</f>
        <v>2005</v>
      </c>
      <c r="H149" s="28">
        <f>ROUNDUP('1.1 Control Panel'!H$58*SUMIFS('4.3 Global SME Data'!$C$13:$C$18,'4.3 Global SME Data'!$B$13:$B$18,$C149)*1000000*(1+'1.1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Data'!$E$21:$E$41,$C$147)*SUMIFS('1.1 Control Panel'!H$111:H$116,'1.1 Control Panel'!C$111:C$116,$C149)*SUMIFS('1.1 Control Panel'!H$196:H$201,'1.1 Control Panel'!C$196:C$201,$C149)*SUMIFS('1.1 Control Panel'!H$281:H$286,'1.1 Control Panel'!C$281:C$286,$C149),0)</f>
        <v>2197</v>
      </c>
      <c r="J149" s="20"/>
    </row>
    <row r="150" spans="2:10" ht="11.5" customHeight="1" x14ac:dyDescent="0.25">
      <c r="C150" s="20" t="s">
        <v>454</v>
      </c>
      <c r="D150" s="34" t="s">
        <v>162</v>
      </c>
      <c r="E150" s="28">
        <f>ROUNDUP('1.1 Control Panel'!E$58*SUMIFS('4.3 Global SME Data'!$C$13:$C$18,'4.3 Global SME Data'!$B$13:$B$18,$C150)*1000000*(1+'1.1 Control Panel'!E$55-'1.1 Control Panel'!E$56)*SUMIFS('4.3 Global SME Data'!$C$21:$C$41,'4.3 Global SME Data'!$E$21:$E$41,$C$147)*SUMIFS('1.1 Control Panel'!E$111:E$116,'1.1 Control Panel'!C$111:C$116,$C150)*SUMIFS('1.1 Control Panel'!E$196:E$201,'1.1 Control Panel'!C$196:C$201,$C150)*SUMIFS('1.1 Control Panel'!E$281:E$286,'1.1 Control Panel'!C$281:C$286,$C150),0)</f>
        <v>2495</v>
      </c>
      <c r="F150" s="28">
        <f>ROUNDUP('1.1 Control Panel'!F$58*SUMIFS('4.3 Global SME Data'!$C$13:$C$18,'4.3 Global SME Data'!$B$13:$B$18,$C150)*1000000*(1+'1.1 Control Panel'!E$55-'1.1 Control Panel'!E$56)*(1+'1.1 Control Panel'!F$55-'1.1 Control Panel'!F$56)*SUMIFS('4.3 Global SME Data'!$C$21:$C$41,'4.3 Global SME Data'!$E$21:$E$41,$C$147)*SUMIFS('1.1 Control Panel'!F$111:F$116,'1.1 Control Panel'!C$111:C$116,$C150)*SUMIFS('1.1 Control Panel'!F$196:F$201,'1.1 Control Panel'!C$196:C$201,$C150)*SUMIFS('1.1 Control Panel'!F$281:F$286,'1.1 Control Panel'!C$281:C$286,$C150),0)</f>
        <v>2582</v>
      </c>
      <c r="G150" s="28">
        <f>ROUNDUP('1.1 Control Panel'!G$58*SUMIFS('4.3 Global SME Data'!$C$13:$C$18,'4.3 Global SME Data'!$B$13:$B$18,$C150)*1000000*(1+'1.1 Control Panel'!E$55-'1.1 Control Panel'!E$56)*(1+'1.1 Control Panel'!F$55-'1.1 Control Panel'!F$56)*(1+'1.1 Control Panel'!G$55-'1.1 Control Panel'!G$56)*SUMIFS('4.3 Global SME Data'!$C$21:$C$41,'4.3 Global SME Data'!$E$21:$E$41,$C$147)*SUMIFS('1.1 Control Panel'!G$111:G$116,'1.1 Control Panel'!C$111:C$116,$C150)*SUMIFS('1.1 Control Panel'!G$196:G$201,'1.1 Control Panel'!C$196:C$201,$C150)*SUMIFS('1.1 Control Panel'!G$281:G$286,'1.1 Control Panel'!C$281:C$286,$C150),0)</f>
        <v>2728</v>
      </c>
      <c r="H150" s="28">
        <f>ROUNDUP('1.1 Control Panel'!H$58*SUMIFS('4.3 Global SME Data'!$C$13:$C$18,'4.3 Global SME Data'!$B$13:$B$18,$C150)*1000000*(1+'1.1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Data'!$E$21:$E$41,$C$147)*SUMIFS('1.1 Control Panel'!H$111:H$116,'1.1 Control Panel'!C$111:C$116,$C150)*SUMIFS('1.1 Control Panel'!H$196:H$201,'1.1 Control Panel'!C$196:C$201,$C150)*SUMIFS('1.1 Control Panel'!H$281:H$286,'1.1 Control Panel'!C$281:C$286,$C150),0)</f>
        <v>2877</v>
      </c>
      <c r="J150" s="20"/>
    </row>
    <row r="151" spans="2:10" ht="11.5" customHeight="1" x14ac:dyDescent="0.25">
      <c r="C151" s="21" t="s">
        <v>455</v>
      </c>
      <c r="D151" s="38" t="s">
        <v>162</v>
      </c>
      <c r="E151" s="376">
        <f>ROUNDUP('1.1 Control Panel'!E$58*SUMIFS('4.3 Global SME Data'!$C$13:$C$18,'4.3 Global SME Data'!$B$13:$B$18,$C151)*1000000*(1+'1.1 Control Panel'!E$55-'1.1 Control Panel'!E$56)*SUMIFS('4.3 Global SME Data'!$C$21:$C$41,'4.3 Global SME Data'!$E$21:$E$41,$C$147)*SUMIFS('1.1 Control Panel'!E$111:E$116,'1.1 Control Panel'!C$111:C$116,$C151)*SUMIFS('1.1 Control Panel'!E$196:E$201,'1.1 Control Panel'!C$196:C$201,$C151)*SUMIFS('1.1 Control Panel'!E$281:E$286,'1.1 Control Panel'!C$281:C$286,$C151),0)</f>
        <v>14437</v>
      </c>
      <c r="F151" s="376">
        <f>ROUNDUP('1.1 Control Panel'!F$58*SUMIFS('4.3 Global SME Data'!$C$13:$C$18,'4.3 Global SME Data'!$B$13:$B$18,$C151)*1000000*(1+'1.1 Control Panel'!E$55-'1.1 Control Panel'!E$56)*(1+'1.1 Control Panel'!F$55-'1.1 Control Panel'!F$56)*SUMIFS('4.3 Global SME Data'!$C$21:$C$41,'4.3 Global SME Data'!$E$21:$E$41,$C$147)*SUMIFS('1.1 Control Panel'!F$111:F$116,'1.1 Control Panel'!C$111:C$116,$C151)*SUMIFS('1.1 Control Panel'!F$196:F$201,'1.1 Control Panel'!C$196:C$201,$C151)*SUMIFS('1.1 Control Panel'!F$281:F$286,'1.1 Control Panel'!C$281:C$286,$C151),0)</f>
        <v>15316</v>
      </c>
      <c r="G151" s="376">
        <f>ROUNDUP('1.1 Control Panel'!G$58*SUMIFS('4.3 Global SME Data'!$C$13:$C$18,'4.3 Global SME Data'!$B$13:$B$18,$C151)*1000000*(1+'1.1 Control Panel'!E$55-'1.1 Control Panel'!E$56)*(1+'1.1 Control Panel'!F$55-'1.1 Control Panel'!F$56)*(1+'1.1 Control Panel'!G$55-'1.1 Control Panel'!G$56)*SUMIFS('4.3 Global SME Data'!$C$21:$C$41,'4.3 Global SME Data'!$E$21:$E$41,$C$147)*SUMIFS('1.1 Control Panel'!G$111:G$116,'1.1 Control Panel'!C$111:C$116,$C151)*SUMIFS('1.1 Control Panel'!G$196:G$201,'1.1 Control Panel'!C$196:C$201,$C151)*SUMIFS('1.1 Control Panel'!G$281:G$286,'1.1 Control Panel'!C$281:C$286,$C151),0)</f>
        <v>16832</v>
      </c>
      <c r="H151" s="376">
        <f>ROUNDUP('1.1 Control Panel'!H$58*SUMIFS('4.3 Global SME Data'!$C$13:$C$18,'4.3 Global SME Data'!$B$13:$B$18,$C151)*1000000*(1+'1.1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Data'!$E$21:$E$41,$C$147)*SUMIFS('1.1 Control Panel'!H$111:H$116,'1.1 Control Panel'!C$111:C$116,$C151)*SUMIFS('1.1 Control Panel'!H$196:H$201,'1.1 Control Panel'!C$196:C$201,$C151)*SUMIFS('1.1 Control Panel'!H$281:H$286,'1.1 Control Panel'!C$281:C$286,$C151),0)</f>
        <v>18404</v>
      </c>
      <c r="J151" s="21"/>
    </row>
    <row r="152" spans="2:10" ht="11.5" customHeight="1" x14ac:dyDescent="0.25">
      <c r="C152" s="21" t="s">
        <v>393</v>
      </c>
      <c r="D152" s="38" t="s">
        <v>162</v>
      </c>
      <c r="E152" s="376">
        <f>ROUNDUP('1.1 Control Panel'!E$58*SUMIFS('4.3 Global SME Data'!$C$13:$C$18,'4.3 Global SME Data'!$B$13:$B$18,$C152)*1000000*(1+'1.1 Control Panel'!E$55-'1.1 Control Panel'!E$56)*SUMIFS('4.3 Global SME Data'!$C$21:$C$41,'4.3 Global SME Data'!$E$21:$E$41,$C$147)*SUMIFS('1.1 Control Panel'!E$111:E$116,'1.1 Control Panel'!C$111:C$116,$C152)*SUMIFS('1.1 Control Panel'!E$196:E$201,'1.1 Control Panel'!C$196:C$201,$C152)*SUMIFS('1.1 Control Panel'!E$281:E$286,'1.1 Control Panel'!C$281:C$286,$C152),0)</f>
        <v>25253</v>
      </c>
      <c r="F152" s="376">
        <f>ROUNDUP('1.1 Control Panel'!F$58*SUMIFS('4.3 Global SME Data'!$C$13:$C$18,'4.3 Global SME Data'!$B$13:$B$18,$C152)*1000000*(1+'1.1 Control Panel'!E$55-'1.1 Control Panel'!E$56)*(1+'1.1 Control Panel'!F$55-'1.1 Control Panel'!F$56)*SUMIFS('4.3 Global SME Data'!$C$21:$C$41,'4.3 Global SME Data'!$E$21:$E$41,$C$147)*SUMIFS('1.1 Control Panel'!F$111:F$116,'1.1 Control Panel'!C$111:C$116,$C152)*SUMIFS('1.1 Control Panel'!F$196:F$201,'1.1 Control Panel'!C$196:C$201,$C152)*SUMIFS('1.1 Control Panel'!F$281:F$286,'1.1 Control Panel'!C$281:C$286,$C152),0)</f>
        <v>26676</v>
      </c>
      <c r="G152" s="376">
        <f>ROUNDUP('1.1 Control Panel'!G$58*SUMIFS('4.3 Global SME Data'!$C$13:$C$18,'4.3 Global SME Data'!$B$13:$B$18,$C152)*1000000*(1+'1.1 Control Panel'!E$55-'1.1 Control Panel'!E$56)*(1+'1.1 Control Panel'!F$55-'1.1 Control Panel'!F$56)*(1+'1.1 Control Panel'!G$55-'1.1 Control Panel'!G$56)*SUMIFS('4.3 Global SME Data'!$C$21:$C$41,'4.3 Global SME Data'!$E$21:$E$41,$C$147)*SUMIFS('1.1 Control Panel'!G$111:G$116,'1.1 Control Panel'!C$111:C$116,$C152)*SUMIFS('1.1 Control Panel'!G$196:G$201,'1.1 Control Panel'!C$196:C$201,$C152)*SUMIFS('1.1 Control Panel'!G$281:G$286,'1.1 Control Panel'!C$281:C$286,$C152),0)</f>
        <v>29125</v>
      </c>
      <c r="H152" s="376">
        <f>ROUNDUP('1.1 Control Panel'!H$58*SUMIFS('4.3 Global SME Data'!$C$13:$C$18,'4.3 Global SME Data'!$B$13:$B$18,$C152)*1000000*(1+'1.1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Data'!$E$21:$E$41,$C$147)*SUMIFS('1.1 Control Panel'!H$111:H$116,'1.1 Control Panel'!C$111:C$116,$C152)*SUMIFS('1.1 Control Panel'!H$196:H$201,'1.1 Control Panel'!C$196:C$201,$C152)*SUMIFS('1.1 Control Panel'!H$281:H$286,'1.1 Control Panel'!C$281:C$286,$C152),0)</f>
        <v>31655</v>
      </c>
      <c r="J152" s="21"/>
    </row>
    <row r="153" spans="2:10" ht="11.5" customHeight="1" x14ac:dyDescent="0.25">
      <c r="C153" s="21" t="s">
        <v>456</v>
      </c>
      <c r="D153" s="38" t="s">
        <v>162</v>
      </c>
      <c r="E153" s="376">
        <f>ROUNDUP('1.1 Control Panel'!E$58*SUMIFS('4.3 Global SME Data'!$C$13:$C$18,'4.3 Global SME Data'!$B$13:$B$18,$C153)*1000000*(1+'1.1 Control Panel'!E$55-'1.1 Control Panel'!E$56)*SUMIFS('4.3 Global SME Data'!$C$21:$C$41,'4.3 Global SME Data'!$E$21:$E$41,$C$147)*SUMIFS('1.1 Control Panel'!E$111:E$116,'1.1 Control Panel'!C$111:C$116,$C153)*SUMIFS('1.1 Control Panel'!E$196:E$201,'1.1 Control Panel'!C$196:C$201,$C153)*SUMIFS('1.1 Control Panel'!E$281:E$286,'1.1 Control Panel'!C$281:C$286,$C153),0)</f>
        <v>3956</v>
      </c>
      <c r="F153" s="376">
        <f>ROUNDUP('1.1 Control Panel'!F$58*SUMIFS('4.3 Global SME Data'!$C$13:$C$18,'4.3 Global SME Data'!$B$13:$B$18,$C153)*1000000*(1+'1.1 Control Panel'!E$55-'1.1 Control Panel'!E$56)*(1+'1.1 Control Panel'!F$55-'1.1 Control Panel'!F$56)*SUMIFS('4.3 Global SME Data'!$C$21:$C$41,'4.3 Global SME Data'!$E$21:$E$41,$C$147)*SUMIFS('1.1 Control Panel'!F$111:F$116,'1.1 Control Panel'!C$111:C$116,$C153)*SUMIFS('1.1 Control Panel'!F$196:F$201,'1.1 Control Panel'!C$196:C$201,$C153)*SUMIFS('1.1 Control Panel'!F$281:F$286,'1.1 Control Panel'!C$281:C$286,$C153),0)</f>
        <v>4093</v>
      </c>
      <c r="G153" s="376">
        <f>ROUNDUP('1.1 Control Panel'!G$58*SUMIFS('4.3 Global SME Data'!$C$13:$C$18,'4.3 Global SME Data'!$B$13:$B$18,$C153)*1000000*(1+'1.1 Control Panel'!E$55-'1.1 Control Panel'!E$56)*(1+'1.1 Control Panel'!F$55-'1.1 Control Panel'!F$56)*(1+'1.1 Control Panel'!G$55-'1.1 Control Panel'!G$56)*SUMIFS('4.3 Global SME Data'!$C$21:$C$41,'4.3 Global SME Data'!$E$21:$E$41,$C$147)*SUMIFS('1.1 Control Panel'!G$111:G$116,'1.1 Control Panel'!C$111:C$116,$C153)*SUMIFS('1.1 Control Panel'!G$196:G$201,'1.1 Control Panel'!C$196:C$201,$C153)*SUMIFS('1.1 Control Panel'!G$281:G$286,'1.1 Control Panel'!C$281:C$286,$C153),0)</f>
        <v>4325</v>
      </c>
      <c r="H153" s="376">
        <f>ROUNDUP('1.1 Control Panel'!H$58*SUMIFS('4.3 Global SME Data'!$C$13:$C$18,'4.3 Global SME Data'!$B$13:$B$18,$C153)*1000000*(1+'1.1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Data'!$E$21:$E$41,$C$147)*SUMIFS('1.1 Control Panel'!H$111:H$116,'1.1 Control Panel'!C$111:C$116,$C153)*SUMIFS('1.1 Control Panel'!H$196:H$201,'1.1 Control Panel'!C$196:C$201,$C153)*SUMIFS('1.1 Control Panel'!H$281:H$286,'1.1 Control Panel'!C$281:C$286,$C153),0)</f>
        <v>4560</v>
      </c>
      <c r="J153" s="21"/>
    </row>
    <row r="154" spans="2:10" s="74" customFormat="1" ht="11.5" customHeight="1" x14ac:dyDescent="0.25">
      <c r="B154" s="99" t="s">
        <v>9</v>
      </c>
      <c r="C154" s="105" t="str">
        <f>'4.2 Sector Mapping'!$B$13</f>
        <v>Real Estate and Construction</v>
      </c>
      <c r="D154" s="106" t="s">
        <v>162</v>
      </c>
      <c r="E154" s="380">
        <f>SUM(E155:E160)</f>
        <v>117005</v>
      </c>
      <c r="F154" s="380">
        <f t="shared" ref="F154:H154" si="54">SUM(F155:F160)</f>
        <v>127378</v>
      </c>
      <c r="G154" s="380">
        <f t="shared" si="54"/>
        <v>145518</v>
      </c>
      <c r="H154" s="380">
        <f t="shared" si="54"/>
        <v>164640</v>
      </c>
      <c r="J154" s="105"/>
    </row>
    <row r="155" spans="2:10" ht="11.5" customHeight="1" x14ac:dyDescent="0.25">
      <c r="C155" s="20" t="s">
        <v>600</v>
      </c>
      <c r="D155" s="34" t="s">
        <v>162</v>
      </c>
      <c r="E155" s="28">
        <f>ROUNDUP('1.1 Control Panel'!E$58*SUMIFS('4.3 Global SME Data'!$C$13:$C$18,'4.3 Global SME Data'!$B$13:$B$18,$C155)*1000000*(1+'1.1 Control Panel'!E$55-'1.1 Control Panel'!E$56)*SUMIFS('4.3 Global SME Data'!$C$21:$C$41,'4.3 Global SME Data'!$E$21:$E$41,$C$154)*SUMIFS('1.1 Control Panel'!E$118:E$123,'1.1 Control Panel'!C$118:C$123,$C155)*SUMIFS('1.1 Control Panel'!E$203:E$208,'1.1 Control Panel'!C$203:C$208,$C155)*SUMIFS('1.1 Control Panel'!E$288:E$293,'1.1 Control Panel'!C$288:C$293,$C155),0)</f>
        <v>55040</v>
      </c>
      <c r="F155" s="28">
        <f>ROUNDUP('1.1 Control Panel'!F$58*SUMIFS('4.3 Global SME Data'!$C$13:$C$18,'4.3 Global SME Data'!$B$13:$B$18,$C155)*1000000*(1+'1.1 Control Panel'!E$55-'1.1 Control Panel'!E$56)*(1+'1.1 Control Panel'!F$55-'1.1 Control Panel'!F$56)*SUMIFS('4.3 Global SME Data'!$C$21:$C$41,'4.3 Global SME Data'!$E$21:$E$41,$C$154)*SUMIFS('1.1 Control Panel'!F$118:F$123,'1.1 Control Panel'!C$118:C$123,$C155)*SUMIFS('1.1 Control Panel'!F$203:F$208,'1.1 Control Panel'!C$203:C$208,$C155)*SUMIFS('1.1 Control Panel'!F$288:F$293,'1.1 Control Panel'!C$288:C$293,$C155),0)</f>
        <v>61102</v>
      </c>
      <c r="G155" s="28">
        <f>ROUNDUP('1.1 Control Panel'!G$58*SUMIFS('4.3 Global SME Data'!$C$13:$C$18,'4.3 Global SME Data'!$B$13:$B$18,$C155)*1000000*(1+'1.1 Control Panel'!E$55-'1.1 Control Panel'!E$56)*(1+'1.1 Control Panel'!F$55-'1.1 Control Panel'!F$56)*(1+'1.1 Control Panel'!G$55-'1.1 Control Panel'!G$56)*SUMIFS('4.3 Global SME Data'!$C$21:$C$41,'4.3 Global SME Data'!$E$21:$E$41,$C$154)*SUMIFS('1.1 Control Panel'!G$118:G$123,'1.1 Control Panel'!C$118:C$123,$C155)*SUMIFS('1.1 Control Panel'!G$203:G$208,'1.1 Control Panel'!C$203:C$208,$C155)*SUMIFS('1.1 Control Panel'!G$288:G$293,'1.1 Control Panel'!C$288:C$293,$C155),0)</f>
        <v>71781</v>
      </c>
      <c r="H155" s="28">
        <f>ROUNDUP('1.1 Control Panel'!H$58*SUMIFS('4.3 Global SME Data'!$C$13:$C$18,'4.3 Global SME Data'!$B$13:$B$18,$C155)*1000000*(1+'1.1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Data'!$E$21:$E$41,$C$154)*SUMIFS('1.1 Control Panel'!H$118:H$123,'1.1 Control Panel'!C$118:C$123,$C155)*SUMIFS('1.1 Control Panel'!H$203:H$208,'1.1 Control Panel'!C$203:C$208,$C155)*SUMIFS('1.1 Control Panel'!H$288:H$293,'1.1 Control Panel'!C$288:C$293,$C155),0)</f>
        <v>83138</v>
      </c>
      <c r="J155" s="20"/>
    </row>
    <row r="156" spans="2:10" ht="11.5" customHeight="1" x14ac:dyDescent="0.25">
      <c r="C156" s="20" t="s">
        <v>392</v>
      </c>
      <c r="D156" s="34" t="s">
        <v>162</v>
      </c>
      <c r="E156" s="28">
        <f>ROUNDUP('1.1 Control Panel'!E$58*SUMIFS('4.3 Global SME Data'!$C$13:$C$18,'4.3 Global SME Data'!$B$13:$B$18,$C156)*1000000*(1+'1.1 Control Panel'!E$55-'1.1 Control Panel'!E$56)*SUMIFS('4.3 Global SME Data'!$C$21:$C$41,'4.3 Global SME Data'!$E$21:$E$41,$C$154)*SUMIFS('1.1 Control Panel'!E$118:E$123,'1.1 Control Panel'!C$118:C$123,$C156)*SUMIFS('1.1 Control Panel'!E$203:E$208,'1.1 Control Panel'!C$203:C$208,$C156)*SUMIFS('1.1 Control Panel'!E$288:E$293,'1.1 Control Panel'!C$288:C$293,$C156),0)</f>
        <v>3226</v>
      </c>
      <c r="F156" s="28">
        <f>ROUNDUP('1.1 Control Panel'!F$58*SUMIFS('4.3 Global SME Data'!$C$13:$C$18,'4.3 Global SME Data'!$B$13:$B$18,$C156)*1000000*(1+'1.1 Control Panel'!E$55-'1.1 Control Panel'!E$56)*(1+'1.1 Control Panel'!F$55-'1.1 Control Panel'!F$56)*SUMIFS('4.3 Global SME Data'!$C$21:$C$41,'4.3 Global SME Data'!$E$21:$E$41,$C$154)*SUMIFS('1.1 Control Panel'!F$118:F$123,'1.1 Control Panel'!C$118:C$123,$C156)*SUMIFS('1.1 Control Panel'!F$203:F$208,'1.1 Control Panel'!C$203:C$208,$C156)*SUMIFS('1.1 Control Panel'!F$288:F$293,'1.1 Control Panel'!C$288:C$293,$C156),0)</f>
        <v>3428</v>
      </c>
      <c r="G156" s="28">
        <f>ROUNDUP('1.1 Control Panel'!G$58*SUMIFS('4.3 Global SME Data'!$C$13:$C$18,'4.3 Global SME Data'!$B$13:$B$18,$C156)*1000000*(1+'1.1 Control Panel'!E$55-'1.1 Control Panel'!E$56)*(1+'1.1 Control Panel'!F$55-'1.1 Control Panel'!F$56)*(1+'1.1 Control Panel'!G$55-'1.1 Control Panel'!G$56)*SUMIFS('4.3 Global SME Data'!$C$21:$C$41,'4.3 Global SME Data'!$E$21:$E$41,$C$154)*SUMIFS('1.1 Control Panel'!G$118:G$123,'1.1 Control Panel'!C$118:C$123,$C156)*SUMIFS('1.1 Control Panel'!G$203:G$208,'1.1 Control Panel'!C$203:C$208,$C156)*SUMIFS('1.1 Control Panel'!G$288:G$293,'1.1 Control Panel'!C$288:C$293,$C156),0)</f>
        <v>3777</v>
      </c>
      <c r="H156" s="28">
        <f>ROUNDUP('1.1 Control Panel'!H$58*SUMIFS('4.3 Global SME Data'!$C$13:$C$18,'4.3 Global SME Data'!$B$13:$B$18,$C156)*1000000*(1+'1.1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Data'!$E$21:$E$41,$C$154)*SUMIFS('1.1 Control Panel'!H$118:H$123,'1.1 Control Panel'!C$118:C$123,$C156)*SUMIFS('1.1 Control Panel'!H$203:H$208,'1.1 Control Panel'!C$203:C$208,$C156)*SUMIFS('1.1 Control Panel'!H$288:H$293,'1.1 Control Panel'!C$288:C$293,$C156),0)</f>
        <v>4140</v>
      </c>
      <c r="J156" s="20"/>
    </row>
    <row r="157" spans="2:10" ht="11.5" customHeight="1" x14ac:dyDescent="0.25">
      <c r="C157" s="20" t="s">
        <v>454</v>
      </c>
      <c r="D157" s="34" t="s">
        <v>162</v>
      </c>
      <c r="E157" s="28">
        <f>ROUNDUP('1.1 Control Panel'!E$58*SUMIFS('4.3 Global SME Data'!$C$13:$C$18,'4.3 Global SME Data'!$B$13:$B$18,$C157)*1000000*(1+'1.1 Control Panel'!E$55-'1.1 Control Panel'!E$56)*SUMIFS('4.3 Global SME Data'!$C$21:$C$41,'4.3 Global SME Data'!$E$21:$E$41,$C$154)*SUMIFS('1.1 Control Panel'!E$118:E$123,'1.1 Control Panel'!C$118:C$123,$C157)*SUMIFS('1.1 Control Panel'!E$203:E$208,'1.1 Control Panel'!C$203:C$208,$C157)*SUMIFS('1.1 Control Panel'!E$288:E$293,'1.1 Control Panel'!C$288:C$293,$C157),0)</f>
        <v>3135</v>
      </c>
      <c r="F157" s="28">
        <f>ROUNDUP('1.1 Control Panel'!F$58*SUMIFS('4.3 Global SME Data'!$C$13:$C$18,'4.3 Global SME Data'!$B$13:$B$18,$C157)*1000000*(1+'1.1 Control Panel'!E$55-'1.1 Control Panel'!E$56)*(1+'1.1 Control Panel'!F$55-'1.1 Control Panel'!F$56)*SUMIFS('4.3 Global SME Data'!$C$21:$C$41,'4.3 Global SME Data'!$E$21:$E$41,$C$154)*SUMIFS('1.1 Control Panel'!F$118:F$123,'1.1 Control Panel'!C$118:C$123,$C157)*SUMIFS('1.1 Control Panel'!F$203:F$208,'1.1 Control Panel'!C$203:C$208,$C157)*SUMIFS('1.1 Control Panel'!F$288:F$293,'1.1 Control Panel'!C$288:C$293,$C157),0)</f>
        <v>3275</v>
      </c>
      <c r="G157" s="28">
        <f>ROUNDUP('1.1 Control Panel'!G$58*SUMIFS('4.3 Global SME Data'!$C$13:$C$18,'4.3 Global SME Data'!$B$13:$B$18,$C157)*1000000*(1+'1.1 Control Panel'!E$55-'1.1 Control Panel'!E$56)*(1+'1.1 Control Panel'!F$55-'1.1 Control Panel'!F$56)*(1+'1.1 Control Panel'!G$55-'1.1 Control Panel'!G$56)*SUMIFS('4.3 Global SME Data'!$C$21:$C$41,'4.3 Global SME Data'!$E$21:$E$41,$C$154)*SUMIFS('1.1 Control Panel'!G$118:G$123,'1.1 Control Panel'!C$118:C$123,$C157)*SUMIFS('1.1 Control Panel'!G$203:G$208,'1.1 Control Panel'!C$203:C$208,$C157)*SUMIFS('1.1 Control Panel'!G$288:G$293,'1.1 Control Panel'!C$288:C$293,$C157),0)</f>
        <v>3514</v>
      </c>
      <c r="H157" s="28">
        <f>ROUNDUP('1.1 Control Panel'!H$58*SUMIFS('4.3 Global SME Data'!$C$13:$C$18,'4.3 Global SME Data'!$B$13:$B$18,$C157)*1000000*(1+'1.1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Data'!$E$21:$E$41,$C$154)*SUMIFS('1.1 Control Panel'!H$118:H$123,'1.1 Control Panel'!C$118:C$123,$C157)*SUMIFS('1.1 Control Panel'!H$203:H$208,'1.1 Control Panel'!C$203:C$208,$C157)*SUMIFS('1.1 Control Panel'!H$288:H$293,'1.1 Control Panel'!C$288:C$293,$C157),0)</f>
        <v>3758</v>
      </c>
      <c r="J157" s="20"/>
    </row>
    <row r="158" spans="2:10" ht="11.5" customHeight="1" x14ac:dyDescent="0.25">
      <c r="C158" s="21" t="s">
        <v>455</v>
      </c>
      <c r="D158" s="38" t="s">
        <v>162</v>
      </c>
      <c r="E158" s="376">
        <f>ROUNDUP('1.1 Control Panel'!E$58*SUMIFS('4.3 Global SME Data'!$C$13:$C$18,'4.3 Global SME Data'!$B$13:$B$18,$C158)*1000000*(1+'1.1 Control Panel'!E$55-'1.1 Control Panel'!E$56)*SUMIFS('4.3 Global SME Data'!$C$21:$C$41,'4.3 Global SME Data'!$E$21:$E$41,$C$154)*SUMIFS('1.1 Control Panel'!E$118:E$123,'1.1 Control Panel'!C$118:C$123,$C158)*SUMIFS('1.1 Control Panel'!E$203:E$208,'1.1 Control Panel'!C$203:C$208,$C158)*SUMIFS('1.1 Control Panel'!E$288:E$293,'1.1 Control Panel'!C$288:C$293,$C158),0)</f>
        <v>20151</v>
      </c>
      <c r="F158" s="376">
        <f>ROUNDUP('1.1 Control Panel'!F$58*SUMIFS('4.3 Global SME Data'!$C$13:$C$18,'4.3 Global SME Data'!$B$13:$B$18,$C158)*1000000*(1+'1.1 Control Panel'!E$55-'1.1 Control Panel'!E$56)*(1+'1.1 Control Panel'!F$55-'1.1 Control Panel'!F$56)*SUMIFS('4.3 Global SME Data'!$C$21:$C$41,'4.3 Global SME Data'!$E$21:$E$41,$C$154)*SUMIFS('1.1 Control Panel'!F$118:F$123,'1.1 Control Panel'!C$118:C$123,$C158)*SUMIFS('1.1 Control Panel'!F$203:F$208,'1.1 Control Panel'!C$203:C$208,$C158)*SUMIFS('1.1 Control Panel'!F$288:F$293,'1.1 Control Panel'!C$288:C$293,$C158),0)</f>
        <v>21619</v>
      </c>
      <c r="G158" s="376">
        <f>ROUNDUP('1.1 Control Panel'!G$58*SUMIFS('4.3 Global SME Data'!$C$13:$C$18,'4.3 Global SME Data'!$B$13:$B$18,$C158)*1000000*(1+'1.1 Control Panel'!E$55-'1.1 Control Panel'!E$56)*(1+'1.1 Control Panel'!F$55-'1.1 Control Panel'!F$56)*(1+'1.1 Control Panel'!G$55-'1.1 Control Panel'!G$56)*SUMIFS('4.3 Global SME Data'!$C$21:$C$41,'4.3 Global SME Data'!$E$21:$E$41,$C$154)*SUMIFS('1.1 Control Panel'!G$118:G$123,'1.1 Control Panel'!C$118:C$123,$C158)*SUMIFS('1.1 Control Panel'!G$203:G$208,'1.1 Control Panel'!C$203:C$208,$C158)*SUMIFS('1.1 Control Panel'!G$288:G$293,'1.1 Control Panel'!C$288:C$293,$C158),0)</f>
        <v>24165</v>
      </c>
      <c r="H158" s="376">
        <f>ROUNDUP('1.1 Control Panel'!H$58*SUMIFS('4.3 Global SME Data'!$C$13:$C$18,'4.3 Global SME Data'!$B$13:$B$18,$C158)*1000000*(1+'1.1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Data'!$E$21:$E$41,$C$154)*SUMIFS('1.1 Control Panel'!H$118:H$123,'1.1 Control Panel'!C$118:C$123,$C158)*SUMIFS('1.1 Control Panel'!H$203:H$208,'1.1 Control Panel'!C$203:C$208,$C158)*SUMIFS('1.1 Control Panel'!H$288:H$293,'1.1 Control Panel'!C$288:C$293,$C158),0)</f>
        <v>26823</v>
      </c>
      <c r="J158" s="21"/>
    </row>
    <row r="159" spans="2:10" ht="11.5" customHeight="1" x14ac:dyDescent="0.25">
      <c r="C159" s="21" t="s">
        <v>393</v>
      </c>
      <c r="D159" s="38" t="s">
        <v>162</v>
      </c>
      <c r="E159" s="376">
        <f>ROUNDUP('1.1 Control Panel'!E$58*SUMIFS('4.3 Global SME Data'!$C$13:$C$18,'4.3 Global SME Data'!$B$13:$B$18,$C159)*1000000*(1+'1.1 Control Panel'!E$55-'1.1 Control Panel'!E$56)*SUMIFS('4.3 Global SME Data'!$C$21:$C$41,'4.3 Global SME Data'!$E$21:$E$41,$C$154)*SUMIFS('1.1 Control Panel'!E$118:E$123,'1.1 Control Panel'!C$118:C$123,$C159)*SUMIFS('1.1 Control Panel'!E$203:E$208,'1.1 Control Panel'!C$203:C$208,$C159)*SUMIFS('1.1 Control Panel'!E$288:E$293,'1.1 Control Panel'!C$288:C$293,$C159),0)</f>
        <v>31726</v>
      </c>
      <c r="F159" s="376">
        <f>ROUNDUP('1.1 Control Panel'!F$58*SUMIFS('4.3 Global SME Data'!$C$13:$C$18,'4.3 Global SME Data'!$B$13:$B$18,$C159)*1000000*(1+'1.1 Control Panel'!E$55-'1.1 Control Panel'!E$56)*(1+'1.1 Control Panel'!F$55-'1.1 Control Panel'!F$56)*SUMIFS('4.3 Global SME Data'!$C$21:$C$41,'4.3 Global SME Data'!$E$21:$E$41,$C$154)*SUMIFS('1.1 Control Panel'!F$118:F$123,'1.1 Control Panel'!C$118:C$123,$C159)*SUMIFS('1.1 Control Panel'!F$203:F$208,'1.1 Control Panel'!C$203:C$208,$C159)*SUMIFS('1.1 Control Panel'!F$288:F$293,'1.1 Control Panel'!C$288:C$293,$C159),0)</f>
        <v>34022</v>
      </c>
      <c r="G159" s="376">
        <f>ROUNDUP('1.1 Control Panel'!G$58*SUMIFS('4.3 Global SME Data'!$C$13:$C$18,'4.3 Global SME Data'!$B$13:$B$18,$C159)*1000000*(1+'1.1 Control Panel'!E$55-'1.1 Control Panel'!E$56)*(1+'1.1 Control Panel'!F$55-'1.1 Control Panel'!F$56)*(1+'1.1 Control Panel'!G$55-'1.1 Control Panel'!G$56)*SUMIFS('4.3 Global SME Data'!$C$21:$C$41,'4.3 Global SME Data'!$E$21:$E$41,$C$154)*SUMIFS('1.1 Control Panel'!G$118:G$123,'1.1 Control Panel'!C$118:C$123,$C159)*SUMIFS('1.1 Control Panel'!G$203:G$208,'1.1 Control Panel'!C$203:C$208,$C159)*SUMIFS('1.1 Control Panel'!G$288:G$293,'1.1 Control Panel'!C$288:C$293,$C159),0)</f>
        <v>37999</v>
      </c>
      <c r="H159" s="376">
        <f>ROUNDUP('1.1 Control Panel'!H$58*SUMIFS('4.3 Global SME Data'!$C$13:$C$18,'4.3 Global SME Data'!$B$13:$B$18,$C159)*1000000*(1+'1.1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Data'!$E$21:$E$41,$C$154)*SUMIFS('1.1 Control Panel'!H$118:H$123,'1.1 Control Panel'!C$118:C$123,$C159)*SUMIFS('1.1 Control Panel'!H$203:H$208,'1.1 Control Panel'!C$203:C$208,$C159)*SUMIFS('1.1 Control Panel'!H$288:H$293,'1.1 Control Panel'!C$288:C$293,$C159),0)</f>
        <v>42142</v>
      </c>
      <c r="J159" s="21"/>
    </row>
    <row r="160" spans="2:10" ht="11.5" customHeight="1" x14ac:dyDescent="0.25">
      <c r="C160" s="21" t="s">
        <v>456</v>
      </c>
      <c r="D160" s="38" t="s">
        <v>162</v>
      </c>
      <c r="E160" s="376">
        <f>ROUNDUP('1.1 Control Panel'!E$58*SUMIFS('4.3 Global SME Data'!$C$13:$C$18,'4.3 Global SME Data'!$B$13:$B$18,$C160)*1000000*(1+'1.1 Control Panel'!E$55-'1.1 Control Panel'!E$56)*SUMIFS('4.3 Global SME Data'!$C$21:$C$41,'4.3 Global SME Data'!$E$21:$E$41,$C$154)*SUMIFS('1.1 Control Panel'!E$118:E$123,'1.1 Control Panel'!C$118:C$123,$C160)*SUMIFS('1.1 Control Panel'!E$203:E$208,'1.1 Control Panel'!C$203:C$208,$C160)*SUMIFS('1.1 Control Panel'!E$288:E$293,'1.1 Control Panel'!C$288:C$293,$C160),0)</f>
        <v>3727</v>
      </c>
      <c r="F160" s="376">
        <f>ROUNDUP('1.1 Control Panel'!F$58*SUMIFS('4.3 Global SME Data'!$C$13:$C$18,'4.3 Global SME Data'!$B$13:$B$18,$C160)*1000000*(1+'1.1 Control Panel'!E$55-'1.1 Control Panel'!E$56)*(1+'1.1 Control Panel'!F$55-'1.1 Control Panel'!F$56)*SUMIFS('4.3 Global SME Data'!$C$21:$C$41,'4.3 Global SME Data'!$E$21:$E$41,$C$154)*SUMIFS('1.1 Control Panel'!F$118:F$123,'1.1 Control Panel'!C$118:C$123,$C160)*SUMIFS('1.1 Control Panel'!F$203:F$208,'1.1 Control Panel'!C$203:C$208,$C160)*SUMIFS('1.1 Control Panel'!F$288:F$293,'1.1 Control Panel'!C$288:C$293,$C160),0)</f>
        <v>3932</v>
      </c>
      <c r="G160" s="376">
        <f>ROUNDUP('1.1 Control Panel'!G$58*SUMIFS('4.3 Global SME Data'!$C$13:$C$18,'4.3 Global SME Data'!$B$13:$B$18,$C160)*1000000*(1+'1.1 Control Panel'!E$55-'1.1 Control Panel'!E$56)*(1+'1.1 Control Panel'!F$55-'1.1 Control Panel'!F$56)*(1+'1.1 Control Panel'!G$55-'1.1 Control Panel'!G$56)*SUMIFS('4.3 Global SME Data'!$C$21:$C$41,'4.3 Global SME Data'!$E$21:$E$41,$C$154)*SUMIFS('1.1 Control Panel'!G$118:G$123,'1.1 Control Panel'!C$118:C$123,$C160)*SUMIFS('1.1 Control Panel'!G$203:G$208,'1.1 Control Panel'!C$203:C$208,$C160)*SUMIFS('1.1 Control Panel'!G$288:G$293,'1.1 Control Panel'!C$288:C$293,$C160),0)</f>
        <v>4282</v>
      </c>
      <c r="H160" s="376">
        <f>ROUNDUP('1.1 Control Panel'!H$58*SUMIFS('4.3 Global SME Data'!$C$13:$C$18,'4.3 Global SME Data'!$B$13:$B$18,$C160)*1000000*(1+'1.1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Data'!$E$21:$E$41,$C$154)*SUMIFS('1.1 Control Panel'!H$118:H$123,'1.1 Control Panel'!C$118:C$123,$C160)*SUMIFS('1.1 Control Panel'!H$203:H$208,'1.1 Control Panel'!C$203:C$208,$C160)*SUMIFS('1.1 Control Panel'!H$288:H$293,'1.1 Control Panel'!C$288:C$293,$C160),0)</f>
        <v>4639</v>
      </c>
      <c r="J160" s="21"/>
    </row>
    <row r="161" spans="2:10" s="74" customFormat="1" ht="11.5" customHeight="1" x14ac:dyDescent="0.25">
      <c r="B161" s="99" t="s">
        <v>9</v>
      </c>
      <c r="C161" s="105" t="str">
        <f>'4.2 Sector Mapping'!$B$14</f>
        <v>Retail and Consumer Goods</v>
      </c>
      <c r="D161" s="106" t="s">
        <v>162</v>
      </c>
      <c r="E161" s="380">
        <f>SUM(E162:E167)</f>
        <v>667891</v>
      </c>
      <c r="F161" s="380">
        <f t="shared" ref="F161:H161" si="55">SUM(F162:F167)</f>
        <v>704091</v>
      </c>
      <c r="G161" s="380">
        <f t="shared" si="55"/>
        <v>766346</v>
      </c>
      <c r="H161" s="380">
        <f t="shared" si="55"/>
        <v>830623</v>
      </c>
      <c r="J161" s="105"/>
    </row>
    <row r="162" spans="2:10" ht="11.5" customHeight="1" x14ac:dyDescent="0.25">
      <c r="C162" s="20" t="s">
        <v>600</v>
      </c>
      <c r="D162" s="34" t="s">
        <v>162</v>
      </c>
      <c r="E162" s="28">
        <f>ROUNDUP('1.1 Control Panel'!E$58*SUMIFS('4.3 Global SME Data'!$C$13:$C$18,'4.3 Global SME Data'!$B$13:$B$18,$C162)*1000000*(1+'1.1 Control Panel'!E$55-'1.1 Control Panel'!E$56)*SUMIFS('4.3 Global SME Data'!$C$21:$C$41,'4.3 Global SME Data'!$E$21:$E$41,$C$161)*SUMIFS('1.1 Control Panel'!E$125:E$130,'1.1 Control Panel'!C$125:C$130,$C162)*SUMIFS('1.1 Control Panel'!E$210:E$215,'1.1 Control Panel'!C$210:C$215,$C162)*SUMIFS('1.1 Control Panel'!E$295:E$300,'1.1 Control Panel'!C$295:C$300,$C162),0)</f>
        <v>369228</v>
      </c>
      <c r="F162" s="28">
        <f>ROUNDUP('1.1 Control Panel'!F$58*SUMIFS('4.3 Global SME Data'!$C$13:$C$18,'4.3 Global SME Data'!$B$13:$B$18,$C162)*1000000*(1+'1.1 Control Panel'!E$55-'1.1 Control Panel'!E$56)*(1+'1.1 Control Panel'!F$55-'1.1 Control Panel'!F$56)*SUMIFS('4.3 Global SME Data'!$C$21:$C$41,'4.3 Global SME Data'!$E$21:$E$41,$C$161)*SUMIFS('1.1 Control Panel'!F$125:F$130,'1.1 Control Panel'!C$125:C$130,$C162)*SUMIFS('1.1 Control Panel'!F$210:F$215,'1.1 Control Panel'!C$210:C$215,$C162)*SUMIFS('1.1 Control Panel'!F$295:F$300,'1.1 Control Panel'!C$295:C$300,$C162),0)</f>
        <v>391469</v>
      </c>
      <c r="G162" s="28">
        <f>ROUNDUP('1.1 Control Panel'!G$58*SUMIFS('4.3 Global SME Data'!$C$13:$C$18,'4.3 Global SME Data'!$B$13:$B$18,$C162)*1000000*(1+'1.1 Control Panel'!E$55-'1.1 Control Panel'!E$56)*(1+'1.1 Control Panel'!F$55-'1.1 Control Panel'!F$56)*(1+'1.1 Control Panel'!G$55-'1.1 Control Panel'!G$56)*SUMIFS('4.3 Global SME Data'!$C$21:$C$41,'4.3 Global SME Data'!$E$21:$E$41,$C$161)*SUMIFS('1.1 Control Panel'!G$125:G$130,'1.1 Control Panel'!C$125:C$130,$C162)*SUMIFS('1.1 Control Panel'!G$210:G$215,'1.1 Control Panel'!C$210:C$215,$C162)*SUMIFS('1.1 Control Panel'!G$295:G$300,'1.1 Control Panel'!C$295:C$300,$C162),0)</f>
        <v>429847</v>
      </c>
      <c r="H162" s="28">
        <f>ROUNDUP('1.1 Control Panel'!H$58*SUMIFS('4.3 Global SME Data'!$C$13:$C$18,'4.3 Global SME Data'!$B$13:$B$18,$C162)*1000000*(1+'1.1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Data'!$E$21:$E$41,$C$161)*SUMIFS('1.1 Control Panel'!H$125:H$130,'1.1 Control Panel'!C$125:C$130,$C162)*SUMIFS('1.1 Control Panel'!H$210:H$215,'1.1 Control Panel'!C$210:C$215,$C162)*SUMIFS('1.1 Control Panel'!H$295:H$300,'1.1 Control Panel'!C$295:C$300,$C162),0)</f>
        <v>469640</v>
      </c>
      <c r="J162" s="20"/>
    </row>
    <row r="163" spans="2:10" ht="11.5" customHeight="1" x14ac:dyDescent="0.25">
      <c r="C163" s="20" t="s">
        <v>392</v>
      </c>
      <c r="D163" s="34" t="s">
        <v>162</v>
      </c>
      <c r="E163" s="28">
        <f>ROUNDUP('1.1 Control Panel'!E$58*SUMIFS('4.3 Global SME Data'!$C$13:$C$18,'4.3 Global SME Data'!$B$13:$B$18,$C163)*1000000*(1+'1.1 Control Panel'!E$55-'1.1 Control Panel'!E$56)*SUMIFS('4.3 Global SME Data'!$C$21:$C$41,'4.3 Global SME Data'!$E$21:$E$41,$C$161)*SUMIFS('1.1 Control Panel'!E$125:E$130,'1.1 Control Panel'!C$125:C$130,$C163)*SUMIFS('1.1 Control Panel'!E$210:E$215,'1.1 Control Panel'!C$210:C$215,$C163)*SUMIFS('1.1 Control Panel'!E$295:E$300,'1.1 Control Panel'!C$295:C$300,$C163),0)</f>
        <v>8114</v>
      </c>
      <c r="F163" s="28">
        <f>ROUNDUP('1.1 Control Panel'!F$58*SUMIFS('4.3 Global SME Data'!$C$13:$C$18,'4.3 Global SME Data'!$B$13:$B$18,$C163)*1000000*(1+'1.1 Control Panel'!E$55-'1.1 Control Panel'!E$56)*(1+'1.1 Control Panel'!F$55-'1.1 Control Panel'!F$56)*SUMIFS('4.3 Global SME Data'!$C$21:$C$41,'4.3 Global SME Data'!$E$21:$E$41,$C$161)*SUMIFS('1.1 Control Panel'!F$125:F$130,'1.1 Control Panel'!C$125:C$130,$C163)*SUMIFS('1.1 Control Panel'!F$210:F$215,'1.1 Control Panel'!C$210:C$215,$C163)*SUMIFS('1.1 Control Panel'!F$295:F$300,'1.1 Control Panel'!C$295:C$300,$C163),0)</f>
        <v>8603</v>
      </c>
      <c r="G163" s="28">
        <f>ROUNDUP('1.1 Control Panel'!G$58*SUMIFS('4.3 Global SME Data'!$C$13:$C$18,'4.3 Global SME Data'!$B$13:$B$18,$C163)*1000000*(1+'1.1 Control Panel'!E$55-'1.1 Control Panel'!E$56)*(1+'1.1 Control Panel'!F$55-'1.1 Control Panel'!F$56)*(1+'1.1 Control Panel'!G$55-'1.1 Control Panel'!G$56)*SUMIFS('4.3 Global SME Data'!$C$21:$C$41,'4.3 Global SME Data'!$E$21:$E$41,$C$161)*SUMIFS('1.1 Control Panel'!G$125:G$130,'1.1 Control Panel'!C$125:C$130,$C163)*SUMIFS('1.1 Control Panel'!G$210:G$215,'1.1 Control Panel'!C$210:C$215,$C163)*SUMIFS('1.1 Control Panel'!G$295:G$300,'1.1 Control Panel'!C$295:C$300,$C163),0)</f>
        <v>9446</v>
      </c>
      <c r="H163" s="28">
        <f>ROUNDUP('1.1 Control Panel'!H$58*SUMIFS('4.3 Global SME Data'!$C$13:$C$18,'4.3 Global SME Data'!$B$13:$B$18,$C163)*1000000*(1+'1.1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Data'!$E$21:$E$41,$C$161)*SUMIFS('1.1 Control Panel'!H$125:H$130,'1.1 Control Panel'!C$125:C$130,$C163)*SUMIFS('1.1 Control Panel'!H$210:H$215,'1.1 Control Panel'!C$210:C$215,$C163)*SUMIFS('1.1 Control Panel'!H$295:H$300,'1.1 Control Panel'!C$295:C$300,$C163),0)</f>
        <v>10320</v>
      </c>
      <c r="J163" s="20"/>
    </row>
    <row r="164" spans="2:10" ht="11.5" customHeight="1" x14ac:dyDescent="0.25">
      <c r="C164" s="20" t="s">
        <v>454</v>
      </c>
      <c r="D164" s="34" t="s">
        <v>162</v>
      </c>
      <c r="E164" s="28">
        <f>ROUNDUP('1.1 Control Panel'!E$58*SUMIFS('4.3 Global SME Data'!$C$13:$C$18,'4.3 Global SME Data'!$B$13:$B$18,$C164)*1000000*(1+'1.1 Control Panel'!E$55-'1.1 Control Panel'!E$56)*SUMIFS('4.3 Global SME Data'!$C$21:$C$41,'4.3 Global SME Data'!$E$21:$E$41,$C$161)*SUMIFS('1.1 Control Panel'!E$125:E$130,'1.1 Control Panel'!C$125:C$130,$C164)*SUMIFS('1.1 Control Panel'!E$210:E$215,'1.1 Control Panel'!C$210:C$215,$C164)*SUMIFS('1.1 Control Panel'!E$295:E$300,'1.1 Control Panel'!C$295:C$300,$C164),0)</f>
        <v>10512</v>
      </c>
      <c r="F164" s="28">
        <f>ROUNDUP('1.1 Control Panel'!F$58*SUMIFS('4.3 Global SME Data'!$C$13:$C$18,'4.3 Global SME Data'!$B$13:$B$18,$C164)*1000000*(1+'1.1 Control Panel'!E$55-'1.1 Control Panel'!E$56)*(1+'1.1 Control Panel'!F$55-'1.1 Control Panel'!F$56)*SUMIFS('4.3 Global SME Data'!$C$21:$C$41,'4.3 Global SME Data'!$E$21:$E$41,$C$161)*SUMIFS('1.1 Control Panel'!F$125:F$130,'1.1 Control Panel'!C$125:C$130,$C164)*SUMIFS('1.1 Control Panel'!F$210:F$215,'1.1 Control Panel'!C$210:C$215,$C164)*SUMIFS('1.1 Control Panel'!F$295:F$300,'1.1 Control Panel'!C$295:C$300,$C164),0)</f>
        <v>10887</v>
      </c>
      <c r="G164" s="28">
        <f>ROUNDUP('1.1 Control Panel'!G$58*SUMIFS('4.3 Global SME Data'!$C$13:$C$18,'4.3 Global SME Data'!$B$13:$B$18,$C164)*1000000*(1+'1.1 Control Panel'!E$55-'1.1 Control Panel'!E$56)*(1+'1.1 Control Panel'!F$55-'1.1 Control Panel'!F$56)*(1+'1.1 Control Panel'!G$55-'1.1 Control Panel'!G$56)*SUMIFS('4.3 Global SME Data'!$C$21:$C$41,'4.3 Global SME Data'!$E$21:$E$41,$C$161)*SUMIFS('1.1 Control Panel'!G$125:G$130,'1.1 Control Panel'!C$125:C$130,$C164)*SUMIFS('1.1 Control Panel'!G$210:G$215,'1.1 Control Panel'!C$210:C$215,$C164)*SUMIFS('1.1 Control Panel'!G$295:G$300,'1.1 Control Panel'!C$295:C$300,$C164),0)</f>
        <v>11523</v>
      </c>
      <c r="H164" s="28">
        <f>ROUNDUP('1.1 Control Panel'!H$58*SUMIFS('4.3 Global SME Data'!$C$13:$C$18,'4.3 Global SME Data'!$B$13:$B$18,$C164)*1000000*(1+'1.1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Data'!$E$21:$E$41,$C$161)*SUMIFS('1.1 Control Panel'!H$125:H$130,'1.1 Control Panel'!C$125:C$130,$C164)*SUMIFS('1.1 Control Panel'!H$210:H$215,'1.1 Control Panel'!C$210:C$215,$C164)*SUMIFS('1.1 Control Panel'!H$295:H$300,'1.1 Control Panel'!C$295:C$300,$C164),0)</f>
        <v>12168</v>
      </c>
      <c r="J164" s="20"/>
    </row>
    <row r="165" spans="2:10" ht="11.5" customHeight="1" x14ac:dyDescent="0.25">
      <c r="C165" s="21" t="s">
        <v>455</v>
      </c>
      <c r="D165" s="38" t="s">
        <v>162</v>
      </c>
      <c r="E165" s="376">
        <f>ROUNDUP('1.1 Control Panel'!E$58*SUMIFS('4.3 Global SME Data'!$C$13:$C$18,'4.3 Global SME Data'!$B$13:$B$18,$C165)*1000000*(1+'1.1 Control Panel'!E$55-'1.1 Control Panel'!E$56)*SUMIFS('4.3 Global SME Data'!$C$21:$C$41,'4.3 Global SME Data'!$E$21:$E$41,$C$161)*SUMIFS('1.1 Control Panel'!E$125:E$130,'1.1 Control Panel'!C$125:C$130,$C165)*SUMIFS('1.1 Control Panel'!E$210:E$215,'1.1 Control Panel'!C$210:C$215,$C165)*SUMIFS('1.1 Control Panel'!E$295:E$300,'1.1 Control Panel'!C$295:C$300,$C165),0)</f>
        <v>118000</v>
      </c>
      <c r="F165" s="376">
        <f>ROUNDUP('1.1 Control Panel'!F$58*SUMIFS('4.3 Global SME Data'!$C$13:$C$18,'4.3 Global SME Data'!$B$13:$B$18,$C165)*1000000*(1+'1.1 Control Panel'!E$55-'1.1 Control Panel'!E$56)*(1+'1.1 Control Panel'!F$55-'1.1 Control Panel'!F$56)*SUMIFS('4.3 Global SME Data'!$C$21:$C$41,'4.3 Global SME Data'!$E$21:$E$41,$C$161)*SUMIFS('1.1 Control Panel'!F$125:F$130,'1.1 Control Panel'!C$125:C$130,$C165)*SUMIFS('1.1 Control Panel'!F$210:F$215,'1.1 Control Panel'!C$210:C$215,$C165)*SUMIFS('1.1 Control Panel'!F$295:F$300,'1.1 Control Panel'!C$295:C$300,$C165),0)</f>
        <v>123293</v>
      </c>
      <c r="G165" s="376">
        <f>ROUNDUP('1.1 Control Panel'!G$58*SUMIFS('4.3 Global SME Data'!$C$13:$C$18,'4.3 Global SME Data'!$B$13:$B$18,$C165)*1000000*(1+'1.1 Control Panel'!E$55-'1.1 Control Panel'!E$56)*(1+'1.1 Control Panel'!F$55-'1.1 Control Panel'!F$56)*(1+'1.1 Control Panel'!G$55-'1.1 Control Panel'!G$56)*SUMIFS('4.3 Global SME Data'!$C$21:$C$41,'4.3 Global SME Data'!$E$21:$E$41,$C$161)*SUMIFS('1.1 Control Panel'!G$125:G$130,'1.1 Control Panel'!C$125:C$130,$C165)*SUMIFS('1.1 Control Panel'!G$210:G$215,'1.1 Control Panel'!C$210:C$215,$C165)*SUMIFS('1.1 Control Panel'!G$295:G$300,'1.1 Control Panel'!C$295:C$300,$C165),0)</f>
        <v>132332</v>
      </c>
      <c r="H165" s="376">
        <f>ROUNDUP('1.1 Control Panel'!H$58*SUMIFS('4.3 Global SME Data'!$C$13:$C$18,'4.3 Global SME Data'!$B$13:$B$18,$C165)*1000000*(1+'1.1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Data'!$E$21:$E$41,$C$161)*SUMIFS('1.1 Control Panel'!H$125:H$130,'1.1 Control Panel'!C$125:C$130,$C165)*SUMIFS('1.1 Control Panel'!H$210:H$215,'1.1 Control Panel'!C$210:C$215,$C165)*SUMIFS('1.1 Control Panel'!H$295:H$300,'1.1 Control Panel'!C$295:C$300,$C165),0)</f>
        <v>141580</v>
      </c>
      <c r="J165" s="21"/>
    </row>
    <row r="166" spans="2:10" ht="11.5" customHeight="1" x14ac:dyDescent="0.25">
      <c r="C166" s="21" t="s">
        <v>393</v>
      </c>
      <c r="D166" s="38" t="s">
        <v>162</v>
      </c>
      <c r="E166" s="376">
        <f>ROUNDUP('1.1 Control Panel'!E$58*SUMIFS('4.3 Global SME Data'!$C$13:$C$18,'4.3 Global SME Data'!$B$13:$B$18,$C166)*1000000*(1+'1.1 Control Panel'!E$55-'1.1 Control Panel'!E$56)*SUMIFS('4.3 Global SME Data'!$C$21:$C$41,'4.3 Global SME Data'!$E$21:$E$41,$C$161)*SUMIFS('1.1 Control Panel'!E$125:E$130,'1.1 Control Panel'!C$125:C$130,$C166)*SUMIFS('1.1 Control Panel'!E$210:E$215,'1.1 Control Panel'!C$210:C$215,$C166)*SUMIFS('1.1 Control Panel'!E$295:E$300,'1.1 Control Panel'!C$295:C$300,$C166),0)</f>
        <v>143661</v>
      </c>
      <c r="F166" s="376">
        <f>ROUNDUP('1.1 Control Panel'!F$58*SUMIFS('4.3 Global SME Data'!$C$13:$C$18,'4.3 Global SME Data'!$B$13:$B$18,$C166)*1000000*(1+'1.1 Control Panel'!E$55-'1.1 Control Panel'!E$56)*(1+'1.1 Control Panel'!F$55-'1.1 Control Panel'!F$56)*SUMIFS('4.3 Global SME Data'!$C$21:$C$41,'4.3 Global SME Data'!$E$21:$E$41,$C$161)*SUMIFS('1.1 Control Panel'!F$125:F$130,'1.1 Control Panel'!C$125:C$130,$C166)*SUMIFS('1.1 Control Panel'!F$210:F$215,'1.1 Control Panel'!C$210:C$215,$C166)*SUMIFS('1.1 Control Panel'!F$295:F$300,'1.1 Control Panel'!C$295:C$300,$C166),0)</f>
        <v>150839</v>
      </c>
      <c r="G166" s="376">
        <f>ROUNDUP('1.1 Control Panel'!G$58*SUMIFS('4.3 Global SME Data'!$C$13:$C$18,'4.3 Global SME Data'!$B$13:$B$18,$C166)*1000000*(1+'1.1 Control Panel'!E$55-'1.1 Control Panel'!E$56)*(1+'1.1 Control Panel'!F$55-'1.1 Control Panel'!F$56)*(1+'1.1 Control Panel'!G$55-'1.1 Control Panel'!G$56)*SUMIFS('4.3 Global SME Data'!$C$21:$C$41,'4.3 Global SME Data'!$E$21:$E$41,$C$161)*SUMIFS('1.1 Control Panel'!G$125:G$130,'1.1 Control Panel'!C$125:C$130,$C166)*SUMIFS('1.1 Control Panel'!G$210:G$215,'1.1 Control Panel'!C$210:C$215,$C166)*SUMIFS('1.1 Control Panel'!G$295:G$300,'1.1 Control Panel'!C$295:C$300,$C166),0)</f>
        <v>163142</v>
      </c>
      <c r="H166" s="376">
        <f>ROUNDUP('1.1 Control Panel'!H$58*SUMIFS('4.3 Global SME Data'!$C$13:$C$18,'4.3 Global SME Data'!$B$13:$B$18,$C166)*1000000*(1+'1.1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Data'!$E$21:$E$41,$C$161)*SUMIFS('1.1 Control Panel'!H$125:H$130,'1.1 Control Panel'!C$125:C$130,$C166)*SUMIFS('1.1 Control Panel'!H$210:H$215,'1.1 Control Panel'!C$210:C$215,$C166)*SUMIFS('1.1 Control Panel'!H$295:H$300,'1.1 Control Panel'!C$295:C$300,$C166),0)</f>
        <v>175789</v>
      </c>
      <c r="J166" s="21"/>
    </row>
    <row r="167" spans="2:10" ht="11.5" customHeight="1" x14ac:dyDescent="0.25">
      <c r="C167" s="21" t="s">
        <v>456</v>
      </c>
      <c r="D167" s="38" t="s">
        <v>162</v>
      </c>
      <c r="E167" s="376">
        <f>ROUNDUP('1.1 Control Panel'!E$58*SUMIFS('4.3 Global SME Data'!$C$13:$C$18,'4.3 Global SME Data'!$B$13:$B$18,$C167)*1000000*(1+'1.1 Control Panel'!E$55-'1.1 Control Panel'!E$56)*SUMIFS('4.3 Global SME Data'!$C$21:$C$41,'4.3 Global SME Data'!$E$21:$E$41,$C$161)*SUMIFS('1.1 Control Panel'!E$125:E$130,'1.1 Control Panel'!C$125:C$130,$C167)*SUMIFS('1.1 Control Panel'!E$210:E$215,'1.1 Control Panel'!C$210:C$215,$C167)*SUMIFS('1.1 Control Panel'!E$295:E$300,'1.1 Control Panel'!C$295:C$300,$C167),0)</f>
        <v>18376</v>
      </c>
      <c r="F167" s="376">
        <f>ROUNDUP('1.1 Control Panel'!F$58*SUMIFS('4.3 Global SME Data'!$C$13:$C$18,'4.3 Global SME Data'!$B$13:$B$18,$C167)*1000000*(1+'1.1 Control Panel'!E$55-'1.1 Control Panel'!E$56)*(1+'1.1 Control Panel'!F$55-'1.1 Control Panel'!F$56)*SUMIFS('4.3 Global SME Data'!$C$21:$C$41,'4.3 Global SME Data'!$E$21:$E$41,$C$161)*SUMIFS('1.1 Control Panel'!F$125:F$130,'1.1 Control Panel'!C$125:C$130,$C167)*SUMIFS('1.1 Control Panel'!F$210:F$215,'1.1 Control Panel'!C$210:C$215,$C167)*SUMIFS('1.1 Control Panel'!F$295:F$300,'1.1 Control Panel'!C$295:C$300,$C167),0)</f>
        <v>19000</v>
      </c>
      <c r="G167" s="376">
        <f>ROUNDUP('1.1 Control Panel'!G$58*SUMIFS('4.3 Global SME Data'!$C$13:$C$18,'4.3 Global SME Data'!$B$13:$B$18,$C167)*1000000*(1+'1.1 Control Panel'!E$55-'1.1 Control Panel'!E$56)*(1+'1.1 Control Panel'!F$55-'1.1 Control Panel'!F$56)*(1+'1.1 Control Panel'!G$55-'1.1 Control Panel'!G$56)*SUMIFS('4.3 Global SME Data'!$C$21:$C$41,'4.3 Global SME Data'!$E$21:$E$41,$C$161)*SUMIFS('1.1 Control Panel'!G$125:G$130,'1.1 Control Panel'!C$125:C$130,$C167)*SUMIFS('1.1 Control Panel'!G$210:G$215,'1.1 Control Panel'!C$210:C$215,$C167)*SUMIFS('1.1 Control Panel'!G$295:G$300,'1.1 Control Panel'!C$295:C$300,$C167),0)</f>
        <v>20056</v>
      </c>
      <c r="H167" s="376">
        <f>ROUNDUP('1.1 Control Panel'!H$58*SUMIFS('4.3 Global SME Data'!$C$13:$C$18,'4.3 Global SME Data'!$B$13:$B$18,$C167)*1000000*(1+'1.1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Data'!$E$21:$E$41,$C$161)*SUMIFS('1.1 Control Panel'!H$125:H$130,'1.1 Control Panel'!C$125:C$130,$C167)*SUMIFS('1.1 Control Panel'!H$210:H$215,'1.1 Control Panel'!C$210:C$215,$C167)*SUMIFS('1.1 Control Panel'!H$295:H$300,'1.1 Control Panel'!C$295:C$300,$C167),0)</f>
        <v>21126</v>
      </c>
      <c r="J167" s="21"/>
    </row>
    <row r="168" spans="2:10" s="74" customFormat="1" ht="11.5" customHeight="1" x14ac:dyDescent="0.25">
      <c r="B168" s="99" t="s">
        <v>9</v>
      </c>
      <c r="C168" s="105" t="str">
        <f>'4.2 Sector Mapping'!$B$15</f>
        <v>Entertainment and Recreation</v>
      </c>
      <c r="D168" s="106" t="s">
        <v>162</v>
      </c>
      <c r="E168" s="380">
        <f>SUM(E169:E174)</f>
        <v>18533</v>
      </c>
      <c r="F168" s="380">
        <f t="shared" ref="F168:H168" si="56">SUM(F169:F174)</f>
        <v>19307</v>
      </c>
      <c r="G168" s="380">
        <f t="shared" si="56"/>
        <v>20630</v>
      </c>
      <c r="H168" s="380">
        <f t="shared" si="56"/>
        <v>21979</v>
      </c>
      <c r="J168" s="105"/>
    </row>
    <row r="169" spans="2:10" ht="11.5" customHeight="1" x14ac:dyDescent="0.25">
      <c r="C169" s="20" t="s">
        <v>600</v>
      </c>
      <c r="D169" s="34" t="s">
        <v>162</v>
      </c>
      <c r="E169" s="28">
        <f>ROUNDUP('1.1 Control Panel'!E$58*SUMIFS('4.3 Global SME Data'!$C$13:$C$18,'4.3 Global SME Data'!$B$13:$B$18,$C169)*1000000*(1+'1.1 Control Panel'!E$55-'1.1 Control Panel'!E$56)*SUMIFS('4.3 Global SME Data'!$C$21:$C$41,'4.3 Global SME Data'!$E$21:$E$41,$C$168)*SUMIFS('1.1 Control Panel'!E$132:E$137,'1.1 Control Panel'!C$132:C$137,$C169)*SUMIFS('1.1 Control Panel'!E$217:E$222,'1.1 Control Panel'!C$217:C$222,$C169)*SUMIFS('1.1 Control Panel'!E$302:E$307,'1.1 Control Panel'!C$302:C$307,$C169),0)</f>
        <v>11528</v>
      </c>
      <c r="F169" s="28">
        <f>ROUNDUP('1.1 Control Panel'!F$58*SUMIFS('4.3 Global SME Data'!$C$13:$C$18,'4.3 Global SME Data'!$B$13:$B$18,$C169)*1000000*(1+'1.1 Control Panel'!E$55-'1.1 Control Panel'!E$56)*(1+'1.1 Control Panel'!F$55-'1.1 Control Panel'!F$56)*SUMIFS('4.3 Global SME Data'!$C$21:$C$41,'4.3 Global SME Data'!$E$21:$E$41,$C$168)*SUMIFS('1.1 Control Panel'!F$132:F$137,'1.1 Control Panel'!C$132:C$137,$C169)*SUMIFS('1.1 Control Panel'!F$217:F$222,'1.1 Control Panel'!C$217:C$222,$C169)*SUMIFS('1.1 Control Panel'!F$302:F$307,'1.1 Control Panel'!C$302:C$307,$C169),0)</f>
        <v>12032</v>
      </c>
      <c r="G169" s="28">
        <f>ROUNDUP('1.1 Control Panel'!G$58*SUMIFS('4.3 Global SME Data'!$C$13:$C$18,'4.3 Global SME Data'!$B$13:$B$18,$C169)*1000000*(1+'1.1 Control Panel'!E$55-'1.1 Control Panel'!E$56)*(1+'1.1 Control Panel'!F$55-'1.1 Control Panel'!F$56)*(1+'1.1 Control Panel'!G$55-'1.1 Control Panel'!G$56)*SUMIFS('4.3 Global SME Data'!$C$21:$C$41,'4.3 Global SME Data'!$E$21:$E$41,$C$168)*SUMIFS('1.1 Control Panel'!G$132:G$137,'1.1 Control Panel'!C$132:C$137,$C169)*SUMIFS('1.1 Control Panel'!G$217:G$222,'1.1 Control Panel'!C$217:C$222,$C169)*SUMIFS('1.1 Control Panel'!G$302:G$307,'1.1 Control Panel'!C$302:C$307,$C169),0)</f>
        <v>12893</v>
      </c>
      <c r="H169" s="28">
        <f>ROUNDUP('1.1 Control Panel'!H$58*SUMIFS('4.3 Global SME Data'!$C$13:$C$18,'4.3 Global SME Data'!$B$13:$B$18,$C169)*1000000*(1+'1.1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Data'!$E$21:$E$41,$C$168)*SUMIFS('1.1 Control Panel'!H$132:H$137,'1.1 Control Panel'!C$132:C$137,$C169)*SUMIFS('1.1 Control Panel'!H$217:H$222,'1.1 Control Panel'!C$217:C$222,$C169)*SUMIFS('1.1 Control Panel'!H$302:H$307,'1.1 Control Panel'!C$302:C$307,$C169),0)</f>
        <v>13773</v>
      </c>
      <c r="J169" s="20"/>
    </row>
    <row r="170" spans="2:10" ht="11.5" customHeight="1" x14ac:dyDescent="0.25">
      <c r="C170" s="20" t="s">
        <v>392</v>
      </c>
      <c r="D170" s="34" t="s">
        <v>162</v>
      </c>
      <c r="E170" s="28">
        <f>ROUNDUP('1.1 Control Panel'!E$58*SUMIFS('4.3 Global SME Data'!$C$13:$C$18,'4.3 Global SME Data'!$B$13:$B$18,$C170)*1000000*(1+'1.1 Control Panel'!E$55-'1.1 Control Panel'!E$56)*SUMIFS('4.3 Global SME Data'!$C$21:$C$41,'4.3 Global SME Data'!$E$21:$E$41,$C$168)*SUMIFS('1.1 Control Panel'!E$132:E$137,'1.1 Control Panel'!C$132:C$137,$C170)*SUMIFS('1.1 Control Panel'!E$217:E$222,'1.1 Control Panel'!C$217:C$222,$C170)*SUMIFS('1.1 Control Panel'!E$302:E$307,'1.1 Control Panel'!C$302:C$307,$C170),0)</f>
        <v>522</v>
      </c>
      <c r="F170" s="28">
        <f>ROUNDUP('1.1 Control Panel'!F$58*SUMIFS('4.3 Global SME Data'!$C$13:$C$18,'4.3 Global SME Data'!$B$13:$B$18,$C170)*1000000*(1+'1.1 Control Panel'!E$55-'1.1 Control Panel'!E$56)*(1+'1.1 Control Panel'!F$55-'1.1 Control Panel'!F$56)*SUMIFS('4.3 Global SME Data'!$C$21:$C$41,'4.3 Global SME Data'!$E$21:$E$41,$C$168)*SUMIFS('1.1 Control Panel'!F$132:F$137,'1.1 Control Panel'!C$132:C$137,$C170)*SUMIFS('1.1 Control Panel'!F$217:F$222,'1.1 Control Panel'!C$217:C$222,$C170)*SUMIFS('1.1 Control Panel'!F$302:F$307,'1.1 Control Panel'!C$302:C$307,$C170),0)</f>
        <v>538</v>
      </c>
      <c r="G170" s="28">
        <f>ROUNDUP('1.1 Control Panel'!G$58*SUMIFS('4.3 Global SME Data'!$C$13:$C$18,'4.3 Global SME Data'!$B$13:$B$18,$C170)*1000000*(1+'1.1 Control Panel'!E$55-'1.1 Control Panel'!E$56)*(1+'1.1 Control Panel'!F$55-'1.1 Control Panel'!F$56)*(1+'1.1 Control Panel'!G$55-'1.1 Control Panel'!G$56)*SUMIFS('4.3 Global SME Data'!$C$21:$C$41,'4.3 Global SME Data'!$E$21:$E$41,$C$168)*SUMIFS('1.1 Control Panel'!G$132:G$137,'1.1 Control Panel'!C$132:C$137,$C170)*SUMIFS('1.1 Control Panel'!G$217:G$222,'1.1 Control Panel'!C$217:C$222,$C170)*SUMIFS('1.1 Control Panel'!G$302:G$307,'1.1 Control Panel'!C$302:C$307,$C170),0)</f>
        <v>565</v>
      </c>
      <c r="H170" s="28">
        <f>ROUNDUP('1.1 Control Panel'!H$58*SUMIFS('4.3 Global SME Data'!$C$13:$C$18,'4.3 Global SME Data'!$B$13:$B$18,$C170)*1000000*(1+'1.1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Data'!$E$21:$E$41,$C$168)*SUMIFS('1.1 Control Panel'!H$132:H$137,'1.1 Control Panel'!C$132:C$137,$C170)*SUMIFS('1.1 Control Panel'!H$217:H$222,'1.1 Control Panel'!C$217:C$222,$C170)*SUMIFS('1.1 Control Panel'!H$302:H$307,'1.1 Control Panel'!C$302:C$307,$C170),0)</f>
        <v>592</v>
      </c>
      <c r="J170" s="20"/>
    </row>
    <row r="171" spans="2:10" ht="11.5" customHeight="1" x14ac:dyDescent="0.25">
      <c r="C171" s="20" t="s">
        <v>454</v>
      </c>
      <c r="D171" s="34" t="s">
        <v>162</v>
      </c>
      <c r="E171" s="28">
        <f>ROUNDUP('1.1 Control Panel'!E$58*SUMIFS('4.3 Global SME Data'!$C$13:$C$18,'4.3 Global SME Data'!$B$13:$B$18,$C171)*1000000*(1+'1.1 Control Panel'!E$55-'1.1 Control Panel'!E$56)*SUMIFS('4.3 Global SME Data'!$C$21:$C$41,'4.3 Global SME Data'!$E$21:$E$41,$C$168)*SUMIFS('1.1 Control Panel'!E$132:E$137,'1.1 Control Panel'!C$132:C$137,$C171)*SUMIFS('1.1 Control Panel'!E$217:E$222,'1.1 Control Panel'!C$217:C$222,$C171)*SUMIFS('1.1 Control Panel'!E$302:E$307,'1.1 Control Panel'!C$302:C$307,$C171),0)</f>
        <v>475</v>
      </c>
      <c r="F171" s="28">
        <f>ROUNDUP('1.1 Control Panel'!F$58*SUMIFS('4.3 Global SME Data'!$C$13:$C$18,'4.3 Global SME Data'!$B$13:$B$18,$C171)*1000000*(1+'1.1 Control Panel'!E$55-'1.1 Control Panel'!E$56)*(1+'1.1 Control Panel'!F$55-'1.1 Control Panel'!F$56)*SUMIFS('4.3 Global SME Data'!$C$21:$C$41,'4.3 Global SME Data'!$E$21:$E$41,$C$168)*SUMIFS('1.1 Control Panel'!F$132:F$137,'1.1 Control Panel'!C$132:C$137,$C171)*SUMIFS('1.1 Control Panel'!F$217:F$222,'1.1 Control Panel'!C$217:C$222,$C171)*SUMIFS('1.1 Control Panel'!F$302:F$307,'1.1 Control Panel'!C$302:C$307,$C171),0)</f>
        <v>485</v>
      </c>
      <c r="G171" s="28">
        <f>ROUNDUP('1.1 Control Panel'!G$58*SUMIFS('4.3 Global SME Data'!$C$13:$C$18,'4.3 Global SME Data'!$B$13:$B$18,$C171)*1000000*(1+'1.1 Control Panel'!E$55-'1.1 Control Panel'!E$56)*(1+'1.1 Control Panel'!F$55-'1.1 Control Panel'!F$56)*(1+'1.1 Control Panel'!G$55-'1.1 Control Panel'!G$56)*SUMIFS('4.3 Global SME Data'!$C$21:$C$41,'4.3 Global SME Data'!$E$21:$E$41,$C$168)*SUMIFS('1.1 Control Panel'!G$132:G$137,'1.1 Control Panel'!C$132:C$137,$C171)*SUMIFS('1.1 Control Panel'!G$217:G$222,'1.1 Control Panel'!C$217:C$222,$C171)*SUMIFS('1.1 Control Panel'!G$302:G$307,'1.1 Control Panel'!C$302:C$307,$C171),0)</f>
        <v>503</v>
      </c>
      <c r="H171" s="28">
        <f>ROUNDUP('1.1 Control Panel'!H$58*SUMIFS('4.3 Global SME Data'!$C$13:$C$18,'4.3 Global SME Data'!$B$13:$B$18,$C171)*1000000*(1+'1.1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Data'!$E$21:$E$41,$C$168)*SUMIFS('1.1 Control Panel'!H$132:H$137,'1.1 Control Panel'!C$132:C$137,$C171)*SUMIFS('1.1 Control Panel'!H$217:H$222,'1.1 Control Panel'!C$217:C$222,$C171)*SUMIFS('1.1 Control Panel'!H$302:H$307,'1.1 Control Panel'!C$302:C$307,$C171),0)</f>
        <v>520</v>
      </c>
      <c r="J171" s="20"/>
    </row>
    <row r="172" spans="2:10" ht="11.5" customHeight="1" x14ac:dyDescent="0.25">
      <c r="C172" s="21" t="s">
        <v>455</v>
      </c>
      <c r="D172" s="38" t="s">
        <v>162</v>
      </c>
      <c r="E172" s="376">
        <f>ROUNDUP('1.1 Control Panel'!E$58*SUMIFS('4.3 Global SME Data'!$C$13:$C$18,'4.3 Global SME Data'!$B$13:$B$18,$C172)*1000000*(1+'1.1 Control Panel'!E$55-'1.1 Control Panel'!E$56)*SUMIFS('4.3 Global SME Data'!$C$21:$C$41,'4.3 Global SME Data'!$E$21:$E$41,$C$168)*SUMIFS('1.1 Control Panel'!E$132:E$137,'1.1 Control Panel'!C$132:C$137,$C172)*SUMIFS('1.1 Control Panel'!E$217:E$222,'1.1 Control Panel'!C$217:C$222,$C172)*SUMIFS('1.1 Control Panel'!E$302:E$307,'1.1 Control Panel'!C$302:C$307,$C172),0)</f>
        <v>2498</v>
      </c>
      <c r="F172" s="376">
        <f>ROUNDUP('1.1 Control Panel'!F$58*SUMIFS('4.3 Global SME Data'!$C$13:$C$18,'4.3 Global SME Data'!$B$13:$B$18,$C172)*1000000*(1+'1.1 Control Panel'!E$55-'1.1 Control Panel'!E$56)*(1+'1.1 Control Panel'!F$55-'1.1 Control Panel'!F$56)*SUMIFS('4.3 Global SME Data'!$C$21:$C$41,'4.3 Global SME Data'!$E$21:$E$41,$C$168)*SUMIFS('1.1 Control Panel'!F$132:F$137,'1.1 Control Panel'!C$132:C$137,$C172)*SUMIFS('1.1 Control Panel'!F$217:F$222,'1.1 Control Panel'!C$217:C$222,$C172)*SUMIFS('1.1 Control Panel'!F$302:F$307,'1.1 Control Panel'!C$302:C$307,$C172),0)</f>
        <v>2597</v>
      </c>
      <c r="G172" s="376">
        <f>ROUNDUP('1.1 Control Panel'!G$58*SUMIFS('4.3 Global SME Data'!$C$13:$C$18,'4.3 Global SME Data'!$B$13:$B$18,$C172)*1000000*(1+'1.1 Control Panel'!E$55-'1.1 Control Panel'!E$56)*(1+'1.1 Control Panel'!F$55-'1.1 Control Panel'!F$56)*(1+'1.1 Control Panel'!G$55-'1.1 Control Panel'!G$56)*SUMIFS('4.3 Global SME Data'!$C$21:$C$41,'4.3 Global SME Data'!$E$21:$E$41,$C$168)*SUMIFS('1.1 Control Panel'!G$132:G$137,'1.1 Control Panel'!C$132:C$137,$C172)*SUMIFS('1.1 Control Panel'!G$217:G$222,'1.1 Control Panel'!C$217:C$222,$C172)*SUMIFS('1.1 Control Panel'!G$302:G$307,'1.1 Control Panel'!C$302:C$307,$C172),0)</f>
        <v>2766</v>
      </c>
      <c r="H172" s="376">
        <f>ROUNDUP('1.1 Control Panel'!H$58*SUMIFS('4.3 Global SME Data'!$C$13:$C$18,'4.3 Global SME Data'!$B$13:$B$18,$C172)*1000000*(1+'1.1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Data'!$E$21:$E$41,$C$168)*SUMIFS('1.1 Control Panel'!H$132:H$137,'1.1 Control Panel'!C$132:C$137,$C172)*SUMIFS('1.1 Control Panel'!H$217:H$222,'1.1 Control Panel'!C$217:C$222,$C172)*SUMIFS('1.1 Control Panel'!H$302:H$307,'1.1 Control Panel'!C$302:C$307,$C172),0)</f>
        <v>2938</v>
      </c>
      <c r="J172" s="21"/>
    </row>
    <row r="173" spans="2:10" ht="11.5" customHeight="1" x14ac:dyDescent="0.25">
      <c r="C173" s="21" t="s">
        <v>393</v>
      </c>
      <c r="D173" s="38" t="s">
        <v>162</v>
      </c>
      <c r="E173" s="376">
        <f>ROUNDUP('1.1 Control Panel'!E$58*SUMIFS('4.3 Global SME Data'!$C$13:$C$18,'4.3 Global SME Data'!$B$13:$B$18,$C173)*1000000*(1+'1.1 Control Panel'!E$55-'1.1 Control Panel'!E$56)*SUMIFS('4.3 Global SME Data'!$C$21:$C$41,'4.3 Global SME Data'!$E$21:$E$41,$C$168)*SUMIFS('1.1 Control Panel'!E$132:E$137,'1.1 Control Panel'!C$132:C$137,$C173)*SUMIFS('1.1 Control Panel'!E$217:E$222,'1.1 Control Panel'!C$217:C$222,$C173)*SUMIFS('1.1 Control Panel'!E$302:E$307,'1.1 Control Panel'!C$302:C$307,$C173),0)</f>
        <v>2820</v>
      </c>
      <c r="F173" s="376">
        <f>ROUNDUP('1.1 Control Panel'!F$58*SUMIFS('4.3 Global SME Data'!$C$13:$C$18,'4.3 Global SME Data'!$B$13:$B$18,$C173)*1000000*(1+'1.1 Control Panel'!E$55-'1.1 Control Panel'!E$56)*(1+'1.1 Control Panel'!F$55-'1.1 Control Panel'!F$56)*SUMIFS('4.3 Global SME Data'!$C$21:$C$41,'4.3 Global SME Data'!$E$21:$E$41,$C$168)*SUMIFS('1.1 Control Panel'!F$132:F$137,'1.1 Control Panel'!C$132:C$137,$C173)*SUMIFS('1.1 Control Panel'!F$217:F$222,'1.1 Control Panel'!C$217:C$222,$C173)*SUMIFS('1.1 Control Panel'!F$302:F$307,'1.1 Control Panel'!C$302:C$307,$C173),0)</f>
        <v>2949</v>
      </c>
      <c r="G173" s="376">
        <f>ROUNDUP('1.1 Control Panel'!G$58*SUMIFS('4.3 Global SME Data'!$C$13:$C$18,'4.3 Global SME Data'!$B$13:$B$18,$C173)*1000000*(1+'1.1 Control Panel'!E$55-'1.1 Control Panel'!E$56)*(1+'1.1 Control Panel'!F$55-'1.1 Control Panel'!F$56)*(1+'1.1 Control Panel'!G$55-'1.1 Control Panel'!G$56)*SUMIFS('4.3 Global SME Data'!$C$21:$C$41,'4.3 Global SME Data'!$E$21:$E$41,$C$168)*SUMIFS('1.1 Control Panel'!G$132:G$137,'1.1 Control Panel'!C$132:C$137,$C173)*SUMIFS('1.1 Control Panel'!G$217:G$222,'1.1 Control Panel'!C$217:C$222,$C173)*SUMIFS('1.1 Control Panel'!G$302:G$307,'1.1 Control Panel'!C$302:C$307,$C173),0)</f>
        <v>3171</v>
      </c>
      <c r="H173" s="376">
        <f>ROUNDUP('1.1 Control Panel'!H$58*SUMIFS('4.3 Global SME Data'!$C$13:$C$18,'4.3 Global SME Data'!$B$13:$B$18,$C173)*1000000*(1+'1.1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Data'!$E$21:$E$41,$C$168)*SUMIFS('1.1 Control Panel'!H$132:H$137,'1.1 Control Panel'!C$132:C$137,$C173)*SUMIFS('1.1 Control Panel'!H$217:H$222,'1.1 Control Panel'!C$217:C$222,$C173)*SUMIFS('1.1 Control Panel'!H$302:H$307,'1.1 Control Panel'!C$302:C$307,$C173),0)</f>
        <v>3398</v>
      </c>
      <c r="J173" s="21"/>
    </row>
    <row r="174" spans="2:10" ht="11.5" customHeight="1" x14ac:dyDescent="0.25">
      <c r="C174" s="21" t="s">
        <v>456</v>
      </c>
      <c r="D174" s="38" t="s">
        <v>162</v>
      </c>
      <c r="E174" s="376">
        <f>ROUNDUP('1.1 Control Panel'!E$58*SUMIFS('4.3 Global SME Data'!$C$13:$C$18,'4.3 Global SME Data'!$B$13:$B$18,$C174)*1000000*(1+'1.1 Control Panel'!E$55-'1.1 Control Panel'!E$56)*SUMIFS('4.3 Global SME Data'!$C$21:$C$41,'4.3 Global SME Data'!$E$21:$E$41,$C$168)*SUMIFS('1.1 Control Panel'!E$132:E$137,'1.1 Control Panel'!C$132:C$137,$C174)*SUMIFS('1.1 Control Panel'!E$217:E$222,'1.1 Control Panel'!C$217:C$222,$C174)*SUMIFS('1.1 Control Panel'!E$302:E$307,'1.1 Control Panel'!C$302:C$307,$C174),0)</f>
        <v>690</v>
      </c>
      <c r="F174" s="376">
        <f>ROUNDUP('1.1 Control Panel'!F$58*SUMIFS('4.3 Global SME Data'!$C$13:$C$18,'4.3 Global SME Data'!$B$13:$B$18,$C174)*1000000*(1+'1.1 Control Panel'!E$55-'1.1 Control Panel'!E$56)*(1+'1.1 Control Panel'!F$55-'1.1 Control Panel'!F$56)*SUMIFS('4.3 Global SME Data'!$C$21:$C$41,'4.3 Global SME Data'!$E$21:$E$41,$C$168)*SUMIFS('1.1 Control Panel'!F$132:F$137,'1.1 Control Panel'!C$132:C$137,$C174)*SUMIFS('1.1 Control Panel'!F$217:F$222,'1.1 Control Panel'!C$217:C$222,$C174)*SUMIFS('1.1 Control Panel'!F$302:F$307,'1.1 Control Panel'!C$302:C$307,$C174),0)</f>
        <v>706</v>
      </c>
      <c r="G174" s="376">
        <f>ROUNDUP('1.1 Control Panel'!G$58*SUMIFS('4.3 Global SME Data'!$C$13:$C$18,'4.3 Global SME Data'!$B$13:$B$18,$C174)*1000000*(1+'1.1 Control Panel'!E$55-'1.1 Control Panel'!E$56)*(1+'1.1 Control Panel'!F$55-'1.1 Control Panel'!F$56)*(1+'1.1 Control Panel'!G$55-'1.1 Control Panel'!G$56)*SUMIFS('4.3 Global SME Data'!$C$21:$C$41,'4.3 Global SME Data'!$E$21:$E$41,$C$168)*SUMIFS('1.1 Control Panel'!G$132:G$137,'1.1 Control Panel'!C$132:C$137,$C174)*SUMIFS('1.1 Control Panel'!G$217:G$222,'1.1 Control Panel'!C$217:C$222,$C174)*SUMIFS('1.1 Control Panel'!G$302:G$307,'1.1 Control Panel'!C$302:C$307,$C174),0)</f>
        <v>732</v>
      </c>
      <c r="H174" s="376">
        <f>ROUNDUP('1.1 Control Panel'!H$58*SUMIFS('4.3 Global SME Data'!$C$13:$C$18,'4.3 Global SME Data'!$B$13:$B$18,$C174)*1000000*(1+'1.1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Data'!$E$21:$E$41,$C$168)*SUMIFS('1.1 Control Panel'!H$132:H$137,'1.1 Control Panel'!C$132:C$137,$C174)*SUMIFS('1.1 Control Panel'!H$217:H$222,'1.1 Control Panel'!C$217:C$222,$C174)*SUMIFS('1.1 Control Panel'!H$302:H$307,'1.1 Control Panel'!C$302:C$307,$C174),0)</f>
        <v>758</v>
      </c>
      <c r="J174" s="21"/>
    </row>
    <row r="175" spans="2:10" s="74" customFormat="1" ht="11.5" customHeight="1" x14ac:dyDescent="0.25">
      <c r="B175" s="99" t="s">
        <v>9</v>
      </c>
      <c r="C175" s="105" t="str">
        <f>'4.2 Sector Mapping'!$B$16</f>
        <v>Transportation and Services</v>
      </c>
      <c r="D175" s="106" t="s">
        <v>162</v>
      </c>
      <c r="E175" s="380">
        <f>SUM(E176:E181)</f>
        <v>84470</v>
      </c>
      <c r="F175" s="380">
        <f t="shared" ref="F175:H175" si="57">SUM(F176:F181)</f>
        <v>89425</v>
      </c>
      <c r="G175" s="380">
        <f t="shared" si="57"/>
        <v>97974</v>
      </c>
      <c r="H175" s="380">
        <f t="shared" si="57"/>
        <v>106835</v>
      </c>
      <c r="J175" s="105"/>
    </row>
    <row r="176" spans="2:10" ht="11.5" customHeight="1" x14ac:dyDescent="0.25">
      <c r="C176" s="20" t="s">
        <v>600</v>
      </c>
      <c r="D176" s="34" t="s">
        <v>162</v>
      </c>
      <c r="E176" s="28">
        <f>ROUNDUP('1.1 Control Panel'!E$58*SUMIFS('4.3 Global SME Data'!$C$13:$C$18,'4.3 Global SME Data'!$B$13:$B$18,$C176)*1000000*(1+'1.1 Control Panel'!E$55-'1.1 Control Panel'!E$56)*SUMIFS('4.3 Global SME Data'!$C$21:$C$41,'4.3 Global SME Data'!$E$21:$E$41,$C$175)*SUMIFS('1.1 Control Panel'!E$139:E$144,'1.1 Control Panel'!C$139:C$144,$C176)*SUMIFS('1.1 Control Panel'!E$224:E$229,'1.1 Control Panel'!C$224:C$229,$C176)*SUMIFS('1.1 Control Panel'!E$309:E$314,'1.1 Control Panel'!C$309:C$314,$C176),0)</f>
        <v>43695</v>
      </c>
      <c r="F176" s="28">
        <f>ROUNDUP('1.1 Control Panel'!F$58*SUMIFS('4.3 Global SME Data'!$C$13:$C$18,'4.3 Global SME Data'!$B$13:$B$18,$C176)*1000000*(1+'1.1 Control Panel'!E$55-'1.1 Control Panel'!E$56)*(1+'1.1 Control Panel'!F$55-'1.1 Control Panel'!F$56)*SUMIFS('4.3 Global SME Data'!$C$21:$C$41,'4.3 Global SME Data'!$E$21:$E$41,$C$175)*SUMIFS('1.1 Control Panel'!F$139:F$144,'1.1 Control Panel'!C$139:C$144,$C176)*SUMIFS('1.1 Control Panel'!F$224:F$229,'1.1 Control Panel'!C$224:C$229,$C176)*SUMIFS('1.1 Control Panel'!F$309:F$314,'1.1 Control Panel'!C$309:C$314,$C176),0)</f>
        <v>46664</v>
      </c>
      <c r="G176" s="28">
        <f>ROUNDUP('1.1 Control Panel'!G$58*SUMIFS('4.3 Global SME Data'!$C$13:$C$18,'4.3 Global SME Data'!$B$13:$B$18,$C176)*1000000*(1+'1.1 Control Panel'!E$55-'1.1 Control Panel'!E$56)*(1+'1.1 Control Panel'!F$55-'1.1 Control Panel'!F$56)*(1+'1.1 Control Panel'!G$55-'1.1 Control Panel'!G$56)*SUMIFS('4.3 Global SME Data'!$C$21:$C$41,'4.3 Global SME Data'!$E$21:$E$41,$C$175)*SUMIFS('1.1 Control Panel'!G$139:G$144,'1.1 Control Panel'!C$139:C$144,$C176)*SUMIFS('1.1 Control Panel'!G$224:G$229,'1.1 Control Panel'!C$224:C$229,$C176)*SUMIFS('1.1 Control Panel'!G$309:G$314,'1.1 Control Panel'!C$309:C$314,$C176),0)</f>
        <v>51810</v>
      </c>
      <c r="H176" s="28">
        <f>ROUNDUP('1.1 Control Panel'!G$58*SUMIFS('4.3 Global SME Data'!$C$13:$C$18,'4.3 Global SME Data'!$B$13:$B$18,$C176)*1000000*(1+'1.1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Data'!$E$21:$E$41,$C$175)*SUMIFS('1.1 Control Panel'!H$139:H$144,'1.1 Control Panel'!C$139:C$144,$C176)*SUMIFS('1.1 Control Panel'!H$224:H$229,'1.1 Control Panel'!C$224:C$229,$C176)*SUMIFS('1.1 Control Panel'!H$309:H$314,'1.1 Control Panel'!C$309:C$314,$C176),0)</f>
        <v>57176</v>
      </c>
      <c r="J176" s="20"/>
    </row>
    <row r="177" spans="2:10" ht="11.5" customHeight="1" x14ac:dyDescent="0.25">
      <c r="C177" s="20" t="s">
        <v>392</v>
      </c>
      <c r="D177" s="34" t="s">
        <v>162</v>
      </c>
      <c r="E177" s="28">
        <f>ROUNDUP('1.1 Control Panel'!E$58*SUMIFS('4.3 Global SME Data'!$C$13:$C$18,'4.3 Global SME Data'!$B$13:$B$18,$C177)*1000000*(1+'1.1 Control Panel'!E$55-'1.1 Control Panel'!E$56)*SUMIFS('4.3 Global SME Data'!$C$21:$C$41,'4.3 Global SME Data'!$E$21:$E$41,$C$175)*SUMIFS('1.1 Control Panel'!E$139:E$144,'1.1 Control Panel'!C$139:C$144,$C177)*SUMIFS('1.1 Control Panel'!E$224:E$229,'1.1 Control Panel'!C$224:C$229,$C177)*SUMIFS('1.1 Control Panel'!E$309:E$314,'1.1 Control Panel'!C$309:C$314,$C177),0)</f>
        <v>2881</v>
      </c>
      <c r="F177" s="28">
        <f>ROUNDUP('1.1 Control Panel'!F$58*SUMIFS('4.3 Global SME Data'!$C$13:$C$18,'4.3 Global SME Data'!$B$13:$B$18,$C177)*1000000*(1+'1.1 Control Panel'!E$55-'1.1 Control Panel'!E$56)*(1+'1.1 Control Panel'!F$55-'1.1 Control Panel'!F$56)*SUMIFS('4.3 Global SME Data'!$C$21:$C$41,'4.3 Global SME Data'!$E$21:$E$41,$C$175)*SUMIFS('1.1 Control Panel'!F$139:F$144,'1.1 Control Panel'!C$139:C$144,$C177)*SUMIFS('1.1 Control Panel'!F$224:F$229,'1.1 Control Panel'!C$224:C$229,$C177)*SUMIFS('1.1 Control Panel'!F$309:F$314,'1.1 Control Panel'!C$309:C$314,$C177),0)</f>
        <v>2995</v>
      </c>
      <c r="G177" s="28">
        <f>ROUNDUP('1.1 Control Panel'!G$58*SUMIFS('4.3 Global SME Data'!$C$13:$C$18,'4.3 Global SME Data'!$B$13:$B$18,$C177)*1000000*(1+'1.1 Control Panel'!E$55-'1.1 Control Panel'!E$56)*(1+'1.1 Control Panel'!F$55-'1.1 Control Panel'!F$56)*(1+'1.1 Control Panel'!G$55-'1.1 Control Panel'!G$56)*SUMIFS('4.3 Global SME Data'!$C$21:$C$41,'4.3 Global SME Data'!$E$21:$E$41,$C$175)*SUMIFS('1.1 Control Panel'!G$139:G$144,'1.1 Control Panel'!C$139:C$144,$C177)*SUMIFS('1.1 Control Panel'!G$224:G$229,'1.1 Control Panel'!C$224:C$229,$C177)*SUMIFS('1.1 Control Panel'!G$309:G$314,'1.1 Control Panel'!C$309:C$314,$C177),0)</f>
        <v>3190</v>
      </c>
      <c r="H177" s="28">
        <f>ROUNDUP('1.1 Control Panel'!G$58*SUMIFS('4.3 Global SME Data'!$C$13:$C$18,'4.3 Global SME Data'!$B$13:$B$18,$C177)*1000000*(1+'1.1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Data'!$E$21:$E$41,$C$175)*SUMIFS('1.1 Control Panel'!H$139:H$144,'1.1 Control Panel'!C$139:C$144,$C177)*SUMIFS('1.1 Control Panel'!H$224:H$229,'1.1 Control Panel'!C$224:C$229,$C177)*SUMIFS('1.1 Control Panel'!H$309:H$314,'1.1 Control Panel'!C$309:C$314,$C177),0)</f>
        <v>3387</v>
      </c>
      <c r="J177" s="20"/>
    </row>
    <row r="178" spans="2:10" ht="11.5" customHeight="1" x14ac:dyDescent="0.25">
      <c r="C178" s="20" t="s">
        <v>454</v>
      </c>
      <c r="D178" s="34" t="s">
        <v>162</v>
      </c>
      <c r="E178" s="28">
        <f>ROUNDUP('1.1 Control Panel'!E$58*SUMIFS('4.3 Global SME Data'!$C$13:$C$18,'4.3 Global SME Data'!$B$13:$B$18,$C178)*1000000*(1+'1.1 Control Panel'!E$55-'1.1 Control Panel'!E$56)*SUMIFS('4.3 Global SME Data'!$C$21:$C$41,'4.3 Global SME Data'!$E$21:$E$41,$C$175)*SUMIFS('1.1 Control Panel'!E$139:E$144,'1.1 Control Panel'!C$139:C$144,$C178)*SUMIFS('1.1 Control Panel'!E$224:E$229,'1.1 Control Panel'!C$224:C$229,$C178)*SUMIFS('1.1 Control Panel'!E$309:E$314,'1.1 Control Panel'!C$309:C$314,$C178),0)</f>
        <v>1960</v>
      </c>
      <c r="F178" s="28">
        <f>ROUNDUP('1.1 Control Panel'!F$58*SUMIFS('4.3 Global SME Data'!$C$13:$C$18,'4.3 Global SME Data'!$B$13:$B$18,$C178)*1000000*(1+'1.1 Control Panel'!E$55-'1.1 Control Panel'!E$56)*(1+'1.1 Control Panel'!F$55-'1.1 Control Panel'!F$56)*SUMIFS('4.3 Global SME Data'!$C$21:$C$41,'4.3 Global SME Data'!$E$21:$E$41,$C$175)*SUMIFS('1.1 Control Panel'!F$139:F$144,'1.1 Control Panel'!C$139:C$144,$C178)*SUMIFS('1.1 Control Panel'!F$224:F$229,'1.1 Control Panel'!C$224:C$229,$C178)*SUMIFS('1.1 Control Panel'!F$309:F$314,'1.1 Control Panel'!C$309:C$314,$C178),0)</f>
        <v>2022</v>
      </c>
      <c r="G178" s="28">
        <f>ROUNDUP('1.1 Control Panel'!G$58*SUMIFS('4.3 Global SME Data'!$C$13:$C$18,'4.3 Global SME Data'!$B$13:$B$18,$C178)*1000000*(1+'1.1 Control Panel'!E$55-'1.1 Control Panel'!E$56)*(1+'1.1 Control Panel'!F$55-'1.1 Control Panel'!F$56)*(1+'1.1 Control Panel'!G$55-'1.1 Control Panel'!G$56)*SUMIFS('4.3 Global SME Data'!$C$21:$C$41,'4.3 Global SME Data'!$E$21:$E$41,$C$175)*SUMIFS('1.1 Control Panel'!G$139:G$144,'1.1 Control Panel'!C$139:C$144,$C178)*SUMIFS('1.1 Control Panel'!G$224:G$229,'1.1 Control Panel'!C$224:C$229,$C178)*SUMIFS('1.1 Control Panel'!G$309:G$314,'1.1 Control Panel'!C$309:C$314,$C178),0)</f>
        <v>2127</v>
      </c>
      <c r="H178" s="28">
        <f>ROUNDUP('1.1 Control Panel'!G$58*SUMIFS('4.3 Global SME Data'!$C$13:$C$18,'4.3 Global SME Data'!$B$13:$B$18,$C178)*1000000*(1+'1.1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Data'!$E$21:$E$41,$C$175)*SUMIFS('1.1 Control Panel'!H$139:H$144,'1.1 Control Panel'!C$139:C$144,$C178)*SUMIFS('1.1 Control Panel'!H$224:H$229,'1.1 Control Panel'!C$224:C$229,$C178)*SUMIFS('1.1 Control Panel'!H$309:H$314,'1.1 Control Panel'!C$309:C$314,$C178),0)</f>
        <v>2234</v>
      </c>
      <c r="J178" s="20"/>
    </row>
    <row r="179" spans="2:10" ht="11.5" customHeight="1" x14ac:dyDescent="0.25">
      <c r="C179" s="21" t="s">
        <v>455</v>
      </c>
      <c r="D179" s="38" t="s">
        <v>162</v>
      </c>
      <c r="E179" s="376">
        <f>ROUNDUP('1.1 Control Panel'!E$58*SUMIFS('4.3 Global SME Data'!$C$13:$C$18,'4.3 Global SME Data'!$B$13:$B$18,$C179)*1000000*(1+'1.1 Control Panel'!E$55-'1.1 Control Panel'!E$56)*SUMIFS('4.3 Global SME Data'!$C$21:$C$41,'4.3 Global SME Data'!$E$21:$E$41,$C$175)*SUMIFS('1.1 Control Panel'!E$139:E$144,'1.1 Control Panel'!C$139:C$144,$C179)*SUMIFS('1.1 Control Panel'!E$224:E$229,'1.1 Control Panel'!C$224:C$229,$C179)*SUMIFS('1.1 Control Panel'!E$309:E$314,'1.1 Control Panel'!C$309:C$314,$C179),0)</f>
        <v>11781</v>
      </c>
      <c r="F179" s="376">
        <f>ROUNDUP('1.1 Control Panel'!F$58*SUMIFS('4.3 Global SME Data'!$C$13:$C$18,'4.3 Global SME Data'!$B$13:$B$18,$C179)*1000000*(1+'1.1 Control Panel'!E$55-'1.1 Control Panel'!E$56)*(1+'1.1 Control Panel'!F$55-'1.1 Control Panel'!F$56)*SUMIFS('4.3 Global SME Data'!$C$21:$C$41,'4.3 Global SME Data'!$E$21:$E$41,$C$175)*SUMIFS('1.1 Control Panel'!F$139:F$144,'1.1 Control Panel'!C$139:C$144,$C179)*SUMIFS('1.1 Control Panel'!F$224:F$229,'1.1 Control Panel'!C$224:C$229,$C179)*SUMIFS('1.1 Control Panel'!F$309:F$314,'1.1 Control Panel'!C$309:C$314,$C179),0)</f>
        <v>12430</v>
      </c>
      <c r="G179" s="376">
        <f>ROUNDUP('1.1 Control Panel'!G$58*SUMIFS('4.3 Global SME Data'!$C$13:$C$18,'4.3 Global SME Data'!$B$13:$B$18,$C179)*1000000*(1+'1.1 Control Panel'!E$55-'1.1 Control Panel'!E$56)*(1+'1.1 Control Panel'!F$55-'1.1 Control Panel'!F$56)*(1+'1.1 Control Panel'!G$55-'1.1 Control Panel'!G$56)*SUMIFS('4.3 Global SME Data'!$C$21:$C$41,'4.3 Global SME Data'!$E$21:$E$41,$C$175)*SUMIFS('1.1 Control Panel'!G$139:G$144,'1.1 Control Panel'!C$139:C$144,$C179)*SUMIFS('1.1 Control Panel'!G$224:G$229,'1.1 Control Panel'!C$224:C$229,$C179)*SUMIFS('1.1 Control Panel'!G$309:G$314,'1.1 Control Panel'!C$309:C$314,$C179),0)</f>
        <v>13546</v>
      </c>
      <c r="H179" s="376">
        <f>ROUNDUP('1.1 Control Panel'!G$58*SUMIFS('4.3 Global SME Data'!$C$13:$C$18,'4.3 Global SME Data'!$B$13:$B$18,$C179)*1000000*(1+'1.1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Data'!$E$21:$E$41,$C$175)*SUMIFS('1.1 Control Panel'!H$139:H$144,'1.1 Control Panel'!C$139:C$144,$C179)*SUMIFS('1.1 Control Panel'!H$224:H$229,'1.1 Control Panel'!C$224:C$229,$C179)*SUMIFS('1.1 Control Panel'!H$309:H$314,'1.1 Control Panel'!C$309:C$314,$C179),0)</f>
        <v>14698</v>
      </c>
      <c r="J179" s="21"/>
    </row>
    <row r="180" spans="2:10" ht="11.5" customHeight="1" x14ac:dyDescent="0.25">
      <c r="C180" s="21" t="s">
        <v>393</v>
      </c>
      <c r="D180" s="38" t="s">
        <v>162</v>
      </c>
      <c r="E180" s="376">
        <f>ROUNDUP('1.1 Control Panel'!E$58*SUMIFS('4.3 Global SME Data'!$C$13:$C$18,'4.3 Global SME Data'!$B$13:$B$18,$C180)*1000000*(1+'1.1 Control Panel'!E$55-'1.1 Control Panel'!E$56)*SUMIFS('4.3 Global SME Data'!$C$21:$C$41,'4.3 Global SME Data'!$E$21:$E$41,$C$175)*SUMIFS('1.1 Control Panel'!E$139:E$144,'1.1 Control Panel'!C$139:C$144,$C180)*SUMIFS('1.1 Control Panel'!E$224:E$229,'1.1 Control Panel'!C$224:C$229,$C180)*SUMIFS('1.1 Control Panel'!E$309:E$314,'1.1 Control Panel'!C$309:C$314,$C180),0)</f>
        <v>21157</v>
      </c>
      <c r="F180" s="376">
        <f>ROUNDUP('1.1 Control Panel'!F$58*SUMIFS('4.3 Global SME Data'!$C$13:$C$18,'4.3 Global SME Data'!$B$13:$B$18,$C180)*1000000*(1+'1.1 Control Panel'!E$55-'1.1 Control Panel'!E$56)*(1+'1.1 Control Panel'!F$55-'1.1 Control Panel'!F$56)*SUMIFS('4.3 Global SME Data'!$C$21:$C$41,'4.3 Global SME Data'!$E$21:$E$41,$C$175)*SUMIFS('1.1 Control Panel'!F$139:F$144,'1.1 Control Panel'!C$139:C$144,$C180)*SUMIFS('1.1 Control Panel'!F$224:F$229,'1.1 Control Panel'!C$224:C$229,$C180)*SUMIFS('1.1 Control Panel'!F$309:F$314,'1.1 Control Panel'!C$309:C$314,$C180),0)</f>
        <v>22219</v>
      </c>
      <c r="G180" s="376">
        <f>ROUNDUP('1.1 Control Panel'!G$58*SUMIFS('4.3 Global SME Data'!$C$13:$C$18,'4.3 Global SME Data'!$B$13:$B$18,$C180)*1000000*(1+'1.1 Control Panel'!E$55-'1.1 Control Panel'!E$56)*(1+'1.1 Control Panel'!F$55-'1.1 Control Panel'!F$56)*(1+'1.1 Control Panel'!G$55-'1.1 Control Panel'!G$56)*SUMIFS('4.3 Global SME Data'!$C$21:$C$41,'4.3 Global SME Data'!$E$21:$E$41,$C$175)*SUMIFS('1.1 Control Panel'!G$139:G$144,'1.1 Control Panel'!C$139:C$144,$C180)*SUMIFS('1.1 Control Panel'!G$224:G$229,'1.1 Control Panel'!C$224:C$229,$C180)*SUMIFS('1.1 Control Panel'!G$309:G$314,'1.1 Control Panel'!C$309:C$314,$C180),0)</f>
        <v>24039</v>
      </c>
      <c r="H180" s="376">
        <f>ROUNDUP('1.1 Control Panel'!G$58*SUMIFS('4.3 Global SME Data'!$C$13:$C$18,'4.3 Global SME Data'!$B$13:$B$18,$C180)*1000000*(1+'1.1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Data'!$E$21:$E$41,$C$175)*SUMIFS('1.1 Control Panel'!H$139:H$144,'1.1 Control Panel'!C$139:C$144,$C180)*SUMIFS('1.1 Control Panel'!H$224:H$229,'1.1 Control Panel'!C$224:C$229,$C180)*SUMIFS('1.1 Control Panel'!H$309:H$314,'1.1 Control Panel'!C$309:C$314,$C180),0)</f>
        <v>25910</v>
      </c>
      <c r="J180" s="21"/>
    </row>
    <row r="181" spans="2:10" ht="11.5" customHeight="1" x14ac:dyDescent="0.25">
      <c r="C181" s="21" t="s">
        <v>456</v>
      </c>
      <c r="D181" s="38" t="s">
        <v>162</v>
      </c>
      <c r="E181" s="376">
        <f>ROUNDUP('1.1 Control Panel'!E$58*SUMIFS('4.3 Global SME Data'!$C$13:$C$18,'4.3 Global SME Data'!$B$13:$B$18,$C181)*1000000*(1+'1.1 Control Panel'!E$55-'1.1 Control Panel'!E$56)*SUMIFS('4.3 Global SME Data'!$C$21:$C$41,'4.3 Global SME Data'!$E$21:$E$41,$C$175)*SUMIFS('1.1 Control Panel'!E$139:E$144,'1.1 Control Panel'!C$139:C$144,$C181)*SUMIFS('1.1 Control Panel'!E$224:E$229,'1.1 Control Panel'!C$224:C$229,$C181)*SUMIFS('1.1 Control Panel'!E$309:E$314,'1.1 Control Panel'!C$309:C$314,$C181),0)</f>
        <v>2996</v>
      </c>
      <c r="F181" s="376">
        <f>ROUNDUP('1.1 Control Panel'!F$58*SUMIFS('4.3 Global SME Data'!$C$13:$C$18,'4.3 Global SME Data'!$B$13:$B$18,$C181)*1000000*(1+'1.1 Control Panel'!E$55-'1.1 Control Panel'!E$56)*(1+'1.1 Control Panel'!F$55-'1.1 Control Panel'!F$56)*SUMIFS('4.3 Global SME Data'!$C$21:$C$41,'4.3 Global SME Data'!$E$21:$E$41,$C$175)*SUMIFS('1.1 Control Panel'!F$139:F$144,'1.1 Control Panel'!C$139:C$144,$C181)*SUMIFS('1.1 Control Panel'!F$224:F$229,'1.1 Control Panel'!C$224:C$229,$C181)*SUMIFS('1.1 Control Panel'!F$309:F$314,'1.1 Control Panel'!C$309:C$314,$C181),0)</f>
        <v>3095</v>
      </c>
      <c r="G181" s="376">
        <f>ROUNDUP('1.1 Control Panel'!G$58*SUMIFS('4.3 Global SME Data'!$C$13:$C$18,'4.3 Global SME Data'!$B$13:$B$18,$C181)*1000000*(1+'1.1 Control Panel'!E$55-'1.1 Control Panel'!E$56)*(1+'1.1 Control Panel'!F$55-'1.1 Control Panel'!F$56)*(1+'1.1 Control Panel'!G$55-'1.1 Control Panel'!G$56)*SUMIFS('4.3 Global SME Data'!$C$21:$C$41,'4.3 Global SME Data'!$E$21:$E$41,$C$175)*SUMIFS('1.1 Control Panel'!G$139:G$144,'1.1 Control Panel'!C$139:C$144,$C181)*SUMIFS('1.1 Control Panel'!G$224:G$229,'1.1 Control Panel'!C$224:C$229,$C181)*SUMIFS('1.1 Control Panel'!G$309:G$314,'1.1 Control Panel'!C$309:C$314,$C181),0)</f>
        <v>3262</v>
      </c>
      <c r="H181" s="376">
        <f>ROUNDUP('1.1 Control Panel'!G$58*SUMIFS('4.3 Global SME Data'!$C$13:$C$18,'4.3 Global SME Data'!$B$13:$B$18,$C181)*1000000*(1+'1.1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Data'!$E$21:$E$41,$C$175)*SUMIFS('1.1 Control Panel'!H$139:H$144,'1.1 Control Panel'!C$139:C$144,$C181)*SUMIFS('1.1 Control Panel'!H$224:H$229,'1.1 Control Panel'!C$224:C$229,$C181)*SUMIFS('1.1 Control Panel'!H$309:H$314,'1.1 Control Panel'!C$309:C$314,$C181),0)</f>
        <v>3430</v>
      </c>
      <c r="J181" s="21"/>
    </row>
    <row r="182" spans="2:10" ht="11.5" customHeight="1" x14ac:dyDescent="0.25">
      <c r="B182" s="33" t="s">
        <v>9</v>
      </c>
      <c r="C182" s="267" t="s">
        <v>431</v>
      </c>
      <c r="D182" s="271" t="s">
        <v>162</v>
      </c>
      <c r="E182" s="379">
        <f>E183+E190+E197+E204+E211+E218+E225+E232+E239+E246+E253+E260</f>
        <v>290385</v>
      </c>
      <c r="F182" s="379">
        <f t="shared" ref="F182" si="58">F183+F190+F197+F204+F211+F218+F225+F232+F239+F246+F253+F260</f>
        <v>256872</v>
      </c>
      <c r="G182" s="379">
        <f t="shared" ref="G182" si="59">G183+G190+G197+G204+G211+G218+G225+G232+G239+G246+G253+G260</f>
        <v>279698</v>
      </c>
      <c r="H182" s="379">
        <f t="shared" ref="H182" si="60">H183+H190+H197+H204+H211+H218+H225+H232+H239+H246+H253+H260</f>
        <v>303297</v>
      </c>
      <c r="J182" s="268"/>
    </row>
    <row r="183" spans="2:10" s="74" customFormat="1" ht="11.5" customHeight="1" x14ac:dyDescent="0.25">
      <c r="B183" s="99" t="s">
        <v>9</v>
      </c>
      <c r="C183" s="105" t="str">
        <f>'4.2 Sector Mapping'!$B$5</f>
        <v>Agriculture</v>
      </c>
      <c r="D183" s="106" t="s">
        <v>162</v>
      </c>
      <c r="E183" s="383">
        <f>SUM(E184:E189)</f>
        <v>778</v>
      </c>
      <c r="F183" s="380">
        <f t="shared" ref="F183:H183" si="61">SUM(F184:F189)</f>
        <v>893</v>
      </c>
      <c r="G183" s="380">
        <f t="shared" si="61"/>
        <v>1097</v>
      </c>
      <c r="H183" s="380">
        <f t="shared" si="61"/>
        <v>1322</v>
      </c>
      <c r="J183" s="105"/>
    </row>
    <row r="184" spans="2:10" ht="11.5" customHeight="1" x14ac:dyDescent="0.25">
      <c r="C184" s="20" t="s">
        <v>600</v>
      </c>
      <c r="D184" s="34" t="s">
        <v>162</v>
      </c>
      <c r="E184" s="28">
        <f>ROUNDUP('1.1 Control Panel'!E$59*SUMIFS('4.3 Global SME Data'!$C$13:$C$18,'4.3 Global SME Data'!$B$13:$B$18,$C184)*1000000*(1+'1.1 Control Panel'!E$55-'1.1 Control Panel'!E$56)*SUMIFS('4.3 Global SME Data'!$C$21:$C$41,'4.3 Global SME Data'!$E$21:$E$41,$C$98)*SUMIFS('1.1 Control Panel'!E$62:E$67,'1.1 Control Panel'!C$62:C$67,$C184)*SUMIFS('1.1 Control Panel'!E$147:E$152,'1.1 Control Panel'!C$147:C$152,$C184)*SUMIFS('1.1 Control Panel'!E$232:E$237,'1.1 Control Panel'!C$232:C$237,$C184),0)</f>
        <v>354</v>
      </c>
      <c r="F184" s="28">
        <f>ROUNDUP('1.1 Control Panel'!F$59*SUMIFS('4.3 Global SME Data'!$C$13:$C$18,'4.3 Global SME Data'!$B$13:$B$18,$C184)*1000000*(1+'1.1 Control Panel'!E$55-'1.1 Control Panel'!E$56)*(1+'1.1 Control Panel'!F$55-'1.1 Control Panel'!F$56)*SUMIFS('4.3 Global SME Data'!$C$21:$C$41,'4.3 Global SME Data'!$E$21:$E$41,$C$183)*SUMIFS('1.1 Control Panel'!F$62:F$67,'1.1 Control Panel'!C$62:C$67,$C184)*SUMIFS('1.1 Control Panel'!F$147:F$152,'1.1 Control Panel'!C$147:C$152,$C184)*SUMIFS('1.1 Control Panel'!F$232:F$237,'1.1 Control Panel'!C$232:C$237,$C184),0)</f>
        <v>419</v>
      </c>
      <c r="G184" s="28">
        <f>ROUNDUP('1.1 Control Panel'!G$59*SUMIFS('4.3 Global SME Data'!$C$13:$C$18,'4.3 Global SME Data'!$B$13:$B$18,$C184)*1000000*(1+'1.1 Control Panel'!E$55-'1.1 Control Panel'!E$56)*(1+'1.1 Control Panel'!F$55-'1.1 Control Panel'!F$56)*(1+'1.1 Control Panel'!G$55-'1.1 Control Panel'!G$56)*SUMIFS('4.3 Global SME Data'!$C$21:$C$41,'4.3 Global SME Data'!$E$21:$E$41,$C$183)*SUMIFS('1.1 Control Panel'!G$62:G$67,'1.1 Control Panel'!C$62:C$67,$C184)*SUMIFS('1.1 Control Panel'!G$147:G$152,'1.1 Control Panel'!C$147:C$152,$C184)*SUMIFS('1.1 Control Panel'!G$232:G$237,'1.1 Control Panel'!C$232:C$237,$C184),0)</f>
        <v>537</v>
      </c>
      <c r="H184" s="28">
        <f>ROUNDUP('1.1 Control Panel'!H$59*SUMIFS('4.3 Global SME Data'!$C$13:$C$18,'4.3 Global SME Data'!$B$13:$B$18,$C184)*1000000*(1+'1.1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Data'!$E$21:$E$41,$C$183)*SUMIFS('1.1 Control Panel'!H$62:H$67,'1.1 Control Panel'!C$62:C$67,$C184)*SUMIFS('1.1 Control Panel'!H$147:H$152,'1.1 Control Panel'!C$147:C$152,$C184)*SUMIFS('1.1 Control Panel'!H$232:H$237,'1.1 Control Panel'!C$232:C$237,$C184),0)</f>
        <v>670</v>
      </c>
      <c r="J184" s="20"/>
    </row>
    <row r="185" spans="2:10" ht="11.5" customHeight="1" x14ac:dyDescent="0.25">
      <c r="C185" s="20" t="s">
        <v>392</v>
      </c>
      <c r="D185" s="34" t="s">
        <v>162</v>
      </c>
      <c r="E185" s="28">
        <f>ROUNDUP('1.1 Control Panel'!E$59*SUMIFS('4.3 Global SME Data'!$C$13:$C$18,'4.3 Global SME Data'!$B$13:$B$18,$C185)*1000000*(1+'1.1 Control Panel'!E$55-'1.1 Control Panel'!E$56)*SUMIFS('4.3 Global SME Data'!$C$21:$C$41,'4.3 Global SME Data'!$E$21:$E$41,$C$98)*SUMIFS('1.1 Control Panel'!E$62:E$67,'1.1 Control Panel'!C$62:C$67,$C185)*SUMIFS('1.1 Control Panel'!E$147:E$152,'1.1 Control Panel'!C$147:C$152,$C185)*SUMIFS('1.1 Control Panel'!E$232:E$237,'1.1 Control Panel'!C$232:C$237,$C185),0)</f>
        <v>21</v>
      </c>
      <c r="F185" s="28">
        <f>ROUNDUP('1.1 Control Panel'!F$59*SUMIFS('4.3 Global SME Data'!$C$13:$C$18,'4.3 Global SME Data'!$B$13:$B$18,$C185)*1000000*(1+'1.1 Control Panel'!E$55-'1.1 Control Panel'!E$56)*(1+'1.1 Control Panel'!F$55-'1.1 Control Panel'!F$56)*SUMIFS('4.3 Global SME Data'!$C$21:$C$41,'4.3 Global SME Data'!$E$21:$E$41,$C$183)*SUMIFS('1.1 Control Panel'!F$62:F$67,'1.1 Control Panel'!C$62:C$67,$C185)*SUMIFS('1.1 Control Panel'!F$147:F$152,'1.1 Control Panel'!C$147:C$152,$C185)*SUMIFS('1.1 Control Panel'!F$232:F$237,'1.1 Control Panel'!C$232:C$237,$C185),0)</f>
        <v>24</v>
      </c>
      <c r="G185" s="28">
        <f>ROUNDUP('1.1 Control Panel'!G$59*SUMIFS('4.3 Global SME Data'!$C$13:$C$18,'4.3 Global SME Data'!$B$13:$B$18,$C185)*1000000*(1+'1.1 Control Panel'!E$55-'1.1 Control Panel'!E$56)*(1+'1.1 Control Panel'!F$55-'1.1 Control Panel'!F$56)*(1+'1.1 Control Panel'!G$55-'1.1 Control Panel'!G$56)*SUMIFS('4.3 Global SME Data'!$C$21:$C$41,'4.3 Global SME Data'!$E$21:$E$41,$C$183)*SUMIFS('1.1 Control Panel'!G$62:G$67,'1.1 Control Panel'!C$62:C$67,$C185)*SUMIFS('1.1 Control Panel'!G$147:G$152,'1.1 Control Panel'!C$147:C$152,$C185)*SUMIFS('1.1 Control Panel'!G$232:G$237,'1.1 Control Panel'!C$232:C$237,$C185),0)</f>
        <v>28</v>
      </c>
      <c r="H185" s="28">
        <f>ROUNDUP('1.1 Control Panel'!H$59*SUMIFS('4.3 Global SME Data'!$C$13:$C$18,'4.3 Global SME Data'!$B$13:$B$18,$C185)*1000000*(1+'1.1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Data'!$E$21:$E$41,$C$183)*SUMIFS('1.1 Control Panel'!H$62:H$67,'1.1 Control Panel'!C$62:C$67,$C185)*SUMIFS('1.1 Control Panel'!H$147:H$152,'1.1 Control Panel'!C$147:C$152,$C185)*SUMIFS('1.1 Control Panel'!H$232:H$237,'1.1 Control Panel'!C$232:C$237,$C185),0)</f>
        <v>32</v>
      </c>
      <c r="J185" s="20"/>
    </row>
    <row r="186" spans="2:10" ht="11.5" customHeight="1" x14ac:dyDescent="0.25">
      <c r="C186" s="20" t="s">
        <v>454</v>
      </c>
      <c r="D186" s="34" t="s">
        <v>162</v>
      </c>
      <c r="E186" s="28">
        <f>ROUNDUP('1.1 Control Panel'!E$59*SUMIFS('4.3 Global SME Data'!$C$13:$C$18,'4.3 Global SME Data'!$B$13:$B$18,$C186)*1000000*(1+'1.1 Control Panel'!E$55-'1.1 Control Panel'!E$56)*SUMIFS('4.3 Global SME Data'!$C$21:$C$41,'4.3 Global SME Data'!$E$21:$E$41,$C$98)*SUMIFS('1.1 Control Panel'!E$62:E$67,'1.1 Control Panel'!C$62:C$67,$C186)*SUMIFS('1.1 Control Panel'!E$147:E$152,'1.1 Control Panel'!C$147:C$152,$C186)*SUMIFS('1.1 Control Panel'!E$232:E$237,'1.1 Control Panel'!C$232:C$237,$C186),0)</f>
        <v>29</v>
      </c>
      <c r="F186" s="28">
        <f>ROUNDUP('1.1 Control Panel'!F$59*SUMIFS('4.3 Global SME Data'!$C$13:$C$18,'4.3 Global SME Data'!$B$13:$B$18,$C186)*1000000*(1+'1.1 Control Panel'!E$55-'1.1 Control Panel'!E$56)*(1+'1.1 Control Panel'!F$55-'1.1 Control Panel'!F$56)*SUMIFS('4.3 Global SME Data'!$C$21:$C$41,'4.3 Global SME Data'!$E$21:$E$41,$C$183)*SUMIFS('1.1 Control Panel'!F$62:F$67,'1.1 Control Panel'!C$62:C$67,$C186)*SUMIFS('1.1 Control Panel'!F$147:F$152,'1.1 Control Panel'!C$147:C$152,$C186)*SUMIFS('1.1 Control Panel'!F$232:F$237,'1.1 Control Panel'!C$232:C$237,$C186),0)</f>
        <v>31</v>
      </c>
      <c r="G186" s="28">
        <f>ROUNDUP('1.1 Control Panel'!G$59*SUMIFS('4.3 Global SME Data'!$C$13:$C$18,'4.3 Global SME Data'!$B$13:$B$18,$C186)*1000000*(1+'1.1 Control Panel'!E$55-'1.1 Control Panel'!E$56)*(1+'1.1 Control Panel'!F$55-'1.1 Control Panel'!F$56)*(1+'1.1 Control Panel'!G$55-'1.1 Control Panel'!G$56)*SUMIFS('4.3 Global SME Data'!$C$21:$C$41,'4.3 Global SME Data'!$E$21:$E$41,$C$183)*SUMIFS('1.1 Control Panel'!G$62:G$67,'1.1 Control Panel'!C$62:C$67,$C186)*SUMIFS('1.1 Control Panel'!G$147:G$152,'1.1 Control Panel'!C$147:C$152,$C186)*SUMIFS('1.1 Control Panel'!G$232:G$237,'1.1 Control Panel'!C$232:C$237,$C186),0)</f>
        <v>34</v>
      </c>
      <c r="H186" s="28">
        <f>ROUNDUP('1.1 Control Panel'!H$59*SUMIFS('4.3 Global SME Data'!$C$13:$C$18,'4.3 Global SME Data'!$B$13:$B$18,$C186)*1000000*(1+'1.1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Data'!$E$21:$E$41,$C$183)*SUMIFS('1.1 Control Panel'!H$62:H$67,'1.1 Control Panel'!C$62:C$67,$C186)*SUMIFS('1.1 Control Panel'!H$147:H$152,'1.1 Control Panel'!C$147:C$152,$C186)*SUMIFS('1.1 Control Panel'!H$232:H$237,'1.1 Control Panel'!C$232:C$237,$C186),0)</f>
        <v>37</v>
      </c>
      <c r="J186" s="20"/>
    </row>
    <row r="187" spans="2:10" ht="11.5" customHeight="1" x14ac:dyDescent="0.25">
      <c r="C187" s="21" t="s">
        <v>455</v>
      </c>
      <c r="D187" s="38" t="s">
        <v>162</v>
      </c>
      <c r="E187" s="376">
        <f>ROUNDUP('1.1 Control Panel'!E$59*SUMIFS('4.3 Global SME Data'!$C$13:$C$18,'4.3 Global SME Data'!$B$13:$B$18,$C187)*1000000*(1+'1.1 Control Panel'!E$55-'1.1 Control Panel'!E$56)*SUMIFS('4.3 Global SME Data'!$C$21:$C$41,'4.3 Global SME Data'!$E$21:$E$41,$C$98)*SUMIFS('1.1 Control Panel'!E$62:E$67,'1.1 Control Panel'!C$62:C$67,$C187)*SUMIFS('1.1 Control Panel'!E$147:E$152,'1.1 Control Panel'!C$147:C$152,$C187)*SUMIFS('1.1 Control Panel'!E$232:E$237,'1.1 Control Panel'!C$232:C$237,$C187),0)</f>
        <v>142</v>
      </c>
      <c r="F187" s="376">
        <f>ROUNDUP('1.1 Control Panel'!F$59*SUMIFS('4.3 Global SME Data'!$C$13:$C$18,'4.3 Global SME Data'!$B$13:$B$18,$C187)*1000000*(1+'1.1 Control Panel'!E$55-'1.1 Control Panel'!E$56)*(1+'1.1 Control Panel'!F$55-'1.1 Control Panel'!F$56)*SUMIFS('4.3 Global SME Data'!$C$21:$C$41,'4.3 Global SME Data'!$E$21:$E$41,$C$183)*SUMIFS('1.1 Control Panel'!F$62:F$67,'1.1 Control Panel'!C$62:C$67,$C187)*SUMIFS('1.1 Control Panel'!F$147:F$152,'1.1 Control Panel'!C$147:C$152,$C187)*SUMIFS('1.1 Control Panel'!F$232:F$237,'1.1 Control Panel'!C$232:C$237,$C187),0)</f>
        <v>159</v>
      </c>
      <c r="G187" s="376">
        <f>ROUNDUP('1.1 Control Panel'!G$59*SUMIFS('4.3 Global SME Data'!$C$13:$C$18,'4.3 Global SME Data'!$B$13:$B$18,$C187)*1000000*(1+'1.1 Control Panel'!E$55-'1.1 Control Panel'!E$56)*(1+'1.1 Control Panel'!F$55-'1.1 Control Panel'!F$56)*(1+'1.1 Control Panel'!G$55-'1.1 Control Panel'!G$56)*SUMIFS('4.3 Global SME Data'!$C$21:$C$41,'4.3 Global SME Data'!$E$21:$E$41,$C$183)*SUMIFS('1.1 Control Panel'!G$62:G$67,'1.1 Control Panel'!C$62:C$67,$C187)*SUMIFS('1.1 Control Panel'!G$147:G$152,'1.1 Control Panel'!C$147:C$152,$C187)*SUMIFS('1.1 Control Panel'!G$232:G$237,'1.1 Control Panel'!C$232:C$237,$C187),0)</f>
        <v>190</v>
      </c>
      <c r="H187" s="376">
        <f>ROUNDUP('1.1 Control Panel'!H$59*SUMIFS('4.3 Global SME Data'!$C$13:$C$18,'4.3 Global SME Data'!$B$13:$B$18,$C187)*1000000*(1+'1.1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Data'!$E$21:$E$41,$C$183)*SUMIFS('1.1 Control Panel'!H$62:H$67,'1.1 Control Panel'!C$62:C$67,$C187)*SUMIFS('1.1 Control Panel'!H$147:H$152,'1.1 Control Panel'!C$147:C$152,$C187)*SUMIFS('1.1 Control Panel'!H$232:H$237,'1.1 Control Panel'!C$232:C$237,$C187),0)</f>
        <v>223</v>
      </c>
      <c r="J187" s="21"/>
    </row>
    <row r="188" spans="2:10" ht="11.5" customHeight="1" x14ac:dyDescent="0.25">
      <c r="C188" s="21" t="s">
        <v>393</v>
      </c>
      <c r="D188" s="38" t="s">
        <v>162</v>
      </c>
      <c r="E188" s="376">
        <f>ROUNDUP('1.1 Control Panel'!E$59*SUMIFS('4.3 Global SME Data'!$C$13:$C$18,'4.3 Global SME Data'!$B$13:$B$18,$C188)*1000000*(1+'1.1 Control Panel'!E$55-'1.1 Control Panel'!E$56)*SUMIFS('4.3 Global SME Data'!$C$21:$C$41,'4.3 Global SME Data'!$E$21:$E$41,$C$98)*SUMIFS('1.1 Control Panel'!E$62:E$67,'1.1 Control Panel'!C$62:C$67,$C188)*SUMIFS('1.1 Control Panel'!E$147:E$152,'1.1 Control Panel'!C$147:C$152,$C188)*SUMIFS('1.1 Control Panel'!E$232:E$237,'1.1 Control Panel'!C$232:C$237,$C188),0)</f>
        <v>187</v>
      </c>
      <c r="F188" s="376">
        <f>ROUNDUP('1.1 Control Panel'!F$59*SUMIFS('4.3 Global SME Data'!$C$13:$C$18,'4.3 Global SME Data'!$B$13:$B$18,$C188)*1000000*(1+'1.1 Control Panel'!E$55-'1.1 Control Panel'!E$56)*(1+'1.1 Control Panel'!F$55-'1.1 Control Panel'!F$56)*SUMIFS('4.3 Global SME Data'!$C$21:$C$41,'4.3 Global SME Data'!$E$21:$E$41,$C$183)*SUMIFS('1.1 Control Panel'!F$62:F$67,'1.1 Control Panel'!C$62:C$67,$C188)*SUMIFS('1.1 Control Panel'!F$147:F$152,'1.1 Control Panel'!C$147:C$152,$C188)*SUMIFS('1.1 Control Panel'!F$232:F$237,'1.1 Control Panel'!C$232:C$237,$C188),0)</f>
        <v>212</v>
      </c>
      <c r="G188" s="376">
        <f>ROUNDUP('1.1 Control Panel'!G$59*SUMIFS('4.3 Global SME Data'!$C$13:$C$18,'4.3 Global SME Data'!$B$13:$B$18,$C188)*1000000*(1+'1.1 Control Panel'!E$55-'1.1 Control Panel'!E$56)*(1+'1.1 Control Panel'!F$55-'1.1 Control Panel'!F$56)*(1+'1.1 Control Panel'!G$55-'1.1 Control Panel'!G$56)*SUMIFS('4.3 Global SME Data'!$C$21:$C$41,'4.3 Global SME Data'!$E$21:$E$41,$C$183)*SUMIFS('1.1 Control Panel'!G$62:G$67,'1.1 Control Panel'!C$62:C$67,$C188)*SUMIFS('1.1 Control Panel'!G$147:G$152,'1.1 Control Panel'!C$147:C$152,$C188)*SUMIFS('1.1 Control Panel'!G$232:G$237,'1.1 Control Panel'!C$232:C$237,$C188),0)</f>
        <v>255</v>
      </c>
      <c r="H188" s="376">
        <f>ROUNDUP('1.1 Control Panel'!H$59*SUMIFS('4.3 Global SME Data'!$C$13:$C$18,'4.3 Global SME Data'!$B$13:$B$18,$C188)*1000000*(1+'1.1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Data'!$E$21:$E$41,$C$183)*SUMIFS('1.1 Control Panel'!H$62:H$67,'1.1 Control Panel'!C$62:C$67,$C188)*SUMIFS('1.1 Control Panel'!H$147:H$152,'1.1 Control Panel'!C$147:C$152,$C188)*SUMIFS('1.1 Control Panel'!H$232:H$237,'1.1 Control Panel'!C$232:C$237,$C188),0)</f>
        <v>302</v>
      </c>
      <c r="J188" s="21"/>
    </row>
    <row r="189" spans="2:10" ht="11.5" customHeight="1" x14ac:dyDescent="0.25">
      <c r="C189" s="21" t="s">
        <v>456</v>
      </c>
      <c r="D189" s="38" t="s">
        <v>162</v>
      </c>
      <c r="E189" s="376">
        <f>ROUNDUP('1.1 Control Panel'!E$59*SUMIFS('4.3 Global SME Data'!$C$13:$C$18,'4.3 Global SME Data'!$B$13:$B$18,$C189)*1000000*(1+'1.1 Control Panel'!E$55-'1.1 Control Panel'!E$56)*SUMIFS('4.3 Global SME Data'!$C$21:$C$41,'4.3 Global SME Data'!$E$21:$E$41,$C$98)*SUMIFS('1.1 Control Panel'!E$62:E$67,'1.1 Control Panel'!C$62:C$67,$C189)*SUMIFS('1.1 Control Panel'!E$147:E$152,'1.1 Control Panel'!C$147:C$152,$C189)*SUMIFS('1.1 Control Panel'!E$232:E$237,'1.1 Control Panel'!C$232:C$237,$C189),0)</f>
        <v>45</v>
      </c>
      <c r="F189" s="376">
        <f>ROUNDUP('1.1 Control Panel'!F$59*SUMIFS('4.3 Global SME Data'!$C$13:$C$18,'4.3 Global SME Data'!$B$13:$B$18,$C189)*1000000*(1+'1.1 Control Panel'!E$55-'1.1 Control Panel'!E$56)*(1+'1.1 Control Panel'!F$55-'1.1 Control Panel'!F$56)*SUMIFS('4.3 Global SME Data'!$C$21:$C$41,'4.3 Global SME Data'!$E$21:$E$41,$C$183)*SUMIFS('1.1 Control Panel'!F$62:F$67,'1.1 Control Panel'!C$62:C$67,$C189)*SUMIFS('1.1 Control Panel'!F$147:F$152,'1.1 Control Panel'!C$147:C$152,$C189)*SUMIFS('1.1 Control Panel'!F$232:F$237,'1.1 Control Panel'!C$232:C$237,$C189),0)</f>
        <v>48</v>
      </c>
      <c r="G189" s="376">
        <f>ROUNDUP('1.1 Control Panel'!G$59*SUMIFS('4.3 Global SME Data'!$C$13:$C$18,'4.3 Global SME Data'!$B$13:$B$18,$C189)*1000000*(1+'1.1 Control Panel'!E$55-'1.1 Control Panel'!E$56)*(1+'1.1 Control Panel'!F$55-'1.1 Control Panel'!F$56)*(1+'1.1 Control Panel'!G$55-'1.1 Control Panel'!G$56)*SUMIFS('4.3 Global SME Data'!$C$21:$C$41,'4.3 Global SME Data'!$E$21:$E$41,$C$183)*SUMIFS('1.1 Control Panel'!G$62:G$67,'1.1 Control Panel'!C$62:C$67,$C189)*SUMIFS('1.1 Control Panel'!G$147:G$152,'1.1 Control Panel'!C$147:C$152,$C189)*SUMIFS('1.1 Control Panel'!G$232:G$237,'1.1 Control Panel'!C$232:C$237,$C189),0)</f>
        <v>53</v>
      </c>
      <c r="H189" s="376">
        <f>ROUNDUP('1.1 Control Panel'!H$59*SUMIFS('4.3 Global SME Data'!$C$13:$C$18,'4.3 Global SME Data'!$B$13:$B$18,$C189)*1000000*(1+'1.1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Data'!$E$21:$E$41,$C$183)*SUMIFS('1.1 Control Panel'!H$62:H$67,'1.1 Control Panel'!C$62:C$67,$C189)*SUMIFS('1.1 Control Panel'!H$147:H$152,'1.1 Control Panel'!C$147:C$152,$C189)*SUMIFS('1.1 Control Panel'!H$232:H$237,'1.1 Control Panel'!C$232:C$237,$C189),0)</f>
        <v>58</v>
      </c>
      <c r="J189" s="21"/>
    </row>
    <row r="190" spans="2:10" s="74" customFormat="1" ht="11.5" customHeight="1" x14ac:dyDescent="0.25">
      <c r="B190" s="99" t="s">
        <v>9</v>
      </c>
      <c r="C190" s="105" t="str">
        <f>'4.2 Sector Mapping'!$B$6</f>
        <v>Communication, Media and Technology</v>
      </c>
      <c r="D190" s="106" t="s">
        <v>162</v>
      </c>
      <c r="E190" s="380">
        <f>SUM(E191:E196)</f>
        <v>65482</v>
      </c>
      <c r="F190" s="380">
        <f t="shared" ref="F190:H190" si="62">SUM(F191:F196)</f>
        <v>19487</v>
      </c>
      <c r="G190" s="380">
        <f t="shared" si="62"/>
        <v>20822</v>
      </c>
      <c r="H190" s="380">
        <f t="shared" si="62"/>
        <v>22182</v>
      </c>
      <c r="J190" s="105"/>
    </row>
    <row r="191" spans="2:10" ht="11.5" customHeight="1" x14ac:dyDescent="0.25">
      <c r="C191" s="20" t="s">
        <v>600</v>
      </c>
      <c r="D191" s="34" t="s">
        <v>162</v>
      </c>
      <c r="E191" s="28">
        <f>ROUNDUP('1.1 Control Panel'!E$59*SUMIFS('4.3 Global SME Data'!$C$13:$C$18,'4.3 Global SME Data'!$B$13:$B$18,$C191)*1000000*(1+'1.1 Control Panel'!E$55-'1.1 Control Panel'!E$56)*SUMIFS('4.3 Global SME Data'!$C$21:$C$41,'4.3 Global SME Data'!$E$21:$E$41,$C$190)*SUMIFS('1.1 Control Panel'!E$69:E$74,'1.1 Control Panel'!C$69:C$74,$C191)*SUMIFS('1.1 Control Panel'!E$154:E$159,'1.1 Control Panel'!C$154:C$159,$C191)*SUMIFS('1.1 Control Panel'!E$239:E$244,'1.1 Control Panel'!C$239:C$244,$C191),0)</f>
        <v>11635</v>
      </c>
      <c r="F191" s="28">
        <f>ROUNDUP('1.1 Control Panel'!F$59*SUMIFS('4.3 Global SME Data'!$C$13:$C$18,'4.3 Global SME Data'!$B$13:$B$18,$C191)*1000000*(1+'1.1 Control Panel'!E$55-'1.1 Control Panel'!E$56)*(1+'1.1 Control Panel'!F$55-'1.1 Control Panel'!F$56)*SUMIFS('4.3 Global SME Data'!$C$21:$C$41,'4.3 Global SME Data'!$E$21:$E$41,$C$190)*SUMIFS('1.1 Control Panel'!F$69:F$74,'1.1 Control Panel'!C$69:C$74,$C191)*SUMIFS('1.1 Control Panel'!F$154:F$159,'1.1 Control Panel'!C$154:C$159,$C191)*SUMIFS('1.1 Control Panel'!F$239:F$244,'1.1 Control Panel'!C$239:C$244,$C191),0)</f>
        <v>12144</v>
      </c>
      <c r="G191" s="28">
        <f>ROUNDUP('1.1 Control Panel'!G$59*SUMIFS('4.3 Global SME Data'!$C$13:$C$18,'4.3 Global SME Data'!$B$13:$B$18,$C191)*1000000*(1+'1.1 Control Panel'!E$55-'1.1 Control Panel'!E$56)*(1+'1.1 Control Panel'!F$55-'1.1 Control Panel'!F$56)*(1+'1.1 Control Panel'!G$55-'1.1 Control Panel'!G$56)*SUMIFS('4.3 Global SME Data'!$C$21:$C$41,'4.3 Global SME Data'!$E$21:$E$41,$C$190)*SUMIFS('1.1 Control Panel'!G$69:G$74,'1.1 Control Panel'!C$69:C$74,$C191)*SUMIFS('1.1 Control Panel'!G$154:G$159,'1.1 Control Panel'!C$154:C$159,$C191)*SUMIFS('1.1 Control Panel'!G$239:G$244,'1.1 Control Panel'!C$239:C$244,$C191),0)</f>
        <v>13013</v>
      </c>
      <c r="H191" s="28">
        <f>ROUNDUP('1.1 Control Panel'!H$59*SUMIFS('4.3 Global SME Data'!$C$13:$C$18,'4.3 Global SME Data'!$B$13:$B$18,$C191)*1000000*(1+'1.1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Data'!$E$21:$E$41,$C$190)*SUMIFS('1.1 Control Panel'!H$69:H$74,'1.1 Control Panel'!C$69:C$74,$C191)*SUMIFS('1.1 Control Panel'!H$154:H$159,'1.1 Control Panel'!C$154:C$159,$C191)*SUMIFS('1.1 Control Panel'!H$239:H$244,'1.1 Control Panel'!C$239:C$244,$C191),0)</f>
        <v>13900</v>
      </c>
      <c r="J191" s="20"/>
    </row>
    <row r="192" spans="2:10" ht="11.5" customHeight="1" x14ac:dyDescent="0.25">
      <c r="C192" s="20" t="s">
        <v>392</v>
      </c>
      <c r="D192" s="34" t="s">
        <v>162</v>
      </c>
      <c r="E192" s="28">
        <f>ROUNDUP('1.1 Control Panel'!E$58*SUMIFS('4.3 Global SME Data'!$C$13:$C$18,'4.3 Global SME Data'!$B$13:$B$18,$C192)*1000000*(1+'1.1 Control Panel'!E$55-'1.1 Control Panel'!E$56)*SUMIFS('4.3 Global SME Data'!$C$21:$C$41,'4.3 Global SME Data'!$E$21:$E$41,$C$105)*SUMIFS('1.1 Control Panel'!E$69:E$74,'1.1 Control Panel'!C$69:C$74,$C192)*SUMIFS('1.1 Control Panel'!E$154:E$159,'1.1 Control Panel'!C$154:C$159,$C192)*SUMIFS('1.1 Control Panel'!E$239:E$244,'1.1 Control Panel'!C$239:C$244,$C192),0)</f>
        <v>4007</v>
      </c>
      <c r="F192" s="28">
        <f>ROUNDUP('1.1 Control Panel'!F$59*SUMIFS('4.3 Global SME Data'!$C$13:$C$18,'4.3 Global SME Data'!$B$13:$B$18,$C192)*1000000*(1+'1.1 Control Panel'!E$55-'1.1 Control Panel'!E$56)*(1+'1.1 Control Panel'!F$55-'1.1 Control Panel'!F$56)*SUMIFS('4.3 Global SME Data'!$C$21:$C$41,'4.3 Global SME Data'!$E$21:$E$41,$C$190)*SUMIFS('1.1 Control Panel'!F$69:F$74,'1.1 Control Panel'!C$69:C$74,$C192)*SUMIFS('1.1 Control Panel'!F$154:F$159,'1.1 Control Panel'!C$154:C$159,$C192)*SUMIFS('1.1 Control Panel'!F$239:F$244,'1.1 Control Panel'!C$239:C$244,$C192),0)</f>
        <v>543</v>
      </c>
      <c r="G192" s="28">
        <f>ROUNDUP('1.1 Control Panel'!G$59*SUMIFS('4.3 Global SME Data'!$C$13:$C$18,'4.3 Global SME Data'!$B$13:$B$18,$C192)*1000000*(1+'1.1 Control Panel'!E$55-'1.1 Control Panel'!E$56)*(1+'1.1 Control Panel'!F$55-'1.1 Control Panel'!F$56)*(1+'1.1 Control Panel'!G$55-'1.1 Control Panel'!G$56)*SUMIFS('4.3 Global SME Data'!$C$21:$C$41,'4.3 Global SME Data'!$E$21:$E$41,$C$190)*SUMIFS('1.1 Control Panel'!G$69:G$74,'1.1 Control Panel'!C$69:C$74,$C192)*SUMIFS('1.1 Control Panel'!G$154:G$159,'1.1 Control Panel'!C$154:C$159,$C192)*SUMIFS('1.1 Control Panel'!G$239:G$244,'1.1 Control Panel'!C$239:C$244,$C192),0)</f>
        <v>570</v>
      </c>
      <c r="H192" s="28">
        <f>ROUNDUP('1.1 Control Panel'!H$59*SUMIFS('4.3 Global SME Data'!$C$13:$C$18,'4.3 Global SME Data'!$B$13:$B$18,$C192)*1000000*(1+'1.1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Data'!$E$21:$E$41,$C$190)*SUMIFS('1.1 Control Panel'!H$69:H$74,'1.1 Control Panel'!C$69:C$74,$C192)*SUMIFS('1.1 Control Panel'!H$154:H$159,'1.1 Control Panel'!C$154:C$159,$C192)*SUMIFS('1.1 Control Panel'!H$239:H$244,'1.1 Control Panel'!C$239:C$244,$C192),0)</f>
        <v>598</v>
      </c>
      <c r="J192" s="20"/>
    </row>
    <row r="193" spans="2:10" ht="11.5" customHeight="1" x14ac:dyDescent="0.25">
      <c r="C193" s="20" t="s">
        <v>454</v>
      </c>
      <c r="D193" s="34" t="s">
        <v>162</v>
      </c>
      <c r="E193" s="28">
        <f>ROUNDUP('1.1 Control Panel'!E$58*SUMIFS('4.3 Global SME Data'!$C$13:$C$18,'4.3 Global SME Data'!$B$13:$B$18,$C193)*1000000*(1+'1.1 Control Panel'!E$55-'1.1 Control Panel'!E$56)*SUMIFS('4.3 Global SME Data'!$C$21:$C$41,'4.3 Global SME Data'!$E$21:$E$41,$C$105)*SUMIFS('1.1 Control Panel'!E$69:E$74,'1.1 Control Panel'!C$69:C$74,$C193)*SUMIFS('1.1 Control Panel'!E$154:E$159,'1.1 Control Panel'!C$154:C$159,$C193)*SUMIFS('1.1 Control Panel'!E$239:E$244,'1.1 Control Panel'!C$239:C$244,$C193),0)</f>
        <v>3651</v>
      </c>
      <c r="F193" s="28">
        <f>ROUNDUP('1.1 Control Panel'!F$59*SUMIFS('4.3 Global SME Data'!$C$13:$C$18,'4.3 Global SME Data'!$B$13:$B$18,$C193)*1000000*(1+'1.1 Control Panel'!E$55-'1.1 Control Panel'!E$56)*(1+'1.1 Control Panel'!F$55-'1.1 Control Panel'!F$56)*SUMIFS('4.3 Global SME Data'!$C$21:$C$41,'4.3 Global SME Data'!$E$21:$E$41,$C$190)*SUMIFS('1.1 Control Panel'!F$69:F$74,'1.1 Control Panel'!C$69:C$74,$C193)*SUMIFS('1.1 Control Panel'!F$154:F$159,'1.1 Control Panel'!C$154:C$159,$C193)*SUMIFS('1.1 Control Panel'!F$239:F$244,'1.1 Control Panel'!C$239:C$244,$C193),0)</f>
        <v>490</v>
      </c>
      <c r="G193" s="28">
        <f>ROUNDUP('1.1 Control Panel'!G$59*SUMIFS('4.3 Global SME Data'!$C$13:$C$18,'4.3 Global SME Data'!$B$13:$B$18,$C193)*1000000*(1+'1.1 Control Panel'!E$55-'1.1 Control Panel'!E$56)*(1+'1.1 Control Panel'!F$55-'1.1 Control Panel'!F$56)*(1+'1.1 Control Panel'!G$55-'1.1 Control Panel'!G$56)*SUMIFS('4.3 Global SME Data'!$C$21:$C$41,'4.3 Global SME Data'!$E$21:$E$41,$C$190)*SUMIFS('1.1 Control Panel'!G$69:G$74,'1.1 Control Panel'!C$69:C$74,$C193)*SUMIFS('1.1 Control Panel'!G$154:G$159,'1.1 Control Panel'!C$154:C$159,$C193)*SUMIFS('1.1 Control Panel'!G$239:G$244,'1.1 Control Panel'!C$239:C$244,$C193),0)</f>
        <v>507</v>
      </c>
      <c r="H193" s="28">
        <f>ROUNDUP('1.1 Control Panel'!H$59*SUMIFS('4.3 Global SME Data'!$C$13:$C$18,'4.3 Global SME Data'!$B$13:$B$18,$C193)*1000000*(1+'1.1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Data'!$E$21:$E$41,$C$190)*SUMIFS('1.1 Control Panel'!H$69:H$74,'1.1 Control Panel'!C$69:C$74,$C193)*SUMIFS('1.1 Control Panel'!H$154:H$159,'1.1 Control Panel'!C$154:C$159,$C193)*SUMIFS('1.1 Control Panel'!H$239:H$244,'1.1 Control Panel'!C$239:C$244,$C193),0)</f>
        <v>524</v>
      </c>
      <c r="J193" s="20"/>
    </row>
    <row r="194" spans="2:10" ht="11.5" customHeight="1" x14ac:dyDescent="0.25">
      <c r="C194" s="21" t="s">
        <v>455</v>
      </c>
      <c r="D194" s="38" t="s">
        <v>162</v>
      </c>
      <c r="E194" s="376">
        <f>ROUNDUP('1.1 Control Panel'!E$58*SUMIFS('4.3 Global SME Data'!$C$13:$C$18,'4.3 Global SME Data'!$B$13:$B$18,$C194)*1000000*(1+'1.1 Control Panel'!E$55-'1.1 Control Panel'!E$56)*SUMIFS('4.3 Global SME Data'!$C$21:$C$41,'4.3 Global SME Data'!$E$21:$E$41,$C$105)*SUMIFS('1.1 Control Panel'!E$69:E$74,'1.1 Control Panel'!C$69:C$74,$C194)*SUMIFS('1.1 Control Panel'!E$154:E$159,'1.1 Control Panel'!C$154:C$159,$C194)*SUMIFS('1.1 Control Panel'!E$239:E$244,'1.1 Control Panel'!C$239:C$244,$C194),0)</f>
        <v>19205</v>
      </c>
      <c r="F194" s="376">
        <f>ROUNDUP('1.1 Control Panel'!F$59*SUMIFS('4.3 Global SME Data'!$C$13:$C$18,'4.3 Global SME Data'!$B$13:$B$18,$C194)*1000000*(1+'1.1 Control Panel'!E$55-'1.1 Control Panel'!E$56)*(1+'1.1 Control Panel'!F$55-'1.1 Control Panel'!F$56)*SUMIFS('4.3 Global SME Data'!$C$21:$C$41,'4.3 Global SME Data'!$E$21:$E$41,$C$190)*SUMIFS('1.1 Control Panel'!F$69:F$74,'1.1 Control Panel'!C$69:C$74,$C194)*SUMIFS('1.1 Control Panel'!F$154:F$159,'1.1 Control Panel'!C$154:C$159,$C194)*SUMIFS('1.1 Control Panel'!F$239:F$244,'1.1 Control Panel'!C$239:C$244,$C194),0)</f>
        <v>2621</v>
      </c>
      <c r="G194" s="376">
        <f>ROUNDUP('1.1 Control Panel'!G$59*SUMIFS('4.3 Global SME Data'!$C$13:$C$18,'4.3 Global SME Data'!$B$13:$B$18,$C194)*1000000*(1+'1.1 Control Panel'!E$55-'1.1 Control Panel'!E$56)*(1+'1.1 Control Panel'!F$55-'1.1 Control Panel'!F$56)*(1+'1.1 Control Panel'!G$55-'1.1 Control Panel'!G$56)*SUMIFS('4.3 Global SME Data'!$C$21:$C$41,'4.3 Global SME Data'!$E$21:$E$41,$C$190)*SUMIFS('1.1 Control Panel'!G$69:G$74,'1.1 Control Panel'!C$69:C$74,$C194)*SUMIFS('1.1 Control Panel'!G$154:G$159,'1.1 Control Panel'!C$154:C$159,$C194)*SUMIFS('1.1 Control Panel'!G$239:G$244,'1.1 Control Panel'!C$239:C$244,$C194),0)</f>
        <v>2792</v>
      </c>
      <c r="H194" s="376">
        <f>ROUNDUP('1.1 Control Panel'!H$59*SUMIFS('4.3 Global SME Data'!$C$13:$C$18,'4.3 Global SME Data'!$B$13:$B$18,$C194)*1000000*(1+'1.1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Data'!$E$21:$E$41,$C$190)*SUMIFS('1.1 Control Panel'!H$69:H$74,'1.1 Control Panel'!C$69:C$74,$C194)*SUMIFS('1.1 Control Panel'!H$154:H$159,'1.1 Control Panel'!C$154:C$159,$C194)*SUMIFS('1.1 Control Panel'!H$239:H$244,'1.1 Control Panel'!C$239:C$244,$C194),0)</f>
        <v>2965</v>
      </c>
      <c r="J194" s="21"/>
    </row>
    <row r="195" spans="2:10" ht="11.5" customHeight="1" x14ac:dyDescent="0.25">
      <c r="C195" s="21" t="s">
        <v>393</v>
      </c>
      <c r="D195" s="38" t="s">
        <v>162</v>
      </c>
      <c r="E195" s="376">
        <f>ROUNDUP('1.1 Control Panel'!E$58*SUMIFS('4.3 Global SME Data'!$C$13:$C$18,'4.3 Global SME Data'!$B$13:$B$18,$C195)*1000000*(1+'1.1 Control Panel'!E$55-'1.1 Control Panel'!E$56)*SUMIFS('4.3 Global SME Data'!$C$21:$C$41,'4.3 Global SME Data'!$E$21:$E$41,$C$105)*SUMIFS('1.1 Control Panel'!E$69:E$74,'1.1 Control Panel'!C$69:C$74,$C195)*SUMIFS('1.1 Control Panel'!E$154:E$159,'1.1 Control Panel'!C$154:C$159,$C195)*SUMIFS('1.1 Control Panel'!E$239:E$244,'1.1 Control Panel'!C$239:C$244,$C195),0)</f>
        <v>21678</v>
      </c>
      <c r="F195" s="376">
        <f>ROUNDUP('1.1 Control Panel'!F$59*SUMIFS('4.3 Global SME Data'!$C$13:$C$18,'4.3 Global SME Data'!$B$13:$B$18,$C195)*1000000*(1+'1.1 Control Panel'!E$55-'1.1 Control Panel'!E$56)*(1+'1.1 Control Panel'!F$55-'1.1 Control Panel'!F$56)*SUMIFS('4.3 Global SME Data'!$C$21:$C$41,'4.3 Global SME Data'!$E$21:$E$41,$C$190)*SUMIFS('1.1 Control Panel'!F$69:F$74,'1.1 Control Panel'!C$69:C$74,$C195)*SUMIFS('1.1 Control Panel'!F$154:F$159,'1.1 Control Panel'!C$154:C$159,$C195)*SUMIFS('1.1 Control Panel'!F$239:F$244,'1.1 Control Panel'!C$239:C$244,$C195),0)</f>
        <v>2977</v>
      </c>
      <c r="G195" s="376">
        <f>ROUNDUP('1.1 Control Panel'!G$59*SUMIFS('4.3 Global SME Data'!$C$13:$C$18,'4.3 Global SME Data'!$B$13:$B$18,$C195)*1000000*(1+'1.1 Control Panel'!E$55-'1.1 Control Panel'!E$56)*(1+'1.1 Control Panel'!F$55-'1.1 Control Panel'!F$56)*(1+'1.1 Control Panel'!G$55-'1.1 Control Panel'!G$56)*SUMIFS('4.3 Global SME Data'!$C$21:$C$41,'4.3 Global SME Data'!$E$21:$E$41,$C$190)*SUMIFS('1.1 Control Panel'!G$69:G$74,'1.1 Control Panel'!C$69:C$74,$C195)*SUMIFS('1.1 Control Panel'!G$154:G$159,'1.1 Control Panel'!C$154:C$159,$C195)*SUMIFS('1.1 Control Panel'!G$239:G$244,'1.1 Control Panel'!C$239:C$244,$C195),0)</f>
        <v>3201</v>
      </c>
      <c r="H195" s="376">
        <f>ROUNDUP('1.1 Control Panel'!H$59*SUMIFS('4.3 Global SME Data'!$C$13:$C$18,'4.3 Global SME Data'!$B$13:$B$18,$C195)*1000000*(1+'1.1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Data'!$E$21:$E$41,$C$190)*SUMIFS('1.1 Control Panel'!H$69:H$74,'1.1 Control Panel'!C$69:C$74,$C195)*SUMIFS('1.1 Control Panel'!H$154:H$159,'1.1 Control Panel'!C$154:C$159,$C195)*SUMIFS('1.1 Control Panel'!H$239:H$244,'1.1 Control Panel'!C$239:C$244,$C195),0)</f>
        <v>3430</v>
      </c>
      <c r="J195" s="21"/>
    </row>
    <row r="196" spans="2:10" ht="11.5" customHeight="1" x14ac:dyDescent="0.25">
      <c r="C196" s="21" t="s">
        <v>456</v>
      </c>
      <c r="D196" s="38" t="s">
        <v>162</v>
      </c>
      <c r="E196" s="376">
        <f>ROUNDUP('1.1 Control Panel'!E$58*SUMIFS('4.3 Global SME Data'!$C$13:$C$18,'4.3 Global SME Data'!$B$13:$B$18,$C196)*1000000*(1+'1.1 Control Panel'!E$55-'1.1 Control Panel'!E$56)*SUMIFS('4.3 Global SME Data'!$C$21:$C$41,'4.3 Global SME Data'!$E$21:$E$41,$C$105)*SUMIFS('1.1 Control Panel'!E$69:E$74,'1.1 Control Panel'!C$69:C$74,$C196)*SUMIFS('1.1 Control Panel'!E$154:E$159,'1.1 Control Panel'!C$154:C$159,$C196)*SUMIFS('1.1 Control Panel'!E$239:E$244,'1.1 Control Panel'!C$239:C$244,$C196),0)</f>
        <v>5306</v>
      </c>
      <c r="F196" s="376">
        <f>ROUNDUP('1.1 Control Panel'!F$59*SUMIFS('4.3 Global SME Data'!$C$13:$C$18,'4.3 Global SME Data'!$B$13:$B$18,$C196)*1000000*(1+'1.1 Control Panel'!E$55-'1.1 Control Panel'!E$56)*(1+'1.1 Control Panel'!F$55-'1.1 Control Panel'!F$56)*SUMIFS('4.3 Global SME Data'!$C$21:$C$41,'4.3 Global SME Data'!$E$21:$E$41,$C$190)*SUMIFS('1.1 Control Panel'!F$69:F$74,'1.1 Control Panel'!C$69:C$74,$C196)*SUMIFS('1.1 Control Panel'!F$154:F$159,'1.1 Control Panel'!C$154:C$159,$C196)*SUMIFS('1.1 Control Panel'!F$239:F$244,'1.1 Control Panel'!C$239:C$244,$C196),0)</f>
        <v>712</v>
      </c>
      <c r="G196" s="376">
        <f>ROUNDUP('1.1 Control Panel'!G$59*SUMIFS('4.3 Global SME Data'!$C$13:$C$18,'4.3 Global SME Data'!$B$13:$B$18,$C196)*1000000*(1+'1.1 Control Panel'!E$55-'1.1 Control Panel'!E$56)*(1+'1.1 Control Panel'!F$55-'1.1 Control Panel'!F$56)*(1+'1.1 Control Panel'!G$55-'1.1 Control Panel'!G$56)*SUMIFS('4.3 Global SME Data'!$C$21:$C$41,'4.3 Global SME Data'!$E$21:$E$41,$C$190)*SUMIFS('1.1 Control Panel'!G$69:G$74,'1.1 Control Panel'!C$69:C$74,$C196)*SUMIFS('1.1 Control Panel'!G$154:G$159,'1.1 Control Panel'!C$154:C$159,$C196)*SUMIFS('1.1 Control Panel'!G$239:G$244,'1.1 Control Panel'!C$239:C$244,$C196),0)</f>
        <v>739</v>
      </c>
      <c r="H196" s="376">
        <f>ROUNDUP('1.1 Control Panel'!H$59*SUMIFS('4.3 Global SME Data'!$C$13:$C$18,'4.3 Global SME Data'!$B$13:$B$18,$C196)*1000000*(1+'1.1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Data'!$E$21:$E$41,$C$190)*SUMIFS('1.1 Control Panel'!H$69:H$74,'1.1 Control Panel'!C$69:C$74,$C196)*SUMIFS('1.1 Control Panel'!H$154:H$159,'1.1 Control Panel'!C$154:C$159,$C196)*SUMIFS('1.1 Control Panel'!H$239:H$244,'1.1 Control Panel'!C$239:C$244,$C196),0)</f>
        <v>765</v>
      </c>
      <c r="J196" s="21"/>
    </row>
    <row r="197" spans="2:10" s="74" customFormat="1" ht="11.5" customHeight="1" x14ac:dyDescent="0.25">
      <c r="B197" s="99" t="s">
        <v>9</v>
      </c>
      <c r="C197" s="105" t="str">
        <f>'4.2 Sector Mapping'!$B$7</f>
        <v>Energy and Environment</v>
      </c>
      <c r="D197" s="106" t="s">
        <v>162</v>
      </c>
      <c r="E197" s="380">
        <f>SUM(E198:E203)</f>
        <v>10299</v>
      </c>
      <c r="F197" s="380">
        <f t="shared" ref="F197:H197" si="63">SUM(F198:F203)</f>
        <v>10982</v>
      </c>
      <c r="G197" s="380">
        <f t="shared" si="63"/>
        <v>12166</v>
      </c>
      <c r="H197" s="380">
        <f t="shared" si="63"/>
        <v>13401</v>
      </c>
      <c r="J197" s="105"/>
    </row>
    <row r="198" spans="2:10" ht="11.5" customHeight="1" x14ac:dyDescent="0.25">
      <c r="C198" s="20" t="s">
        <v>600</v>
      </c>
      <c r="D198" s="34" t="s">
        <v>162</v>
      </c>
      <c r="E198" s="28">
        <f>ROUNDUP('1.1 Control Panel'!E$59*SUMIFS('4.3 Global SME Data'!$C$13:$C$18,'4.3 Global SME Data'!$B$13:$B$18,$C198)*1000000*(1+'1.1 Control Panel'!E$55-'1.1 Control Panel'!E$56)*SUMIFS('4.3 Global SME Data'!$C$21:$C$41,'4.3 Global SME Data'!$E$21:$E$41,$C$197)*SUMIFS('1.1 Control Panel'!E$76:E$81,'1.1 Control Panel'!C$76:C$81,$C198)*SUMIFS('1.1 Control Panel'!E$161:E$166,'1.1 Control Panel'!C$161:C$166,$C198)*SUMIFS('1.1 Control Panel'!E$246:E$251,'1.1 Control Panel'!C$246:C$251,$C198),0)</f>
        <v>5318</v>
      </c>
      <c r="F198" s="28">
        <f>ROUNDUP('1.1 Control Panel'!F$59*SUMIFS('4.3 Global SME Data'!$C$13:$C$18,'4.3 Global SME Data'!$B$13:$B$18,$C198)*1000000*(1+'1.1 Control Panel'!E$55-'1.1 Control Panel'!E$56)*(1+'1.1 Control Panel'!F$55-'1.1 Control Panel'!F$56)*SUMIFS('4.3 Global SME Data'!$C$21:$C$41,'4.3 Global SME Data'!$E$21:$E$41,$C$197)*SUMIFS('1.1 Control Panel'!F$76:F$81,'1.1 Control Panel'!C$76:C$81,$C198)*SUMIFS('1.1 Control Panel'!F$161:F$166,'1.1 Control Panel'!C$161:C$166,$C198)*SUMIFS('1.1 Control Panel'!F$246:F$251,'1.1 Control Panel'!C$246:C$251,$C198),0)</f>
        <v>5727</v>
      </c>
      <c r="G198" s="28">
        <f>ROUNDUP('1.1 Control Panel'!G$59*SUMIFS('4.3 Global SME Data'!$C$13:$C$18,'4.3 Global SME Data'!$B$13:$B$18,$C198)*1000000*(1+'1.1 Control Panel'!E$55-'1.1 Control Panel'!E$56)*(1+'1.1 Control Panel'!F$55-'1.1 Control Panel'!F$56)*(1+'1.1 Control Panel'!G$55-'1.1 Control Panel'!G$56)*SUMIFS('4.3 Global SME Data'!$C$21:$C$41,'4.3 Global SME Data'!$E$21:$E$41,$C$197)*SUMIFS('1.1 Control Panel'!G$76:G$81,'1.1 Control Panel'!C$76:C$81,$C198)*SUMIFS('1.1 Control Panel'!G$161:G$166,'1.1 Control Panel'!C$161:C$166,$C198)*SUMIFS('1.1 Control Panel'!G$246:G$251,'1.1 Control Panel'!C$246:C$251,$C198),0)</f>
        <v>6440</v>
      </c>
      <c r="H198" s="28">
        <f>ROUNDUP('1.1 Control Panel'!H$59*SUMIFS('4.3 Global SME Data'!$C$13:$C$18,'4.3 Global SME Data'!$B$13:$B$18,$C198)*1000000*(1+'1.1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Data'!$E$21:$E$41,$C$197)*SUMIFS('1.1 Control Panel'!H$76:H$81,'1.1 Control Panel'!C$76:C$81,$C198)*SUMIFS('1.1 Control Panel'!H$161:H$166,'1.1 Control Panel'!C$161:C$166,$C198)*SUMIFS('1.1 Control Panel'!H$246:H$251,'1.1 Control Panel'!C$246:C$251,$C198),0)</f>
        <v>7188</v>
      </c>
      <c r="J198" s="20"/>
    </row>
    <row r="199" spans="2:10" ht="11.5" customHeight="1" x14ac:dyDescent="0.25">
      <c r="C199" s="20" t="s">
        <v>392</v>
      </c>
      <c r="D199" s="34" t="s">
        <v>162</v>
      </c>
      <c r="E199" s="28">
        <f>ROUNDUP('1.1 Control Panel'!E$59*SUMIFS('4.3 Global SME Data'!$C$13:$C$18,'4.3 Global SME Data'!$B$13:$B$18,$C199)*1000000*(1+'1.1 Control Panel'!E$55-'1.1 Control Panel'!E$56)*SUMIFS('4.3 Global SME Data'!$C$21:$C$41,'4.3 Global SME Data'!$E$21:$E$41,$C$197)*SUMIFS('1.1 Control Panel'!E$76:E$81,'1.1 Control Panel'!C$76:C$81,$C199)*SUMIFS('1.1 Control Panel'!E$161:E$166,'1.1 Control Panel'!C$161:C$166,$C199)*SUMIFS('1.1 Control Panel'!E$246:E$251,'1.1 Control Panel'!C$246:C$251,$C199),0)</f>
        <v>179</v>
      </c>
      <c r="F199" s="28">
        <f>ROUNDUP('1.1 Control Panel'!F$59*SUMIFS('4.3 Global SME Data'!$C$13:$C$18,'4.3 Global SME Data'!$B$13:$B$18,$C199)*1000000*(1+'1.1 Control Panel'!E$55-'1.1 Control Panel'!E$56)*(1+'1.1 Control Panel'!F$55-'1.1 Control Panel'!F$56)*SUMIFS('4.3 Global SME Data'!$C$21:$C$41,'4.3 Global SME Data'!$E$21:$E$41,$C$197)*SUMIFS('1.1 Control Panel'!F$76:F$81,'1.1 Control Panel'!C$76:C$81,$C199)*SUMIFS('1.1 Control Panel'!F$161:F$166,'1.1 Control Panel'!C$161:C$166,$C199)*SUMIFS('1.1 Control Panel'!F$246:F$251,'1.1 Control Panel'!C$246:C$251,$C199),0)</f>
        <v>190</v>
      </c>
      <c r="G199" s="28">
        <f>ROUNDUP('1.1 Control Panel'!G$59*SUMIFS('4.3 Global SME Data'!$C$13:$C$18,'4.3 Global SME Data'!$B$13:$B$18,$C199)*1000000*(1+'1.1 Control Panel'!E$55-'1.1 Control Panel'!E$56)*(1+'1.1 Control Panel'!F$55-'1.1 Control Panel'!F$56)*(1+'1.1 Control Panel'!G$55-'1.1 Control Panel'!G$56)*SUMIFS('4.3 Global SME Data'!$C$21:$C$41,'4.3 Global SME Data'!$E$21:$E$41,$C$197)*SUMIFS('1.1 Control Panel'!G$76:G$81,'1.1 Control Panel'!C$76:C$81,$C199)*SUMIFS('1.1 Control Panel'!G$161:G$166,'1.1 Control Panel'!C$161:C$166,$C199)*SUMIFS('1.1 Control Panel'!G$246:G$251,'1.1 Control Panel'!C$246:C$251,$C199),0)</f>
        <v>209</v>
      </c>
      <c r="H199" s="28">
        <f>ROUNDUP('1.1 Control Panel'!H$59*SUMIFS('4.3 Global SME Data'!$C$13:$C$18,'4.3 Global SME Data'!$B$13:$B$18,$C199)*1000000*(1+'1.1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Data'!$E$21:$E$41,$C$197)*SUMIFS('1.1 Control Panel'!H$76:H$81,'1.1 Control Panel'!C$76:C$81,$C199)*SUMIFS('1.1 Control Panel'!H$161:H$166,'1.1 Control Panel'!C$161:C$166,$C199)*SUMIFS('1.1 Control Panel'!H$246:H$251,'1.1 Control Panel'!C$246:C$251,$C199),0)</f>
        <v>229</v>
      </c>
      <c r="J199" s="20"/>
    </row>
    <row r="200" spans="2:10" ht="11.5" customHeight="1" x14ac:dyDescent="0.25">
      <c r="C200" s="20" t="s">
        <v>454</v>
      </c>
      <c r="D200" s="34" t="s">
        <v>162</v>
      </c>
      <c r="E200" s="28">
        <f>ROUNDUP('1.1 Control Panel'!E$59*SUMIFS('4.3 Global SME Data'!$C$13:$C$18,'4.3 Global SME Data'!$B$13:$B$18,$C200)*1000000*(1+'1.1 Control Panel'!E$55-'1.1 Control Panel'!E$56)*SUMIFS('4.3 Global SME Data'!$C$21:$C$41,'4.3 Global SME Data'!$E$21:$E$41,$C$197)*SUMIFS('1.1 Control Panel'!E$76:E$81,'1.1 Control Panel'!C$76:C$81,$C200)*SUMIFS('1.1 Control Panel'!E$161:E$166,'1.1 Control Panel'!C$161:C$166,$C200)*SUMIFS('1.1 Control Panel'!E$246:E$251,'1.1 Control Panel'!C$246:C$251,$C200),0)</f>
        <v>260</v>
      </c>
      <c r="F200" s="28">
        <f>ROUNDUP('1.1 Control Panel'!F$59*SUMIFS('4.3 Global SME Data'!$C$13:$C$18,'4.3 Global SME Data'!$B$13:$B$18,$C200)*1000000*(1+'1.1 Control Panel'!E$55-'1.1 Control Panel'!E$56)*(1+'1.1 Control Panel'!F$55-'1.1 Control Panel'!F$56)*SUMIFS('4.3 Global SME Data'!$C$21:$C$41,'4.3 Global SME Data'!$E$21:$E$41,$C$197)*SUMIFS('1.1 Control Panel'!F$76:F$81,'1.1 Control Panel'!C$76:C$81,$C200)*SUMIFS('1.1 Control Panel'!F$161:F$166,'1.1 Control Panel'!C$161:C$166,$C200)*SUMIFS('1.1 Control Panel'!F$246:F$251,'1.1 Control Panel'!C$246:C$251,$C200),0)</f>
        <v>269</v>
      </c>
      <c r="G200" s="28">
        <f>ROUNDUP('1.1 Control Panel'!G$59*SUMIFS('4.3 Global SME Data'!$C$13:$C$18,'4.3 Global SME Data'!$B$13:$B$18,$C200)*1000000*(1+'1.1 Control Panel'!E$55-'1.1 Control Panel'!E$56)*(1+'1.1 Control Panel'!F$55-'1.1 Control Panel'!F$56)*(1+'1.1 Control Panel'!G$55-'1.1 Control Panel'!G$56)*SUMIFS('4.3 Global SME Data'!$C$21:$C$41,'4.3 Global SME Data'!$E$21:$E$41,$C$197)*SUMIFS('1.1 Control Panel'!G$76:G$81,'1.1 Control Panel'!C$76:C$81,$C200)*SUMIFS('1.1 Control Panel'!G$161:G$166,'1.1 Control Panel'!C$161:C$166,$C200)*SUMIFS('1.1 Control Panel'!G$246:G$251,'1.1 Control Panel'!C$246:C$251,$C200),0)</f>
        <v>284</v>
      </c>
      <c r="H200" s="28">
        <f>ROUNDUP('1.1 Control Panel'!H$59*SUMIFS('4.3 Global SME Data'!$C$13:$C$18,'4.3 Global SME Data'!$B$13:$B$18,$C200)*1000000*(1+'1.1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Data'!$E$21:$E$41,$C$197)*SUMIFS('1.1 Control Panel'!H$76:H$81,'1.1 Control Panel'!C$76:C$81,$C200)*SUMIFS('1.1 Control Panel'!H$161:H$166,'1.1 Control Panel'!C$161:C$166,$C200)*SUMIFS('1.1 Control Panel'!H$246:H$251,'1.1 Control Panel'!C$246:C$251,$C200),0)</f>
        <v>300</v>
      </c>
      <c r="J200" s="20"/>
    </row>
    <row r="201" spans="2:10" ht="11.5" customHeight="1" x14ac:dyDescent="0.25">
      <c r="C201" s="21" t="s">
        <v>455</v>
      </c>
      <c r="D201" s="38" t="s">
        <v>162</v>
      </c>
      <c r="E201" s="376">
        <f>ROUNDUP('1.1 Control Panel'!E$59*SUMIFS('4.3 Global SME Data'!$C$13:$C$18,'4.3 Global SME Data'!$B$13:$B$18,$C201)*1000000*(1+'1.1 Control Panel'!E$55-'1.1 Control Panel'!E$56)*SUMIFS('4.3 Global SME Data'!$C$21:$C$41,'4.3 Global SME Data'!$E$21:$E$41,$C$197)*SUMIFS('1.1 Control Panel'!E$76:E$81,'1.1 Control Panel'!C$76:C$81,$C201)*SUMIFS('1.1 Control Panel'!E$161:E$166,'1.1 Control Panel'!C$161:C$166,$C201)*SUMIFS('1.1 Control Panel'!E$246:E$251,'1.1 Control Panel'!C$246:C$251,$C201),0)</f>
        <v>1502</v>
      </c>
      <c r="F201" s="376">
        <f>ROUNDUP('1.1 Control Panel'!F$59*SUMIFS('4.3 Global SME Data'!$C$13:$C$18,'4.3 Global SME Data'!$B$13:$B$18,$C201)*1000000*(1+'1.1 Control Panel'!E$55-'1.1 Control Panel'!E$56)*(1+'1.1 Control Panel'!F$55-'1.1 Control Panel'!F$56)*SUMIFS('4.3 Global SME Data'!$C$21:$C$41,'4.3 Global SME Data'!$E$21:$E$41,$C$197)*SUMIFS('1.1 Control Panel'!F$76:F$81,'1.1 Control Panel'!C$76:C$81,$C201)*SUMIFS('1.1 Control Panel'!F$161:F$166,'1.1 Control Panel'!C$161:C$166,$C201)*SUMIFS('1.1 Control Panel'!F$246:F$251,'1.1 Control Panel'!C$246:C$251,$C201),0)</f>
        <v>1594</v>
      </c>
      <c r="G201" s="376">
        <f>ROUNDUP('1.1 Control Panel'!G$59*SUMIFS('4.3 Global SME Data'!$C$13:$C$18,'4.3 Global SME Data'!$B$13:$B$18,$C201)*1000000*(1+'1.1 Control Panel'!E$55-'1.1 Control Panel'!E$56)*(1+'1.1 Control Panel'!F$55-'1.1 Control Panel'!F$56)*(1+'1.1 Control Panel'!G$55-'1.1 Control Panel'!G$56)*SUMIFS('4.3 Global SME Data'!$C$21:$C$41,'4.3 Global SME Data'!$E$21:$E$41,$C$197)*SUMIFS('1.1 Control Panel'!G$76:G$81,'1.1 Control Panel'!C$76:C$81,$C201)*SUMIFS('1.1 Control Panel'!G$161:G$166,'1.1 Control Panel'!C$161:C$166,$C201)*SUMIFS('1.1 Control Panel'!G$246:G$251,'1.1 Control Panel'!C$246:C$251,$C201),0)</f>
        <v>1752</v>
      </c>
      <c r="H201" s="376">
        <f>ROUNDUP('1.1 Control Panel'!H$59*SUMIFS('4.3 Global SME Data'!$C$13:$C$18,'4.3 Global SME Data'!$B$13:$B$18,$C201)*1000000*(1+'1.1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Data'!$E$21:$E$41,$C$197)*SUMIFS('1.1 Control Panel'!H$76:H$81,'1.1 Control Panel'!C$76:C$81,$C201)*SUMIFS('1.1 Control Panel'!H$161:H$166,'1.1 Control Panel'!C$161:C$166,$C201)*SUMIFS('1.1 Control Panel'!H$246:H$251,'1.1 Control Panel'!C$246:C$251,$C201),0)</f>
        <v>1915</v>
      </c>
      <c r="J201" s="21"/>
    </row>
    <row r="202" spans="2:10" ht="11.5" customHeight="1" x14ac:dyDescent="0.25">
      <c r="C202" s="21" t="s">
        <v>393</v>
      </c>
      <c r="D202" s="38" t="s">
        <v>162</v>
      </c>
      <c r="E202" s="376">
        <f>ROUNDUP('1.1 Control Panel'!E$59*SUMIFS('4.3 Global SME Data'!$C$13:$C$18,'4.3 Global SME Data'!$B$13:$B$18,$C202)*1000000*(1+'1.1 Control Panel'!E$55-'1.1 Control Panel'!E$56)*SUMIFS('4.3 Global SME Data'!$C$21:$C$41,'4.3 Global SME Data'!$E$21:$E$41,$C$197)*SUMIFS('1.1 Control Panel'!E$76:E$81,'1.1 Control Panel'!C$76:C$81,$C202)*SUMIFS('1.1 Control Panel'!E$161:E$166,'1.1 Control Panel'!C$161:C$166,$C202)*SUMIFS('1.1 Control Panel'!E$246:E$251,'1.1 Control Panel'!C$246:C$251,$C202),0)</f>
        <v>2628</v>
      </c>
      <c r="F202" s="376">
        <f>ROUNDUP('1.1 Control Panel'!F$59*SUMIFS('4.3 Global SME Data'!$C$13:$C$18,'4.3 Global SME Data'!$B$13:$B$18,$C202)*1000000*(1+'1.1 Control Panel'!E$55-'1.1 Control Panel'!E$56)*(1+'1.1 Control Panel'!F$55-'1.1 Control Panel'!F$56)*SUMIFS('4.3 Global SME Data'!$C$21:$C$41,'4.3 Global SME Data'!$E$21:$E$41,$C$197)*SUMIFS('1.1 Control Panel'!F$76:F$81,'1.1 Control Panel'!C$76:C$81,$C202)*SUMIFS('1.1 Control Panel'!F$161:F$166,'1.1 Control Panel'!C$161:C$166,$C202)*SUMIFS('1.1 Control Panel'!F$246:F$251,'1.1 Control Panel'!C$246:C$251,$C202),0)</f>
        <v>2776</v>
      </c>
      <c r="G202" s="376">
        <f>ROUNDUP('1.1 Control Panel'!G$59*SUMIFS('4.3 Global SME Data'!$C$13:$C$18,'4.3 Global SME Data'!$B$13:$B$18,$C202)*1000000*(1+'1.1 Control Panel'!E$55-'1.1 Control Panel'!E$56)*(1+'1.1 Control Panel'!F$55-'1.1 Control Panel'!F$56)*(1+'1.1 Control Panel'!G$55-'1.1 Control Panel'!G$56)*SUMIFS('4.3 Global SME Data'!$C$21:$C$41,'4.3 Global SME Data'!$E$21:$E$41,$C$197)*SUMIFS('1.1 Control Panel'!G$76:G$81,'1.1 Control Panel'!C$76:C$81,$C202)*SUMIFS('1.1 Control Panel'!G$161:G$166,'1.1 Control Panel'!C$161:C$166,$C202)*SUMIFS('1.1 Control Panel'!G$246:G$251,'1.1 Control Panel'!C$246:C$251,$C202),0)</f>
        <v>3031</v>
      </c>
      <c r="H202" s="376">
        <f>ROUNDUP('1.1 Control Panel'!H$59*SUMIFS('4.3 Global SME Data'!$C$13:$C$18,'4.3 Global SME Data'!$B$13:$B$18,$C202)*1000000*(1+'1.1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Data'!$E$21:$E$41,$C$197)*SUMIFS('1.1 Control Panel'!H$76:H$81,'1.1 Control Panel'!C$76:C$81,$C202)*SUMIFS('1.1 Control Panel'!H$161:H$166,'1.1 Control Panel'!C$161:C$166,$C202)*SUMIFS('1.1 Control Panel'!H$246:H$251,'1.1 Control Panel'!C$246:C$251,$C202),0)</f>
        <v>3294</v>
      </c>
      <c r="J202" s="21"/>
    </row>
    <row r="203" spans="2:10" ht="11.5" customHeight="1" x14ac:dyDescent="0.25">
      <c r="C203" s="21" t="s">
        <v>456</v>
      </c>
      <c r="D203" s="38" t="s">
        <v>162</v>
      </c>
      <c r="E203" s="376">
        <f>ROUNDUP('1.1 Control Panel'!E$59*SUMIFS('4.3 Global SME Data'!$C$13:$C$18,'4.3 Global SME Data'!$B$13:$B$18,$C203)*1000000*(1+'1.1 Control Panel'!E$55-'1.1 Control Panel'!E$56)*SUMIFS('4.3 Global SME Data'!$C$21:$C$41,'4.3 Global SME Data'!$E$21:$E$41,$C$197)*SUMIFS('1.1 Control Panel'!E$76:E$81,'1.1 Control Panel'!C$76:C$81,$C203)*SUMIFS('1.1 Control Panel'!E$161:E$166,'1.1 Control Panel'!C$161:C$166,$C203)*SUMIFS('1.1 Control Panel'!E$246:E$251,'1.1 Control Panel'!C$246:C$251,$C203),0)</f>
        <v>412</v>
      </c>
      <c r="F203" s="376">
        <f>ROUNDUP('1.1 Control Panel'!F$59*SUMIFS('4.3 Global SME Data'!$C$13:$C$18,'4.3 Global SME Data'!$B$13:$B$18,$C203)*1000000*(1+'1.1 Control Panel'!E$55-'1.1 Control Panel'!E$56)*(1+'1.1 Control Panel'!F$55-'1.1 Control Panel'!F$56)*SUMIFS('4.3 Global SME Data'!$C$21:$C$41,'4.3 Global SME Data'!$E$21:$E$41,$C$197)*SUMIFS('1.1 Control Panel'!F$76:F$81,'1.1 Control Panel'!C$76:C$81,$C203)*SUMIFS('1.1 Control Panel'!F$161:F$166,'1.1 Control Panel'!C$161:C$166,$C203)*SUMIFS('1.1 Control Panel'!F$246:F$251,'1.1 Control Panel'!C$246:C$251,$C203),0)</f>
        <v>426</v>
      </c>
      <c r="G203" s="376">
        <f>ROUNDUP('1.1 Control Panel'!G$59*SUMIFS('4.3 Global SME Data'!$C$13:$C$18,'4.3 Global SME Data'!$B$13:$B$18,$C203)*1000000*(1+'1.1 Control Panel'!E$55-'1.1 Control Panel'!E$56)*(1+'1.1 Control Panel'!F$55-'1.1 Control Panel'!F$56)*(1+'1.1 Control Panel'!G$55-'1.1 Control Panel'!G$56)*SUMIFS('4.3 Global SME Data'!$C$21:$C$41,'4.3 Global SME Data'!$E$21:$E$41,$C$197)*SUMIFS('1.1 Control Panel'!G$76:G$81,'1.1 Control Panel'!C$76:C$81,$C203)*SUMIFS('1.1 Control Panel'!G$161:G$166,'1.1 Control Panel'!C$161:C$166,$C203)*SUMIFS('1.1 Control Panel'!G$246:G$251,'1.1 Control Panel'!C$246:C$251,$C203),0)</f>
        <v>450</v>
      </c>
      <c r="H203" s="376">
        <f>ROUNDUP('1.1 Control Panel'!H$59*SUMIFS('4.3 Global SME Data'!$C$13:$C$18,'4.3 Global SME Data'!$B$13:$B$18,$C203)*1000000*(1+'1.1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Data'!$E$21:$E$41,$C$197)*SUMIFS('1.1 Control Panel'!H$76:H$81,'1.1 Control Panel'!C$76:C$81,$C203)*SUMIFS('1.1 Control Panel'!H$161:H$166,'1.1 Control Panel'!C$161:C$166,$C203)*SUMIFS('1.1 Control Panel'!H$246:H$251,'1.1 Control Panel'!C$246:C$251,$C203),0)</f>
        <v>475</v>
      </c>
      <c r="J203" s="21"/>
    </row>
    <row r="204" spans="2:10" s="74" customFormat="1" ht="11.5" customHeight="1" x14ac:dyDescent="0.25">
      <c r="B204" s="99" t="s">
        <v>9</v>
      </c>
      <c r="C204" s="105" t="str">
        <f>'4.2 Sector Mapping'!$B$8</f>
        <v>Financial Services</v>
      </c>
      <c r="D204" s="106" t="s">
        <v>162</v>
      </c>
      <c r="E204" s="380">
        <f>SUM(E205:E210)</f>
        <v>32870</v>
      </c>
      <c r="F204" s="380">
        <f t="shared" ref="F204:H204" si="64">SUM(F205:F210)</f>
        <v>34228</v>
      </c>
      <c r="G204" s="380">
        <f t="shared" si="64"/>
        <v>36541</v>
      </c>
      <c r="H204" s="380">
        <f t="shared" si="64"/>
        <v>38898</v>
      </c>
      <c r="J204" s="105"/>
    </row>
    <row r="205" spans="2:10" ht="11.5" customHeight="1" x14ac:dyDescent="0.25">
      <c r="C205" s="20" t="s">
        <v>600</v>
      </c>
      <c r="D205" s="34" t="s">
        <v>162</v>
      </c>
      <c r="E205" s="28">
        <f>ROUNDUP('1.1 Control Panel'!E$59*SUMIFS('4.3 Global SME Data'!$C$13:$C$18,'4.3 Global SME Data'!$B$13:$B$18,$C205)*1000000*(1+'1.1 Control Panel'!E$55-'1.1 Control Panel'!E$56)*SUMIFS('4.3 Global SME Data'!$C$21:$C$41,'4.3 Global SME Data'!$E$21:$E$41,$C$204)*SUMIFS('1.1 Control Panel'!E$83:E$88,'1.1 Control Panel'!C$83:C$88,$C205)*SUMIFS('1.1 Control Panel'!E$168:E$173,'1.1 Control Panel'!C$168:C$173,$C205)*SUMIFS('1.1 Control Panel'!E$253:E$258,'1.1 Control Panel'!C$253:C$258,$C205),0)</f>
        <v>21157</v>
      </c>
      <c r="F205" s="28">
        <f>ROUNDUP('1.1 Control Panel'!F$59*SUMIFS('4.3 Global SME Data'!$C$13:$C$18,'4.3 Global SME Data'!$B$13:$B$18,$C205)*1000000*(1+'1.1 Control Panel'!E$55-'1.1 Control Panel'!E$56)*(1+'1.1 Control Panel'!F$55-'1.1 Control Panel'!F$56)*SUMIFS('4.3 Global SME Data'!$C$21:$C$41,'4.3 Global SME Data'!$E$21:$E$41,$C$204)*SUMIFS('1.1 Control Panel'!F$83:F$88,'1.1 Control Panel'!C$83:C$88,$C205)*SUMIFS('1.1 Control Panel'!F$168:F$173,'1.1 Control Panel'!C$168:C$173,$C205)*SUMIFS('1.1 Control Panel'!F$253:F$258,'1.1 Control Panel'!C$253:C$258,$C205),0)</f>
        <v>22052</v>
      </c>
      <c r="G205" s="28">
        <f>ROUNDUP('1.1 Control Panel'!G$59*SUMIFS('4.3 Global SME Data'!$C$13:$C$18,'4.3 Global SME Data'!$B$13:$B$18,$C205)*1000000*(1+'1.1 Control Panel'!E$55-'1.1 Control Panel'!E$56)*(1+'1.1 Control Panel'!F$55-'1.1 Control Panel'!F$56)*(1+'1.1 Control Panel'!G$55-'1.1 Control Panel'!G$56)*SUMIFS('4.3 Global SME Data'!$C$21:$C$41,'4.3 Global SME Data'!$E$21:$E$41,$C$204)*SUMIFS('1.1 Control Panel'!G$83:G$88,'1.1 Control Panel'!C$83:C$88,$C205)*SUMIFS('1.1 Control Panel'!G$168:G$173,'1.1 Control Panel'!C$168:C$173,$C205)*SUMIFS('1.1 Control Panel'!G$253:G$258,'1.1 Control Panel'!C$253:C$258,$C205),0)</f>
        <v>23577</v>
      </c>
      <c r="H205" s="28">
        <f>ROUNDUP('1.1 Control Panel'!H$59*SUMIFS('4.3 Global SME Data'!$C$13:$C$18,'4.3 Global SME Data'!$B$13:$B$18,$C205)*1000000*(1+'1.1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Data'!$E$21:$E$41,$C$204)*SUMIFS('1.1 Control Panel'!H$83:H$88,'1.1 Control Panel'!C$83:C$88,$C205)*SUMIFS('1.1 Control Panel'!H$168:H$173,'1.1 Control Panel'!C$168:C$173,$C205)*SUMIFS('1.1 Control Panel'!H$253:H$258,'1.1 Control Panel'!C$253:C$258,$C205),0)</f>
        <v>25134</v>
      </c>
      <c r="J205" s="20"/>
    </row>
    <row r="206" spans="2:10" ht="11.5" customHeight="1" x14ac:dyDescent="0.25">
      <c r="C206" s="20" t="s">
        <v>392</v>
      </c>
      <c r="D206" s="34" t="s">
        <v>162</v>
      </c>
      <c r="E206" s="28">
        <f>ROUNDUP('1.1 Control Panel'!E$59*SUMIFS('4.3 Global SME Data'!$C$13:$C$18,'4.3 Global SME Data'!$B$13:$B$18,$C206)*1000000*(1+'1.1 Control Panel'!E$55-'1.1 Control Panel'!E$56)*SUMIFS('4.3 Global SME Data'!$C$21:$C$41,'4.3 Global SME Data'!$E$21:$E$41,$C$204)*SUMIFS('1.1 Control Panel'!E$83:E$88,'1.1 Control Panel'!C$83:C$88,$C206)*SUMIFS('1.1 Control Panel'!E$168:E$173,'1.1 Control Panel'!C$168:C$173,$C206)*SUMIFS('1.1 Control Panel'!E$253:E$258,'1.1 Control Panel'!C$253:C$258,$C206),0)</f>
        <v>1042</v>
      </c>
      <c r="F206" s="28">
        <f>ROUNDUP('1.1 Control Panel'!F$59*SUMIFS('4.3 Global SME Data'!$C$13:$C$18,'4.3 Global SME Data'!$B$13:$B$18,$C206)*1000000*(1+'1.1 Control Panel'!E$55-'1.1 Control Panel'!E$56)*(1+'1.1 Control Panel'!F$55-'1.1 Control Panel'!F$56)*SUMIFS('4.3 Global SME Data'!$C$21:$C$41,'4.3 Global SME Data'!$E$21:$E$41,$C$204)*SUMIFS('1.1 Control Panel'!F$83:F$88,'1.1 Control Panel'!C$83:C$88,$C206)*SUMIFS('1.1 Control Panel'!F$168:F$173,'1.1 Control Panel'!C$168:C$173,$C206)*SUMIFS('1.1 Control Panel'!F$253:F$258,'1.1 Control Panel'!C$253:C$258,$C206),0)</f>
        <v>1072</v>
      </c>
      <c r="G206" s="28">
        <f>ROUNDUP('1.1 Control Panel'!G$59*SUMIFS('4.3 Global SME Data'!$C$13:$C$18,'4.3 Global SME Data'!$B$13:$B$18,$C206)*1000000*(1+'1.1 Control Panel'!E$55-'1.1 Control Panel'!E$56)*(1+'1.1 Control Panel'!F$55-'1.1 Control Panel'!F$56)*(1+'1.1 Control Panel'!G$55-'1.1 Control Panel'!G$56)*SUMIFS('4.3 Global SME Data'!$C$21:$C$41,'4.3 Global SME Data'!$E$21:$E$41,$C$204)*SUMIFS('1.1 Control Panel'!G$83:G$88,'1.1 Control Panel'!C$83:C$88,$C206)*SUMIFS('1.1 Control Panel'!G$168:G$173,'1.1 Control Panel'!C$168:C$173,$C206)*SUMIFS('1.1 Control Panel'!G$253:G$258,'1.1 Control Panel'!C$253:C$258,$C206),0)</f>
        <v>1123</v>
      </c>
      <c r="H206" s="28">
        <f>ROUNDUP('1.1 Control Panel'!H$59*SUMIFS('4.3 Global SME Data'!$C$13:$C$18,'4.3 Global SME Data'!$B$13:$B$18,$C206)*1000000*(1+'1.1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Data'!$E$21:$E$41,$C$204)*SUMIFS('1.1 Control Panel'!H$83:H$88,'1.1 Control Panel'!C$83:C$88,$C206)*SUMIFS('1.1 Control Panel'!H$168:H$173,'1.1 Control Panel'!C$168:C$173,$C206)*SUMIFS('1.1 Control Panel'!H$253:H$258,'1.1 Control Panel'!C$253:C$258,$C206),0)</f>
        <v>1174</v>
      </c>
      <c r="J206" s="20"/>
    </row>
    <row r="207" spans="2:10" ht="11.5" customHeight="1" x14ac:dyDescent="0.25">
      <c r="C207" s="20" t="s">
        <v>454</v>
      </c>
      <c r="D207" s="34" t="s">
        <v>162</v>
      </c>
      <c r="E207" s="28">
        <f>ROUNDUP('1.1 Control Panel'!E$59*SUMIFS('4.3 Global SME Data'!$C$13:$C$18,'4.3 Global SME Data'!$B$13:$B$18,$C207)*1000000*(1+'1.1 Control Panel'!E$55-'1.1 Control Panel'!E$56)*SUMIFS('4.3 Global SME Data'!$C$21:$C$41,'4.3 Global SME Data'!$E$21:$E$41,$C$204)*SUMIFS('1.1 Control Panel'!E$83:E$88,'1.1 Control Panel'!C$83:C$88,$C207)*SUMIFS('1.1 Control Panel'!E$168:E$173,'1.1 Control Panel'!C$168:C$173,$C207)*SUMIFS('1.1 Control Panel'!E$253:E$258,'1.1 Control Panel'!C$253:C$258,$C207),0)</f>
        <v>904</v>
      </c>
      <c r="F207" s="28">
        <f>ROUNDUP('1.1 Control Panel'!F$59*SUMIFS('4.3 Global SME Data'!$C$13:$C$18,'4.3 Global SME Data'!$B$13:$B$18,$C207)*1000000*(1+'1.1 Control Panel'!E$55-'1.1 Control Panel'!E$56)*(1+'1.1 Control Panel'!F$55-'1.1 Control Panel'!F$56)*SUMIFS('4.3 Global SME Data'!$C$21:$C$41,'4.3 Global SME Data'!$E$21:$E$41,$C$204)*SUMIFS('1.1 Control Panel'!F$83:F$88,'1.1 Control Panel'!C$83:C$88,$C207)*SUMIFS('1.1 Control Panel'!F$168:F$173,'1.1 Control Panel'!C$168:C$173,$C207)*SUMIFS('1.1 Control Panel'!F$253:F$258,'1.1 Control Panel'!C$253:C$258,$C207),0)</f>
        <v>923</v>
      </c>
      <c r="G207" s="28">
        <f>ROUNDUP('1.1 Control Panel'!G$59*SUMIFS('4.3 Global SME Data'!$C$13:$C$18,'4.3 Global SME Data'!$B$13:$B$18,$C207)*1000000*(1+'1.1 Control Panel'!E$55-'1.1 Control Panel'!E$56)*(1+'1.1 Control Panel'!F$55-'1.1 Control Panel'!F$56)*(1+'1.1 Control Panel'!G$55-'1.1 Control Panel'!G$56)*SUMIFS('4.3 Global SME Data'!$C$21:$C$41,'4.3 Global SME Data'!$E$21:$E$41,$C$204)*SUMIFS('1.1 Control Panel'!G$83:G$88,'1.1 Control Panel'!C$83:C$88,$C207)*SUMIFS('1.1 Control Panel'!G$168:G$173,'1.1 Control Panel'!C$168:C$173,$C207)*SUMIFS('1.1 Control Panel'!G$253:G$258,'1.1 Control Panel'!C$253:C$258,$C207),0)</f>
        <v>954</v>
      </c>
      <c r="H207" s="28">
        <f>ROUNDUP('1.1 Control Panel'!H$59*SUMIFS('4.3 Global SME Data'!$C$13:$C$18,'4.3 Global SME Data'!$B$13:$B$18,$C207)*1000000*(1+'1.1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Data'!$E$21:$E$41,$C$204)*SUMIFS('1.1 Control Panel'!H$83:H$88,'1.1 Control Panel'!C$83:C$88,$C207)*SUMIFS('1.1 Control Panel'!H$168:H$173,'1.1 Control Panel'!C$168:C$173,$C207)*SUMIFS('1.1 Control Panel'!H$253:H$258,'1.1 Control Panel'!C$253:C$258,$C207),0)</f>
        <v>984</v>
      </c>
      <c r="J207" s="20"/>
    </row>
    <row r="208" spans="2:10" ht="11.5" customHeight="1" x14ac:dyDescent="0.25">
      <c r="C208" s="21" t="s">
        <v>455</v>
      </c>
      <c r="D208" s="38" t="s">
        <v>162</v>
      </c>
      <c r="E208" s="376">
        <f>ROUNDUP('1.1 Control Panel'!E$59*SUMIFS('4.3 Global SME Data'!$C$13:$C$18,'4.3 Global SME Data'!$B$13:$B$18,$C208)*1000000*(1+'1.1 Control Panel'!E$55-'1.1 Control Panel'!E$56)*SUMIFS('4.3 Global SME Data'!$C$21:$C$41,'4.3 Global SME Data'!$E$21:$E$41,$C$204)*SUMIFS('1.1 Control Panel'!E$83:E$88,'1.1 Control Panel'!C$83:C$88,$C208)*SUMIFS('1.1 Control Panel'!E$168:E$173,'1.1 Control Panel'!C$168:C$173,$C208)*SUMIFS('1.1 Control Panel'!E$253:E$258,'1.1 Control Panel'!C$253:C$258,$C208),0)</f>
        <v>3803</v>
      </c>
      <c r="F208" s="376">
        <f>ROUNDUP('1.1 Control Panel'!F$59*SUMIFS('4.3 Global SME Data'!$C$13:$C$18,'4.3 Global SME Data'!$B$13:$B$18,$C208)*1000000*(1+'1.1 Control Panel'!E$55-'1.1 Control Panel'!E$56)*(1+'1.1 Control Panel'!F$55-'1.1 Control Panel'!F$56)*SUMIFS('4.3 Global SME Data'!$C$21:$C$41,'4.3 Global SME Data'!$E$21:$E$41,$C$204)*SUMIFS('1.1 Control Panel'!F$83:F$88,'1.1 Control Panel'!C$83:C$88,$C208)*SUMIFS('1.1 Control Panel'!F$168:F$173,'1.1 Control Panel'!C$168:C$173,$C208)*SUMIFS('1.1 Control Panel'!F$253:F$258,'1.1 Control Panel'!C$253:C$258,$C208),0)</f>
        <v>3964</v>
      </c>
      <c r="G208" s="376">
        <f>ROUNDUP('1.1 Control Panel'!G$59*SUMIFS('4.3 Global SME Data'!$C$13:$C$18,'4.3 Global SME Data'!$B$13:$B$18,$C208)*1000000*(1+'1.1 Control Panel'!E$55-'1.1 Control Panel'!E$56)*(1+'1.1 Control Panel'!F$55-'1.1 Control Panel'!F$56)*(1+'1.1 Control Panel'!G$55-'1.1 Control Panel'!G$56)*SUMIFS('4.3 Global SME Data'!$C$21:$C$41,'4.3 Global SME Data'!$E$21:$E$41,$C$204)*SUMIFS('1.1 Control Panel'!G$83:G$88,'1.1 Control Panel'!C$83:C$88,$C208)*SUMIFS('1.1 Control Panel'!G$168:G$173,'1.1 Control Panel'!C$168:C$173,$C208)*SUMIFS('1.1 Control Panel'!G$253:G$258,'1.1 Control Panel'!C$253:C$258,$C208),0)</f>
        <v>4239</v>
      </c>
      <c r="H208" s="376">
        <f>ROUNDUP('1.1 Control Panel'!H$59*SUMIFS('4.3 Global SME Data'!$C$13:$C$18,'4.3 Global SME Data'!$B$13:$B$18,$C208)*1000000*(1+'1.1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Data'!$E$21:$E$41,$C$204)*SUMIFS('1.1 Control Panel'!H$83:H$88,'1.1 Control Panel'!C$83:C$88,$C208)*SUMIFS('1.1 Control Panel'!H$168:H$173,'1.1 Control Panel'!C$168:C$173,$C208)*SUMIFS('1.1 Control Panel'!H$253:H$258,'1.1 Control Panel'!C$253:C$258,$C208),0)</f>
        <v>4518</v>
      </c>
      <c r="J208" s="21"/>
    </row>
    <row r="209" spans="2:10" ht="11.5" customHeight="1" x14ac:dyDescent="0.25">
      <c r="C209" s="21" t="s">
        <v>393</v>
      </c>
      <c r="D209" s="38" t="s">
        <v>162</v>
      </c>
      <c r="E209" s="376">
        <f>ROUNDUP('1.1 Control Panel'!E$59*SUMIFS('4.3 Global SME Data'!$C$13:$C$18,'4.3 Global SME Data'!$B$13:$B$18,$C209)*1000000*(1+'1.1 Control Panel'!E$55-'1.1 Control Panel'!E$56)*SUMIFS('4.3 Global SME Data'!$C$21:$C$41,'4.3 Global SME Data'!$E$21:$E$41,$C$204)*SUMIFS('1.1 Control Panel'!E$83:E$88,'1.1 Control Panel'!C$83:C$88,$C209)*SUMIFS('1.1 Control Panel'!E$168:E$173,'1.1 Control Panel'!C$168:C$173,$C209)*SUMIFS('1.1 Control Panel'!E$253:E$258,'1.1 Control Panel'!C$253:C$258,$C209),0)</f>
        <v>5287</v>
      </c>
      <c r="F209" s="376">
        <f>ROUNDUP('1.1 Control Panel'!F$59*SUMIFS('4.3 Global SME Data'!$C$13:$C$18,'4.3 Global SME Data'!$B$13:$B$18,$C209)*1000000*(1+'1.1 Control Panel'!E$55-'1.1 Control Panel'!E$56)*(1+'1.1 Control Panel'!F$55-'1.1 Control Panel'!F$56)*SUMIFS('4.3 Global SME Data'!$C$21:$C$41,'4.3 Global SME Data'!$E$21:$E$41,$C$204)*SUMIFS('1.1 Control Panel'!F$83:F$88,'1.1 Control Panel'!C$83:C$88,$C209)*SUMIFS('1.1 Control Panel'!F$168:F$173,'1.1 Control Panel'!C$168:C$173,$C209)*SUMIFS('1.1 Control Panel'!F$253:F$258,'1.1 Control Panel'!C$253:C$258,$C209),0)</f>
        <v>5519</v>
      </c>
      <c r="G209" s="376">
        <f>ROUNDUP('1.1 Control Panel'!G$59*SUMIFS('4.3 Global SME Data'!$C$13:$C$18,'4.3 Global SME Data'!$B$13:$B$18,$C209)*1000000*(1+'1.1 Control Panel'!E$55-'1.1 Control Panel'!E$56)*(1+'1.1 Control Panel'!F$55-'1.1 Control Panel'!F$56)*(1+'1.1 Control Panel'!G$55-'1.1 Control Panel'!G$56)*SUMIFS('4.3 Global SME Data'!$C$21:$C$41,'4.3 Global SME Data'!$E$21:$E$41,$C$204)*SUMIFS('1.1 Control Panel'!G$83:G$88,'1.1 Control Panel'!C$83:C$88,$C209)*SUMIFS('1.1 Control Panel'!G$168:G$173,'1.1 Control Panel'!C$168:C$173,$C209)*SUMIFS('1.1 Control Panel'!G$253:G$258,'1.1 Control Panel'!C$253:C$258,$C209),0)</f>
        <v>5916</v>
      </c>
      <c r="H209" s="376">
        <f>ROUNDUP('1.1 Control Panel'!H$59*SUMIFS('4.3 Global SME Data'!$C$13:$C$18,'4.3 Global SME Data'!$B$13:$B$18,$C209)*1000000*(1+'1.1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Data'!$E$21:$E$41,$C$204)*SUMIFS('1.1 Control Panel'!H$83:H$88,'1.1 Control Panel'!C$83:C$88,$C209)*SUMIFS('1.1 Control Panel'!H$168:H$173,'1.1 Control Panel'!C$168:C$173,$C209)*SUMIFS('1.1 Control Panel'!H$253:H$258,'1.1 Control Panel'!C$253:C$258,$C209),0)</f>
        <v>6321</v>
      </c>
      <c r="J209" s="21"/>
    </row>
    <row r="210" spans="2:10" ht="11.5" customHeight="1" x14ac:dyDescent="0.25">
      <c r="C210" s="21" t="s">
        <v>456</v>
      </c>
      <c r="D210" s="38" t="s">
        <v>162</v>
      </c>
      <c r="E210" s="376">
        <f>ROUNDUP('1.1 Control Panel'!E$59*SUMIFS('4.3 Global SME Data'!$C$13:$C$18,'4.3 Global SME Data'!$B$13:$B$18,$C210)*1000000*(1+'1.1 Control Panel'!E$55-'1.1 Control Panel'!E$56)*SUMIFS('4.3 Global SME Data'!$C$21:$C$41,'4.3 Global SME Data'!$E$21:$E$41,$C$204)*SUMIFS('1.1 Control Panel'!E$83:E$88,'1.1 Control Panel'!C$83:C$88,$C210)*SUMIFS('1.1 Control Panel'!E$168:E$173,'1.1 Control Panel'!C$168:C$173,$C210)*SUMIFS('1.1 Control Panel'!E$253:E$258,'1.1 Control Panel'!C$253:C$258,$C210),0)</f>
        <v>677</v>
      </c>
      <c r="F210" s="376">
        <f>ROUNDUP('1.1 Control Panel'!F$59*SUMIFS('4.3 Global SME Data'!$C$13:$C$18,'4.3 Global SME Data'!$B$13:$B$18,$C210)*1000000*(1+'1.1 Control Panel'!E$55-'1.1 Control Panel'!E$56)*(1+'1.1 Control Panel'!F$55-'1.1 Control Panel'!F$56)*SUMIFS('4.3 Global SME Data'!$C$21:$C$41,'4.3 Global SME Data'!$E$21:$E$41,$C$204)*SUMIFS('1.1 Control Panel'!F$83:F$88,'1.1 Control Panel'!C$83:C$88,$C210)*SUMIFS('1.1 Control Panel'!F$168:F$173,'1.1 Control Panel'!C$168:C$173,$C210)*SUMIFS('1.1 Control Panel'!F$253:F$258,'1.1 Control Panel'!C$253:C$258,$C210),0)</f>
        <v>698</v>
      </c>
      <c r="G210" s="376">
        <f>ROUNDUP('1.1 Control Panel'!G$59*SUMIFS('4.3 Global SME Data'!$C$13:$C$18,'4.3 Global SME Data'!$B$13:$B$18,$C210)*1000000*(1+'1.1 Control Panel'!E$55-'1.1 Control Panel'!E$56)*(1+'1.1 Control Panel'!F$55-'1.1 Control Panel'!F$56)*(1+'1.1 Control Panel'!G$55-'1.1 Control Panel'!G$56)*SUMIFS('4.3 Global SME Data'!$C$21:$C$41,'4.3 Global SME Data'!$E$21:$E$41,$C$204)*SUMIFS('1.1 Control Panel'!G$83:G$88,'1.1 Control Panel'!C$83:C$88,$C210)*SUMIFS('1.1 Control Panel'!G$168:G$173,'1.1 Control Panel'!C$168:C$173,$C210)*SUMIFS('1.1 Control Panel'!G$253:G$258,'1.1 Control Panel'!C$253:C$258,$C210),0)</f>
        <v>732</v>
      </c>
      <c r="H210" s="376">
        <f>ROUNDUP('1.1 Control Panel'!H$59*SUMIFS('4.3 Global SME Data'!$C$13:$C$18,'4.3 Global SME Data'!$B$13:$B$18,$C210)*1000000*(1+'1.1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Data'!$E$21:$E$41,$C$204)*SUMIFS('1.1 Control Panel'!H$83:H$88,'1.1 Control Panel'!C$83:C$88,$C210)*SUMIFS('1.1 Control Panel'!H$168:H$173,'1.1 Control Panel'!C$168:C$173,$C210)*SUMIFS('1.1 Control Panel'!H$253:H$258,'1.1 Control Panel'!C$253:C$258,$C210),0)</f>
        <v>767</v>
      </c>
      <c r="J210" s="21"/>
    </row>
    <row r="211" spans="2:10" s="74" customFormat="1" ht="11.5" customHeight="1" x14ac:dyDescent="0.25">
      <c r="B211" s="99" t="s">
        <v>9</v>
      </c>
      <c r="C211" s="105" t="str">
        <f>'4.2 Sector Mapping'!$B$9</f>
        <v>Healthcare</v>
      </c>
      <c r="D211" s="106" t="s">
        <v>162</v>
      </c>
      <c r="E211" s="380">
        <f>SUM(E212:E217)</f>
        <v>7890</v>
      </c>
      <c r="F211" s="380">
        <f t="shared" ref="F211:H211" si="65">SUM(F212:F217)</f>
        <v>8352</v>
      </c>
      <c r="G211" s="380">
        <f t="shared" si="65"/>
        <v>9151</v>
      </c>
      <c r="H211" s="380">
        <f t="shared" si="65"/>
        <v>9980</v>
      </c>
      <c r="J211" s="105"/>
    </row>
    <row r="212" spans="2:10" ht="11.5" customHeight="1" x14ac:dyDescent="0.25">
      <c r="C212" s="20" t="s">
        <v>600</v>
      </c>
      <c r="D212" s="34" t="s">
        <v>162</v>
      </c>
      <c r="E212" s="28">
        <f>ROUNDUP('1.1 Control Panel'!E$59*SUMIFS('4.3 Global SME Data'!$C$13:$C$18,'4.3 Global SME Data'!$B$13:$B$18,$C212)*1000000*(1+'1.1 Control Panel'!E$55-'1.1 Control Panel'!E$56)*SUMIFS('4.3 Global SME Data'!$C$21:$C$41,'4.3 Global SME Data'!$E$21:$E$41,$C$211)*SUMIFS('1.1 Control Panel'!E$90:E$95,'1.1 Control Panel'!C$90:C$95,$C212)*SUMIFS('1.1 Control Panel'!E$175:E$180,'1.1 Control Panel'!C$175:C$180,$C212)*SUMIFS('1.1 Control Panel'!E$260:E$265,'1.1 Control Panel'!C$260:C$265,$C212),0)</f>
        <v>4081</v>
      </c>
      <c r="F212" s="28">
        <f>ROUNDUP('1.1 Control Panel'!F$59*SUMIFS('4.3 Global SME Data'!$C$13:$C$18,'4.3 Global SME Data'!$B$13:$B$18,$C212)*1000000*(1+'1.1 Control Panel'!E$55-'1.1 Control Panel'!E$56)*(1+'1.1 Control Panel'!F$55-'1.1 Control Panel'!F$56)*SUMIFS('4.3 Global SME Data'!$C$21:$C$41,'4.3 Global SME Data'!$E$21:$E$41,$C$211)*SUMIFS('1.1 Control Panel'!F$90:F$95,'1.1 Control Panel'!C$90:C$95,$C212)*SUMIFS('1.1 Control Panel'!F$175:F$180,'1.1 Control Panel'!C$175:C$180,$C212)*SUMIFS('1.1 Control Panel'!F$260:F$265,'1.1 Control Panel'!C$260:C$265,$C212),0)</f>
        <v>4358</v>
      </c>
      <c r="G212" s="28">
        <f>ROUNDUP('1.1 Control Panel'!G$59*SUMIFS('4.3 Global SME Data'!$C$13:$C$18,'4.3 Global SME Data'!$B$13:$B$18,$C212)*1000000*(1+'1.1 Control Panel'!E$55-'1.1 Control Panel'!E$56)*(1+'1.1 Control Panel'!F$55-'1.1 Control Panel'!F$56)*(1+'1.1 Control Panel'!G$55-'1.1 Control Panel'!G$56)*SUMIFS('4.3 Global SME Data'!$C$21:$C$41,'4.3 Global SME Data'!$E$21:$E$41,$C$211)*SUMIFS('1.1 Control Panel'!G$90:G$95,'1.1 Control Panel'!C$90:C$95,$C212)*SUMIFS('1.1 Control Panel'!G$175:G$180,'1.1 Control Panel'!C$175:C$180,$C212)*SUMIFS('1.1 Control Panel'!G$260:G$265,'1.1 Control Panel'!C$260:C$265,$C212),0)</f>
        <v>4839</v>
      </c>
      <c r="H212" s="28">
        <f>ROUNDUP('1.1 Control Panel'!H$59*SUMIFS('4.3 Global SME Data'!$C$13:$C$18,'4.3 Global SME Data'!$B$13:$B$18,$C212)*1000000*(1+'1.1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Data'!$E$21:$E$41,$C$211)*SUMIFS('1.1 Control Panel'!H$90:H$95,'1.1 Control Panel'!C$90:C$95,$C212)*SUMIFS('1.1 Control Panel'!H$175:H$180,'1.1 Control Panel'!C$175:C$180,$C212)*SUMIFS('1.1 Control Panel'!H$260:H$265,'1.1 Control Panel'!C$260:C$265,$C212),0)</f>
        <v>5340</v>
      </c>
      <c r="J212" s="20"/>
    </row>
    <row r="213" spans="2:10" ht="11.5" customHeight="1" x14ac:dyDescent="0.25">
      <c r="C213" s="20" t="s">
        <v>392</v>
      </c>
      <c r="D213" s="34" t="s">
        <v>162</v>
      </c>
      <c r="E213" s="28">
        <f>ROUNDUP('1.1 Control Panel'!E$59*SUMIFS('4.3 Global SME Data'!$C$13:$C$18,'4.3 Global SME Data'!$B$13:$B$18,$C213)*1000000*(1+'1.1 Control Panel'!E$55-'1.1 Control Panel'!E$56)*SUMIFS('4.3 Global SME Data'!$C$21:$C$41,'4.3 Global SME Data'!$E$21:$E$41,$C$211)*SUMIFS('1.1 Control Panel'!E$90:E$95,'1.1 Control Panel'!C$90:C$95,$C213)*SUMIFS('1.1 Control Panel'!E$175:E$180,'1.1 Control Panel'!C$175:C$180,$C213)*SUMIFS('1.1 Control Panel'!E$260:E$265,'1.1 Control Panel'!C$260:C$265,$C213),0)</f>
        <v>269</v>
      </c>
      <c r="F213" s="28">
        <f>ROUNDUP('1.1 Control Panel'!F$59*SUMIFS('4.3 Global SME Data'!$C$13:$C$18,'4.3 Global SME Data'!$B$13:$B$18,$C213)*1000000*(1+'1.1 Control Panel'!E$55-'1.1 Control Panel'!E$56)*(1+'1.1 Control Panel'!F$55-'1.1 Control Panel'!F$56)*SUMIFS('4.3 Global SME Data'!$C$21:$C$41,'4.3 Global SME Data'!$E$21:$E$41,$C$211)*SUMIFS('1.1 Control Panel'!F$90:F$95,'1.1 Control Panel'!C$90:C$95,$C213)*SUMIFS('1.1 Control Panel'!F$175:F$180,'1.1 Control Panel'!C$175:C$180,$C213)*SUMIFS('1.1 Control Panel'!F$260:F$265,'1.1 Control Panel'!C$260:C$265,$C213),0)</f>
        <v>280</v>
      </c>
      <c r="G213" s="28">
        <f>ROUNDUP('1.1 Control Panel'!G$59*SUMIFS('4.3 Global SME Data'!$C$13:$C$18,'4.3 Global SME Data'!$B$13:$B$18,$C213)*1000000*(1+'1.1 Control Panel'!E$55-'1.1 Control Panel'!E$56)*(1+'1.1 Control Panel'!F$55-'1.1 Control Panel'!F$56)*(1+'1.1 Control Panel'!G$55-'1.1 Control Panel'!G$56)*SUMIFS('4.3 Global SME Data'!$C$21:$C$41,'4.3 Global SME Data'!$E$21:$E$41,$C$211)*SUMIFS('1.1 Control Panel'!G$90:G$95,'1.1 Control Panel'!C$90:C$95,$C213)*SUMIFS('1.1 Control Panel'!G$175:G$180,'1.1 Control Panel'!C$175:C$180,$C213)*SUMIFS('1.1 Control Panel'!G$260:G$265,'1.1 Control Panel'!C$260:C$265,$C213),0)</f>
        <v>298</v>
      </c>
      <c r="H213" s="28">
        <f>ROUNDUP('1.1 Control Panel'!H$59*SUMIFS('4.3 Global SME Data'!$C$13:$C$18,'4.3 Global SME Data'!$B$13:$B$18,$C213)*1000000*(1+'1.1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Data'!$E$21:$E$41,$C$211)*SUMIFS('1.1 Control Panel'!H$90:H$95,'1.1 Control Panel'!C$90:C$95,$C213)*SUMIFS('1.1 Control Panel'!H$175:H$180,'1.1 Control Panel'!C$175:C$180,$C213)*SUMIFS('1.1 Control Panel'!H$260:H$265,'1.1 Control Panel'!C$260:C$265,$C213),0)</f>
        <v>317</v>
      </c>
      <c r="J213" s="20"/>
    </row>
    <row r="214" spans="2:10" ht="11.5" customHeight="1" x14ac:dyDescent="0.25">
      <c r="C214" s="20" t="s">
        <v>454</v>
      </c>
      <c r="D214" s="34" t="s">
        <v>162</v>
      </c>
      <c r="E214" s="28">
        <f>ROUNDUP('1.1 Control Panel'!E$59*SUMIFS('4.3 Global SME Data'!$C$13:$C$18,'4.3 Global SME Data'!$B$13:$B$18,$C214)*1000000*(1+'1.1 Control Panel'!E$55-'1.1 Control Panel'!E$56)*SUMIFS('4.3 Global SME Data'!$C$21:$C$41,'4.3 Global SME Data'!$E$21:$E$41,$C$211)*SUMIFS('1.1 Control Panel'!E$90:E$95,'1.1 Control Panel'!C$90:C$95,$C214)*SUMIFS('1.1 Control Panel'!E$175:E$180,'1.1 Control Panel'!C$175:C$180,$C214)*SUMIFS('1.1 Control Panel'!E$260:E$265,'1.1 Control Panel'!C$260:C$265,$C214),0)</f>
        <v>183</v>
      </c>
      <c r="F214" s="28">
        <f>ROUNDUP('1.1 Control Panel'!F$59*SUMIFS('4.3 Global SME Data'!$C$13:$C$18,'4.3 Global SME Data'!$B$13:$B$18,$C214)*1000000*(1+'1.1 Control Panel'!E$55-'1.1 Control Panel'!E$56)*(1+'1.1 Control Panel'!F$55-'1.1 Control Panel'!F$56)*SUMIFS('4.3 Global SME Data'!$C$21:$C$41,'4.3 Global SME Data'!$E$21:$E$41,$C$211)*SUMIFS('1.1 Control Panel'!F$90:F$95,'1.1 Control Panel'!C$90:C$95,$C214)*SUMIFS('1.1 Control Panel'!F$175:F$180,'1.1 Control Panel'!C$175:C$180,$C214)*SUMIFS('1.1 Control Panel'!F$260:F$265,'1.1 Control Panel'!C$260:C$265,$C214),0)</f>
        <v>189</v>
      </c>
      <c r="G214" s="28">
        <f>ROUNDUP('1.1 Control Panel'!G$59*SUMIFS('4.3 Global SME Data'!$C$13:$C$18,'4.3 Global SME Data'!$B$13:$B$18,$C214)*1000000*(1+'1.1 Control Panel'!E$55-'1.1 Control Panel'!E$56)*(1+'1.1 Control Panel'!F$55-'1.1 Control Panel'!F$56)*(1+'1.1 Control Panel'!G$55-'1.1 Control Panel'!G$56)*SUMIFS('4.3 Global SME Data'!$C$21:$C$41,'4.3 Global SME Data'!$E$21:$E$41,$C$211)*SUMIFS('1.1 Control Panel'!G$90:G$95,'1.1 Control Panel'!C$90:C$95,$C214)*SUMIFS('1.1 Control Panel'!G$175:G$180,'1.1 Control Panel'!C$175:C$180,$C214)*SUMIFS('1.1 Control Panel'!G$260:G$265,'1.1 Control Panel'!C$260:C$265,$C214),0)</f>
        <v>199</v>
      </c>
      <c r="H214" s="28">
        <f>ROUNDUP('1.1 Control Panel'!H$59*SUMIFS('4.3 Global SME Data'!$C$13:$C$18,'4.3 Global SME Data'!$B$13:$B$18,$C214)*1000000*(1+'1.1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Data'!$E$21:$E$41,$C$211)*SUMIFS('1.1 Control Panel'!H$90:H$95,'1.1 Control Panel'!C$90:C$95,$C214)*SUMIFS('1.1 Control Panel'!H$175:H$180,'1.1 Control Panel'!C$175:C$180,$C214)*SUMIFS('1.1 Control Panel'!H$260:H$265,'1.1 Control Panel'!C$260:C$265,$C214),0)</f>
        <v>209</v>
      </c>
      <c r="J214" s="20"/>
    </row>
    <row r="215" spans="2:10" ht="11.5" customHeight="1" x14ac:dyDescent="0.25">
      <c r="C215" s="21" t="s">
        <v>455</v>
      </c>
      <c r="D215" s="38" t="s">
        <v>162</v>
      </c>
      <c r="E215" s="376">
        <f>ROUNDUP('1.1 Control Panel'!E$59*SUMIFS('4.3 Global SME Data'!$C$13:$C$18,'4.3 Global SME Data'!$B$13:$B$18,$C215)*1000000*(1+'1.1 Control Panel'!E$55-'1.1 Control Panel'!E$56)*SUMIFS('4.3 Global SME Data'!$C$21:$C$41,'4.3 Global SME Data'!$E$21:$E$41,$C$211)*SUMIFS('1.1 Control Panel'!E$90:E$95,'1.1 Control Panel'!C$90:C$95,$C215)*SUMIFS('1.1 Control Panel'!E$175:E$180,'1.1 Control Panel'!C$175:C$180,$C215)*SUMIFS('1.1 Control Panel'!E$260:E$265,'1.1 Control Panel'!C$260:C$265,$C215),0)</f>
        <v>1101</v>
      </c>
      <c r="F215" s="376">
        <f>ROUNDUP('1.1 Control Panel'!F$59*SUMIFS('4.3 Global SME Data'!$C$13:$C$18,'4.3 Global SME Data'!$B$13:$B$18,$C215)*1000000*(1+'1.1 Control Panel'!E$55-'1.1 Control Panel'!E$56)*(1+'1.1 Control Panel'!F$55-'1.1 Control Panel'!F$56)*SUMIFS('4.3 Global SME Data'!$C$21:$C$41,'4.3 Global SME Data'!$E$21:$E$41,$C$211)*SUMIFS('1.1 Control Panel'!F$90:F$95,'1.1 Control Panel'!C$90:C$95,$C215)*SUMIFS('1.1 Control Panel'!F$175:F$180,'1.1 Control Panel'!C$175:C$180,$C215)*SUMIFS('1.1 Control Panel'!F$260:F$265,'1.1 Control Panel'!C$260:C$265,$C215),0)</f>
        <v>1161</v>
      </c>
      <c r="G215" s="28">
        <f>ROUNDUP('1.1 Control Panel'!G$59*SUMIFS('4.3 Global SME Data'!$C$13:$C$18,'4.3 Global SME Data'!$B$13:$B$18,$C215)*1000000*(1+'1.1 Control Panel'!E$55-'1.1 Control Panel'!E$56)*(1+'1.1 Control Panel'!F$55-'1.1 Control Panel'!F$56)*(1+'1.1 Control Panel'!G$55-'1.1 Control Panel'!G$56)*SUMIFS('4.3 Global SME Data'!$C$21:$C$41,'4.3 Global SME Data'!$E$21:$E$41,$C$211)*SUMIFS('1.1 Control Panel'!G$90:G$95,'1.1 Control Panel'!C$90:C$95,$C215)*SUMIFS('1.1 Control Panel'!G$175:G$180,'1.1 Control Panel'!C$175:C$180,$C215)*SUMIFS('1.1 Control Panel'!G$260:G$265,'1.1 Control Panel'!C$260:C$265,$C215),0)</f>
        <v>1265</v>
      </c>
      <c r="H215" s="28">
        <f>ROUNDUP('1.1 Control Panel'!H$59*SUMIFS('4.3 Global SME Data'!$C$13:$C$18,'4.3 Global SME Data'!$B$13:$B$18,$C215)*1000000*(1+'1.1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Data'!$E$21:$E$41,$C$211)*SUMIFS('1.1 Control Panel'!H$90:H$95,'1.1 Control Panel'!C$90:C$95,$C215)*SUMIFS('1.1 Control Panel'!H$175:H$180,'1.1 Control Panel'!C$175:C$180,$C215)*SUMIFS('1.1 Control Panel'!H$260:H$265,'1.1 Control Panel'!C$260:C$265,$C215),0)</f>
        <v>1373</v>
      </c>
      <c r="J215" s="21"/>
    </row>
    <row r="216" spans="2:10" ht="11.5" customHeight="1" x14ac:dyDescent="0.25">
      <c r="C216" s="21" t="s">
        <v>393</v>
      </c>
      <c r="D216" s="38" t="s">
        <v>162</v>
      </c>
      <c r="E216" s="376">
        <f>ROUNDUP('1.1 Control Panel'!E$59*SUMIFS('4.3 Global SME Data'!$C$13:$C$18,'4.3 Global SME Data'!$B$13:$B$18,$C216)*1000000*(1+'1.1 Control Panel'!E$55-'1.1 Control Panel'!E$56)*SUMIFS('4.3 Global SME Data'!$C$21:$C$41,'4.3 Global SME Data'!$E$21:$E$41,$C$211)*SUMIFS('1.1 Control Panel'!E$90:E$95,'1.1 Control Panel'!C$90:C$95,$C216)*SUMIFS('1.1 Control Panel'!E$175:E$180,'1.1 Control Panel'!C$175:C$180,$C216)*SUMIFS('1.1 Control Panel'!E$260:E$265,'1.1 Control Panel'!C$260:C$265,$C216),0)</f>
        <v>1976</v>
      </c>
      <c r="F216" s="376">
        <f>ROUNDUP('1.1 Control Panel'!F$59*SUMIFS('4.3 Global SME Data'!$C$13:$C$18,'4.3 Global SME Data'!$B$13:$B$18,$C216)*1000000*(1+'1.1 Control Panel'!E$55-'1.1 Control Panel'!E$56)*(1+'1.1 Control Panel'!F$55-'1.1 Control Panel'!F$56)*SUMIFS('4.3 Global SME Data'!$C$21:$C$41,'4.3 Global SME Data'!$E$21:$E$41,$C$211)*SUMIFS('1.1 Control Panel'!F$90:F$95,'1.1 Control Panel'!C$90:C$95,$C216)*SUMIFS('1.1 Control Panel'!F$175:F$180,'1.1 Control Panel'!C$175:C$180,$C216)*SUMIFS('1.1 Control Panel'!F$260:F$265,'1.1 Control Panel'!C$260:C$265,$C216),0)</f>
        <v>2075</v>
      </c>
      <c r="G216" s="28">
        <f>ROUNDUP('1.1 Control Panel'!G$59*SUMIFS('4.3 Global SME Data'!$C$13:$C$18,'4.3 Global SME Data'!$B$13:$B$18,$C216)*1000000*(1+'1.1 Control Panel'!E$55-'1.1 Control Panel'!E$56)*(1+'1.1 Control Panel'!F$55-'1.1 Control Panel'!F$56)*(1+'1.1 Control Panel'!G$55-'1.1 Control Panel'!G$56)*SUMIFS('4.3 Global SME Data'!$C$21:$C$41,'4.3 Global SME Data'!$E$21:$E$41,$C$211)*SUMIFS('1.1 Control Panel'!G$90:G$95,'1.1 Control Panel'!C$90:C$95,$C216)*SUMIFS('1.1 Control Panel'!G$175:G$180,'1.1 Control Panel'!C$175:C$180,$C216)*SUMIFS('1.1 Control Panel'!G$260:G$265,'1.1 Control Panel'!C$260:C$265,$C216),0)</f>
        <v>2245</v>
      </c>
      <c r="H216" s="28">
        <f>ROUNDUP('1.1 Control Panel'!H$59*SUMIFS('4.3 Global SME Data'!$C$13:$C$18,'4.3 Global SME Data'!$B$13:$B$18,$C216)*1000000*(1+'1.1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Data'!$E$21:$E$41,$C$211)*SUMIFS('1.1 Control Panel'!H$90:H$95,'1.1 Control Panel'!C$90:C$95,$C216)*SUMIFS('1.1 Control Panel'!H$175:H$180,'1.1 Control Panel'!C$175:C$180,$C216)*SUMIFS('1.1 Control Panel'!H$260:H$265,'1.1 Control Panel'!C$260:C$265,$C216),0)</f>
        <v>2420</v>
      </c>
      <c r="J216" s="21"/>
    </row>
    <row r="217" spans="2:10" ht="11.5" customHeight="1" x14ac:dyDescent="0.25">
      <c r="C217" s="21" t="s">
        <v>456</v>
      </c>
      <c r="D217" s="38" t="s">
        <v>162</v>
      </c>
      <c r="E217" s="376">
        <f>ROUNDUP('1.1 Control Panel'!E$59*SUMIFS('4.3 Global SME Data'!$C$13:$C$18,'4.3 Global SME Data'!$B$13:$B$18,$C217)*1000000*(1+'1.1 Control Panel'!E$55-'1.1 Control Panel'!E$56)*SUMIFS('4.3 Global SME Data'!$C$21:$C$41,'4.3 Global SME Data'!$E$21:$E$41,$C$211)*SUMIFS('1.1 Control Panel'!E$90:E$95,'1.1 Control Panel'!C$90:C$95,$C217)*SUMIFS('1.1 Control Panel'!E$175:E$180,'1.1 Control Panel'!C$175:C$180,$C217)*SUMIFS('1.1 Control Panel'!E$260:E$265,'1.1 Control Panel'!C$260:C$265,$C217),0)</f>
        <v>280</v>
      </c>
      <c r="F217" s="376">
        <f>ROUNDUP('1.1 Control Panel'!F$59*SUMIFS('4.3 Global SME Data'!$C$13:$C$18,'4.3 Global SME Data'!$B$13:$B$18,$C217)*1000000*(1+'1.1 Control Panel'!E$55-'1.1 Control Panel'!E$56)*(1+'1.1 Control Panel'!F$55-'1.1 Control Panel'!F$56)*SUMIFS('4.3 Global SME Data'!$C$21:$C$41,'4.3 Global SME Data'!$E$21:$E$41,$C$211)*SUMIFS('1.1 Control Panel'!F$90:F$95,'1.1 Control Panel'!C$90:C$95,$C217)*SUMIFS('1.1 Control Panel'!F$175:F$180,'1.1 Control Panel'!C$175:C$180,$C217)*SUMIFS('1.1 Control Panel'!F$260:F$265,'1.1 Control Panel'!C$260:C$265,$C217),0)</f>
        <v>289</v>
      </c>
      <c r="G217" s="28">
        <f>ROUNDUP('1.1 Control Panel'!G$59*SUMIFS('4.3 Global SME Data'!$C$13:$C$18,'4.3 Global SME Data'!$B$13:$B$18,$C217)*1000000*(1+'1.1 Control Panel'!E$55-'1.1 Control Panel'!E$56)*(1+'1.1 Control Panel'!F$55-'1.1 Control Panel'!F$56)*(1+'1.1 Control Panel'!G$55-'1.1 Control Panel'!G$56)*SUMIFS('4.3 Global SME Data'!$C$21:$C$41,'4.3 Global SME Data'!$E$21:$E$41,$C$211)*SUMIFS('1.1 Control Panel'!G$90:G$95,'1.1 Control Panel'!C$90:C$95,$C217)*SUMIFS('1.1 Control Panel'!G$175:G$180,'1.1 Control Panel'!C$175:C$180,$C217)*SUMIFS('1.1 Control Panel'!G$260:G$265,'1.1 Control Panel'!C$260:C$265,$C217),0)</f>
        <v>305</v>
      </c>
      <c r="H217" s="28">
        <f>ROUNDUP('1.1 Control Panel'!H$59*SUMIFS('4.3 Global SME Data'!$C$13:$C$18,'4.3 Global SME Data'!$B$13:$B$18,$C217)*1000000*(1+'1.1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Data'!$E$21:$E$41,$C$211)*SUMIFS('1.1 Control Panel'!H$90:H$95,'1.1 Control Panel'!C$90:C$95,$C217)*SUMIFS('1.1 Control Panel'!H$175:H$180,'1.1 Control Panel'!C$175:C$180,$C217)*SUMIFS('1.1 Control Panel'!H$260:H$265,'1.1 Control Panel'!C$260:C$265,$C217),0)</f>
        <v>321</v>
      </c>
      <c r="J217" s="21"/>
    </row>
    <row r="218" spans="2:10" s="74" customFormat="1" ht="11.5" customHeight="1" x14ac:dyDescent="0.25">
      <c r="B218" s="99" t="s">
        <v>9</v>
      </c>
      <c r="C218" s="105" t="str">
        <f>'4.2 Sector Mapping'!$B$10</f>
        <v>Industrials and Services</v>
      </c>
      <c r="D218" s="106" t="s">
        <v>162</v>
      </c>
      <c r="E218" s="380">
        <f>SUM(E219:E224)</f>
        <v>27062</v>
      </c>
      <c r="F218" s="380">
        <f t="shared" ref="F218:H218" si="66">SUM(F219:F224)</f>
        <v>28389</v>
      </c>
      <c r="G218" s="380">
        <f t="shared" si="66"/>
        <v>30659</v>
      </c>
      <c r="H218" s="380">
        <f t="shared" si="66"/>
        <v>32991</v>
      </c>
      <c r="J218" s="105"/>
    </row>
    <row r="219" spans="2:10" ht="11.5" customHeight="1" x14ac:dyDescent="0.25">
      <c r="C219" s="20" t="s">
        <v>600</v>
      </c>
      <c r="D219" s="34" t="s">
        <v>162</v>
      </c>
      <c r="E219" s="28">
        <f>ROUNDUP('1.1 Control Panel'!E$59*SUMIFS('4.3 Global SME Data'!$C$13:$C$18,'4.3 Global SME Data'!$B$13:$B$18,$C219)*1000000*(1+'1.1 Control Panel'!E$55-'1.1 Control Panel'!E$56)*SUMIFS('4.3 Global SME Data'!$C$21:$C$41,'4.3 Global SME Data'!$E$21:$E$41,$C$218)*SUMIFS('1.1 Control Panel'!E$97:E$102,'1.1 Control Panel'!C$97:C$102,$C219)*SUMIFS('1.1 Control Panel'!E$182:E$187,'1.1 Control Panel'!C$182:C$187,$C219)*SUMIFS('1.1 Control Panel'!E$267:E$272,'1.1 Control Panel'!C$267:C$272,$C219),0)</f>
        <v>15987</v>
      </c>
      <c r="F219" s="28">
        <f>ROUNDUP('1.1 Control Panel'!F$59*SUMIFS('4.3 Global SME Data'!$C$13:$C$18,'4.3 Global SME Data'!$B$13:$B$18,$C219)*1000000*(1+'1.1 Control Panel'!E$55-'1.1 Control Panel'!E$56)*(1+'1.1 Control Panel'!F$55-'1.1 Control Panel'!F$56)*SUMIFS('4.3 Global SME Data'!$C$21:$C$41,'4.3 Global SME Data'!$E$21:$E$41,$C$218)*SUMIFS('1.1 Control Panel'!F$97:F$102,'1.1 Control Panel'!C$97:C$102,$C219)*SUMIFS('1.1 Control Panel'!F$182:F$187,'1.1 Control Panel'!C$182:C$187,$C219)*SUMIFS('1.1 Control Panel'!F$267:F$272,'1.1 Control Panel'!C$267:C$272,$C219),0)</f>
        <v>16827</v>
      </c>
      <c r="G219" s="28">
        <f>ROUNDUP('1.1 Control Panel'!G$59*SUMIFS('4.3 Global SME Data'!$C$13:$C$18,'4.3 Global SME Data'!$B$13:$B$18,$C219)*1000000*(1+'1.1 Control Panel'!E$55-'1.1 Control Panel'!E$56)*(1+'1.1 Control Panel'!F$55-'1.1 Control Panel'!F$56)*(1+'1.1 Control Panel'!G$55-'1.1 Control Panel'!G$56)*SUMIFS('4.3 Global SME Data'!$C$21:$C$41,'4.3 Global SME Data'!$E$21:$E$41,$C$218)*SUMIFS('1.1 Control Panel'!G$97:G$102,'1.1 Control Panel'!C$97:C$102,$C219)*SUMIFS('1.1 Control Panel'!G$182:G$187,'1.1 Control Panel'!C$182:C$187,$C219)*SUMIFS('1.1 Control Panel'!G$267:G$272,'1.1 Control Panel'!C$267:C$272,$C219),0)</f>
        <v>18267</v>
      </c>
      <c r="H219" s="28">
        <f>ROUNDUP('1.1 Control Panel'!H$59*SUMIFS('4.3 Global SME Data'!$C$13:$C$18,'4.3 Global SME Data'!$B$13:$B$18,$C219)*1000000*(1+'1.1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Data'!$E$21:$E$41,$C$218)*SUMIFS('1.1 Control Panel'!H$97:H$102,'1.1 Control Panel'!C$97:C$102,$C219)*SUMIFS('1.1 Control Panel'!H$182:H$187,'1.1 Control Panel'!C$182:C$187,$C219)*SUMIFS('1.1 Control Panel'!H$267:H$272,'1.1 Control Panel'!C$267:C$272,$C219),0)</f>
        <v>19750</v>
      </c>
      <c r="J219" s="20"/>
    </row>
    <row r="220" spans="2:10" ht="11.5" customHeight="1" x14ac:dyDescent="0.25">
      <c r="C220" s="20" t="s">
        <v>392</v>
      </c>
      <c r="D220" s="34" t="s">
        <v>162</v>
      </c>
      <c r="E220" s="28">
        <f>ROUNDUP('1.1 Control Panel'!E$59*SUMIFS('4.3 Global SME Data'!$C$13:$C$18,'4.3 Global SME Data'!$B$13:$B$18,$C220)*1000000*(1+'1.1 Control Panel'!E$55-'1.1 Control Panel'!E$56)*SUMIFS('4.3 Global SME Data'!$C$21:$C$41,'4.3 Global SME Data'!$E$21:$E$41,$C$218)*SUMIFS('1.1 Control Panel'!E$97:E$102,'1.1 Control Panel'!C$97:C$102,$C220)*SUMIFS('1.1 Control Panel'!E$182:E$187,'1.1 Control Panel'!C$182:C$187,$C220)*SUMIFS('1.1 Control Panel'!E$267:E$272,'1.1 Control Panel'!C$267:C$272,$C220),0)</f>
        <v>464</v>
      </c>
      <c r="F220" s="28">
        <f>ROUNDUP('1.1 Control Panel'!F$59*SUMIFS('4.3 Global SME Data'!$C$13:$C$18,'4.3 Global SME Data'!$B$13:$B$18,$C220)*1000000*(1+'1.1 Control Panel'!E$55-'1.1 Control Panel'!E$56)*(1+'1.1 Control Panel'!F$55-'1.1 Control Panel'!F$56)*SUMIFS('4.3 Global SME Data'!$C$21:$C$41,'4.3 Global SME Data'!$E$21:$E$41,$C$218)*SUMIFS('1.1 Control Panel'!F$97:F$102,'1.1 Control Panel'!C$97:C$102,$C220)*SUMIFS('1.1 Control Panel'!F$182:F$187,'1.1 Control Panel'!C$182:C$187,$C220)*SUMIFS('1.1 Control Panel'!F$267:F$272,'1.1 Control Panel'!C$267:C$272,$C220),0)</f>
        <v>486</v>
      </c>
      <c r="G220" s="28">
        <f>ROUNDUP('1.1 Control Panel'!G$59*SUMIFS('4.3 Global SME Data'!$C$13:$C$18,'4.3 Global SME Data'!$B$13:$B$18,$C220)*1000000*(1+'1.1 Control Panel'!E$55-'1.1 Control Panel'!E$56)*(1+'1.1 Control Panel'!F$55-'1.1 Control Panel'!F$56)*(1+'1.1 Control Panel'!G$55-'1.1 Control Panel'!G$56)*SUMIFS('4.3 Global SME Data'!$C$21:$C$41,'4.3 Global SME Data'!$E$21:$E$41,$C$218)*SUMIFS('1.1 Control Panel'!G$97:G$102,'1.1 Control Panel'!C$97:C$102,$C220)*SUMIFS('1.1 Control Panel'!G$182:G$187,'1.1 Control Panel'!C$182:C$187,$C220)*SUMIFS('1.1 Control Panel'!G$267:G$272,'1.1 Control Panel'!C$267:C$272,$C220),0)</f>
        <v>523</v>
      </c>
      <c r="H220" s="28">
        <f>ROUNDUP('1.1 Control Panel'!H$59*SUMIFS('4.3 Global SME Data'!$C$13:$C$18,'4.3 Global SME Data'!$B$13:$B$18,$C220)*1000000*(1+'1.1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Data'!$E$21:$E$41,$C$218)*SUMIFS('1.1 Control Panel'!H$97:H$102,'1.1 Control Panel'!C$97:C$102,$C220)*SUMIFS('1.1 Control Panel'!H$182:H$187,'1.1 Control Panel'!C$182:C$187,$C220)*SUMIFS('1.1 Control Panel'!H$267:H$272,'1.1 Control Panel'!C$267:C$272,$C220),0)</f>
        <v>561</v>
      </c>
      <c r="J220" s="20"/>
    </row>
    <row r="221" spans="2:10" ht="11.5" customHeight="1" x14ac:dyDescent="0.25">
      <c r="C221" s="20" t="s">
        <v>454</v>
      </c>
      <c r="D221" s="34" t="s">
        <v>162</v>
      </c>
      <c r="E221" s="28">
        <f>ROUNDUP('1.1 Control Panel'!E$59*SUMIFS('4.3 Global SME Data'!$C$13:$C$18,'4.3 Global SME Data'!$B$13:$B$18,$C221)*1000000*(1+'1.1 Control Panel'!E$55-'1.1 Control Panel'!E$56)*SUMIFS('4.3 Global SME Data'!$C$21:$C$41,'4.3 Global SME Data'!$E$21:$E$41,$C$218)*SUMIFS('1.1 Control Panel'!E$97:E$102,'1.1 Control Panel'!C$97:C$102,$C221)*SUMIFS('1.1 Control Panel'!E$182:E$187,'1.1 Control Panel'!C$182:C$187,$C221)*SUMIFS('1.1 Control Panel'!E$267:E$272,'1.1 Control Panel'!C$267:C$272,$C221),0)</f>
        <v>331</v>
      </c>
      <c r="F221" s="28">
        <f>ROUNDUP('1.1 Control Panel'!F$59*SUMIFS('4.3 Global SME Data'!$C$13:$C$18,'4.3 Global SME Data'!$B$13:$B$18,$C221)*1000000*(1+'1.1 Control Panel'!E$55-'1.1 Control Panel'!E$56)*(1+'1.1 Control Panel'!F$55-'1.1 Control Panel'!F$56)*SUMIFS('4.3 Global SME Data'!$C$21:$C$41,'4.3 Global SME Data'!$E$21:$E$41,$C$218)*SUMIFS('1.1 Control Panel'!F$97:F$102,'1.1 Control Panel'!C$97:C$102,$C221)*SUMIFS('1.1 Control Panel'!F$182:F$187,'1.1 Control Panel'!C$182:C$187,$C221)*SUMIFS('1.1 Control Panel'!F$267:F$272,'1.1 Control Panel'!C$267:C$272,$C221),0)</f>
        <v>343</v>
      </c>
      <c r="G221" s="28">
        <f>ROUNDUP('1.1 Control Panel'!G$59*SUMIFS('4.3 Global SME Data'!$C$13:$C$18,'4.3 Global SME Data'!$B$13:$B$18,$C221)*1000000*(1+'1.1 Control Panel'!E$55-'1.1 Control Panel'!E$56)*(1+'1.1 Control Panel'!F$55-'1.1 Control Panel'!F$56)*(1+'1.1 Control Panel'!G$55-'1.1 Control Panel'!G$56)*SUMIFS('4.3 Global SME Data'!$C$21:$C$41,'4.3 Global SME Data'!$E$21:$E$41,$C$218)*SUMIFS('1.1 Control Panel'!G$97:G$102,'1.1 Control Panel'!C$97:C$102,$C221)*SUMIFS('1.1 Control Panel'!G$182:G$187,'1.1 Control Panel'!C$182:C$187,$C221)*SUMIFS('1.1 Control Panel'!G$267:G$272,'1.1 Control Panel'!C$267:C$272,$C221),0)</f>
        <v>364</v>
      </c>
      <c r="H221" s="28">
        <f>ROUNDUP('1.1 Control Panel'!H$59*SUMIFS('4.3 Global SME Data'!$C$13:$C$18,'4.3 Global SME Data'!$B$13:$B$18,$C221)*1000000*(1+'1.1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Data'!$E$21:$E$41,$C$218)*SUMIFS('1.1 Control Panel'!H$97:H$102,'1.1 Control Panel'!C$97:C$102,$C221)*SUMIFS('1.1 Control Panel'!H$182:H$187,'1.1 Control Panel'!C$182:C$187,$C221)*SUMIFS('1.1 Control Panel'!H$267:H$272,'1.1 Control Panel'!C$267:C$272,$C221),0)</f>
        <v>386</v>
      </c>
      <c r="J221" s="20"/>
    </row>
    <row r="222" spans="2:10" ht="11.5" customHeight="1" x14ac:dyDescent="0.25">
      <c r="C222" s="21" t="s">
        <v>455</v>
      </c>
      <c r="D222" s="38" t="s">
        <v>162</v>
      </c>
      <c r="E222" s="376">
        <f>ROUNDUP('1.1 Control Panel'!E$59*SUMIFS('4.3 Global SME Data'!$C$13:$C$18,'4.3 Global SME Data'!$B$13:$B$18,$C222)*1000000*(1+'1.1 Control Panel'!E$55-'1.1 Control Panel'!E$56)*SUMIFS('4.3 Global SME Data'!$C$21:$C$41,'4.3 Global SME Data'!$E$21:$E$41,$C$218)*SUMIFS('1.1 Control Panel'!E$97:E$102,'1.1 Control Panel'!C$97:C$102,$C222)*SUMIFS('1.1 Control Panel'!E$182:E$187,'1.1 Control Panel'!C$182:C$187,$C222)*SUMIFS('1.1 Control Panel'!E$267:E$272,'1.1 Control Panel'!C$267:C$272,$C222),0)</f>
        <v>4311</v>
      </c>
      <c r="F222" s="376">
        <f>ROUNDUP('1.1 Control Panel'!F$59*SUMIFS('4.3 Global SME Data'!$C$13:$C$18,'4.3 Global SME Data'!$B$13:$B$18,$C222)*1000000*(1+'1.1 Control Panel'!E$55-'1.1 Control Panel'!E$56)*(1+'1.1 Control Panel'!F$55-'1.1 Control Panel'!F$56)*SUMIFS('4.3 Global SME Data'!$C$21:$C$41,'4.3 Global SME Data'!$E$21:$E$41,$C$218)*SUMIFS('1.1 Control Panel'!F$97:F$102,'1.1 Control Panel'!C$97:C$102,$C222)*SUMIFS('1.1 Control Panel'!F$182:F$187,'1.1 Control Panel'!C$182:C$187,$C222)*SUMIFS('1.1 Control Panel'!F$267:F$272,'1.1 Control Panel'!C$267:C$272,$C222),0)</f>
        <v>4493</v>
      </c>
      <c r="G222" s="376">
        <f>ROUNDUP('1.1 Control Panel'!G$59*SUMIFS('4.3 Global SME Data'!$C$13:$C$18,'4.3 Global SME Data'!$B$13:$B$18,$C222)*1000000*(1+'1.1 Control Panel'!E$55-'1.1 Control Panel'!E$56)*(1+'1.1 Control Panel'!F$55-'1.1 Control Panel'!F$56)*(1+'1.1 Control Panel'!G$55-'1.1 Control Panel'!G$56)*SUMIFS('4.3 Global SME Data'!$C$21:$C$41,'4.3 Global SME Data'!$E$21:$E$41,$C$218)*SUMIFS('1.1 Control Panel'!G$97:G$102,'1.1 Control Panel'!C$97:C$102,$C222)*SUMIFS('1.1 Control Panel'!G$182:G$187,'1.1 Control Panel'!C$182:C$187,$C222)*SUMIFS('1.1 Control Panel'!G$267:G$272,'1.1 Control Panel'!C$267:C$272,$C222),0)</f>
        <v>4804</v>
      </c>
      <c r="H222" s="376">
        <f>ROUNDUP('1.1 Control Panel'!H$59*SUMIFS('4.3 Global SME Data'!$C$13:$C$18,'4.3 Global SME Data'!$B$13:$B$18,$C222)*1000000*(1+'1.1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Data'!$E$21:$E$41,$C$218)*SUMIFS('1.1 Control Panel'!H$97:H$102,'1.1 Control Panel'!C$97:C$102,$C222)*SUMIFS('1.1 Control Panel'!H$182:H$187,'1.1 Control Panel'!C$182:C$187,$C222)*SUMIFS('1.1 Control Panel'!H$267:H$272,'1.1 Control Panel'!C$267:C$272,$C222),0)</f>
        <v>5121</v>
      </c>
      <c r="J222" s="21"/>
    </row>
    <row r="223" spans="2:10" ht="11.5" customHeight="1" x14ac:dyDescent="0.25">
      <c r="C223" s="21" t="s">
        <v>393</v>
      </c>
      <c r="D223" s="38" t="s">
        <v>162</v>
      </c>
      <c r="E223" s="376">
        <f>ROUNDUP('1.1 Control Panel'!E$59*SUMIFS('4.3 Global SME Data'!$C$13:$C$18,'4.3 Global SME Data'!$B$13:$B$18,$C223)*1000000*(1+'1.1 Control Panel'!E$55-'1.1 Control Panel'!E$56)*SUMIFS('4.3 Global SME Data'!$C$21:$C$41,'4.3 Global SME Data'!$E$21:$E$41,$C$218)*SUMIFS('1.1 Control Panel'!E$97:E$102,'1.1 Control Panel'!C$97:C$102,$C223)*SUMIFS('1.1 Control Panel'!E$182:E$187,'1.1 Control Panel'!C$182:C$187,$C223)*SUMIFS('1.1 Control Panel'!E$267:E$272,'1.1 Control Panel'!C$267:C$272,$C223),0)</f>
        <v>5287</v>
      </c>
      <c r="F223" s="376">
        <f>ROUNDUP('1.1 Control Panel'!F$59*SUMIFS('4.3 Global SME Data'!$C$13:$C$18,'4.3 Global SME Data'!$B$13:$B$18,$C223)*1000000*(1+'1.1 Control Panel'!E$55-'1.1 Control Panel'!E$56)*(1+'1.1 Control Panel'!F$55-'1.1 Control Panel'!F$56)*SUMIFS('4.3 Global SME Data'!$C$21:$C$41,'4.3 Global SME Data'!$E$21:$E$41,$C$218)*SUMIFS('1.1 Control Panel'!F$97:F$102,'1.1 Control Panel'!C$97:C$102,$C223)*SUMIFS('1.1 Control Panel'!F$182:F$187,'1.1 Control Panel'!C$182:C$187,$C223)*SUMIFS('1.1 Control Panel'!F$267:F$272,'1.1 Control Panel'!C$267:C$272,$C223),0)</f>
        <v>5536</v>
      </c>
      <c r="G223" s="376">
        <f>ROUNDUP('1.1 Control Panel'!G$59*SUMIFS('4.3 Global SME Data'!$C$13:$C$18,'4.3 Global SME Data'!$B$13:$B$18,$C223)*1000000*(1+'1.1 Control Panel'!E$55-'1.1 Control Panel'!E$56)*(1+'1.1 Control Panel'!F$55-'1.1 Control Panel'!F$56)*(1+'1.1 Control Panel'!G$55-'1.1 Control Panel'!G$56)*SUMIFS('4.3 Global SME Data'!$C$21:$C$41,'4.3 Global SME Data'!$E$21:$E$41,$C$218)*SUMIFS('1.1 Control Panel'!G$97:G$102,'1.1 Control Panel'!C$97:C$102,$C223)*SUMIFS('1.1 Control Panel'!G$182:G$187,'1.1 Control Panel'!C$182:C$187,$C223)*SUMIFS('1.1 Control Panel'!G$267:G$272,'1.1 Control Panel'!C$267:C$272,$C223),0)</f>
        <v>5960</v>
      </c>
      <c r="H223" s="376">
        <f>ROUNDUP('1.1 Control Panel'!H$59*SUMIFS('4.3 Global SME Data'!$C$13:$C$18,'4.3 Global SME Data'!$B$13:$B$18,$C223)*1000000*(1+'1.1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Data'!$E$21:$E$41,$C$218)*SUMIFS('1.1 Control Panel'!H$97:H$102,'1.1 Control Panel'!C$97:C$102,$C223)*SUMIFS('1.1 Control Panel'!H$182:H$187,'1.1 Control Panel'!C$182:C$187,$C223)*SUMIFS('1.1 Control Panel'!H$267:H$272,'1.1 Control Panel'!C$267:C$272,$C223),0)</f>
        <v>6395</v>
      </c>
      <c r="J223" s="21"/>
    </row>
    <row r="224" spans="2:10" ht="11.5" customHeight="1" x14ac:dyDescent="0.25">
      <c r="C224" s="21" t="s">
        <v>456</v>
      </c>
      <c r="D224" s="38" t="s">
        <v>162</v>
      </c>
      <c r="E224" s="376">
        <f>ROUNDUP('1.1 Control Panel'!E$59*SUMIFS('4.3 Global SME Data'!$C$13:$C$18,'4.3 Global SME Data'!$B$13:$B$18,$C224)*1000000*(1+'1.1 Control Panel'!E$55-'1.1 Control Panel'!E$56)*SUMIFS('4.3 Global SME Data'!$C$21:$C$41,'4.3 Global SME Data'!$E$21:$E$41,$C$218)*SUMIFS('1.1 Control Panel'!E$97:E$102,'1.1 Control Panel'!C$97:C$102,$C224)*SUMIFS('1.1 Control Panel'!E$182:E$187,'1.1 Control Panel'!C$182:C$187,$C224)*SUMIFS('1.1 Control Panel'!E$267:E$272,'1.1 Control Panel'!C$267:C$272,$C224),0)</f>
        <v>682</v>
      </c>
      <c r="F224" s="376">
        <f>ROUNDUP('1.1 Control Panel'!F$59*SUMIFS('4.3 Global SME Data'!$C$13:$C$18,'4.3 Global SME Data'!$B$13:$B$18,$C224)*1000000*(1+'1.1 Control Panel'!E$55-'1.1 Control Panel'!E$56)*(1+'1.1 Control Panel'!F$55-'1.1 Control Panel'!F$56)*SUMIFS('4.3 Global SME Data'!$C$21:$C$41,'4.3 Global SME Data'!$E$21:$E$41,$C$218)*SUMIFS('1.1 Control Panel'!F$97:F$102,'1.1 Control Panel'!C$97:C$102,$C224)*SUMIFS('1.1 Control Panel'!F$182:F$187,'1.1 Control Panel'!C$182:C$187,$C224)*SUMIFS('1.1 Control Panel'!F$267:F$272,'1.1 Control Panel'!C$267:C$272,$C224),0)</f>
        <v>704</v>
      </c>
      <c r="G224" s="376">
        <f>ROUNDUP('1.1 Control Panel'!G$59*SUMIFS('4.3 Global SME Data'!$C$13:$C$18,'4.3 Global SME Data'!$B$13:$B$18,$C224)*1000000*(1+'1.1 Control Panel'!E$55-'1.1 Control Panel'!E$56)*(1+'1.1 Control Panel'!F$55-'1.1 Control Panel'!F$56)*(1+'1.1 Control Panel'!G$55-'1.1 Control Panel'!G$56)*SUMIFS('4.3 Global SME Data'!$C$21:$C$41,'4.3 Global SME Data'!$E$21:$E$41,$C$218)*SUMIFS('1.1 Control Panel'!G$97:G$102,'1.1 Control Panel'!C$97:C$102,$C224)*SUMIFS('1.1 Control Panel'!G$182:G$187,'1.1 Control Panel'!C$182:C$187,$C224)*SUMIFS('1.1 Control Panel'!G$267:G$272,'1.1 Control Panel'!C$267:C$272,$C224),0)</f>
        <v>741</v>
      </c>
      <c r="H224" s="376">
        <f>ROUNDUP('1.1 Control Panel'!H$59*SUMIFS('4.3 Global SME Data'!$C$13:$C$18,'4.3 Global SME Data'!$B$13:$B$18,$C224)*1000000*(1+'1.1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Data'!$E$21:$E$41,$C$218)*SUMIFS('1.1 Control Panel'!H$97:H$102,'1.1 Control Panel'!C$97:C$102,$C224)*SUMIFS('1.1 Control Panel'!H$182:H$187,'1.1 Control Panel'!C$182:C$187,$C224)*SUMIFS('1.1 Control Panel'!H$267:H$272,'1.1 Control Panel'!C$267:C$272,$C224),0)</f>
        <v>778</v>
      </c>
      <c r="J224" s="21"/>
    </row>
    <row r="225" spans="2:10" s="74" customFormat="1" ht="11.5" customHeight="1" x14ac:dyDescent="0.25">
      <c r="B225" s="99" t="s">
        <v>9</v>
      </c>
      <c r="C225" s="105" t="str">
        <f>'4.2 Sector Mapping'!$B$11</f>
        <v>Professional Services: Human Resources, Education, Consulting, Legal</v>
      </c>
      <c r="D225" s="106" t="s">
        <v>162</v>
      </c>
      <c r="E225" s="380">
        <f>SUM(E226:E231)</f>
        <v>16466</v>
      </c>
      <c r="F225" s="380">
        <f t="shared" ref="F225:H225" si="67">SUM(F226:F231)</f>
        <v>17273</v>
      </c>
      <c r="G225" s="380">
        <f t="shared" si="67"/>
        <v>18654</v>
      </c>
      <c r="H225" s="380">
        <f t="shared" si="67"/>
        <v>20072</v>
      </c>
      <c r="J225" s="105"/>
    </row>
    <row r="226" spans="2:10" ht="11.5" customHeight="1" x14ac:dyDescent="0.25">
      <c r="C226" s="20" t="s">
        <v>600</v>
      </c>
      <c r="D226" s="34" t="s">
        <v>162</v>
      </c>
      <c r="E226" s="28">
        <f>ROUNDUP('1.1 Control Panel'!E$59*SUMIFS('4.3 Global SME Data'!$C$13:$C$18,'4.3 Global SME Data'!$B$13:$B$18,$C226)*1000000*(1+'1.1 Control Panel'!E$55-'1.1 Control Panel'!E$56)*SUMIFS('4.3 Global SME Data'!$C$21:$C$41,'4.3 Global SME Data'!$E$21:$E$41,$C$225)*SUMIFS('1.1 Control Panel'!E$104:E$109,'1.1 Control Panel'!C$104:C$109,$C226)*SUMIFS('1.1 Control Panel'!E$189:E$194,'1.1 Control Panel'!C$189:C$194,$C226)*SUMIFS('1.1 Control Panel'!E$274:E$279,'1.1 Control Panel'!C$274:C$279,$C226),0)</f>
        <v>9727</v>
      </c>
      <c r="F226" s="28">
        <f>ROUNDUP('1.1 Control Panel'!F$59*SUMIFS('4.3 Global SME Data'!$C$13:$C$18,'4.3 Global SME Data'!$B$13:$B$18,$C226)*1000000*(1+'1.1 Control Panel'!E$55-'1.1 Control Panel'!E$56)*(1+'1.1 Control Panel'!F$55-'1.1 Control Panel'!F$56)*SUMIFS('4.3 Global SME Data'!$C$21:$C$41,'4.3 Global SME Data'!$E$21:$E$41,$C$225)*SUMIFS('1.1 Control Panel'!F$104:F$109,'1.1 Control Panel'!C$104:C$109,$C226)*SUMIFS('1.1 Control Panel'!F$189:F$194,'1.1 Control Panel'!C$189:C$194,$C226)*SUMIFS('1.1 Control Panel'!F$274:F$279,'1.1 Control Panel'!C$274:C$279,$C226),0)</f>
        <v>10237</v>
      </c>
      <c r="G226" s="28">
        <f>ROUNDUP('1.1 Control Panel'!G$59*SUMIFS('4.3 Global SME Data'!$C$13:$C$18,'4.3 Global SME Data'!$B$13:$B$18,$C226)*1000000*(1+'1.1 Control Panel'!E$55-'1.1 Control Panel'!E$56)*(1+'1.1 Control Panel'!F$55-'1.1 Control Panel'!F$56)*(1+'1.1 Control Panel'!G$55-'1.1 Control Panel'!G$56)*SUMIFS('4.3 Global SME Data'!$C$21:$C$41,'4.3 Global SME Data'!$E$21:$E$41,$C$225)*SUMIFS('1.1 Control Panel'!G$104:G$109,'1.1 Control Panel'!C$104:C$109,$C226)*SUMIFS('1.1 Control Panel'!G$189:G$194,'1.1 Control Panel'!C$189:C$194,$C226)*SUMIFS('1.1 Control Panel'!G$274:G$279,'1.1 Control Panel'!C$274:C$279,$C226),0)</f>
        <v>11114</v>
      </c>
      <c r="H226" s="28">
        <f>ROUNDUP('1.1 Control Panel'!H$59*SUMIFS('4.3 Global SME Data'!$C$13:$C$18,'4.3 Global SME Data'!$B$13:$B$18,$C226)*1000000*(1+'1.1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Data'!$E$21:$E$41,$C$225)*SUMIFS('1.1 Control Panel'!H$104:H$109,'1.1 Control Panel'!C$104:C$109,$C226)*SUMIFS('1.1 Control Panel'!H$189:H$194,'1.1 Control Panel'!C$189:C$194,$C226)*SUMIFS('1.1 Control Panel'!H$274:H$279,'1.1 Control Panel'!C$274:C$279,$C226),0)</f>
        <v>12016</v>
      </c>
      <c r="J226" s="20"/>
    </row>
    <row r="227" spans="2:10" ht="11.5" customHeight="1" x14ac:dyDescent="0.25">
      <c r="C227" s="20" t="s">
        <v>392</v>
      </c>
      <c r="D227" s="34" t="s">
        <v>162</v>
      </c>
      <c r="E227" s="28">
        <f>ROUNDUP('1.1 Control Panel'!E$59*SUMIFS('4.3 Global SME Data'!$C$13:$C$18,'4.3 Global SME Data'!$B$13:$B$18,$C227)*1000000*(1+'1.1 Control Panel'!E$55-'1.1 Control Panel'!E$56)*SUMIFS('4.3 Global SME Data'!$C$21:$C$41,'4.3 Global SME Data'!$E$21:$E$41,$C$225)*SUMIFS('1.1 Control Panel'!E$104:E$109,'1.1 Control Panel'!C$104:C$109,$C227)*SUMIFS('1.1 Control Panel'!E$189:E$194,'1.1 Control Panel'!C$189:C$194,$C227)*SUMIFS('1.1 Control Panel'!E$274:E$279,'1.1 Control Panel'!C$274:C$279,$C227),0)</f>
        <v>283</v>
      </c>
      <c r="F227" s="28">
        <f>ROUNDUP('1.1 Control Panel'!F$59*SUMIFS('4.3 Global SME Data'!$C$13:$C$18,'4.3 Global SME Data'!$B$13:$B$18,$C227)*1000000*(1+'1.1 Control Panel'!E$55-'1.1 Control Panel'!E$56)*(1+'1.1 Control Panel'!F$55-'1.1 Control Panel'!F$56)*SUMIFS('4.3 Global SME Data'!$C$21:$C$41,'4.3 Global SME Data'!$E$21:$E$41,$C$225)*SUMIFS('1.1 Control Panel'!F$104:F$109,'1.1 Control Panel'!C$104:C$109,$C227)*SUMIFS('1.1 Control Panel'!F$189:F$194,'1.1 Control Panel'!C$189:C$194,$C227)*SUMIFS('1.1 Control Panel'!F$274:F$279,'1.1 Control Panel'!C$274:C$279,$C227),0)</f>
        <v>296</v>
      </c>
      <c r="G227" s="28">
        <f>ROUNDUP('1.1 Control Panel'!G$59*SUMIFS('4.3 Global SME Data'!$C$13:$C$18,'4.3 Global SME Data'!$B$13:$B$18,$C227)*1000000*(1+'1.1 Control Panel'!E$55-'1.1 Control Panel'!E$56)*(1+'1.1 Control Panel'!F$55-'1.1 Control Panel'!F$56)*(1+'1.1 Control Panel'!G$55-'1.1 Control Panel'!G$56)*SUMIFS('4.3 Global SME Data'!$C$21:$C$41,'4.3 Global SME Data'!$E$21:$E$41,$C$225)*SUMIFS('1.1 Control Panel'!G$104:G$109,'1.1 Control Panel'!C$104:C$109,$C227)*SUMIFS('1.1 Control Panel'!G$189:G$194,'1.1 Control Panel'!C$189:C$194,$C227)*SUMIFS('1.1 Control Panel'!G$274:G$279,'1.1 Control Panel'!C$274:C$279,$C227),0)</f>
        <v>318</v>
      </c>
      <c r="H227" s="28">
        <f>ROUNDUP('1.1 Control Panel'!H$59*SUMIFS('4.3 Global SME Data'!$C$13:$C$18,'4.3 Global SME Data'!$B$13:$B$18,$C227)*1000000*(1+'1.1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Data'!$E$21:$E$41,$C$225)*SUMIFS('1.1 Control Panel'!H$104:H$109,'1.1 Control Panel'!C$104:C$109,$C227)*SUMIFS('1.1 Control Panel'!H$189:H$194,'1.1 Control Panel'!C$189:C$194,$C227)*SUMIFS('1.1 Control Panel'!H$274:H$279,'1.1 Control Panel'!C$274:C$279,$C227),0)</f>
        <v>341</v>
      </c>
      <c r="J227" s="20"/>
    </row>
    <row r="228" spans="2:10" ht="11.5" customHeight="1" x14ac:dyDescent="0.25">
      <c r="C228" s="20" t="s">
        <v>454</v>
      </c>
      <c r="D228" s="34" t="s">
        <v>162</v>
      </c>
      <c r="E228" s="28">
        <f>ROUNDUP('1.1 Control Panel'!E$59*SUMIFS('4.3 Global SME Data'!$C$13:$C$18,'4.3 Global SME Data'!$B$13:$B$18,$C228)*1000000*(1+'1.1 Control Panel'!E$55-'1.1 Control Panel'!E$56)*SUMIFS('4.3 Global SME Data'!$C$21:$C$41,'4.3 Global SME Data'!$E$21:$E$41,$C$225)*SUMIFS('1.1 Control Panel'!E$104:E$109,'1.1 Control Panel'!C$104:C$109,$C228)*SUMIFS('1.1 Control Panel'!E$189:E$194,'1.1 Control Panel'!C$189:C$194,$C228)*SUMIFS('1.1 Control Panel'!E$274:E$279,'1.1 Control Panel'!C$274:C$279,$C228),0)</f>
        <v>201</v>
      </c>
      <c r="F228" s="28">
        <f>ROUNDUP('1.1 Control Panel'!F$59*SUMIFS('4.3 Global SME Data'!$C$13:$C$18,'4.3 Global SME Data'!$B$13:$B$18,$C228)*1000000*(1+'1.1 Control Panel'!E$55-'1.1 Control Panel'!E$56)*(1+'1.1 Control Panel'!F$55-'1.1 Control Panel'!F$56)*SUMIFS('4.3 Global SME Data'!$C$21:$C$41,'4.3 Global SME Data'!$E$21:$E$41,$C$225)*SUMIFS('1.1 Control Panel'!F$104:F$109,'1.1 Control Panel'!C$104:C$109,$C228)*SUMIFS('1.1 Control Panel'!F$189:F$194,'1.1 Control Panel'!C$189:C$194,$C228)*SUMIFS('1.1 Control Panel'!F$274:F$279,'1.1 Control Panel'!C$274:C$279,$C228),0)</f>
        <v>209</v>
      </c>
      <c r="G228" s="28">
        <f>ROUNDUP('1.1 Control Panel'!G$59*SUMIFS('4.3 Global SME Data'!$C$13:$C$18,'4.3 Global SME Data'!$B$13:$B$18,$C228)*1000000*(1+'1.1 Control Panel'!E$55-'1.1 Control Panel'!E$56)*(1+'1.1 Control Panel'!F$55-'1.1 Control Panel'!F$56)*(1+'1.1 Control Panel'!G$55-'1.1 Control Panel'!G$56)*SUMIFS('4.3 Global SME Data'!$C$21:$C$41,'4.3 Global SME Data'!$E$21:$E$41,$C$225)*SUMIFS('1.1 Control Panel'!G$104:G$109,'1.1 Control Panel'!C$104:C$109,$C228)*SUMIFS('1.1 Control Panel'!G$189:G$194,'1.1 Control Panel'!C$189:C$194,$C228)*SUMIFS('1.1 Control Panel'!G$274:G$279,'1.1 Control Panel'!C$274:C$279,$C228),0)</f>
        <v>222</v>
      </c>
      <c r="H228" s="28">
        <f>ROUNDUP('1.1 Control Panel'!H$59*SUMIFS('4.3 Global SME Data'!$C$13:$C$18,'4.3 Global SME Data'!$B$13:$B$18,$C228)*1000000*(1+'1.1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Data'!$E$21:$E$41,$C$225)*SUMIFS('1.1 Control Panel'!H$104:H$109,'1.1 Control Panel'!C$104:C$109,$C228)*SUMIFS('1.1 Control Panel'!H$189:H$194,'1.1 Control Panel'!C$189:C$194,$C228)*SUMIFS('1.1 Control Panel'!H$274:H$279,'1.1 Control Panel'!C$274:C$279,$C228),0)</f>
        <v>235</v>
      </c>
      <c r="J228" s="20"/>
    </row>
    <row r="229" spans="2:10" ht="11.5" customHeight="1" x14ac:dyDescent="0.25">
      <c r="C229" s="21" t="s">
        <v>455</v>
      </c>
      <c r="D229" s="38" t="s">
        <v>162</v>
      </c>
      <c r="E229" s="376">
        <f>ROUNDUP('1.1 Control Panel'!E$59*SUMIFS('4.3 Global SME Data'!$C$13:$C$18,'4.3 Global SME Data'!$B$13:$B$18,$C229)*1000000*(1+'1.1 Control Panel'!E$55-'1.1 Control Panel'!E$56)*SUMIFS('4.3 Global SME Data'!$C$21:$C$41,'4.3 Global SME Data'!$E$21:$E$41,$C$225)*SUMIFS('1.1 Control Panel'!E$104:E$109,'1.1 Control Panel'!C$104:C$109,$C229)*SUMIFS('1.1 Control Panel'!E$189:E$194,'1.1 Control Panel'!C$189:C$194,$C229)*SUMIFS('1.1 Control Panel'!E$274:E$279,'1.1 Control Panel'!C$274:C$279,$C229),0)</f>
        <v>2623</v>
      </c>
      <c r="F229" s="376">
        <f>ROUNDUP('1.1 Control Panel'!F$59*SUMIFS('4.3 Global SME Data'!$C$13:$C$18,'4.3 Global SME Data'!$B$13:$B$18,$C229)*1000000*(1+'1.1 Control Panel'!E$55-'1.1 Control Panel'!E$56)*(1+'1.1 Control Panel'!F$55-'1.1 Control Panel'!F$56)*SUMIFS('4.3 Global SME Data'!$C$21:$C$41,'4.3 Global SME Data'!$E$21:$E$41,$C$225)*SUMIFS('1.1 Control Panel'!F$104:F$109,'1.1 Control Panel'!C$104:C$109,$C229)*SUMIFS('1.1 Control Panel'!F$189:F$194,'1.1 Control Panel'!C$189:C$194,$C229)*SUMIFS('1.1 Control Panel'!F$274:F$279,'1.1 Control Panel'!C$274:C$279,$C229),0)</f>
        <v>2734</v>
      </c>
      <c r="G229" s="376">
        <f>ROUNDUP('1.1 Control Panel'!G$59*SUMIFS('4.3 Global SME Data'!$C$13:$C$18,'4.3 Global SME Data'!$B$13:$B$18,$C229)*1000000*(1+'1.1 Control Panel'!E$55-'1.1 Control Panel'!E$56)*(1+'1.1 Control Panel'!F$55-'1.1 Control Panel'!F$56)*(1+'1.1 Control Panel'!G$55-'1.1 Control Panel'!G$56)*SUMIFS('4.3 Global SME Data'!$C$21:$C$41,'4.3 Global SME Data'!$E$21:$E$41,$C$225)*SUMIFS('1.1 Control Panel'!G$104:G$109,'1.1 Control Panel'!C$104:C$109,$C229)*SUMIFS('1.1 Control Panel'!G$189:G$194,'1.1 Control Panel'!C$189:C$194,$C229)*SUMIFS('1.1 Control Panel'!G$274:G$279,'1.1 Control Panel'!C$274:C$279,$C229),0)</f>
        <v>2923</v>
      </c>
      <c r="H229" s="376">
        <f>ROUNDUP('1.1 Control Panel'!H$59*SUMIFS('4.3 Global SME Data'!$C$13:$C$18,'4.3 Global SME Data'!$B$13:$B$18,$C229)*1000000*(1+'1.1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Data'!$E$21:$E$41,$C$225)*SUMIFS('1.1 Control Panel'!H$104:H$109,'1.1 Control Panel'!C$104:C$109,$C229)*SUMIFS('1.1 Control Panel'!H$189:H$194,'1.1 Control Panel'!C$189:C$194,$C229)*SUMIFS('1.1 Control Panel'!H$274:H$279,'1.1 Control Panel'!C$274:C$279,$C229),0)</f>
        <v>3116</v>
      </c>
      <c r="J229" s="21"/>
    </row>
    <row r="230" spans="2:10" ht="11.5" customHeight="1" x14ac:dyDescent="0.25">
      <c r="C230" s="21" t="s">
        <v>393</v>
      </c>
      <c r="D230" s="38" t="s">
        <v>162</v>
      </c>
      <c r="E230" s="376">
        <f>ROUNDUP('1.1 Control Panel'!E$59*SUMIFS('4.3 Global SME Data'!$C$13:$C$18,'4.3 Global SME Data'!$B$13:$B$18,$C230)*1000000*(1+'1.1 Control Panel'!E$55-'1.1 Control Panel'!E$56)*SUMIFS('4.3 Global SME Data'!$C$21:$C$41,'4.3 Global SME Data'!$E$21:$E$41,$C$225)*SUMIFS('1.1 Control Panel'!E$104:E$109,'1.1 Control Panel'!C$104:C$109,$C230)*SUMIFS('1.1 Control Panel'!E$189:E$194,'1.1 Control Panel'!C$189:C$194,$C230)*SUMIFS('1.1 Control Panel'!E$274:E$279,'1.1 Control Panel'!C$274:C$279,$C230),0)</f>
        <v>3217</v>
      </c>
      <c r="F230" s="376">
        <f>ROUNDUP('1.1 Control Panel'!F$59*SUMIFS('4.3 Global SME Data'!$C$13:$C$18,'4.3 Global SME Data'!$B$13:$B$18,$C230)*1000000*(1+'1.1 Control Panel'!E$55-'1.1 Control Panel'!E$56)*(1+'1.1 Control Panel'!F$55-'1.1 Control Panel'!F$56)*SUMIFS('4.3 Global SME Data'!$C$21:$C$41,'4.3 Global SME Data'!$E$21:$E$41,$C$225)*SUMIFS('1.1 Control Panel'!F$104:F$109,'1.1 Control Panel'!C$104:C$109,$C230)*SUMIFS('1.1 Control Panel'!F$189:F$194,'1.1 Control Panel'!C$189:C$194,$C230)*SUMIFS('1.1 Control Panel'!F$274:F$279,'1.1 Control Panel'!C$274:C$279,$C230),0)</f>
        <v>3368</v>
      </c>
      <c r="G230" s="376">
        <f>ROUNDUP('1.1 Control Panel'!G$59*SUMIFS('4.3 Global SME Data'!$C$13:$C$18,'4.3 Global SME Data'!$B$13:$B$18,$C230)*1000000*(1+'1.1 Control Panel'!E$55-'1.1 Control Panel'!E$56)*(1+'1.1 Control Panel'!F$55-'1.1 Control Panel'!F$56)*(1+'1.1 Control Panel'!G$55-'1.1 Control Panel'!G$56)*SUMIFS('4.3 Global SME Data'!$C$21:$C$41,'4.3 Global SME Data'!$E$21:$E$41,$C$225)*SUMIFS('1.1 Control Panel'!G$104:G$109,'1.1 Control Panel'!C$104:C$109,$C230)*SUMIFS('1.1 Control Panel'!G$189:G$194,'1.1 Control Panel'!C$189:C$194,$C230)*SUMIFS('1.1 Control Panel'!G$274:G$279,'1.1 Control Panel'!C$274:C$279,$C230),0)</f>
        <v>3626</v>
      </c>
      <c r="H230" s="376">
        <f>ROUNDUP('1.1 Control Panel'!H$59*SUMIFS('4.3 Global SME Data'!$C$13:$C$18,'4.3 Global SME Data'!$B$13:$B$18,$C230)*1000000*(1+'1.1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Data'!$E$21:$E$41,$C$225)*SUMIFS('1.1 Control Panel'!H$104:H$109,'1.1 Control Panel'!C$104:C$109,$C230)*SUMIFS('1.1 Control Panel'!H$189:H$194,'1.1 Control Panel'!C$189:C$194,$C230)*SUMIFS('1.1 Control Panel'!H$274:H$279,'1.1 Control Panel'!C$274:C$279,$C230),0)</f>
        <v>3891</v>
      </c>
      <c r="J230" s="21"/>
    </row>
    <row r="231" spans="2:10" ht="11.5" customHeight="1" x14ac:dyDescent="0.25">
      <c r="C231" s="21" t="s">
        <v>456</v>
      </c>
      <c r="D231" s="38" t="s">
        <v>162</v>
      </c>
      <c r="E231" s="376">
        <f>ROUNDUP('1.1 Control Panel'!E$59*SUMIFS('4.3 Global SME Data'!$C$13:$C$18,'4.3 Global SME Data'!$B$13:$B$18,$C231)*1000000*(1+'1.1 Control Panel'!E$55-'1.1 Control Panel'!E$56)*SUMIFS('4.3 Global SME Data'!$C$21:$C$41,'4.3 Global SME Data'!$E$21:$E$41,$C$225)*SUMIFS('1.1 Control Panel'!E$104:E$109,'1.1 Control Panel'!C$104:C$109,$C231)*SUMIFS('1.1 Control Panel'!E$189:E$194,'1.1 Control Panel'!C$189:C$194,$C231)*SUMIFS('1.1 Control Panel'!E$274:E$279,'1.1 Control Panel'!C$274:C$279,$C231),0)</f>
        <v>415</v>
      </c>
      <c r="F231" s="376">
        <f>ROUNDUP('1.1 Control Panel'!F$59*SUMIFS('4.3 Global SME Data'!$C$13:$C$18,'4.3 Global SME Data'!$B$13:$B$18,$C231)*1000000*(1+'1.1 Control Panel'!E$55-'1.1 Control Panel'!E$56)*(1+'1.1 Control Panel'!F$55-'1.1 Control Panel'!F$56)*SUMIFS('4.3 Global SME Data'!$C$21:$C$41,'4.3 Global SME Data'!$E$21:$E$41,$C$225)*SUMIFS('1.1 Control Panel'!F$104:F$109,'1.1 Control Panel'!C$104:C$109,$C231)*SUMIFS('1.1 Control Panel'!F$189:F$194,'1.1 Control Panel'!C$189:C$194,$C231)*SUMIFS('1.1 Control Panel'!F$274:F$279,'1.1 Control Panel'!C$274:C$279,$C231),0)</f>
        <v>429</v>
      </c>
      <c r="G231" s="376">
        <f>ROUNDUP('1.1 Control Panel'!G$59*SUMIFS('4.3 Global SME Data'!$C$13:$C$18,'4.3 Global SME Data'!$B$13:$B$18,$C231)*1000000*(1+'1.1 Control Panel'!E$55-'1.1 Control Panel'!E$56)*(1+'1.1 Control Panel'!F$55-'1.1 Control Panel'!F$56)*(1+'1.1 Control Panel'!G$55-'1.1 Control Panel'!G$56)*SUMIFS('4.3 Global SME Data'!$C$21:$C$41,'4.3 Global SME Data'!$E$21:$E$41,$C$225)*SUMIFS('1.1 Control Panel'!G$104:G$109,'1.1 Control Panel'!C$104:C$109,$C231)*SUMIFS('1.1 Control Panel'!G$189:G$194,'1.1 Control Panel'!C$189:C$194,$C231)*SUMIFS('1.1 Control Panel'!G$274:G$279,'1.1 Control Panel'!C$274:C$279,$C231),0)</f>
        <v>451</v>
      </c>
      <c r="H231" s="376">
        <f>ROUNDUP('1.1 Control Panel'!H$59*SUMIFS('4.3 Global SME Data'!$C$13:$C$18,'4.3 Global SME Data'!$B$13:$B$18,$C231)*1000000*(1+'1.1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Data'!$E$21:$E$41,$C$225)*SUMIFS('1.1 Control Panel'!H$104:H$109,'1.1 Control Panel'!C$104:C$109,$C231)*SUMIFS('1.1 Control Panel'!H$189:H$194,'1.1 Control Panel'!C$189:C$194,$C231)*SUMIFS('1.1 Control Panel'!H$274:H$279,'1.1 Control Panel'!C$274:C$279,$C231),0)</f>
        <v>473</v>
      </c>
      <c r="J231" s="21"/>
    </row>
    <row r="232" spans="2:10" s="74" customFormat="1" ht="11.5" customHeight="1" x14ac:dyDescent="0.25">
      <c r="B232" s="99" t="s">
        <v>9</v>
      </c>
      <c r="C232" s="105" t="str">
        <f>'4.2 Sector Mapping'!$B$12</f>
        <v>Public and Social Services</v>
      </c>
      <c r="D232" s="106" t="s">
        <v>162</v>
      </c>
      <c r="E232" s="380">
        <f>SUM(E233:E238)</f>
        <v>12992</v>
      </c>
      <c r="F232" s="380">
        <f t="shared" ref="F232:H232" si="68">SUM(F233:F238)</f>
        <v>13854</v>
      </c>
      <c r="G232" s="380">
        <f t="shared" si="68"/>
        <v>15348</v>
      </c>
      <c r="H232" s="380">
        <f t="shared" si="68"/>
        <v>16905</v>
      </c>
      <c r="J232" s="105"/>
    </row>
    <row r="233" spans="2:10" ht="11.5" customHeight="1" x14ac:dyDescent="0.25">
      <c r="C233" s="20" t="s">
        <v>600</v>
      </c>
      <c r="D233" s="34" t="s">
        <v>162</v>
      </c>
      <c r="E233" s="28">
        <f>ROUNDUP('1.1 Control Panel'!E$59*SUMIFS('4.3 Global SME Data'!$C$13:$C$18,'4.3 Global SME Data'!$B$13:$B$18,$C233)*1000000*(1+'1.1 Control Panel'!E$55-'1.1 Control Panel'!E$56)*SUMIFS('4.3 Global SME Data'!$C$21:$C$41,'4.3 Global SME Data'!$E$21:$E$41,$C$232)*SUMIFS('1.1 Control Panel'!E$111:E$116,'1.1 Control Panel'!C$111:C$116,$C233)*SUMIFS('1.1 Control Panel'!E$196:E$201,'1.1 Control Panel'!C$196:C$201,$C233)*SUMIFS('1.1 Control Panel'!E$281:E$286,'1.1 Control Panel'!C$281:C$286,$C233),0)</f>
        <v>6709</v>
      </c>
      <c r="F233" s="28">
        <f>ROUNDUP('1.1 Control Panel'!F$59*SUMIFS('4.3 Global SME Data'!$C$13:$C$18,'4.3 Global SME Data'!$B$13:$B$18,$C233)*1000000*(1+'1.1 Control Panel'!E$55-'1.1 Control Panel'!E$56)*(1+'1.1 Control Panel'!F$55-'1.1 Control Panel'!F$56)*SUMIFS('4.3 Global SME Data'!$C$21:$C$41,'4.3 Global SME Data'!$E$21:$E$41,$C$232)*SUMIFS('1.1 Control Panel'!F$111:F$116,'1.1 Control Panel'!C$111:C$116,$C233)*SUMIFS('1.1 Control Panel'!F$196:F$201,'1.1 Control Panel'!C$196:C$201,$C233)*SUMIFS('1.1 Control Panel'!F$281:F$286,'1.1 Control Panel'!C$281:C$286,$C233),0)</f>
        <v>7225</v>
      </c>
      <c r="G233" s="28">
        <f>ROUNDUP('1.1 Control Panel'!G$59*SUMIFS('4.3 Global SME Data'!$C$13:$C$18,'4.3 Global SME Data'!$B$13:$B$18,$C233)*1000000*(1+'1.1 Control Panel'!E$55-'1.1 Control Panel'!E$56)*(1+'1.1 Control Panel'!F$55-'1.1 Control Panel'!F$56)*(1+'1.1 Control Panel'!G$55-'1.1 Control Panel'!G$56)*SUMIFS('4.3 Global SME Data'!$C$21:$C$41,'4.3 Global SME Data'!$E$21:$E$41,$C$232)*SUMIFS('1.1 Control Panel'!G$111:G$116,'1.1 Control Panel'!C$111:C$116,$C233)*SUMIFS('1.1 Control Panel'!G$196:G$201,'1.1 Control Panel'!C$196:C$201,$C233)*SUMIFS('1.1 Control Panel'!G$281:G$286,'1.1 Control Panel'!C$281:C$286,$C233),0)</f>
        <v>8124</v>
      </c>
      <c r="H233" s="28">
        <f>ROUNDUP('1.1 Control Panel'!H$59*SUMIFS('4.3 Global SME Data'!$C$13:$C$18,'4.3 Global SME Data'!$B$13:$B$18,$C233)*1000000*(1+'1.1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Data'!$E$21:$E$41,$C$232)*SUMIFS('1.1 Control Panel'!H$111:H$116,'1.1 Control Panel'!C$111:C$116,$C233)*SUMIFS('1.1 Control Panel'!H$196:H$201,'1.1 Control Panel'!C$196:C$201,$C233)*SUMIFS('1.1 Control Panel'!H$281:H$286,'1.1 Control Panel'!C$281:C$286,$C233),0)</f>
        <v>9068</v>
      </c>
      <c r="J233" s="20"/>
    </row>
    <row r="234" spans="2:10" ht="11.5" customHeight="1" x14ac:dyDescent="0.25">
      <c r="C234" s="20" t="s">
        <v>392</v>
      </c>
      <c r="D234" s="34" t="s">
        <v>162</v>
      </c>
      <c r="E234" s="28">
        <f>ROUNDUP('1.1 Control Panel'!E$59*SUMIFS('4.3 Global SME Data'!$C$13:$C$18,'4.3 Global SME Data'!$B$13:$B$18,$C234)*1000000*(1+'1.1 Control Panel'!E$55-'1.1 Control Panel'!E$56)*SUMIFS('4.3 Global SME Data'!$C$21:$C$41,'4.3 Global SME Data'!$E$21:$E$41,$C$232)*SUMIFS('1.1 Control Panel'!E$111:E$116,'1.1 Control Panel'!C$111:C$116,$C234)*SUMIFS('1.1 Control Panel'!E$196:E$201,'1.1 Control Panel'!C$196:C$201,$C234)*SUMIFS('1.1 Control Panel'!E$281:E$286,'1.1 Control Panel'!C$281:C$286,$C234),0)</f>
        <v>225</v>
      </c>
      <c r="F234" s="28">
        <f>ROUNDUP('1.1 Control Panel'!F$59*SUMIFS('4.3 Global SME Data'!$C$13:$C$18,'4.3 Global SME Data'!$B$13:$B$18,$C234)*1000000*(1+'1.1 Control Panel'!E$55-'1.1 Control Panel'!E$56)*(1+'1.1 Control Panel'!F$55-'1.1 Control Panel'!F$56)*SUMIFS('4.3 Global SME Data'!$C$21:$C$41,'4.3 Global SME Data'!$E$21:$E$41,$C$232)*SUMIFS('1.1 Control Panel'!F$111:F$116,'1.1 Control Panel'!C$111:C$116,$C234)*SUMIFS('1.1 Control Panel'!F$196:F$201,'1.1 Control Panel'!C$196:C$201,$C234)*SUMIFS('1.1 Control Panel'!F$281:F$286,'1.1 Control Panel'!C$281:C$286,$C234),0)</f>
        <v>239</v>
      </c>
      <c r="G234" s="28">
        <f>ROUNDUP('1.1 Control Panel'!G$59*SUMIFS('4.3 Global SME Data'!$C$13:$C$18,'4.3 Global SME Data'!$B$13:$B$18,$C234)*1000000*(1+'1.1 Control Panel'!E$55-'1.1 Control Panel'!E$56)*(1+'1.1 Control Panel'!F$55-'1.1 Control Panel'!F$56)*(1+'1.1 Control Panel'!G$55-'1.1 Control Panel'!G$56)*SUMIFS('4.3 Global SME Data'!$C$21:$C$41,'4.3 Global SME Data'!$E$21:$E$41,$C$232)*SUMIFS('1.1 Control Panel'!G$111:G$116,'1.1 Control Panel'!C$111:C$116,$C234)*SUMIFS('1.1 Control Panel'!G$196:G$201,'1.1 Control Panel'!C$196:C$201,$C234)*SUMIFS('1.1 Control Panel'!G$281:G$286,'1.1 Control Panel'!C$281:C$286,$C234),0)</f>
        <v>264</v>
      </c>
      <c r="H234" s="28">
        <f>ROUNDUP('1.1 Control Panel'!H$59*SUMIFS('4.3 Global SME Data'!$C$13:$C$18,'4.3 Global SME Data'!$B$13:$B$18,$C234)*1000000*(1+'1.1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Data'!$E$21:$E$41,$C$232)*SUMIFS('1.1 Control Panel'!H$111:H$116,'1.1 Control Panel'!C$111:C$116,$C234)*SUMIFS('1.1 Control Panel'!H$196:H$201,'1.1 Control Panel'!C$196:C$201,$C234)*SUMIFS('1.1 Control Panel'!H$281:H$286,'1.1 Control Panel'!C$281:C$286,$C234),0)</f>
        <v>289</v>
      </c>
      <c r="J234" s="20"/>
    </row>
    <row r="235" spans="2:10" ht="11.5" customHeight="1" x14ac:dyDescent="0.25">
      <c r="C235" s="20" t="s">
        <v>454</v>
      </c>
      <c r="D235" s="34" t="s">
        <v>162</v>
      </c>
      <c r="E235" s="28">
        <f>ROUNDUP('1.1 Control Panel'!E$59*SUMIFS('4.3 Global SME Data'!$C$13:$C$18,'4.3 Global SME Data'!$B$13:$B$18,$C235)*1000000*(1+'1.1 Control Panel'!E$55-'1.1 Control Panel'!E$56)*SUMIFS('4.3 Global SME Data'!$C$21:$C$41,'4.3 Global SME Data'!$E$21:$E$41,$C$232)*SUMIFS('1.1 Control Panel'!E$111:E$116,'1.1 Control Panel'!C$111:C$116,$C235)*SUMIFS('1.1 Control Panel'!E$196:E$201,'1.1 Control Panel'!C$196:C$201,$C235)*SUMIFS('1.1 Control Panel'!E$281:E$286,'1.1 Control Panel'!C$281:C$286,$C235),0)</f>
        <v>328</v>
      </c>
      <c r="F235" s="28">
        <f>ROUNDUP('1.1 Control Panel'!F$59*SUMIFS('4.3 Global SME Data'!$C$13:$C$18,'4.3 Global SME Data'!$B$13:$B$18,$C235)*1000000*(1+'1.1 Control Panel'!E$55-'1.1 Control Panel'!E$56)*(1+'1.1 Control Panel'!F$55-'1.1 Control Panel'!F$56)*SUMIFS('4.3 Global SME Data'!$C$21:$C$41,'4.3 Global SME Data'!$E$21:$E$41,$C$232)*SUMIFS('1.1 Control Panel'!F$111:F$116,'1.1 Control Panel'!C$111:C$116,$C235)*SUMIFS('1.1 Control Panel'!F$196:F$201,'1.1 Control Panel'!C$196:C$201,$C235)*SUMIFS('1.1 Control Panel'!F$281:F$286,'1.1 Control Panel'!C$281:C$286,$C235),0)</f>
        <v>339</v>
      </c>
      <c r="G235" s="28">
        <f>ROUNDUP('1.1 Control Panel'!G$59*SUMIFS('4.3 Global SME Data'!$C$13:$C$18,'4.3 Global SME Data'!$B$13:$B$18,$C235)*1000000*(1+'1.1 Control Panel'!E$55-'1.1 Control Panel'!E$56)*(1+'1.1 Control Panel'!F$55-'1.1 Control Panel'!F$56)*(1+'1.1 Control Panel'!G$55-'1.1 Control Panel'!G$56)*SUMIFS('4.3 Global SME Data'!$C$21:$C$41,'4.3 Global SME Data'!$E$21:$E$41,$C$232)*SUMIFS('1.1 Control Panel'!G$111:G$116,'1.1 Control Panel'!C$111:C$116,$C235)*SUMIFS('1.1 Control Panel'!G$196:G$201,'1.1 Control Panel'!C$196:C$201,$C235)*SUMIFS('1.1 Control Panel'!G$281:G$286,'1.1 Control Panel'!C$281:C$286,$C235),0)</f>
        <v>359</v>
      </c>
      <c r="H235" s="28">
        <f>ROUNDUP('1.1 Control Panel'!H$59*SUMIFS('4.3 Global SME Data'!$C$13:$C$18,'4.3 Global SME Data'!$B$13:$B$18,$C235)*1000000*(1+'1.1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Data'!$E$21:$E$41,$C$232)*SUMIFS('1.1 Control Panel'!H$111:H$116,'1.1 Control Panel'!C$111:C$116,$C235)*SUMIFS('1.1 Control Panel'!H$196:H$201,'1.1 Control Panel'!C$196:C$201,$C235)*SUMIFS('1.1 Control Panel'!H$281:H$286,'1.1 Control Panel'!C$281:C$286,$C235),0)</f>
        <v>378</v>
      </c>
      <c r="J235" s="20"/>
    </row>
    <row r="236" spans="2:10" ht="11.5" customHeight="1" x14ac:dyDescent="0.25">
      <c r="C236" s="21" t="s">
        <v>455</v>
      </c>
      <c r="D236" s="38" t="s">
        <v>162</v>
      </c>
      <c r="E236" s="376">
        <f>ROUNDUP('1.1 Control Panel'!E$59*SUMIFS('4.3 Global SME Data'!$C$13:$C$18,'4.3 Global SME Data'!$B$13:$B$18,$C236)*1000000*(1+'1.1 Control Panel'!E$55-'1.1 Control Panel'!E$56)*SUMIFS('4.3 Global SME Data'!$C$21:$C$41,'4.3 Global SME Data'!$E$21:$E$41,$C$232)*SUMIFS('1.1 Control Panel'!E$111:E$116,'1.1 Control Panel'!C$111:C$116,$C236)*SUMIFS('1.1 Control Panel'!E$196:E$201,'1.1 Control Panel'!C$196:C$201,$C236)*SUMIFS('1.1 Control Panel'!E$281:E$286,'1.1 Control Panel'!C$281:C$286,$C236),0)</f>
        <v>1895</v>
      </c>
      <c r="F236" s="376">
        <f>ROUNDUP('1.1 Control Panel'!F$59*SUMIFS('4.3 Global SME Data'!$C$13:$C$18,'4.3 Global SME Data'!$B$13:$B$18,$C236)*1000000*(1+'1.1 Control Panel'!E$55-'1.1 Control Panel'!E$56)*(1+'1.1 Control Panel'!F$55-'1.1 Control Panel'!F$56)*SUMIFS('4.3 Global SME Data'!$C$21:$C$41,'4.3 Global SME Data'!$E$21:$E$41,$C$232)*SUMIFS('1.1 Control Panel'!F$111:F$116,'1.1 Control Panel'!C$111:C$116,$C236)*SUMIFS('1.1 Control Panel'!F$196:F$201,'1.1 Control Panel'!C$196:C$201,$C236)*SUMIFS('1.1 Control Panel'!F$281:F$286,'1.1 Control Panel'!C$281:C$286,$C236),0)</f>
        <v>2011</v>
      </c>
      <c r="G236" s="376">
        <f>ROUNDUP('1.1 Control Panel'!G$59*SUMIFS('4.3 Global SME Data'!$C$13:$C$18,'4.3 Global SME Data'!$B$13:$B$18,$C236)*1000000*(1+'1.1 Control Panel'!E$55-'1.1 Control Panel'!E$56)*(1+'1.1 Control Panel'!F$55-'1.1 Control Panel'!F$56)*(1+'1.1 Control Panel'!G$55-'1.1 Control Panel'!G$56)*SUMIFS('4.3 Global SME Data'!$C$21:$C$41,'4.3 Global SME Data'!$E$21:$E$41,$C$232)*SUMIFS('1.1 Control Panel'!G$111:G$116,'1.1 Control Panel'!C$111:C$116,$C236)*SUMIFS('1.1 Control Panel'!G$196:G$201,'1.1 Control Panel'!C$196:C$201,$C236)*SUMIFS('1.1 Control Panel'!G$281:G$286,'1.1 Control Panel'!C$281:C$286,$C236),0)</f>
        <v>2210</v>
      </c>
      <c r="H236" s="376">
        <f>ROUNDUP('1.1 Control Panel'!H$59*SUMIFS('4.3 Global SME Data'!$C$13:$C$18,'4.3 Global SME Data'!$B$13:$B$18,$C236)*1000000*(1+'1.1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Data'!$E$21:$E$41,$C$232)*SUMIFS('1.1 Control Panel'!H$111:H$116,'1.1 Control Panel'!C$111:C$116,$C236)*SUMIFS('1.1 Control Panel'!H$196:H$201,'1.1 Control Panel'!C$196:C$201,$C236)*SUMIFS('1.1 Control Panel'!H$281:H$286,'1.1 Control Panel'!C$281:C$286,$C236),0)</f>
        <v>2416</v>
      </c>
      <c r="J236" s="21"/>
    </row>
    <row r="237" spans="2:10" ht="11.5" customHeight="1" x14ac:dyDescent="0.25">
      <c r="C237" s="21" t="s">
        <v>393</v>
      </c>
      <c r="D237" s="38" t="s">
        <v>162</v>
      </c>
      <c r="E237" s="376">
        <f>ROUNDUP('1.1 Control Panel'!E$59*SUMIFS('4.3 Global SME Data'!$C$13:$C$18,'4.3 Global SME Data'!$B$13:$B$18,$C237)*1000000*(1+'1.1 Control Panel'!E$55-'1.1 Control Panel'!E$56)*SUMIFS('4.3 Global SME Data'!$C$21:$C$41,'4.3 Global SME Data'!$E$21:$E$41,$C$232)*SUMIFS('1.1 Control Panel'!E$111:E$116,'1.1 Control Panel'!C$111:C$116,$C237)*SUMIFS('1.1 Control Panel'!E$196:E$201,'1.1 Control Panel'!C$196:C$201,$C237)*SUMIFS('1.1 Control Panel'!E$281:E$286,'1.1 Control Panel'!C$281:C$286,$C237),0)</f>
        <v>3315</v>
      </c>
      <c r="F237" s="376">
        <f>ROUNDUP('1.1 Control Panel'!F$59*SUMIFS('4.3 Global SME Data'!$C$13:$C$18,'4.3 Global SME Data'!$B$13:$B$18,$C237)*1000000*(1+'1.1 Control Panel'!E$55-'1.1 Control Panel'!E$56)*(1+'1.1 Control Panel'!F$55-'1.1 Control Panel'!F$56)*SUMIFS('4.3 Global SME Data'!$C$21:$C$41,'4.3 Global SME Data'!$E$21:$E$41,$C$232)*SUMIFS('1.1 Control Panel'!F$111:F$116,'1.1 Control Panel'!C$111:C$116,$C237)*SUMIFS('1.1 Control Panel'!F$196:F$201,'1.1 Control Panel'!C$196:C$201,$C237)*SUMIFS('1.1 Control Panel'!F$281:F$286,'1.1 Control Panel'!C$281:C$286,$C237),0)</f>
        <v>3502</v>
      </c>
      <c r="G237" s="376">
        <f>ROUNDUP('1.1 Control Panel'!G$59*SUMIFS('4.3 Global SME Data'!$C$13:$C$18,'4.3 Global SME Data'!$B$13:$B$18,$C237)*1000000*(1+'1.1 Control Panel'!E$55-'1.1 Control Panel'!E$56)*(1+'1.1 Control Panel'!F$55-'1.1 Control Panel'!F$56)*(1+'1.1 Control Panel'!G$55-'1.1 Control Panel'!G$56)*SUMIFS('4.3 Global SME Data'!$C$21:$C$41,'4.3 Global SME Data'!$E$21:$E$41,$C$232)*SUMIFS('1.1 Control Panel'!G$111:G$116,'1.1 Control Panel'!C$111:C$116,$C237)*SUMIFS('1.1 Control Panel'!G$196:G$201,'1.1 Control Panel'!C$196:C$201,$C237)*SUMIFS('1.1 Control Panel'!G$281:G$286,'1.1 Control Panel'!C$281:C$286,$C237),0)</f>
        <v>3823</v>
      </c>
      <c r="H237" s="376">
        <f>ROUNDUP('1.1 Control Panel'!H$59*SUMIFS('4.3 Global SME Data'!$C$13:$C$18,'4.3 Global SME Data'!$B$13:$B$18,$C237)*1000000*(1+'1.1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Data'!$E$21:$E$41,$C$232)*SUMIFS('1.1 Control Panel'!H$111:H$116,'1.1 Control Panel'!C$111:C$116,$C237)*SUMIFS('1.1 Control Panel'!H$196:H$201,'1.1 Control Panel'!C$196:C$201,$C237)*SUMIFS('1.1 Control Panel'!H$281:H$286,'1.1 Control Panel'!C$281:C$286,$C237),0)</f>
        <v>4155</v>
      </c>
      <c r="J237" s="21"/>
    </row>
    <row r="238" spans="2:10" ht="11.5" customHeight="1" x14ac:dyDescent="0.25">
      <c r="C238" s="21" t="s">
        <v>456</v>
      </c>
      <c r="D238" s="38" t="s">
        <v>162</v>
      </c>
      <c r="E238" s="376">
        <f>ROUNDUP('1.1 Control Panel'!E$59*SUMIFS('4.3 Global SME Data'!$C$13:$C$18,'4.3 Global SME Data'!$B$13:$B$18,$C238)*1000000*(1+'1.1 Control Panel'!E$55-'1.1 Control Panel'!E$56)*SUMIFS('4.3 Global SME Data'!$C$21:$C$41,'4.3 Global SME Data'!$E$21:$E$41,$C$232)*SUMIFS('1.1 Control Panel'!E$111:E$116,'1.1 Control Panel'!C$111:C$116,$C238)*SUMIFS('1.1 Control Panel'!E$196:E$201,'1.1 Control Panel'!C$196:C$201,$C238)*SUMIFS('1.1 Control Panel'!E$281:E$286,'1.1 Control Panel'!C$281:C$286,$C238),0)</f>
        <v>520</v>
      </c>
      <c r="F238" s="376">
        <f>ROUNDUP('1.1 Control Panel'!F$59*SUMIFS('4.3 Global SME Data'!$C$13:$C$18,'4.3 Global SME Data'!$B$13:$B$18,$C238)*1000000*(1+'1.1 Control Panel'!E$55-'1.1 Control Panel'!E$56)*(1+'1.1 Control Panel'!F$55-'1.1 Control Panel'!F$56)*SUMIFS('4.3 Global SME Data'!$C$21:$C$41,'4.3 Global SME Data'!$E$21:$E$41,$C$232)*SUMIFS('1.1 Control Panel'!F$111:F$116,'1.1 Control Panel'!C$111:C$116,$C238)*SUMIFS('1.1 Control Panel'!F$196:F$201,'1.1 Control Panel'!C$196:C$201,$C238)*SUMIFS('1.1 Control Panel'!F$281:F$286,'1.1 Control Panel'!C$281:C$286,$C238),0)</f>
        <v>538</v>
      </c>
      <c r="G238" s="376">
        <f>ROUNDUP('1.1 Control Panel'!G$59*SUMIFS('4.3 Global SME Data'!$C$13:$C$18,'4.3 Global SME Data'!$B$13:$B$18,$C238)*1000000*(1+'1.1 Control Panel'!E$55-'1.1 Control Panel'!E$56)*(1+'1.1 Control Panel'!F$55-'1.1 Control Panel'!F$56)*(1+'1.1 Control Panel'!G$55-'1.1 Control Panel'!G$56)*SUMIFS('4.3 Global SME Data'!$C$21:$C$41,'4.3 Global SME Data'!$E$21:$E$41,$C$232)*SUMIFS('1.1 Control Panel'!G$111:G$116,'1.1 Control Panel'!C$111:C$116,$C238)*SUMIFS('1.1 Control Panel'!G$196:G$201,'1.1 Control Panel'!C$196:C$201,$C238)*SUMIFS('1.1 Control Panel'!G$281:G$286,'1.1 Control Panel'!C$281:C$286,$C238),0)</f>
        <v>568</v>
      </c>
      <c r="H238" s="376">
        <f>ROUNDUP('1.1 Control Panel'!H$59*SUMIFS('4.3 Global SME Data'!$C$13:$C$18,'4.3 Global SME Data'!$B$13:$B$18,$C238)*1000000*(1+'1.1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Data'!$E$21:$E$41,$C$232)*SUMIFS('1.1 Control Panel'!H$111:H$116,'1.1 Control Panel'!C$111:C$116,$C238)*SUMIFS('1.1 Control Panel'!H$196:H$201,'1.1 Control Panel'!C$196:C$201,$C238)*SUMIFS('1.1 Control Panel'!H$281:H$286,'1.1 Control Panel'!C$281:C$286,$C238),0)</f>
        <v>599</v>
      </c>
      <c r="J238" s="21"/>
    </row>
    <row r="239" spans="2:10" s="74" customFormat="1" ht="11.5" customHeight="1" x14ac:dyDescent="0.25">
      <c r="B239" s="99" t="s">
        <v>9</v>
      </c>
      <c r="C239" s="105" t="str">
        <f>'4.2 Sector Mapping'!$B$13</f>
        <v>Real Estate and Construction</v>
      </c>
      <c r="D239" s="106" t="s">
        <v>162</v>
      </c>
      <c r="E239" s="380">
        <f>SUM(E240:E245)</f>
        <v>15359</v>
      </c>
      <c r="F239" s="380">
        <f t="shared" ref="F239:H239" si="69">SUM(F240:F245)</f>
        <v>16721</v>
      </c>
      <c r="G239" s="380">
        <f t="shared" si="69"/>
        <v>19102</v>
      </c>
      <c r="H239" s="380">
        <f t="shared" si="69"/>
        <v>21611</v>
      </c>
      <c r="J239" s="105"/>
    </row>
    <row r="240" spans="2:10" ht="11.5" customHeight="1" x14ac:dyDescent="0.25">
      <c r="C240" s="20" t="s">
        <v>600</v>
      </c>
      <c r="D240" s="34" t="s">
        <v>162</v>
      </c>
      <c r="E240" s="28">
        <f>ROUNDUP('1.1 Control Panel'!E$59*SUMIFS('4.3 Global SME Data'!$C$13:$C$18,'4.3 Global SME Data'!$B$13:$B$18,$C240)*1000000*(1+'1.1 Control Panel'!E$55-'1.1 Control Panel'!E$56)*SUMIFS('4.3 Global SME Data'!$C$21:$C$41,'4.3 Global SME Data'!$E$21:$E$41,$C$239)*SUMIFS('1.1 Control Panel'!E$118:E$123,'1.1 Control Panel'!C$118:C$123,$C240)*SUMIFS('1.1 Control Panel'!E$203:E$208,'1.1 Control Panel'!C$203:C$208,$C240)*SUMIFS('1.1 Control Panel'!E$288:E$293,'1.1 Control Panel'!C$288:C$293,$C240),0)</f>
        <v>7224</v>
      </c>
      <c r="F240" s="28">
        <f>ROUNDUP('1.1 Control Panel'!F$59*SUMIFS('4.3 Global SME Data'!$C$13:$C$18,'4.3 Global SME Data'!$B$13:$B$18,$C240)*1000000*(1+'1.1 Control Panel'!E$55-'1.1 Control Panel'!E$56)*(1+'1.1 Control Panel'!F$55-'1.1 Control Panel'!F$56)*SUMIFS('4.3 Global SME Data'!$C$21:$C$41,'4.3 Global SME Data'!$E$21:$E$41,$C$239)*SUMIFS('1.1 Control Panel'!F$118:F$123,'1.1 Control Panel'!C$118:C$123,$C240)*SUMIFS('1.1 Control Panel'!F$203:F$208,'1.1 Control Panel'!C$203:C$208,$C240)*SUMIFS('1.1 Control Panel'!F$288:F$293,'1.1 Control Panel'!C$288:C$293,$C240),0)</f>
        <v>8020</v>
      </c>
      <c r="G240" s="28">
        <f>ROUNDUP('1.1 Control Panel'!G$59*SUMIFS('4.3 Global SME Data'!$C$13:$C$18,'4.3 Global SME Data'!$B$13:$B$18,$C240)*1000000*(1+'1.1 Control Panel'!E$55-'1.1 Control Panel'!E$56)*(1+'1.1 Control Panel'!F$55-'1.1 Control Panel'!F$56)*(1+'1.1 Control Panel'!G$55-'1.1 Control Panel'!G$56)*SUMIFS('4.3 Global SME Data'!$C$21:$C$41,'4.3 Global SME Data'!$E$21:$E$41,$C$239)*SUMIFS('1.1 Control Panel'!G$118:G$123,'1.1 Control Panel'!C$118:C$123,$C240)*SUMIFS('1.1 Control Panel'!G$203:G$208,'1.1 Control Panel'!C$203:C$208,$C240)*SUMIFS('1.1 Control Panel'!G$288:G$293,'1.1 Control Panel'!C$288:C$293,$C240),0)</f>
        <v>9422</v>
      </c>
      <c r="H240" s="28">
        <f>ROUNDUP('1.1 Control Panel'!H$59*SUMIFS('4.3 Global SME Data'!$C$13:$C$18,'4.3 Global SME Data'!$B$13:$B$18,$C240)*1000000*(1+'1.1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Data'!$E$21:$E$41,$C$239)*SUMIFS('1.1 Control Panel'!H$118:H$123,'1.1 Control Panel'!C$118:C$123,$C240)*SUMIFS('1.1 Control Panel'!H$203:H$208,'1.1 Control Panel'!C$203:C$208,$C240)*SUMIFS('1.1 Control Panel'!H$288:H$293,'1.1 Control Panel'!C$288:C$293,$C240),0)</f>
        <v>10912</v>
      </c>
      <c r="J240" s="20"/>
    </row>
    <row r="241" spans="2:10" ht="11.5" customHeight="1" x14ac:dyDescent="0.25">
      <c r="C241" s="20" t="s">
        <v>392</v>
      </c>
      <c r="D241" s="34" t="s">
        <v>162</v>
      </c>
      <c r="E241" s="28">
        <f>ROUNDUP('1.1 Control Panel'!E$59*SUMIFS('4.3 Global SME Data'!$C$13:$C$18,'4.3 Global SME Data'!$B$13:$B$18,$C241)*1000000*(1+'1.1 Control Panel'!E$55-'1.1 Control Panel'!E$56)*SUMIFS('4.3 Global SME Data'!$C$21:$C$41,'4.3 Global SME Data'!$E$21:$E$41,$C$239)*SUMIFS('1.1 Control Panel'!E$118:E$123,'1.1 Control Panel'!C$118:C$123,$C241)*SUMIFS('1.1 Control Panel'!E$203:E$208,'1.1 Control Panel'!C$203:C$208,$C241)*SUMIFS('1.1 Control Panel'!E$288:E$293,'1.1 Control Panel'!C$288:C$293,$C241),0)</f>
        <v>424</v>
      </c>
      <c r="F241" s="28">
        <f>ROUNDUP('1.1 Control Panel'!F$59*SUMIFS('4.3 Global SME Data'!$C$13:$C$18,'4.3 Global SME Data'!$B$13:$B$18,$C241)*1000000*(1+'1.1 Control Panel'!E$55-'1.1 Control Panel'!E$56)*(1+'1.1 Control Panel'!F$55-'1.1 Control Panel'!F$56)*SUMIFS('4.3 Global SME Data'!$C$21:$C$41,'4.3 Global SME Data'!$E$21:$E$41,$C$239)*SUMIFS('1.1 Control Panel'!F$118:F$123,'1.1 Control Panel'!C$118:C$123,$C241)*SUMIFS('1.1 Control Panel'!F$203:F$208,'1.1 Control Panel'!C$203:C$208,$C241)*SUMIFS('1.1 Control Panel'!F$288:F$293,'1.1 Control Panel'!C$288:C$293,$C241),0)</f>
        <v>450</v>
      </c>
      <c r="G241" s="28">
        <f>ROUNDUP('1.1 Control Panel'!G$59*SUMIFS('4.3 Global SME Data'!$C$13:$C$18,'4.3 Global SME Data'!$B$13:$B$18,$C241)*1000000*(1+'1.1 Control Panel'!E$55-'1.1 Control Panel'!E$56)*(1+'1.1 Control Panel'!F$55-'1.1 Control Panel'!F$56)*(1+'1.1 Control Panel'!G$55-'1.1 Control Panel'!G$56)*SUMIFS('4.3 Global SME Data'!$C$21:$C$41,'4.3 Global SME Data'!$E$21:$E$41,$C$239)*SUMIFS('1.1 Control Panel'!G$118:G$123,'1.1 Control Panel'!C$118:C$123,$C241)*SUMIFS('1.1 Control Panel'!G$203:G$208,'1.1 Control Panel'!C$203:C$208,$C241)*SUMIFS('1.1 Control Panel'!G$288:G$293,'1.1 Control Panel'!C$288:C$293,$C241),0)</f>
        <v>496</v>
      </c>
      <c r="H241" s="28">
        <f>ROUNDUP('1.1 Control Panel'!H$59*SUMIFS('4.3 Global SME Data'!$C$13:$C$18,'4.3 Global SME Data'!$B$13:$B$18,$C241)*1000000*(1+'1.1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Data'!$E$21:$E$41,$C$239)*SUMIFS('1.1 Control Panel'!H$118:H$123,'1.1 Control Panel'!C$118:C$123,$C241)*SUMIFS('1.1 Control Panel'!H$203:H$208,'1.1 Control Panel'!C$203:C$208,$C241)*SUMIFS('1.1 Control Panel'!H$288:H$293,'1.1 Control Panel'!C$288:C$293,$C241),0)</f>
        <v>544</v>
      </c>
      <c r="J241" s="20"/>
    </row>
    <row r="242" spans="2:10" ht="11.5" customHeight="1" x14ac:dyDescent="0.25">
      <c r="C242" s="20" t="s">
        <v>454</v>
      </c>
      <c r="D242" s="34" t="s">
        <v>162</v>
      </c>
      <c r="E242" s="28">
        <f>ROUNDUP('1.1 Control Panel'!E$59*SUMIFS('4.3 Global SME Data'!$C$13:$C$18,'4.3 Global SME Data'!$B$13:$B$18,$C242)*1000000*(1+'1.1 Control Panel'!E$55-'1.1 Control Panel'!E$56)*SUMIFS('4.3 Global SME Data'!$C$21:$C$41,'4.3 Global SME Data'!$E$21:$E$41,$C$239)*SUMIFS('1.1 Control Panel'!E$118:E$123,'1.1 Control Panel'!C$118:C$123,$C242)*SUMIFS('1.1 Control Panel'!E$203:E$208,'1.1 Control Panel'!C$203:C$208,$C242)*SUMIFS('1.1 Control Panel'!E$288:E$293,'1.1 Control Panel'!C$288:C$293,$C242),0)</f>
        <v>412</v>
      </c>
      <c r="F242" s="28">
        <f>ROUNDUP('1.1 Control Panel'!F$59*SUMIFS('4.3 Global SME Data'!$C$13:$C$18,'4.3 Global SME Data'!$B$13:$B$18,$C242)*1000000*(1+'1.1 Control Panel'!E$55-'1.1 Control Panel'!E$56)*(1+'1.1 Control Panel'!F$55-'1.1 Control Panel'!F$56)*SUMIFS('4.3 Global SME Data'!$C$21:$C$41,'4.3 Global SME Data'!$E$21:$E$41,$C$239)*SUMIFS('1.1 Control Panel'!F$118:F$123,'1.1 Control Panel'!C$118:C$123,$C242)*SUMIFS('1.1 Control Panel'!F$203:F$208,'1.1 Control Panel'!C$203:C$208,$C242)*SUMIFS('1.1 Control Panel'!F$288:F$293,'1.1 Control Panel'!C$288:C$293,$C242),0)</f>
        <v>430</v>
      </c>
      <c r="G242" s="28">
        <f>ROUNDUP('1.1 Control Panel'!G$59*SUMIFS('4.3 Global SME Data'!$C$13:$C$18,'4.3 Global SME Data'!$B$13:$B$18,$C242)*1000000*(1+'1.1 Control Panel'!E$55-'1.1 Control Panel'!E$56)*(1+'1.1 Control Panel'!F$55-'1.1 Control Panel'!F$56)*(1+'1.1 Control Panel'!G$55-'1.1 Control Panel'!G$56)*SUMIFS('4.3 Global SME Data'!$C$21:$C$41,'4.3 Global SME Data'!$E$21:$E$41,$C$239)*SUMIFS('1.1 Control Panel'!G$118:G$123,'1.1 Control Panel'!C$118:C$123,$C242)*SUMIFS('1.1 Control Panel'!G$203:G$208,'1.1 Control Panel'!C$203:C$208,$C242)*SUMIFS('1.1 Control Panel'!G$288:G$293,'1.1 Control Panel'!C$288:C$293,$C242),0)</f>
        <v>462</v>
      </c>
      <c r="H242" s="28">
        <f>ROUNDUP('1.1 Control Panel'!H$59*SUMIFS('4.3 Global SME Data'!$C$13:$C$18,'4.3 Global SME Data'!$B$13:$B$18,$C242)*1000000*(1+'1.1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Data'!$E$21:$E$41,$C$239)*SUMIFS('1.1 Control Panel'!H$118:H$123,'1.1 Control Panel'!C$118:C$123,$C242)*SUMIFS('1.1 Control Panel'!H$203:H$208,'1.1 Control Panel'!C$203:C$208,$C242)*SUMIFS('1.1 Control Panel'!H$288:H$293,'1.1 Control Panel'!C$288:C$293,$C242),0)</f>
        <v>494</v>
      </c>
      <c r="J242" s="20"/>
    </row>
    <row r="243" spans="2:10" ht="11.5" customHeight="1" x14ac:dyDescent="0.25">
      <c r="C243" s="21" t="s">
        <v>455</v>
      </c>
      <c r="D243" s="38" t="s">
        <v>162</v>
      </c>
      <c r="E243" s="376">
        <f>ROUNDUP('1.1 Control Panel'!E$59*SUMIFS('4.3 Global SME Data'!$C$13:$C$18,'4.3 Global SME Data'!$B$13:$B$18,$C243)*1000000*(1+'1.1 Control Panel'!E$55-'1.1 Control Panel'!E$56)*SUMIFS('4.3 Global SME Data'!$C$21:$C$41,'4.3 Global SME Data'!$E$21:$E$41,$C$239)*SUMIFS('1.1 Control Panel'!E$118:E$123,'1.1 Control Panel'!C$118:C$123,$C243)*SUMIFS('1.1 Control Panel'!E$203:E$208,'1.1 Control Panel'!C$203:C$208,$C243)*SUMIFS('1.1 Control Panel'!E$288:E$293,'1.1 Control Panel'!C$288:C$293,$C243),0)</f>
        <v>2645</v>
      </c>
      <c r="F243" s="376">
        <f>ROUNDUP('1.1 Control Panel'!F$59*SUMIFS('4.3 Global SME Data'!$C$13:$C$18,'4.3 Global SME Data'!$B$13:$B$18,$C243)*1000000*(1+'1.1 Control Panel'!E$55-'1.1 Control Panel'!E$56)*(1+'1.1 Control Panel'!F$55-'1.1 Control Panel'!F$56)*SUMIFS('4.3 Global SME Data'!$C$21:$C$41,'4.3 Global SME Data'!$E$21:$E$41,$C$239)*SUMIFS('1.1 Control Panel'!F$118:F$123,'1.1 Control Panel'!C$118:C$123,$C243)*SUMIFS('1.1 Control Panel'!F$203:F$208,'1.1 Control Panel'!C$203:C$208,$C243)*SUMIFS('1.1 Control Panel'!F$288:F$293,'1.1 Control Panel'!C$288:C$293,$C243),0)</f>
        <v>2838</v>
      </c>
      <c r="G243" s="376">
        <f>ROUNDUP('1.1 Control Panel'!G$59*SUMIFS('4.3 Global SME Data'!$C$13:$C$18,'4.3 Global SME Data'!$B$13:$B$18,$C243)*1000000*(1+'1.1 Control Panel'!E$55-'1.1 Control Panel'!E$56)*(1+'1.1 Control Panel'!F$55-'1.1 Control Panel'!F$56)*(1+'1.1 Control Panel'!G$55-'1.1 Control Panel'!G$56)*SUMIFS('4.3 Global SME Data'!$C$21:$C$41,'4.3 Global SME Data'!$E$21:$E$41,$C$239)*SUMIFS('1.1 Control Panel'!G$118:G$123,'1.1 Control Panel'!C$118:C$123,$C243)*SUMIFS('1.1 Control Panel'!G$203:G$208,'1.1 Control Panel'!C$203:C$208,$C243)*SUMIFS('1.1 Control Panel'!G$288:G$293,'1.1 Control Panel'!C$288:C$293,$C243),0)</f>
        <v>3172</v>
      </c>
      <c r="H243" s="376">
        <f>ROUNDUP('1.1 Control Panel'!H$59*SUMIFS('4.3 Global SME Data'!$C$13:$C$18,'4.3 Global SME Data'!$B$13:$B$18,$C243)*1000000*(1+'1.1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Data'!$E$21:$E$41,$C$239)*SUMIFS('1.1 Control Panel'!H$118:H$123,'1.1 Control Panel'!C$118:C$123,$C243)*SUMIFS('1.1 Control Panel'!H$203:H$208,'1.1 Control Panel'!C$203:C$208,$C243)*SUMIFS('1.1 Control Panel'!H$288:H$293,'1.1 Control Panel'!C$288:C$293,$C243),0)</f>
        <v>3521</v>
      </c>
      <c r="J243" s="21"/>
    </row>
    <row r="244" spans="2:10" ht="11.5" customHeight="1" x14ac:dyDescent="0.25">
      <c r="C244" s="21" t="s">
        <v>393</v>
      </c>
      <c r="D244" s="38" t="s">
        <v>162</v>
      </c>
      <c r="E244" s="376">
        <f>ROUNDUP('1.1 Control Panel'!E$59*SUMIFS('4.3 Global SME Data'!$C$13:$C$18,'4.3 Global SME Data'!$B$13:$B$18,$C244)*1000000*(1+'1.1 Control Panel'!E$55-'1.1 Control Panel'!E$56)*SUMIFS('4.3 Global SME Data'!$C$21:$C$41,'4.3 Global SME Data'!$E$21:$E$41,$C$239)*SUMIFS('1.1 Control Panel'!E$118:E$123,'1.1 Control Panel'!C$118:C$123,$C244)*SUMIFS('1.1 Control Panel'!E$203:E$208,'1.1 Control Panel'!C$203:C$208,$C244)*SUMIFS('1.1 Control Panel'!E$288:E$293,'1.1 Control Panel'!C$288:C$293,$C244),0)</f>
        <v>4164</v>
      </c>
      <c r="F244" s="376">
        <f>ROUNDUP('1.1 Control Panel'!F$59*SUMIFS('4.3 Global SME Data'!$C$13:$C$18,'4.3 Global SME Data'!$B$13:$B$18,$C244)*1000000*(1+'1.1 Control Panel'!E$55-'1.1 Control Panel'!E$56)*(1+'1.1 Control Panel'!F$55-'1.1 Control Panel'!F$56)*SUMIFS('4.3 Global SME Data'!$C$21:$C$41,'4.3 Global SME Data'!$E$21:$E$41,$C$239)*SUMIFS('1.1 Control Panel'!F$118:F$123,'1.1 Control Panel'!C$118:C$123,$C244)*SUMIFS('1.1 Control Panel'!F$203:F$208,'1.1 Control Panel'!C$203:C$208,$C244)*SUMIFS('1.1 Control Panel'!F$288:F$293,'1.1 Control Panel'!C$288:C$293,$C244),0)</f>
        <v>4466</v>
      </c>
      <c r="G244" s="376">
        <f>ROUNDUP('1.1 Control Panel'!G$59*SUMIFS('4.3 Global SME Data'!$C$13:$C$18,'4.3 Global SME Data'!$B$13:$B$18,$C244)*1000000*(1+'1.1 Control Panel'!E$55-'1.1 Control Panel'!E$56)*(1+'1.1 Control Panel'!F$55-'1.1 Control Panel'!F$56)*(1+'1.1 Control Panel'!G$55-'1.1 Control Panel'!G$56)*SUMIFS('4.3 Global SME Data'!$C$21:$C$41,'4.3 Global SME Data'!$E$21:$E$41,$C$239)*SUMIFS('1.1 Control Panel'!G$118:G$123,'1.1 Control Panel'!C$118:C$123,$C244)*SUMIFS('1.1 Control Panel'!G$203:G$208,'1.1 Control Panel'!C$203:C$208,$C244)*SUMIFS('1.1 Control Panel'!G$288:G$293,'1.1 Control Panel'!C$288:C$293,$C244),0)</f>
        <v>4988</v>
      </c>
      <c r="H244" s="376">
        <f>ROUNDUP('1.1 Control Panel'!H$59*SUMIFS('4.3 Global SME Data'!$C$13:$C$18,'4.3 Global SME Data'!$B$13:$B$18,$C244)*1000000*(1+'1.1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Data'!$E$21:$E$41,$C$239)*SUMIFS('1.1 Control Panel'!H$118:H$123,'1.1 Control Panel'!C$118:C$123,$C244)*SUMIFS('1.1 Control Panel'!H$203:H$208,'1.1 Control Panel'!C$203:C$208,$C244)*SUMIFS('1.1 Control Panel'!H$288:H$293,'1.1 Control Panel'!C$288:C$293,$C244),0)</f>
        <v>5531</v>
      </c>
      <c r="J244" s="21"/>
    </row>
    <row r="245" spans="2:10" ht="11.5" customHeight="1" x14ac:dyDescent="0.25">
      <c r="C245" s="21" t="s">
        <v>456</v>
      </c>
      <c r="D245" s="38" t="s">
        <v>162</v>
      </c>
      <c r="E245" s="376">
        <f>ROUNDUP('1.1 Control Panel'!E$59*SUMIFS('4.3 Global SME Data'!$C$13:$C$18,'4.3 Global SME Data'!$B$13:$B$18,$C245)*1000000*(1+'1.1 Control Panel'!E$55-'1.1 Control Panel'!E$56)*SUMIFS('4.3 Global SME Data'!$C$21:$C$41,'4.3 Global SME Data'!$E$21:$E$41,$C$239)*SUMIFS('1.1 Control Panel'!E$118:E$123,'1.1 Control Panel'!C$118:C$123,$C245)*SUMIFS('1.1 Control Panel'!E$203:E$208,'1.1 Control Panel'!C$203:C$208,$C245)*SUMIFS('1.1 Control Panel'!E$288:E$293,'1.1 Control Panel'!C$288:C$293,$C245),0)</f>
        <v>490</v>
      </c>
      <c r="F245" s="376">
        <f>ROUNDUP('1.1 Control Panel'!F$59*SUMIFS('4.3 Global SME Data'!$C$13:$C$18,'4.3 Global SME Data'!$B$13:$B$18,$C245)*1000000*(1+'1.1 Control Panel'!E$55-'1.1 Control Panel'!E$56)*(1+'1.1 Control Panel'!F$55-'1.1 Control Panel'!F$56)*SUMIFS('4.3 Global SME Data'!$C$21:$C$41,'4.3 Global SME Data'!$E$21:$E$41,$C$239)*SUMIFS('1.1 Control Panel'!F$118:F$123,'1.1 Control Panel'!C$118:C$123,$C245)*SUMIFS('1.1 Control Panel'!F$203:F$208,'1.1 Control Panel'!C$203:C$208,$C245)*SUMIFS('1.1 Control Panel'!F$288:F$293,'1.1 Control Panel'!C$288:C$293,$C245),0)</f>
        <v>517</v>
      </c>
      <c r="G245" s="376">
        <f>ROUNDUP('1.1 Control Panel'!G$59*SUMIFS('4.3 Global SME Data'!$C$13:$C$18,'4.3 Global SME Data'!$B$13:$B$18,$C245)*1000000*(1+'1.1 Control Panel'!E$55-'1.1 Control Panel'!E$56)*(1+'1.1 Control Panel'!F$55-'1.1 Control Panel'!F$56)*(1+'1.1 Control Panel'!G$55-'1.1 Control Panel'!G$56)*SUMIFS('4.3 Global SME Data'!$C$21:$C$41,'4.3 Global SME Data'!$E$21:$E$41,$C$239)*SUMIFS('1.1 Control Panel'!G$118:G$123,'1.1 Control Panel'!C$118:C$123,$C245)*SUMIFS('1.1 Control Panel'!G$203:G$208,'1.1 Control Panel'!C$203:C$208,$C245)*SUMIFS('1.1 Control Panel'!G$288:G$293,'1.1 Control Panel'!C$288:C$293,$C245),0)</f>
        <v>562</v>
      </c>
      <c r="H245" s="376">
        <f>ROUNDUP('1.1 Control Panel'!H$59*SUMIFS('4.3 Global SME Data'!$C$13:$C$18,'4.3 Global SME Data'!$B$13:$B$18,$C245)*1000000*(1+'1.1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Data'!$E$21:$E$41,$C$239)*SUMIFS('1.1 Control Panel'!H$118:H$123,'1.1 Control Panel'!C$118:C$123,$C245)*SUMIFS('1.1 Control Panel'!H$203:H$208,'1.1 Control Panel'!C$203:C$208,$C245)*SUMIFS('1.1 Control Panel'!H$288:H$293,'1.1 Control Panel'!C$288:C$293,$C245),0)</f>
        <v>609</v>
      </c>
      <c r="J245" s="21"/>
    </row>
    <row r="246" spans="2:10" s="74" customFormat="1" ht="11.5" customHeight="1" x14ac:dyDescent="0.25">
      <c r="B246" s="99" t="s">
        <v>9</v>
      </c>
      <c r="C246" s="105" t="str">
        <f>'4.2 Sector Mapping'!$B$14</f>
        <v>Retail and Consumer Goods</v>
      </c>
      <c r="D246" s="106" t="s">
        <v>162</v>
      </c>
      <c r="E246" s="380">
        <f>SUM(E247:E252)</f>
        <v>87662</v>
      </c>
      <c r="F246" s="380">
        <f t="shared" ref="F246:H246" si="70">SUM(F247:F252)</f>
        <v>92415</v>
      </c>
      <c r="G246" s="380">
        <f t="shared" si="70"/>
        <v>100586</v>
      </c>
      <c r="H246" s="380">
        <f t="shared" si="70"/>
        <v>109022</v>
      </c>
      <c r="J246" s="105"/>
    </row>
    <row r="247" spans="2:10" ht="11.5" customHeight="1" x14ac:dyDescent="0.25">
      <c r="C247" s="20" t="s">
        <v>600</v>
      </c>
      <c r="D247" s="34" t="s">
        <v>162</v>
      </c>
      <c r="E247" s="28">
        <f>ROUNDUP('1.1 Control Panel'!E$59*SUMIFS('4.3 Global SME Data'!$C$13:$C$18,'4.3 Global SME Data'!$B$13:$B$18,$C247)*1000000*(1+'1.1 Control Panel'!E$55-'1.1 Control Panel'!E$56)*SUMIFS('4.3 Global SME Data'!$C$21:$C$41,'4.3 Global SME Data'!$E$21:$E$41,$C$246)*SUMIFS('1.1 Control Panel'!E$125:E$130,'1.1 Control Panel'!C$125:C$130,$C247)*SUMIFS('1.1 Control Panel'!E$210:E$215,'1.1 Control Panel'!C$210:C$215,$C247)*SUMIFS('1.1 Control Panel'!E$295:E$300,'1.1 Control Panel'!C$295:C$300,$C247),0)</f>
        <v>48461</v>
      </c>
      <c r="F247" s="28">
        <f>ROUNDUP('1.1 Control Panel'!F$59*SUMIFS('4.3 Global SME Data'!$C$13:$C$18,'4.3 Global SME Data'!$B$13:$B$18,$C247)*1000000*(1+'1.1 Control Panel'!E$55-'1.1 Control Panel'!E$56)*(1+'1.1 Control Panel'!F$55-'1.1 Control Panel'!F$56)*SUMIFS('4.3 Global SME Data'!$C$21:$C$41,'4.3 Global SME Data'!$E$21:$E$41,$C$246)*SUMIFS('1.1 Control Panel'!F$125:F$130,'1.1 Control Panel'!C$125:C$130,$C247)*SUMIFS('1.1 Control Panel'!F$210:F$215,'1.1 Control Panel'!C$210:C$215,$C247)*SUMIFS('1.1 Control Panel'!F$295:F$300,'1.1 Control Panel'!C$295:C$300,$C247),0)</f>
        <v>51381</v>
      </c>
      <c r="G247" s="28">
        <f>ROUNDUP('1.1 Control Panel'!G$59*SUMIFS('4.3 Global SME Data'!$C$13:$C$18,'4.3 Global SME Data'!$B$13:$B$18,$C247)*1000000*(1+'1.1 Control Panel'!E$55-'1.1 Control Panel'!E$56)*(1+'1.1 Control Panel'!F$55-'1.1 Control Panel'!F$56)*(1+'1.1 Control Panel'!G$55-'1.1 Control Panel'!G$56)*SUMIFS('4.3 Global SME Data'!$C$21:$C$41,'4.3 Global SME Data'!$E$21:$E$41,$C$246)*SUMIFS('1.1 Control Panel'!G$125:G$130,'1.1 Control Panel'!C$125:C$130,$C247)*SUMIFS('1.1 Control Panel'!G$210:G$215,'1.1 Control Panel'!C$210:C$215,$C247)*SUMIFS('1.1 Control Panel'!G$295:G$300,'1.1 Control Panel'!C$295:C$300,$C247),0)</f>
        <v>56418</v>
      </c>
      <c r="H247" s="28">
        <f>ROUNDUP('1.1 Control Panel'!H$59*SUMIFS('4.3 Global SME Data'!$C$13:$C$18,'4.3 Global SME Data'!$B$13:$B$18,$C247)*1000000*(1+'1.1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Data'!$E$21:$E$41,$C$246)*SUMIFS('1.1 Control Panel'!H$125:H$130,'1.1 Control Panel'!C$125:C$130,$C247)*SUMIFS('1.1 Control Panel'!H$210:H$215,'1.1 Control Panel'!C$210:C$215,$C247)*SUMIFS('1.1 Control Panel'!H$295:H$300,'1.1 Control Panel'!C$295:C$300,$C247),0)</f>
        <v>61640</v>
      </c>
      <c r="J247" s="20"/>
    </row>
    <row r="248" spans="2:10" ht="11.5" customHeight="1" x14ac:dyDescent="0.25">
      <c r="C248" s="20" t="s">
        <v>392</v>
      </c>
      <c r="D248" s="34" t="s">
        <v>162</v>
      </c>
      <c r="E248" s="28">
        <f>ROUNDUP('1.1 Control Panel'!E$59*SUMIFS('4.3 Global SME Data'!$C$13:$C$18,'4.3 Global SME Data'!$B$13:$B$18,$C248)*1000000*(1+'1.1 Control Panel'!E$55-'1.1 Control Panel'!E$56)*SUMIFS('4.3 Global SME Data'!$C$21:$C$41,'4.3 Global SME Data'!$E$21:$E$41,$C$246)*SUMIFS('1.1 Control Panel'!E$125:E$130,'1.1 Control Panel'!C$125:C$130,$C248)*SUMIFS('1.1 Control Panel'!E$210:E$215,'1.1 Control Panel'!C$210:C$215,$C248)*SUMIFS('1.1 Control Panel'!E$295:E$300,'1.1 Control Panel'!C$295:C$300,$C248),0)</f>
        <v>1065</v>
      </c>
      <c r="F248" s="28">
        <f>ROUNDUP('1.1 Control Panel'!F$59*SUMIFS('4.3 Global SME Data'!$C$13:$C$18,'4.3 Global SME Data'!$B$13:$B$18,$C248)*1000000*(1+'1.1 Control Panel'!E$55-'1.1 Control Panel'!E$56)*(1+'1.1 Control Panel'!F$55-'1.1 Control Panel'!F$56)*SUMIFS('4.3 Global SME Data'!$C$21:$C$41,'4.3 Global SME Data'!$E$21:$E$41,$C$246)*SUMIFS('1.1 Control Panel'!F$125:F$130,'1.1 Control Panel'!C$125:C$130,$C248)*SUMIFS('1.1 Control Panel'!F$210:F$215,'1.1 Control Panel'!C$210:C$215,$C248)*SUMIFS('1.1 Control Panel'!F$295:F$300,'1.1 Control Panel'!C$295:C$300,$C248),0)</f>
        <v>1130</v>
      </c>
      <c r="G248" s="28">
        <f>ROUNDUP('1.1 Control Panel'!G$59*SUMIFS('4.3 Global SME Data'!$C$13:$C$18,'4.3 Global SME Data'!$B$13:$B$18,$C248)*1000000*(1+'1.1 Control Panel'!E$55-'1.1 Control Panel'!E$56)*(1+'1.1 Control Panel'!F$55-'1.1 Control Panel'!F$56)*(1+'1.1 Control Panel'!G$55-'1.1 Control Panel'!G$56)*SUMIFS('4.3 Global SME Data'!$C$21:$C$41,'4.3 Global SME Data'!$E$21:$E$41,$C$246)*SUMIFS('1.1 Control Panel'!G$125:G$130,'1.1 Control Panel'!C$125:C$130,$C248)*SUMIFS('1.1 Control Panel'!G$210:G$215,'1.1 Control Panel'!C$210:C$215,$C248)*SUMIFS('1.1 Control Panel'!G$295:G$300,'1.1 Control Panel'!C$295:C$300,$C248),0)</f>
        <v>1240</v>
      </c>
      <c r="H248" s="28">
        <f>ROUNDUP('1.1 Control Panel'!H$59*SUMIFS('4.3 Global SME Data'!$C$13:$C$18,'4.3 Global SME Data'!$B$13:$B$18,$C248)*1000000*(1+'1.1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Data'!$E$21:$E$41,$C$246)*SUMIFS('1.1 Control Panel'!H$125:H$130,'1.1 Control Panel'!C$125:C$130,$C248)*SUMIFS('1.1 Control Panel'!H$210:H$215,'1.1 Control Panel'!C$210:C$215,$C248)*SUMIFS('1.1 Control Panel'!H$295:H$300,'1.1 Control Panel'!C$295:C$300,$C248),0)</f>
        <v>1355</v>
      </c>
      <c r="J248" s="20"/>
    </row>
    <row r="249" spans="2:10" ht="11.5" customHeight="1" x14ac:dyDescent="0.25">
      <c r="C249" s="20" t="s">
        <v>454</v>
      </c>
      <c r="D249" s="34" t="s">
        <v>162</v>
      </c>
      <c r="E249" s="28">
        <f>ROUNDUP('1.1 Control Panel'!E$59*SUMIFS('4.3 Global SME Data'!$C$13:$C$18,'4.3 Global SME Data'!$B$13:$B$18,$C249)*1000000*(1+'1.1 Control Panel'!E$55-'1.1 Control Panel'!E$56)*SUMIFS('4.3 Global SME Data'!$C$21:$C$41,'4.3 Global SME Data'!$E$21:$E$41,$C$246)*SUMIFS('1.1 Control Panel'!E$125:E$130,'1.1 Control Panel'!C$125:C$130,$C249)*SUMIFS('1.1 Control Panel'!E$210:E$215,'1.1 Control Panel'!C$210:C$215,$C249)*SUMIFS('1.1 Control Panel'!E$295:E$300,'1.1 Control Panel'!C$295:C$300,$C249),0)</f>
        <v>1380</v>
      </c>
      <c r="F249" s="28">
        <f>ROUNDUP('1.1 Control Panel'!F$59*SUMIFS('4.3 Global SME Data'!$C$13:$C$18,'4.3 Global SME Data'!$B$13:$B$18,$C249)*1000000*(1+'1.1 Control Panel'!E$55-'1.1 Control Panel'!E$56)*(1+'1.1 Control Panel'!F$55-'1.1 Control Panel'!F$56)*SUMIFS('4.3 Global SME Data'!$C$21:$C$41,'4.3 Global SME Data'!$E$21:$E$41,$C$246)*SUMIFS('1.1 Control Panel'!F$125:F$130,'1.1 Control Panel'!C$125:C$130,$C249)*SUMIFS('1.1 Control Panel'!F$210:F$215,'1.1 Control Panel'!C$210:C$215,$C249)*SUMIFS('1.1 Control Panel'!F$295:F$300,'1.1 Control Panel'!C$295:C$300,$C249),0)</f>
        <v>1429</v>
      </c>
      <c r="G249" s="28">
        <f>ROUNDUP('1.1 Control Panel'!G$59*SUMIFS('4.3 Global SME Data'!$C$13:$C$18,'4.3 Global SME Data'!$B$13:$B$18,$C249)*1000000*(1+'1.1 Control Panel'!E$55-'1.1 Control Panel'!E$56)*(1+'1.1 Control Panel'!F$55-'1.1 Control Panel'!F$56)*(1+'1.1 Control Panel'!G$55-'1.1 Control Panel'!G$56)*SUMIFS('4.3 Global SME Data'!$C$21:$C$41,'4.3 Global SME Data'!$E$21:$E$41,$C$246)*SUMIFS('1.1 Control Panel'!G$125:G$130,'1.1 Control Panel'!C$125:C$130,$C249)*SUMIFS('1.1 Control Panel'!G$210:G$215,'1.1 Control Panel'!C$210:C$215,$C249)*SUMIFS('1.1 Control Panel'!G$295:G$300,'1.1 Control Panel'!C$295:C$300,$C249),0)</f>
        <v>1513</v>
      </c>
      <c r="H249" s="28">
        <f>ROUNDUP('1.1 Control Panel'!H$59*SUMIFS('4.3 Global SME Data'!$C$13:$C$18,'4.3 Global SME Data'!$B$13:$B$18,$C249)*1000000*(1+'1.1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Data'!$E$21:$E$41,$C$246)*SUMIFS('1.1 Control Panel'!H$125:H$130,'1.1 Control Panel'!C$125:C$130,$C249)*SUMIFS('1.1 Control Panel'!H$210:H$215,'1.1 Control Panel'!C$210:C$215,$C249)*SUMIFS('1.1 Control Panel'!H$295:H$300,'1.1 Control Panel'!C$295:C$300,$C249),0)</f>
        <v>1598</v>
      </c>
      <c r="J249" s="20"/>
    </row>
    <row r="250" spans="2:10" ht="11.5" customHeight="1" x14ac:dyDescent="0.25">
      <c r="C250" s="21" t="s">
        <v>455</v>
      </c>
      <c r="D250" s="38" t="s">
        <v>162</v>
      </c>
      <c r="E250" s="376">
        <f>ROUNDUP('1.1 Control Panel'!E$59*SUMIFS('4.3 Global SME Data'!$C$13:$C$18,'4.3 Global SME Data'!$B$13:$B$18,$C250)*1000000*(1+'1.1 Control Panel'!E$55-'1.1 Control Panel'!E$56)*SUMIFS('4.3 Global SME Data'!$C$21:$C$41,'4.3 Global SME Data'!$E$21:$E$41,$C$246)*SUMIFS('1.1 Control Panel'!E$125:E$130,'1.1 Control Panel'!C$125:C$130,$C250)*SUMIFS('1.1 Control Panel'!E$210:E$215,'1.1 Control Panel'!C$210:C$215,$C250)*SUMIFS('1.1 Control Panel'!E$295:E$300,'1.1 Control Panel'!C$295:C$300,$C250),0)</f>
        <v>15488</v>
      </c>
      <c r="F250" s="376">
        <f>ROUNDUP('1.1 Control Panel'!F$59*SUMIFS('4.3 Global SME Data'!$C$13:$C$18,'4.3 Global SME Data'!$B$13:$B$18,$C250)*1000000*(1+'1.1 Control Panel'!E$55-'1.1 Control Panel'!E$56)*(1+'1.1 Control Panel'!F$55-'1.1 Control Panel'!F$56)*SUMIFS('4.3 Global SME Data'!$C$21:$C$41,'4.3 Global SME Data'!$E$21:$E$41,$C$246)*SUMIFS('1.1 Control Panel'!F$125:F$130,'1.1 Control Panel'!C$125:C$130,$C250)*SUMIFS('1.1 Control Panel'!F$210:F$215,'1.1 Control Panel'!C$210:C$215,$C250)*SUMIFS('1.1 Control Panel'!F$295:F$300,'1.1 Control Panel'!C$295:C$300,$C250),0)</f>
        <v>16183</v>
      </c>
      <c r="G250" s="376">
        <f>ROUNDUP('1.1 Control Panel'!G$59*SUMIFS('4.3 Global SME Data'!$C$13:$C$18,'4.3 Global SME Data'!$B$13:$B$18,$C250)*1000000*(1+'1.1 Control Panel'!E$55-'1.1 Control Panel'!E$56)*(1+'1.1 Control Panel'!F$55-'1.1 Control Panel'!F$56)*(1+'1.1 Control Panel'!G$55-'1.1 Control Panel'!G$56)*SUMIFS('4.3 Global SME Data'!$C$21:$C$41,'4.3 Global SME Data'!$E$21:$E$41,$C$246)*SUMIFS('1.1 Control Panel'!G$125:G$130,'1.1 Control Panel'!C$125:C$130,$C250)*SUMIFS('1.1 Control Panel'!G$210:G$215,'1.1 Control Panel'!C$210:C$215,$C250)*SUMIFS('1.1 Control Panel'!G$295:G$300,'1.1 Control Panel'!C$295:C$300,$C250),0)</f>
        <v>17369</v>
      </c>
      <c r="H250" s="376">
        <f>ROUNDUP('1.1 Control Panel'!H$59*SUMIFS('4.3 Global SME Data'!$C$13:$C$18,'4.3 Global SME Data'!$B$13:$B$18,$C250)*1000000*(1+'1.1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Data'!$E$21:$E$41,$C$246)*SUMIFS('1.1 Control Panel'!H$125:H$130,'1.1 Control Panel'!C$125:C$130,$C250)*SUMIFS('1.1 Control Panel'!H$210:H$215,'1.1 Control Panel'!C$210:C$215,$C250)*SUMIFS('1.1 Control Panel'!H$295:H$300,'1.1 Control Panel'!C$295:C$300,$C250),0)</f>
        <v>18583</v>
      </c>
      <c r="J250" s="21"/>
    </row>
    <row r="251" spans="2:10" ht="11.5" customHeight="1" x14ac:dyDescent="0.25">
      <c r="C251" s="21" t="s">
        <v>393</v>
      </c>
      <c r="D251" s="38" t="s">
        <v>162</v>
      </c>
      <c r="E251" s="376">
        <f>ROUNDUP('1.1 Control Panel'!E$59*SUMIFS('4.3 Global SME Data'!$C$13:$C$18,'4.3 Global SME Data'!$B$13:$B$18,$C251)*1000000*(1+'1.1 Control Panel'!E$55-'1.1 Control Panel'!E$56)*SUMIFS('4.3 Global SME Data'!$C$21:$C$41,'4.3 Global SME Data'!$E$21:$E$41,$C$246)*SUMIFS('1.1 Control Panel'!E$125:E$130,'1.1 Control Panel'!C$125:C$130,$C251)*SUMIFS('1.1 Control Panel'!E$210:E$215,'1.1 Control Panel'!C$210:C$215,$C251)*SUMIFS('1.1 Control Panel'!E$295:E$300,'1.1 Control Panel'!C$295:C$300,$C251),0)</f>
        <v>18856</v>
      </c>
      <c r="F251" s="376">
        <f>ROUNDUP('1.1 Control Panel'!F$59*SUMIFS('4.3 Global SME Data'!$C$13:$C$18,'4.3 Global SME Data'!$B$13:$B$18,$C251)*1000000*(1+'1.1 Control Panel'!E$55-'1.1 Control Panel'!E$56)*(1+'1.1 Control Panel'!F$55-'1.1 Control Panel'!F$56)*SUMIFS('4.3 Global SME Data'!$C$21:$C$41,'4.3 Global SME Data'!$E$21:$E$41,$C$246)*SUMIFS('1.1 Control Panel'!F$125:F$130,'1.1 Control Panel'!C$125:C$130,$C251)*SUMIFS('1.1 Control Panel'!F$210:F$215,'1.1 Control Panel'!C$210:C$215,$C251)*SUMIFS('1.1 Control Panel'!F$295:F$300,'1.1 Control Panel'!C$295:C$300,$C251),0)</f>
        <v>19798</v>
      </c>
      <c r="G251" s="376">
        <f>ROUNDUP('1.1 Control Panel'!G$59*SUMIFS('4.3 Global SME Data'!$C$13:$C$18,'4.3 Global SME Data'!$B$13:$B$18,$C251)*1000000*(1+'1.1 Control Panel'!E$55-'1.1 Control Panel'!E$56)*(1+'1.1 Control Panel'!F$55-'1.1 Control Panel'!F$56)*(1+'1.1 Control Panel'!G$55-'1.1 Control Panel'!G$56)*SUMIFS('4.3 Global SME Data'!$C$21:$C$41,'4.3 Global SME Data'!$E$21:$E$41,$C$246)*SUMIFS('1.1 Control Panel'!G$125:G$130,'1.1 Control Panel'!C$125:C$130,$C251)*SUMIFS('1.1 Control Panel'!G$210:G$215,'1.1 Control Panel'!C$210:C$215,$C251)*SUMIFS('1.1 Control Panel'!G$295:G$300,'1.1 Control Panel'!C$295:C$300,$C251),0)</f>
        <v>21413</v>
      </c>
      <c r="H251" s="376">
        <f>ROUNDUP('1.1 Control Panel'!H$59*SUMIFS('4.3 Global SME Data'!$C$13:$C$18,'4.3 Global SME Data'!$B$13:$B$18,$C251)*1000000*(1+'1.1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Data'!$E$21:$E$41,$C$246)*SUMIFS('1.1 Control Panel'!H$125:H$130,'1.1 Control Panel'!C$125:C$130,$C251)*SUMIFS('1.1 Control Panel'!H$210:H$215,'1.1 Control Panel'!C$210:C$215,$C251)*SUMIFS('1.1 Control Panel'!H$295:H$300,'1.1 Control Panel'!C$295:C$300,$C251),0)</f>
        <v>23073</v>
      </c>
      <c r="J251" s="21"/>
    </row>
    <row r="252" spans="2:10" ht="11.5" customHeight="1" x14ac:dyDescent="0.25">
      <c r="C252" s="21" t="s">
        <v>456</v>
      </c>
      <c r="D252" s="38" t="s">
        <v>162</v>
      </c>
      <c r="E252" s="376">
        <f>ROUNDUP('1.1 Control Panel'!E$59*SUMIFS('4.3 Global SME Data'!$C$13:$C$18,'4.3 Global SME Data'!$B$13:$B$18,$C252)*1000000*(1+'1.1 Control Panel'!E$55-'1.1 Control Panel'!E$56)*SUMIFS('4.3 Global SME Data'!$C$21:$C$41,'4.3 Global SME Data'!$E$21:$E$41,$C$246)*SUMIFS('1.1 Control Panel'!E$125:E$130,'1.1 Control Panel'!C$125:C$130,$C252)*SUMIFS('1.1 Control Panel'!E$210:E$215,'1.1 Control Panel'!C$210:C$215,$C252)*SUMIFS('1.1 Control Panel'!E$295:E$300,'1.1 Control Panel'!C$295:C$300,$C252),0)</f>
        <v>2412</v>
      </c>
      <c r="F252" s="376">
        <f>ROUNDUP('1.1 Control Panel'!F$59*SUMIFS('4.3 Global SME Data'!$C$13:$C$18,'4.3 Global SME Data'!$B$13:$B$18,$C252)*1000000*(1+'1.1 Control Panel'!E$55-'1.1 Control Panel'!E$56)*(1+'1.1 Control Panel'!F$55-'1.1 Control Panel'!F$56)*SUMIFS('4.3 Global SME Data'!$C$21:$C$41,'4.3 Global SME Data'!$E$21:$E$41,$C$246)*SUMIFS('1.1 Control Panel'!F$125:F$130,'1.1 Control Panel'!C$125:C$130,$C252)*SUMIFS('1.1 Control Panel'!F$210:F$215,'1.1 Control Panel'!C$210:C$215,$C252)*SUMIFS('1.1 Control Panel'!F$295:F$300,'1.1 Control Panel'!C$295:C$300,$C252),0)</f>
        <v>2494</v>
      </c>
      <c r="G252" s="376">
        <f>ROUNDUP('1.1 Control Panel'!G$59*SUMIFS('4.3 Global SME Data'!$C$13:$C$18,'4.3 Global SME Data'!$B$13:$B$18,$C252)*1000000*(1+'1.1 Control Panel'!E$55-'1.1 Control Panel'!E$56)*(1+'1.1 Control Panel'!F$55-'1.1 Control Panel'!F$56)*(1+'1.1 Control Panel'!G$55-'1.1 Control Panel'!G$56)*SUMIFS('4.3 Global SME Data'!$C$21:$C$41,'4.3 Global SME Data'!$E$21:$E$41,$C$246)*SUMIFS('1.1 Control Panel'!G$125:G$130,'1.1 Control Panel'!C$125:C$130,$C252)*SUMIFS('1.1 Control Panel'!G$210:G$215,'1.1 Control Panel'!C$210:C$215,$C252)*SUMIFS('1.1 Control Panel'!G$295:G$300,'1.1 Control Panel'!C$295:C$300,$C252),0)</f>
        <v>2633</v>
      </c>
      <c r="H252" s="376">
        <f>ROUNDUP('1.1 Control Panel'!H$59*SUMIFS('4.3 Global SME Data'!$C$13:$C$18,'4.3 Global SME Data'!$B$13:$B$18,$C252)*1000000*(1+'1.1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Data'!$E$21:$E$41,$C$246)*SUMIFS('1.1 Control Panel'!H$125:H$130,'1.1 Control Panel'!C$125:C$130,$C252)*SUMIFS('1.1 Control Panel'!H$210:H$215,'1.1 Control Panel'!C$210:C$215,$C252)*SUMIFS('1.1 Control Panel'!H$295:H$300,'1.1 Control Panel'!C$295:C$300,$C252),0)</f>
        <v>2773</v>
      </c>
      <c r="J252" s="21"/>
    </row>
    <row r="253" spans="2:10" s="74" customFormat="1" ht="11.5" customHeight="1" x14ac:dyDescent="0.25">
      <c r="B253" s="99" t="s">
        <v>9</v>
      </c>
      <c r="C253" s="390" t="str">
        <f>'4.2 Sector Mapping'!$B$15</f>
        <v>Entertainment and Recreation</v>
      </c>
      <c r="D253" s="106" t="s">
        <v>162</v>
      </c>
      <c r="E253" s="380">
        <f>SUM(E254:E259)</f>
        <v>2435</v>
      </c>
      <c r="F253" s="380">
        <f t="shared" ref="F253:H253" si="71">SUM(F254:F259)</f>
        <v>2537</v>
      </c>
      <c r="G253" s="380">
        <f t="shared" si="71"/>
        <v>2710</v>
      </c>
      <c r="H253" s="380">
        <f t="shared" si="71"/>
        <v>2887</v>
      </c>
      <c r="J253" s="105"/>
    </row>
    <row r="254" spans="2:10" ht="11.5" customHeight="1" x14ac:dyDescent="0.25">
      <c r="C254" s="20" t="s">
        <v>600</v>
      </c>
      <c r="D254" s="34" t="s">
        <v>162</v>
      </c>
      <c r="E254" s="28">
        <f>ROUNDUP('1.1 Control Panel'!E$59*SUMIFS('4.3 Global SME Data'!$C$13:$C$18,'4.3 Global SME Data'!$B$13:$B$18,$C254)*1000000*(1+'1.1 Control Panel'!E$55-'1.1 Control Panel'!E$56)*SUMIFS('4.3 Global SME Data'!$C$21:$C$41,'4.3 Global SME Data'!$E$21:$E$41,$C$253)*SUMIFS('1.1 Control Panel'!E$132:E$137,'1.1 Control Panel'!C$132:C$137,$C254)*SUMIFS('1.1 Control Panel'!E$217:E$222,'1.1 Control Panel'!C$217:C$222,$C254)*SUMIFS('1.1 Control Panel'!E$302:E$307,'1.1 Control Panel'!C$302:C$307,$C254),0)</f>
        <v>1513</v>
      </c>
      <c r="F254" s="28">
        <f>ROUNDUP('1.1 Control Panel'!F$59*SUMIFS('4.3 Global SME Data'!$C$13:$C$18,'4.3 Global SME Data'!$B$13:$B$18,$C254)*1000000*(1+'1.1 Control Panel'!E$55-'1.1 Control Panel'!E$56)*(1+'1.1 Control Panel'!F$55-'1.1 Control Panel'!F$56)*SUMIFS('4.3 Global SME Data'!$C$21:$C$41,'4.3 Global SME Data'!$E$21:$E$41,$C$253)*SUMIFS('1.1 Control Panel'!F$132:F$137,'1.1 Control Panel'!C$132:C$137,$C254)*SUMIFS('1.1 Control Panel'!F$217:F$222,'1.1 Control Panel'!C$217:C$222,$C254)*SUMIFS('1.1 Control Panel'!F$302:F$307,'1.1 Control Panel'!C$302:C$307,$C254),0)</f>
        <v>1580</v>
      </c>
      <c r="G254" s="28">
        <f>ROUNDUP('1.1 Control Panel'!G$59*SUMIFS('4.3 Global SME Data'!$C$13:$C$18,'4.3 Global SME Data'!$B$13:$B$18,$C254)*1000000*(1+'1.1 Control Panel'!E$55-'1.1 Control Panel'!E$56)*(1+'1.1 Control Panel'!F$55-'1.1 Control Panel'!F$56)*(1+'1.1 Control Panel'!G$55-'1.1 Control Panel'!G$56)*SUMIFS('4.3 Global SME Data'!$C$21:$C$41,'4.3 Global SME Data'!$E$21:$E$41,$C$253)*SUMIFS('1.1 Control Panel'!G$132:G$137,'1.1 Control Panel'!C$132:C$137,$C254)*SUMIFS('1.1 Control Panel'!G$217:G$222,'1.1 Control Panel'!C$217:C$222,$C254)*SUMIFS('1.1 Control Panel'!G$302:G$307,'1.1 Control Panel'!C$302:C$307,$C254),0)</f>
        <v>1693</v>
      </c>
      <c r="H254" s="28">
        <f>ROUNDUP('1.1 Control Panel'!H$59*SUMIFS('4.3 Global SME Data'!$C$13:$C$18,'4.3 Global SME Data'!$B$13:$B$18,$C254)*1000000*(1+'1.1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Data'!$E$21:$E$41,$C$253)*SUMIFS('1.1 Control Panel'!H$132:H$137,'1.1 Control Panel'!C$132:C$137,$C254)*SUMIFS('1.1 Control Panel'!H$217:H$222,'1.1 Control Panel'!C$217:C$222,$C254)*SUMIFS('1.1 Control Panel'!H$302:H$307,'1.1 Control Panel'!C$302:C$307,$C254),0)</f>
        <v>1808</v>
      </c>
      <c r="J254" s="20"/>
    </row>
    <row r="255" spans="2:10" ht="11.5" customHeight="1" x14ac:dyDescent="0.25">
      <c r="C255" s="20" t="s">
        <v>392</v>
      </c>
      <c r="D255" s="34" t="s">
        <v>162</v>
      </c>
      <c r="E255" s="28">
        <f>ROUNDUP('1.1 Control Panel'!E$59*SUMIFS('4.3 Global SME Data'!$C$13:$C$18,'4.3 Global SME Data'!$B$13:$B$18,$C255)*1000000*(1+'1.1 Control Panel'!E$55-'1.1 Control Panel'!E$56)*SUMIFS('4.3 Global SME Data'!$C$21:$C$41,'4.3 Global SME Data'!$E$21:$E$41,$C$253)*SUMIFS('1.1 Control Panel'!E$132:E$137,'1.1 Control Panel'!C$132:C$137,$C255)*SUMIFS('1.1 Control Panel'!E$217:E$222,'1.1 Control Panel'!C$217:C$222,$C255)*SUMIFS('1.1 Control Panel'!E$302:E$307,'1.1 Control Panel'!C$302:C$307,$C255),0)</f>
        <v>69</v>
      </c>
      <c r="F255" s="28">
        <f>ROUNDUP('1.1 Control Panel'!F$59*SUMIFS('4.3 Global SME Data'!$C$13:$C$18,'4.3 Global SME Data'!$B$13:$B$18,$C255)*1000000*(1+'1.1 Control Panel'!E$55-'1.1 Control Panel'!E$56)*(1+'1.1 Control Panel'!F$55-'1.1 Control Panel'!F$56)*SUMIFS('4.3 Global SME Data'!$C$21:$C$41,'4.3 Global SME Data'!$E$21:$E$41,$C$253)*SUMIFS('1.1 Control Panel'!F$132:F$137,'1.1 Control Panel'!C$132:C$137,$C255)*SUMIFS('1.1 Control Panel'!F$217:F$222,'1.1 Control Panel'!C$217:C$222,$C255)*SUMIFS('1.1 Control Panel'!F$302:F$307,'1.1 Control Panel'!C$302:C$307,$C255),0)</f>
        <v>71</v>
      </c>
      <c r="G255" s="28">
        <f>ROUNDUP('1.1 Control Panel'!G$59*SUMIFS('4.3 Global SME Data'!$C$13:$C$18,'4.3 Global SME Data'!$B$13:$B$18,$C255)*1000000*(1+'1.1 Control Panel'!E$55-'1.1 Control Panel'!E$56)*(1+'1.1 Control Panel'!F$55-'1.1 Control Panel'!F$56)*(1+'1.1 Control Panel'!G$55-'1.1 Control Panel'!G$56)*SUMIFS('4.3 Global SME Data'!$C$21:$C$41,'4.3 Global SME Data'!$E$21:$E$41,$C$253)*SUMIFS('1.1 Control Panel'!G$132:G$137,'1.1 Control Panel'!C$132:C$137,$C255)*SUMIFS('1.1 Control Panel'!G$217:G$222,'1.1 Control Panel'!C$217:C$222,$C255)*SUMIFS('1.1 Control Panel'!G$302:G$307,'1.1 Control Panel'!C$302:C$307,$C255),0)</f>
        <v>75</v>
      </c>
      <c r="H255" s="28">
        <f>ROUNDUP('1.1 Control Panel'!H$59*SUMIFS('4.3 Global SME Data'!$C$13:$C$18,'4.3 Global SME Data'!$B$13:$B$18,$C255)*1000000*(1+'1.1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Data'!$E$21:$E$41,$C$253)*SUMIFS('1.1 Control Panel'!H$132:H$137,'1.1 Control Panel'!C$132:C$137,$C255)*SUMIFS('1.1 Control Panel'!H$217:H$222,'1.1 Control Panel'!C$217:C$222,$C255)*SUMIFS('1.1 Control Panel'!H$302:H$307,'1.1 Control Panel'!C$302:C$307,$C255),0)</f>
        <v>78</v>
      </c>
      <c r="J255" s="20"/>
    </row>
    <row r="256" spans="2:10" ht="11.5" customHeight="1" x14ac:dyDescent="0.25">
      <c r="C256" s="20" t="s">
        <v>454</v>
      </c>
      <c r="D256" s="34" t="s">
        <v>162</v>
      </c>
      <c r="E256" s="28">
        <f>ROUNDUP('1.1 Control Panel'!E$59*SUMIFS('4.3 Global SME Data'!$C$13:$C$18,'4.3 Global SME Data'!$B$13:$B$18,$C256)*1000000*(1+'1.1 Control Panel'!E$55-'1.1 Control Panel'!E$56)*SUMIFS('4.3 Global SME Data'!$C$21:$C$41,'4.3 Global SME Data'!$E$21:$E$41,$C$253)*SUMIFS('1.1 Control Panel'!E$132:E$137,'1.1 Control Panel'!C$132:C$137,$C256)*SUMIFS('1.1 Control Panel'!E$217:E$222,'1.1 Control Panel'!C$217:C$222,$C256)*SUMIFS('1.1 Control Panel'!E$302:E$307,'1.1 Control Panel'!C$302:C$307,$C256),0)</f>
        <v>63</v>
      </c>
      <c r="F256" s="28">
        <f>ROUNDUP('1.1 Control Panel'!F$59*SUMIFS('4.3 Global SME Data'!$C$13:$C$18,'4.3 Global SME Data'!$B$13:$B$18,$C256)*1000000*(1+'1.1 Control Panel'!E$55-'1.1 Control Panel'!E$56)*(1+'1.1 Control Panel'!F$55-'1.1 Control Panel'!F$56)*SUMIFS('4.3 Global SME Data'!$C$21:$C$41,'4.3 Global SME Data'!$E$21:$E$41,$C$253)*SUMIFS('1.1 Control Panel'!F$132:F$137,'1.1 Control Panel'!C$132:C$137,$C256)*SUMIFS('1.1 Control Panel'!F$217:F$222,'1.1 Control Panel'!C$217:C$222,$C256)*SUMIFS('1.1 Control Panel'!F$302:F$307,'1.1 Control Panel'!C$302:C$307,$C256),0)</f>
        <v>64</v>
      </c>
      <c r="G256" s="28">
        <f>ROUNDUP('1.1 Control Panel'!G$59*SUMIFS('4.3 Global SME Data'!$C$13:$C$18,'4.3 Global SME Data'!$B$13:$B$18,$C256)*1000000*(1+'1.1 Control Panel'!E$55-'1.1 Control Panel'!E$56)*(1+'1.1 Control Panel'!F$55-'1.1 Control Panel'!F$56)*(1+'1.1 Control Panel'!G$55-'1.1 Control Panel'!G$56)*SUMIFS('4.3 Global SME Data'!$C$21:$C$41,'4.3 Global SME Data'!$E$21:$E$41,$C$253)*SUMIFS('1.1 Control Panel'!G$132:G$137,'1.1 Control Panel'!C$132:C$137,$C256)*SUMIFS('1.1 Control Panel'!G$217:G$222,'1.1 Control Panel'!C$217:C$222,$C256)*SUMIFS('1.1 Control Panel'!G$302:G$307,'1.1 Control Panel'!C$302:C$307,$C256),0)</f>
        <v>66</v>
      </c>
      <c r="H256" s="28">
        <f>ROUNDUP('1.1 Control Panel'!H$59*SUMIFS('4.3 Global SME Data'!$C$13:$C$18,'4.3 Global SME Data'!$B$13:$B$18,$C256)*1000000*(1+'1.1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Data'!$E$21:$E$41,$C$253)*SUMIFS('1.1 Control Panel'!H$132:H$137,'1.1 Control Panel'!C$132:C$137,$C256)*SUMIFS('1.1 Control Panel'!H$217:H$222,'1.1 Control Panel'!C$217:C$222,$C256)*SUMIFS('1.1 Control Panel'!H$302:H$307,'1.1 Control Panel'!C$302:C$307,$C256),0)</f>
        <v>69</v>
      </c>
      <c r="J256" s="20"/>
    </row>
    <row r="257" spans="2:10" ht="11.5" customHeight="1" x14ac:dyDescent="0.25">
      <c r="C257" s="21" t="s">
        <v>455</v>
      </c>
      <c r="D257" s="38" t="s">
        <v>162</v>
      </c>
      <c r="E257" s="376">
        <f>ROUNDUP('1.1 Control Panel'!E$59*SUMIFS('4.3 Global SME Data'!$C$13:$C$18,'4.3 Global SME Data'!$B$13:$B$18,$C257)*1000000*(1+'1.1 Control Panel'!E$55-'1.1 Control Panel'!E$56)*SUMIFS('4.3 Global SME Data'!$C$21:$C$41,'4.3 Global SME Data'!$E$21:$E$41,$C$253)*SUMIFS('1.1 Control Panel'!E$132:E$137,'1.1 Control Panel'!C$132:C$137,$C257)*SUMIFS('1.1 Control Panel'!E$217:E$222,'1.1 Control Panel'!C$217:C$222,$C257)*SUMIFS('1.1 Control Panel'!E$302:E$307,'1.1 Control Panel'!C$302:C$307,$C257),0)</f>
        <v>328</v>
      </c>
      <c r="F257" s="376">
        <f>ROUNDUP('1.1 Control Panel'!F$59*SUMIFS('4.3 Global SME Data'!$C$13:$C$18,'4.3 Global SME Data'!$B$13:$B$18,$C257)*1000000*(1+'1.1 Control Panel'!E$55-'1.1 Control Panel'!E$56)*(1+'1.1 Control Panel'!F$55-'1.1 Control Panel'!F$56)*SUMIFS('4.3 Global SME Data'!$C$21:$C$41,'4.3 Global SME Data'!$E$21:$E$41,$C$253)*SUMIFS('1.1 Control Panel'!F$132:F$137,'1.1 Control Panel'!C$132:C$137,$C257)*SUMIFS('1.1 Control Panel'!F$217:F$222,'1.1 Control Panel'!C$217:C$222,$C257)*SUMIFS('1.1 Control Panel'!F$302:F$307,'1.1 Control Panel'!C$302:C$307,$C257),0)</f>
        <v>341</v>
      </c>
      <c r="G257" s="376">
        <f>ROUNDUP('1.1 Control Panel'!G$59*SUMIFS('4.3 Global SME Data'!$C$13:$C$18,'4.3 Global SME Data'!$B$13:$B$18,$C257)*1000000*(1+'1.1 Control Panel'!E$55-'1.1 Control Panel'!E$56)*(1+'1.1 Control Panel'!F$55-'1.1 Control Panel'!F$56)*(1+'1.1 Control Panel'!G$55-'1.1 Control Panel'!G$56)*SUMIFS('4.3 Global SME Data'!$C$21:$C$41,'4.3 Global SME Data'!$E$21:$E$41,$C$253)*SUMIFS('1.1 Control Panel'!G$132:G$137,'1.1 Control Panel'!C$132:C$137,$C257)*SUMIFS('1.1 Control Panel'!G$217:G$222,'1.1 Control Panel'!C$217:C$222,$C257)*SUMIFS('1.1 Control Panel'!G$302:G$307,'1.1 Control Panel'!C$302:C$307,$C257),0)</f>
        <v>363</v>
      </c>
      <c r="H257" s="376">
        <f>ROUNDUP('1.1 Control Panel'!H$59*SUMIFS('4.3 Global SME Data'!$C$13:$C$18,'4.3 Global SME Data'!$B$13:$B$18,$C257)*1000000*(1+'1.1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Data'!$E$21:$E$41,$C$253)*SUMIFS('1.1 Control Panel'!H$132:H$137,'1.1 Control Panel'!C$132:C$137,$C257)*SUMIFS('1.1 Control Panel'!H$217:H$222,'1.1 Control Panel'!C$217:C$222,$C257)*SUMIFS('1.1 Control Panel'!H$302:H$307,'1.1 Control Panel'!C$302:C$307,$C257),0)</f>
        <v>386</v>
      </c>
      <c r="J257" s="21"/>
    </row>
    <row r="258" spans="2:10" ht="11.5" customHeight="1" x14ac:dyDescent="0.25">
      <c r="C258" s="21" t="s">
        <v>393</v>
      </c>
      <c r="D258" s="38" t="s">
        <v>162</v>
      </c>
      <c r="E258" s="376">
        <f>ROUNDUP('1.1 Control Panel'!E$59*SUMIFS('4.3 Global SME Data'!$C$13:$C$18,'4.3 Global SME Data'!$B$13:$B$18,$C258)*1000000*(1+'1.1 Control Panel'!E$55-'1.1 Control Panel'!E$56)*SUMIFS('4.3 Global SME Data'!$C$21:$C$41,'4.3 Global SME Data'!$E$21:$E$41,$C$253)*SUMIFS('1.1 Control Panel'!E$132:E$137,'1.1 Control Panel'!C$132:C$137,$C258)*SUMIFS('1.1 Control Panel'!E$217:E$222,'1.1 Control Panel'!C$217:C$222,$C258)*SUMIFS('1.1 Control Panel'!E$302:E$307,'1.1 Control Panel'!C$302:C$307,$C258),0)</f>
        <v>371</v>
      </c>
      <c r="F258" s="376">
        <f>ROUNDUP('1.1 Control Panel'!F$59*SUMIFS('4.3 Global SME Data'!$C$13:$C$18,'4.3 Global SME Data'!$B$13:$B$18,$C258)*1000000*(1+'1.1 Control Panel'!E$55-'1.1 Control Panel'!E$56)*(1+'1.1 Control Panel'!F$55-'1.1 Control Panel'!F$56)*SUMIFS('4.3 Global SME Data'!$C$21:$C$41,'4.3 Global SME Data'!$E$21:$E$41,$C$253)*SUMIFS('1.1 Control Panel'!F$132:F$137,'1.1 Control Panel'!C$132:C$137,$C258)*SUMIFS('1.1 Control Panel'!F$217:F$222,'1.1 Control Panel'!C$217:C$222,$C258)*SUMIFS('1.1 Control Panel'!F$302:F$307,'1.1 Control Panel'!C$302:C$307,$C258),0)</f>
        <v>388</v>
      </c>
      <c r="G258" s="376">
        <f>ROUNDUP('1.1 Control Panel'!G$59*SUMIFS('4.3 Global SME Data'!$C$13:$C$18,'4.3 Global SME Data'!$B$13:$B$18,$C258)*1000000*(1+'1.1 Control Panel'!E$55-'1.1 Control Panel'!E$56)*(1+'1.1 Control Panel'!F$55-'1.1 Control Panel'!F$56)*(1+'1.1 Control Panel'!G$55-'1.1 Control Panel'!G$56)*SUMIFS('4.3 Global SME Data'!$C$21:$C$41,'4.3 Global SME Data'!$E$21:$E$41,$C$253)*SUMIFS('1.1 Control Panel'!G$132:G$137,'1.1 Control Panel'!C$132:C$137,$C258)*SUMIFS('1.1 Control Panel'!G$217:G$222,'1.1 Control Panel'!C$217:C$222,$C258)*SUMIFS('1.1 Control Panel'!G$302:G$307,'1.1 Control Panel'!C$302:C$307,$C258),0)</f>
        <v>417</v>
      </c>
      <c r="H258" s="376">
        <f>ROUNDUP('1.1 Control Panel'!H$59*SUMIFS('4.3 Global SME Data'!$C$13:$C$18,'4.3 Global SME Data'!$B$13:$B$18,$C258)*1000000*(1+'1.1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Data'!$E$21:$E$41,$C$253)*SUMIFS('1.1 Control Panel'!H$132:H$137,'1.1 Control Panel'!C$132:C$137,$C258)*SUMIFS('1.1 Control Panel'!H$217:H$222,'1.1 Control Panel'!C$217:C$222,$C258)*SUMIFS('1.1 Control Panel'!H$302:H$307,'1.1 Control Panel'!C$302:C$307,$C258),0)</f>
        <v>446</v>
      </c>
      <c r="J258" s="21"/>
    </row>
    <row r="259" spans="2:10" ht="11.5" customHeight="1" x14ac:dyDescent="0.25">
      <c r="C259" s="21" t="s">
        <v>456</v>
      </c>
      <c r="D259" s="38" t="s">
        <v>162</v>
      </c>
      <c r="E259" s="376">
        <f>ROUNDUP('1.1 Control Panel'!E$59*SUMIFS('4.3 Global SME Data'!$C$13:$C$18,'4.3 Global SME Data'!$B$13:$B$18,$C259)*1000000*(1+'1.1 Control Panel'!E$55-'1.1 Control Panel'!E$56)*SUMIFS('4.3 Global SME Data'!$C$21:$C$41,'4.3 Global SME Data'!$E$21:$E$41,$C$253)*SUMIFS('1.1 Control Panel'!E$132:E$137,'1.1 Control Panel'!C$132:C$137,$C259)*SUMIFS('1.1 Control Panel'!E$217:E$222,'1.1 Control Panel'!C$217:C$222,$C259)*SUMIFS('1.1 Control Panel'!E$302:E$307,'1.1 Control Panel'!C$302:C$307,$C259),0)</f>
        <v>91</v>
      </c>
      <c r="F259" s="376">
        <f>ROUNDUP('1.1 Control Panel'!F$59*SUMIFS('4.3 Global SME Data'!$C$13:$C$18,'4.3 Global SME Data'!$B$13:$B$18,$C259)*1000000*(1+'1.1 Control Panel'!E$55-'1.1 Control Panel'!E$56)*(1+'1.1 Control Panel'!F$55-'1.1 Control Panel'!F$56)*SUMIFS('4.3 Global SME Data'!$C$21:$C$41,'4.3 Global SME Data'!$E$21:$E$41,$C$253)*SUMIFS('1.1 Control Panel'!F$132:F$137,'1.1 Control Panel'!C$132:C$137,$C259)*SUMIFS('1.1 Control Panel'!F$217:F$222,'1.1 Control Panel'!C$217:C$222,$C259)*SUMIFS('1.1 Control Panel'!F$302:F$307,'1.1 Control Panel'!C$302:C$307,$C259),0)</f>
        <v>93</v>
      </c>
      <c r="G259" s="376">
        <f>ROUNDUP('1.1 Control Panel'!G$59*SUMIFS('4.3 Global SME Data'!$C$13:$C$18,'4.3 Global SME Data'!$B$13:$B$18,$C259)*1000000*(1+'1.1 Control Panel'!E$55-'1.1 Control Panel'!E$56)*(1+'1.1 Control Panel'!F$55-'1.1 Control Panel'!F$56)*(1+'1.1 Control Panel'!G$55-'1.1 Control Panel'!G$56)*SUMIFS('4.3 Global SME Data'!$C$21:$C$41,'4.3 Global SME Data'!$E$21:$E$41,$C$253)*SUMIFS('1.1 Control Panel'!G$132:G$137,'1.1 Control Panel'!C$132:C$137,$C259)*SUMIFS('1.1 Control Panel'!G$217:G$222,'1.1 Control Panel'!C$217:C$222,$C259)*SUMIFS('1.1 Control Panel'!G$302:G$307,'1.1 Control Panel'!C$302:C$307,$C259),0)</f>
        <v>96</v>
      </c>
      <c r="H259" s="376">
        <f>ROUNDUP('1.1 Control Panel'!H$59*SUMIFS('4.3 Global SME Data'!$C$13:$C$18,'4.3 Global SME Data'!$B$13:$B$18,$C259)*1000000*(1+'1.1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Data'!$E$21:$E$41,$C$253)*SUMIFS('1.1 Control Panel'!H$132:H$137,'1.1 Control Panel'!C$132:C$137,$C259)*SUMIFS('1.1 Control Panel'!H$217:H$222,'1.1 Control Panel'!C$217:C$222,$C259)*SUMIFS('1.1 Control Panel'!H$302:H$307,'1.1 Control Panel'!C$302:C$307,$C259),0)</f>
        <v>100</v>
      </c>
      <c r="J259" s="21"/>
    </row>
    <row r="260" spans="2:10" s="74" customFormat="1" ht="11.5" customHeight="1" x14ac:dyDescent="0.25">
      <c r="B260" s="99" t="s">
        <v>9</v>
      </c>
      <c r="C260" s="105" t="str">
        <f>'4.2 Sector Mapping'!$B$16</f>
        <v>Transportation and Services</v>
      </c>
      <c r="D260" s="106" t="s">
        <v>162</v>
      </c>
      <c r="E260" s="380">
        <f>SUM(E261:E266)</f>
        <v>11090</v>
      </c>
      <c r="F260" s="380">
        <f t="shared" ref="F260:H260" si="72">SUM(F261:F266)</f>
        <v>11741</v>
      </c>
      <c r="G260" s="380">
        <f t="shared" si="72"/>
        <v>12862</v>
      </c>
      <c r="H260" s="380">
        <f t="shared" si="72"/>
        <v>14026</v>
      </c>
      <c r="J260" s="105"/>
    </row>
    <row r="261" spans="2:10" ht="11.5" customHeight="1" x14ac:dyDescent="0.25">
      <c r="C261" s="20" t="s">
        <v>600</v>
      </c>
      <c r="D261" s="34" t="s">
        <v>162</v>
      </c>
      <c r="E261" s="28">
        <f>ROUNDUP('1.1 Control Panel'!E$59*SUMIFS('4.3 Global SME Data'!$C$13:$C$18,'4.3 Global SME Data'!$B$13:$B$18,$C261)*1000000*(1+'1.1 Control Panel'!E$55-'1.1 Control Panel'!E$56)*SUMIFS('4.3 Global SME Data'!$C$21:$C$41,'4.3 Global SME Data'!$E$21:$E$41,$C$260)*SUMIFS('1.1 Control Panel'!E$139:E$144,'1.1 Control Panel'!C$139:C$144,$C261)*SUMIFS('1.1 Control Panel'!E$224:E$229,'1.1 Control Panel'!C$224:C$229,$C261)*SUMIFS('1.1 Control Panel'!E$309:E$314,'1.1 Control Panel'!C$309:C$314,$C261),0)</f>
        <v>5735</v>
      </c>
      <c r="F261" s="28">
        <f>ROUNDUP('1.1 Control Panel'!F$59*SUMIFS('4.3 Global SME Data'!$C$13:$C$18,'4.3 Global SME Data'!$B$13:$B$18,$C261)*1000000*(1+'1.1 Control Panel'!E$55-'1.1 Control Panel'!E$56)*(1+'1.1 Control Panel'!F$55-'1.1 Control Panel'!F$56)*SUMIFS('4.3 Global SME Data'!$C$21:$C$41,'4.3 Global SME Data'!$E$21:$E$41,$C$260)*SUMIFS('1.1 Control Panel'!F$139:F$144,'1.1 Control Panel'!C$139:C$144,$C261)*SUMIFS('1.1 Control Panel'!F$224:F$229,'1.1 Control Panel'!C$224:C$229,$C261)*SUMIFS('1.1 Control Panel'!F$309:F$314,'1.1 Control Panel'!C$309:C$314,$C261),0)</f>
        <v>6125</v>
      </c>
      <c r="G261" s="28">
        <f>ROUNDUP('1.1 Control Panel'!G$59*SUMIFS('4.3 Global SME Data'!$C$13:$C$18,'4.3 Global SME Data'!$B$13:$B$18,$C261)*1000000*(1+'1.1 Control Panel'!E$55-'1.1 Control Panel'!E$56)*(1+'1.1 Control Panel'!F$55-'1.1 Control Panel'!F$56)*(1+'1.1 Control Panel'!G$55-'1.1 Control Panel'!G$56)*SUMIFS('4.3 Global SME Data'!$C$21:$C$41,'4.3 Global SME Data'!$E$21:$E$41,$C$260)*SUMIFS('1.1 Control Panel'!G$139:G$144,'1.1 Control Panel'!C$139:C$144,$C261)*SUMIFS('1.1 Control Panel'!G$224:G$229,'1.1 Control Panel'!C$224:C$229,$C261)*SUMIFS('1.1 Control Panel'!G$309:G$314,'1.1 Control Panel'!C$309:C$314,$C261),0)</f>
        <v>6800</v>
      </c>
      <c r="H261" s="28">
        <f>ROUNDUP('1.1 Control Panel'!H$59*SUMIFS('4.3 Global SME Data'!$C$13:$C$18,'4.3 Global SME Data'!$B$13:$B$18,$C261)*1000000*(1+'1.1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Data'!$E$21:$E$41,$C$260)*SUMIFS('1.1 Control Panel'!H$139:H$144,'1.1 Control Panel'!C$139:C$144,$C261)*SUMIFS('1.1 Control Panel'!H$224:H$229,'1.1 Control Panel'!C$224:C$229,$C261)*SUMIFS('1.1 Control Panel'!H$309:H$314,'1.1 Control Panel'!C$309:C$314,$C261),0)</f>
        <v>7505</v>
      </c>
      <c r="J261" s="20"/>
    </row>
    <row r="262" spans="2:10" ht="11.5" customHeight="1" x14ac:dyDescent="0.25">
      <c r="C262" s="20" t="s">
        <v>392</v>
      </c>
      <c r="D262" s="34" t="s">
        <v>162</v>
      </c>
      <c r="E262" s="28">
        <f>ROUNDUP('1.1 Control Panel'!E$59*SUMIFS('4.3 Global SME Data'!$C$13:$C$18,'4.3 Global SME Data'!$B$13:$B$18,$C262)*1000000*(1+'1.1 Control Panel'!E$55-'1.1 Control Panel'!E$56)*SUMIFS('4.3 Global SME Data'!$C$21:$C$41,'4.3 Global SME Data'!$E$21:$E$41,$C$260)*SUMIFS('1.1 Control Panel'!E$139:E$144,'1.1 Control Panel'!C$139:C$144,$C262)*SUMIFS('1.1 Control Panel'!E$224:E$229,'1.1 Control Panel'!C$224:C$229,$C262)*SUMIFS('1.1 Control Panel'!E$309:E$314,'1.1 Control Panel'!C$309:C$314,$C262),0)</f>
        <v>379</v>
      </c>
      <c r="F262" s="28">
        <f>ROUNDUP('1.1 Control Panel'!F$59*SUMIFS('4.3 Global SME Data'!$C$13:$C$18,'4.3 Global SME Data'!$B$13:$B$18,$C262)*1000000*(1+'1.1 Control Panel'!E$55-'1.1 Control Panel'!E$56)*(1+'1.1 Control Panel'!F$55-'1.1 Control Panel'!F$56)*SUMIFS('4.3 Global SME Data'!$C$21:$C$41,'4.3 Global SME Data'!$E$21:$E$41,$C$260)*SUMIFS('1.1 Control Panel'!F$139:F$144,'1.1 Control Panel'!C$139:C$144,$C262)*SUMIFS('1.1 Control Panel'!F$224:F$229,'1.1 Control Panel'!C$224:C$229,$C262)*SUMIFS('1.1 Control Panel'!F$309:F$314,'1.1 Control Panel'!C$309:C$314,$C262),0)</f>
        <v>394</v>
      </c>
      <c r="G262" s="28">
        <f>ROUNDUP('1.1 Control Panel'!G$59*SUMIFS('4.3 Global SME Data'!$C$13:$C$18,'4.3 Global SME Data'!$B$13:$B$18,$C262)*1000000*(1+'1.1 Control Panel'!E$55-'1.1 Control Panel'!E$56)*(1+'1.1 Control Panel'!F$55-'1.1 Control Panel'!F$56)*(1+'1.1 Control Panel'!G$55-'1.1 Control Panel'!G$56)*SUMIFS('4.3 Global SME Data'!$C$21:$C$41,'4.3 Global SME Data'!$E$21:$E$41,$C$260)*SUMIFS('1.1 Control Panel'!G$139:G$144,'1.1 Control Panel'!C$139:C$144,$C262)*SUMIFS('1.1 Control Panel'!G$224:G$229,'1.1 Control Panel'!C$224:C$229,$C262)*SUMIFS('1.1 Control Panel'!G$309:G$314,'1.1 Control Panel'!C$309:C$314,$C262),0)</f>
        <v>419</v>
      </c>
      <c r="H262" s="28">
        <f>ROUNDUP('1.1 Control Panel'!H$59*SUMIFS('4.3 Global SME Data'!$C$13:$C$18,'4.3 Global SME Data'!$B$13:$B$18,$C262)*1000000*(1+'1.1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Data'!$E$21:$E$41,$C$260)*SUMIFS('1.1 Control Panel'!H$139:H$144,'1.1 Control Panel'!C$139:C$144,$C262)*SUMIFS('1.1 Control Panel'!H$224:H$229,'1.1 Control Panel'!C$224:C$229,$C262)*SUMIFS('1.1 Control Panel'!H$309:H$314,'1.1 Control Panel'!C$309:C$314,$C262),0)</f>
        <v>445</v>
      </c>
      <c r="J262" s="20"/>
    </row>
    <row r="263" spans="2:10" ht="11.5" customHeight="1" x14ac:dyDescent="0.25">
      <c r="C263" s="20" t="s">
        <v>454</v>
      </c>
      <c r="D263" s="34" t="s">
        <v>162</v>
      </c>
      <c r="E263" s="28">
        <f>ROUNDUP('1.1 Control Panel'!E$59*SUMIFS('4.3 Global SME Data'!$C$13:$C$18,'4.3 Global SME Data'!$B$13:$B$18,$C263)*1000000*(1+'1.1 Control Panel'!E$55-'1.1 Control Panel'!E$56)*SUMIFS('4.3 Global SME Data'!$C$21:$C$41,'4.3 Global SME Data'!$E$21:$E$41,$C$260)*SUMIFS('1.1 Control Panel'!E$139:E$144,'1.1 Control Panel'!C$139:C$144,$C263)*SUMIFS('1.1 Control Panel'!E$224:E$229,'1.1 Control Panel'!C$224:C$229,$C263)*SUMIFS('1.1 Control Panel'!E$309:E$314,'1.1 Control Panel'!C$309:C$314,$C263),0)</f>
        <v>258</v>
      </c>
      <c r="F263" s="28">
        <f>ROUNDUP('1.1 Control Panel'!F$59*SUMIFS('4.3 Global SME Data'!$C$13:$C$18,'4.3 Global SME Data'!$B$13:$B$18,$C263)*1000000*(1+'1.1 Control Panel'!E$55-'1.1 Control Panel'!E$56)*(1+'1.1 Control Panel'!F$55-'1.1 Control Panel'!F$56)*SUMIFS('4.3 Global SME Data'!$C$21:$C$41,'4.3 Global SME Data'!$E$21:$E$41,$C$260)*SUMIFS('1.1 Control Panel'!F$139:F$144,'1.1 Control Panel'!C$139:C$144,$C263)*SUMIFS('1.1 Control Panel'!F$224:F$229,'1.1 Control Panel'!C$224:C$229,$C263)*SUMIFS('1.1 Control Panel'!F$309:F$314,'1.1 Control Panel'!C$309:C$314,$C263),0)</f>
        <v>266</v>
      </c>
      <c r="G263" s="28">
        <f>ROUNDUP('1.1 Control Panel'!G$59*SUMIFS('4.3 Global SME Data'!$C$13:$C$18,'4.3 Global SME Data'!$B$13:$B$18,$C263)*1000000*(1+'1.1 Control Panel'!E$55-'1.1 Control Panel'!E$56)*(1+'1.1 Control Panel'!F$55-'1.1 Control Panel'!F$56)*(1+'1.1 Control Panel'!G$55-'1.1 Control Panel'!G$56)*SUMIFS('4.3 Global SME Data'!$C$21:$C$41,'4.3 Global SME Data'!$E$21:$E$41,$C$260)*SUMIFS('1.1 Control Panel'!G$139:G$144,'1.1 Control Panel'!C$139:C$144,$C263)*SUMIFS('1.1 Control Panel'!G$224:G$229,'1.1 Control Panel'!C$224:C$229,$C263)*SUMIFS('1.1 Control Panel'!G$309:G$314,'1.1 Control Panel'!C$309:C$314,$C263),0)</f>
        <v>280</v>
      </c>
      <c r="H263" s="28">
        <f>ROUNDUP('1.1 Control Panel'!H$59*SUMIFS('4.3 Global SME Data'!$C$13:$C$18,'4.3 Global SME Data'!$B$13:$B$18,$C263)*1000000*(1+'1.1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Data'!$E$21:$E$41,$C$260)*SUMIFS('1.1 Control Panel'!H$139:H$144,'1.1 Control Panel'!C$139:C$144,$C263)*SUMIFS('1.1 Control Panel'!H$224:H$229,'1.1 Control Panel'!C$224:C$229,$C263)*SUMIFS('1.1 Control Panel'!H$309:H$314,'1.1 Control Panel'!C$309:C$314,$C263),0)</f>
        <v>294</v>
      </c>
      <c r="J263" s="20"/>
    </row>
    <row r="264" spans="2:10" ht="11.5" customHeight="1" x14ac:dyDescent="0.25">
      <c r="C264" s="21" t="s">
        <v>455</v>
      </c>
      <c r="D264" s="38" t="s">
        <v>162</v>
      </c>
      <c r="E264" s="376">
        <f>ROUNDUP('1.1 Control Panel'!E$59*SUMIFS('4.3 Global SME Data'!$C$13:$C$18,'4.3 Global SME Data'!$B$13:$B$18,$C264)*1000000*(1+'1.1 Control Panel'!E$55-'1.1 Control Panel'!E$56)*SUMIFS('4.3 Global SME Data'!$C$21:$C$41,'4.3 Global SME Data'!$E$21:$E$41,$C$260)*SUMIFS('1.1 Control Panel'!E$139:E$144,'1.1 Control Panel'!C$139:C$144,$C264)*SUMIFS('1.1 Control Panel'!E$224:E$229,'1.1 Control Panel'!C$224:C$229,$C264)*SUMIFS('1.1 Control Panel'!E$309:E$314,'1.1 Control Panel'!C$309:C$314,$C264),0)</f>
        <v>1547</v>
      </c>
      <c r="F264" s="376">
        <f>ROUNDUP('1.1 Control Panel'!F$59*SUMIFS('4.3 Global SME Data'!$C$13:$C$18,'4.3 Global SME Data'!$B$13:$B$18,$C264)*1000000*(1+'1.1 Control Panel'!E$55-'1.1 Control Panel'!E$56)*(1+'1.1 Control Panel'!F$55-'1.1 Control Panel'!F$56)*SUMIFS('4.3 Global SME Data'!$C$21:$C$41,'4.3 Global SME Data'!$E$21:$E$41,$C$260)*SUMIFS('1.1 Control Panel'!F$139:F$144,'1.1 Control Panel'!C$139:C$144,$C264)*SUMIFS('1.1 Control Panel'!F$224:F$229,'1.1 Control Panel'!C$224:C$229,$C264)*SUMIFS('1.1 Control Panel'!F$309:F$314,'1.1 Control Panel'!C$309:C$314,$C264),0)</f>
        <v>1632</v>
      </c>
      <c r="G264" s="376">
        <f>ROUNDUP('1.1 Control Panel'!G$59*SUMIFS('4.3 Global SME Data'!$C$13:$C$18,'4.3 Global SME Data'!$B$13:$B$18,$C264)*1000000*(1+'1.1 Control Panel'!E$55-'1.1 Control Panel'!E$56)*(1+'1.1 Control Panel'!F$55-'1.1 Control Panel'!F$56)*(1+'1.1 Control Panel'!G$55-'1.1 Control Panel'!G$56)*SUMIFS('4.3 Global SME Data'!$C$21:$C$41,'4.3 Global SME Data'!$E$21:$E$41,$C$260)*SUMIFS('1.1 Control Panel'!G$139:G$144,'1.1 Control Panel'!C$139:C$144,$C264)*SUMIFS('1.1 Control Panel'!G$224:G$229,'1.1 Control Panel'!C$224:C$229,$C264)*SUMIFS('1.1 Control Panel'!G$309:G$314,'1.1 Control Panel'!C$309:C$314,$C264),0)</f>
        <v>1778</v>
      </c>
      <c r="H264" s="376">
        <f>ROUNDUP('1.1 Control Panel'!H$59*SUMIFS('4.3 Global SME Data'!$C$13:$C$18,'4.3 Global SME Data'!$B$13:$B$18,$C264)*1000000*(1+'1.1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Data'!$E$21:$E$41,$C$260)*SUMIFS('1.1 Control Panel'!H$139:H$144,'1.1 Control Panel'!C$139:C$144,$C264)*SUMIFS('1.1 Control Panel'!H$224:H$229,'1.1 Control Panel'!C$224:C$229,$C264)*SUMIFS('1.1 Control Panel'!H$309:H$314,'1.1 Control Panel'!C$309:C$314,$C264),0)</f>
        <v>1930</v>
      </c>
      <c r="J264" s="21"/>
    </row>
    <row r="265" spans="2:10" ht="11.5" customHeight="1" x14ac:dyDescent="0.25">
      <c r="C265" s="21" t="s">
        <v>393</v>
      </c>
      <c r="D265" s="38" t="s">
        <v>162</v>
      </c>
      <c r="E265" s="376">
        <f>ROUNDUP('1.1 Control Panel'!E$59*SUMIFS('4.3 Global SME Data'!$C$13:$C$18,'4.3 Global SME Data'!$B$13:$B$18,$C265)*1000000*(1+'1.1 Control Panel'!E$55-'1.1 Control Panel'!E$56)*SUMIFS('4.3 Global SME Data'!$C$21:$C$41,'4.3 Global SME Data'!$E$21:$E$41,$C$260)*SUMIFS('1.1 Control Panel'!E$139:E$144,'1.1 Control Panel'!C$139:C$144,$C265)*SUMIFS('1.1 Control Panel'!E$224:E$229,'1.1 Control Panel'!C$224:C$229,$C265)*SUMIFS('1.1 Control Panel'!E$309:E$314,'1.1 Control Panel'!C$309:C$314,$C265),0)</f>
        <v>2777</v>
      </c>
      <c r="F265" s="376">
        <f>ROUNDUP('1.1 Control Panel'!F$59*SUMIFS('4.3 Global SME Data'!$C$13:$C$18,'4.3 Global SME Data'!$B$13:$B$18,$C265)*1000000*(1+'1.1 Control Panel'!E$55-'1.1 Control Panel'!E$56)*(1+'1.1 Control Panel'!F$55-'1.1 Control Panel'!F$56)*SUMIFS('4.3 Global SME Data'!$C$21:$C$41,'4.3 Global SME Data'!$E$21:$E$41,$C$260)*SUMIFS('1.1 Control Panel'!F$139:F$144,'1.1 Control Panel'!C$139:C$144,$C265)*SUMIFS('1.1 Control Panel'!F$224:F$229,'1.1 Control Panel'!C$224:C$229,$C265)*SUMIFS('1.1 Control Panel'!F$309:F$314,'1.1 Control Panel'!C$309:C$314,$C265),0)</f>
        <v>2917</v>
      </c>
      <c r="G265" s="376">
        <f>ROUNDUP('1.1 Control Panel'!G$59*SUMIFS('4.3 Global SME Data'!$C$13:$C$18,'4.3 Global SME Data'!$B$13:$B$18,$C265)*1000000*(1+'1.1 Control Panel'!E$55-'1.1 Control Panel'!E$56)*(1+'1.1 Control Panel'!F$55-'1.1 Control Panel'!F$56)*(1+'1.1 Control Panel'!G$55-'1.1 Control Panel'!G$56)*SUMIFS('4.3 Global SME Data'!$C$21:$C$41,'4.3 Global SME Data'!$E$21:$E$41,$C$260)*SUMIFS('1.1 Control Panel'!G$139:G$144,'1.1 Control Panel'!C$139:C$144,$C265)*SUMIFS('1.1 Control Panel'!G$224:G$229,'1.1 Control Panel'!C$224:C$229,$C265)*SUMIFS('1.1 Control Panel'!G$309:G$314,'1.1 Control Panel'!C$309:C$314,$C265),0)</f>
        <v>3156</v>
      </c>
      <c r="H265" s="376">
        <f>ROUNDUP('1.1 Control Panel'!H$59*SUMIFS('4.3 Global SME Data'!$C$13:$C$18,'4.3 Global SME Data'!$B$13:$B$18,$C265)*1000000*(1+'1.1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Data'!$E$21:$E$41,$C$260)*SUMIFS('1.1 Control Panel'!H$139:H$144,'1.1 Control Panel'!C$139:C$144,$C265)*SUMIFS('1.1 Control Panel'!H$224:H$229,'1.1 Control Panel'!C$224:C$229,$C265)*SUMIFS('1.1 Control Panel'!H$309:H$314,'1.1 Control Panel'!C$309:C$314,$C265),0)</f>
        <v>3401</v>
      </c>
      <c r="J265" s="21"/>
    </row>
    <row r="266" spans="2:10" ht="11.5" customHeight="1" x14ac:dyDescent="0.25">
      <c r="C266" s="21" t="s">
        <v>456</v>
      </c>
      <c r="D266" s="38" t="s">
        <v>162</v>
      </c>
      <c r="E266" s="376">
        <f>ROUNDUP('1.1 Control Panel'!E$59*SUMIFS('4.3 Global SME Data'!$C$13:$C$18,'4.3 Global SME Data'!$B$13:$B$18,$C266)*1000000*(1+'1.1 Control Panel'!E$55-'1.1 Control Panel'!E$56)*SUMIFS('4.3 Global SME Data'!$C$21:$C$41,'4.3 Global SME Data'!$E$21:$E$41,$C$260)*SUMIFS('1.1 Control Panel'!E$139:E$144,'1.1 Control Panel'!C$139:C$144,$C266)*SUMIFS('1.1 Control Panel'!E$224:E$229,'1.1 Control Panel'!C$224:C$229,$C266)*SUMIFS('1.1 Control Panel'!E$309:E$314,'1.1 Control Panel'!C$309:C$314,$C266),0)</f>
        <v>394</v>
      </c>
      <c r="F266" s="376">
        <f>ROUNDUP('1.1 Control Panel'!F$59*SUMIFS('4.3 Global SME Data'!$C$13:$C$18,'4.3 Global SME Data'!$B$13:$B$18,$C266)*1000000*(1+'1.1 Control Panel'!E$55-'1.1 Control Panel'!E$56)*(1+'1.1 Control Panel'!F$55-'1.1 Control Panel'!F$56)*SUMIFS('4.3 Global SME Data'!$C$21:$C$41,'4.3 Global SME Data'!$E$21:$E$41,$C$260)*SUMIFS('1.1 Control Panel'!F$139:F$144,'1.1 Control Panel'!C$139:C$144,$C266)*SUMIFS('1.1 Control Panel'!F$224:F$229,'1.1 Control Panel'!C$224:C$229,$C266)*SUMIFS('1.1 Control Panel'!F$309:F$314,'1.1 Control Panel'!C$309:C$314,$C266),0)</f>
        <v>407</v>
      </c>
      <c r="G266" s="376">
        <f>ROUNDUP('1.1 Control Panel'!G$59*SUMIFS('4.3 Global SME Data'!$C$13:$C$18,'4.3 Global SME Data'!$B$13:$B$18,$C266)*1000000*(1+'1.1 Control Panel'!E$55-'1.1 Control Panel'!E$56)*(1+'1.1 Control Panel'!F$55-'1.1 Control Panel'!F$56)*(1+'1.1 Control Panel'!G$55-'1.1 Control Panel'!G$56)*SUMIFS('4.3 Global SME Data'!$C$21:$C$41,'4.3 Global SME Data'!$E$21:$E$41,$C$260)*SUMIFS('1.1 Control Panel'!G$139:G$144,'1.1 Control Panel'!C$139:C$144,$C266)*SUMIFS('1.1 Control Panel'!G$224:G$229,'1.1 Control Panel'!C$224:C$229,$C266)*SUMIFS('1.1 Control Panel'!G$309:G$314,'1.1 Control Panel'!C$309:C$314,$C266),0)</f>
        <v>429</v>
      </c>
      <c r="H266" s="376">
        <f>ROUNDUP('1.1 Control Panel'!H$59*SUMIFS('4.3 Global SME Data'!$C$13:$C$18,'4.3 Global SME Data'!$B$13:$B$18,$C266)*1000000*(1+'1.1 Control Panel'!E$55-'1.1 Control Panel'!E$56)*(1+'1.1 Control Panel'!F$55-'1.1 Control Panel'!F$56)*(1+'1.1 Control Panel'!G$55-'1.1 Control Panel'!G$56)*(1+'1.1 Control Panel'!H$55-'1.1 Control Panel'!H$56)*SUMIFS('4.3 Global SME Data'!$C$21:$C$41,'4.3 Global SME Data'!$E$21:$E$41,$C$260)*SUMIFS('1.1 Control Panel'!H$139:H$144,'1.1 Control Panel'!C$139:C$144,$C266)*SUMIFS('1.1 Control Panel'!H$224:H$229,'1.1 Control Panel'!C$224:C$229,$C266)*SUMIFS('1.1 Control Panel'!H$309:H$314,'1.1 Control Panel'!C$309:C$314,$C266),0)</f>
        <v>451</v>
      </c>
      <c r="J266" s="21"/>
    </row>
    <row r="267" spans="2:10" ht="11.5" customHeight="1" x14ac:dyDescent="0.25">
      <c r="B267" s="99" t="s">
        <v>9</v>
      </c>
      <c r="C267" s="267" t="s">
        <v>432</v>
      </c>
      <c r="D267" s="271" t="s">
        <v>162</v>
      </c>
      <c r="E267" s="379">
        <f>E268+E275+E282+E289+E296+E303+E310+E317+E324+E331+E338+E345</f>
        <v>25188</v>
      </c>
      <c r="F267" s="379">
        <f t="shared" ref="F267" si="73">F268+F275+F282+F289+F296+F303+F310+F317+F324+F331+F338+F345</f>
        <v>26495</v>
      </c>
      <c r="G267" s="379">
        <f t="shared" ref="G267" si="74">G268+G275+G282+G289+G296+G303+G310+G317+G324+G331+G338+G345</f>
        <v>28730</v>
      </c>
      <c r="H267" s="379">
        <f t="shared" ref="H267" si="75">H268+H275+H282+H289+H296+H303+H310+H317+H324+H331+H338+H345</f>
        <v>31040</v>
      </c>
      <c r="J267" s="268"/>
    </row>
    <row r="268" spans="2:10" s="74" customFormat="1" ht="11.5" customHeight="1" x14ac:dyDescent="0.25">
      <c r="B268" s="99" t="s">
        <v>9</v>
      </c>
      <c r="C268" s="105" t="str">
        <f>'4.2 Sector Mapping'!$B$5</f>
        <v>Agriculture</v>
      </c>
      <c r="D268" s="106" t="s">
        <v>162</v>
      </c>
      <c r="E268" s="380">
        <f>SUM(E269:E274)</f>
        <v>73</v>
      </c>
      <c r="F268" s="380">
        <f t="shared" ref="F268" si="76">SUM(F269:F274)</f>
        <v>84</v>
      </c>
      <c r="G268" s="380">
        <f t="shared" ref="G268" si="77">SUM(G269:G274)</f>
        <v>102</v>
      </c>
      <c r="H268" s="380">
        <f t="shared" ref="H268" si="78">SUM(H269:H274)</f>
        <v>122</v>
      </c>
      <c r="J268" s="105"/>
    </row>
    <row r="269" spans="2:10" ht="11.5" customHeight="1" x14ac:dyDescent="0.25">
      <c r="C269" s="20" t="s">
        <v>600</v>
      </c>
      <c r="D269" s="34" t="s">
        <v>162</v>
      </c>
      <c r="E269" s="28">
        <f>ROUNDUP(SUMIFS('4.3 Global SME Data'!$C$88:$C$93,'4.3 Global SME Data'!$B$88:$B$93,$C269)*SUMIFS('4.3 Global SME Data'!$C$96:$C$107,'4.3 Global SME Data'!$B$96:$B$107,$C$268)*(1+'1.1 Control Panel'!E$55-'1.1 Control Panel'!E$56)*SUMIFS('1.1 Control Panel'!E$62:E$67,'1.1 Control Panel'!C$62:C$67,$C269)*SUMIFS('1.1 Control Panel'!E$147:E$152,'1.1 Control Panel'!C$147:C$152,$C269)*SUMIFS('1.1 Control Panel'!E$232:E$237,'1.1 Control Panel'!C$232:C$237,$C269),0)</f>
        <v>27</v>
      </c>
      <c r="F269" s="28">
        <f>ROUNDUP(SUMIFS('4.3 Global SME Data'!$C$88:$C$93,'4.3 Global SME Data'!$B$88:$B$93,$C269)*SUMIFS('4.3 Global SME Data'!$C$96:$C$107,'4.3 Global SME Data'!$B$96:$B$107,$C$268)*(1+'1.1 Control Panel'!E$55-'1.1 Control Panel'!E$56)*(1+'1.1 Control Panel'!F$55-'1.1 Control Panel'!F$56)*SUMIFS('1.1 Control Panel'!F$62:F$67,'1.1 Control Panel'!C$62:C$67,$C269)*SUMIFS('1.1 Control Panel'!F$147:F$152,'1.1 Control Panel'!C$147:C$152,$C269)*SUMIFS('1.1 Control Panel'!F$232:F$237,'1.1 Control Panel'!C$232:C$237,$C269),0)</f>
        <v>32</v>
      </c>
      <c r="G269" s="28">
        <f>ROUNDUP(SUMIFS('4.3 Global SME Data'!$C$88:$C$93,'4.3 Global SME Data'!$B$88:$B$93,$C269)*SUMIFS('4.3 Global SME Data'!$C$96:$C$107,'4.3 Global SME Data'!$B$96:$B$107,$C$268)*(1+'1.1 Control Panel'!E$55-'1.1 Control Panel'!E$56)*(1+'1.1 Control Panel'!F$55-'1.1 Control Panel'!F$56)*(1+'1.1 Control Panel'!G$55-'1.1 Control Panel'!G$56)*SUMIFS('1.1 Control Panel'!G$62:G$67,'1.1 Control Panel'!C$62:C$67,$C269)*SUMIFS('1.1 Control Panel'!G$147:G$152,'1.1 Control Panel'!C$147:C$152,$C269)*SUMIFS('1.1 Control Panel'!G$232:G$237,'1.1 Control Panel'!C$232:C$237,$C269),0)</f>
        <v>41</v>
      </c>
      <c r="H269" s="28">
        <f>ROUNDUP(SUMIFS('4.3 Global SME Data'!$C$88:$C$93,'4.3 Global SME Data'!$B$88:$B$93,$C269)*SUMIFS('4.3 Global SME Data'!$C$96:$C$107,'4.3 Global SME Data'!$B$96:$B$107,$C$268)*(1+'1.1 Control Panel'!E$55-'1.1 Control Panel'!E$56)*(1+'1.1 Control Panel'!F$55-'1.1 Control Panel'!F$56)*(1+'1.1 Control Panel'!G$55-'1.1 Control Panel'!G$56)*(1+'1.1 Control Panel'!H$55-'1.1 Control Panel'!H$56)*SUMIFS('1.1 Control Panel'!H$62:H$67,'1.1 Control Panel'!C$62:C$67,$C269)*SUMIFS('1.1 Control Panel'!H$147:H$152,'1.1 Control Panel'!C$147:C$152,$C269)*SUMIFS('1.1 Control Panel'!H$232:H$237,'1.1 Control Panel'!C$232:C$237,$C269),0)</f>
        <v>51</v>
      </c>
      <c r="J269" s="20"/>
    </row>
    <row r="270" spans="2:10" ht="11.5" customHeight="1" x14ac:dyDescent="0.25">
      <c r="C270" s="20" t="s">
        <v>392</v>
      </c>
      <c r="D270" s="34" t="s">
        <v>162</v>
      </c>
      <c r="E270" s="28">
        <f>ROUNDUP(SUMIFS('4.3 Global SME Data'!$C$88:$C$93,'4.3 Global SME Data'!$B$88:$B$93,$C270)*SUMIFS('4.3 Global SME Data'!$C$96:$C$107,'4.3 Global SME Data'!$B$96:$B$107,$C$268)*(1+'1.1 Control Panel'!E$55-'1.1 Control Panel'!E$56)*SUMIFS('1.1 Control Panel'!E$62:E$67,'1.1 Control Panel'!C$62:C$67,$C270)*SUMIFS('1.1 Control Panel'!E$147:E$152,'1.1 Control Panel'!C$147:C$152,$C270)*SUMIFS('1.1 Control Panel'!E$232:E$237,'1.1 Control Panel'!C$232:C$237,$C270),0)</f>
        <v>1</v>
      </c>
      <c r="F270" s="28">
        <f>ROUNDUP(SUMIFS('4.3 Global SME Data'!$C$88:$C$93,'4.3 Global SME Data'!$B$88:$B$93,$C270)*SUMIFS('4.3 Global SME Data'!$C$96:$C$107,'4.3 Global SME Data'!$B$96:$B$107,$C$268)*(1+'1.1 Control Panel'!E$55-'1.1 Control Panel'!E$56)*(1+'1.1 Control Panel'!F$55-'1.1 Control Panel'!F$56)*SUMIFS('1.1 Control Panel'!F$62:F$67,'1.1 Control Panel'!C$62:C$67,$C270)*SUMIFS('1.1 Control Panel'!F$147:F$152,'1.1 Control Panel'!C$147:C$152,$C270)*SUMIFS('1.1 Control Panel'!F$232:F$237,'1.1 Control Panel'!C$232:C$237,$C270),0)</f>
        <v>1</v>
      </c>
      <c r="G270" s="28">
        <f>ROUNDUP(SUMIFS('4.3 Global SME Data'!$C$88:$C$93,'4.3 Global SME Data'!$B$88:$B$93,$C270)*SUMIFS('4.3 Global SME Data'!$C$96:$C$107,'4.3 Global SME Data'!$B$96:$B$107,$C$268)*(1+'1.1 Control Panel'!E$55-'1.1 Control Panel'!E$56)*(1+'1.1 Control Panel'!F$55-'1.1 Control Panel'!F$56)*(1+'1.1 Control Panel'!G$55-'1.1 Control Panel'!G$56)*SUMIFS('1.1 Control Panel'!G$62:G$67,'1.1 Control Panel'!C$62:C$67,$C270)*SUMIFS('1.1 Control Panel'!G$147:G$152,'1.1 Control Panel'!C$147:C$152,$C270)*SUMIFS('1.1 Control Panel'!G$232:G$237,'1.1 Control Panel'!C$232:C$237,$C270),0)</f>
        <v>1</v>
      </c>
      <c r="H270" s="28">
        <f>ROUNDUP(SUMIFS('4.3 Global SME Data'!$C$88:$C$93,'4.3 Global SME Data'!$B$88:$B$93,$C270)*SUMIFS('4.3 Global SME Data'!$C$96:$C$107,'4.3 Global SME Data'!$B$96:$B$107,$C$268)*(1+'1.1 Control Panel'!E$55-'1.1 Control Panel'!E$56)*(1+'1.1 Control Panel'!F$55-'1.1 Control Panel'!F$56)*(1+'1.1 Control Panel'!G$55-'1.1 Control Panel'!G$56)*(1+'1.1 Control Panel'!H$55-'1.1 Control Panel'!H$56)*SUMIFS('1.1 Control Panel'!H$62:H$67,'1.1 Control Panel'!C$62:C$67,$C270)*SUMIFS('1.1 Control Panel'!H$147:H$152,'1.1 Control Panel'!C$147:C$152,$C270)*SUMIFS('1.1 Control Panel'!H$232:H$237,'1.1 Control Panel'!C$232:C$237,$C270),0)</f>
        <v>1</v>
      </c>
      <c r="J270" s="20"/>
    </row>
    <row r="271" spans="2:10" ht="11.5" customHeight="1" x14ac:dyDescent="0.25">
      <c r="C271" s="20" t="s">
        <v>454</v>
      </c>
      <c r="D271" s="34" t="s">
        <v>162</v>
      </c>
      <c r="E271" s="28">
        <f>ROUNDUP(SUMIFS('4.3 Global SME Data'!$C$88:$C$93,'4.3 Global SME Data'!$B$88:$B$93,$C271)*SUMIFS('4.3 Global SME Data'!$C$96:$C$107,'4.3 Global SME Data'!$B$96:$B$107,$C$268)*(1+'1.1 Control Panel'!E$55-'1.1 Control Panel'!E$56)*SUMIFS('1.1 Control Panel'!E$62:E$67,'1.1 Control Panel'!C$62:C$67,$C271)*SUMIFS('1.1 Control Panel'!E$147:E$152,'1.1 Control Panel'!C$147:C$152,$C271)*SUMIFS('1.1 Control Panel'!E$232:E$237,'1.1 Control Panel'!C$232:C$237,$C271),0)</f>
        <v>3</v>
      </c>
      <c r="F271" s="28">
        <f>ROUNDUP(SUMIFS('4.3 Global SME Data'!$C$88:$C$93,'4.3 Global SME Data'!$B$88:$B$93,$C271)*SUMIFS('4.3 Global SME Data'!$C$96:$C$107,'4.3 Global SME Data'!$B$96:$B$107,$C$268)*(1+'1.1 Control Panel'!E$55-'1.1 Control Panel'!E$56)*(1+'1.1 Control Panel'!F$55-'1.1 Control Panel'!F$56)*SUMIFS('1.1 Control Panel'!F$62:F$67,'1.1 Control Panel'!C$62:C$67,$C271)*SUMIFS('1.1 Control Panel'!F$147:F$152,'1.1 Control Panel'!C$147:C$152,$C271)*SUMIFS('1.1 Control Panel'!F$232:F$237,'1.1 Control Panel'!C$232:C$237,$C271),0)</f>
        <v>4</v>
      </c>
      <c r="G271" s="28">
        <f>ROUNDUP(SUMIFS('4.3 Global SME Data'!$C$88:$C$93,'4.3 Global SME Data'!$B$88:$B$93,$C271)*SUMIFS('4.3 Global SME Data'!$C$96:$C$107,'4.3 Global SME Data'!$B$96:$B$107,$C$268)*(1+'1.1 Control Panel'!E$55-'1.1 Control Panel'!E$56)*(1+'1.1 Control Panel'!F$55-'1.1 Control Panel'!F$56)*(1+'1.1 Control Panel'!G$55-'1.1 Control Panel'!G$56)*SUMIFS('1.1 Control Panel'!G$62:G$67,'1.1 Control Panel'!C$62:C$67,$C271)*SUMIFS('1.1 Control Panel'!G$147:G$152,'1.1 Control Panel'!C$147:C$152,$C271)*SUMIFS('1.1 Control Panel'!G$232:G$237,'1.1 Control Panel'!C$232:C$237,$C271),0)</f>
        <v>4</v>
      </c>
      <c r="H271" s="28">
        <f>ROUNDUP(SUMIFS('4.3 Global SME Data'!$C$88:$C$93,'4.3 Global SME Data'!$B$88:$B$93,$C271)*SUMIFS('4.3 Global SME Data'!$C$96:$C$107,'4.3 Global SME Data'!$B$96:$B$107,$C$268)*(1+'1.1 Control Panel'!E$55-'1.1 Control Panel'!E$56)*(1+'1.1 Control Panel'!F$55-'1.1 Control Panel'!F$56)*(1+'1.1 Control Panel'!G$55-'1.1 Control Panel'!G$56)*(1+'1.1 Control Panel'!H$55-'1.1 Control Panel'!H$56)*SUMIFS('1.1 Control Panel'!H$62:H$67,'1.1 Control Panel'!C$62:C$67,$C271)*SUMIFS('1.1 Control Panel'!H$147:H$152,'1.1 Control Panel'!C$147:C$152,$C271)*SUMIFS('1.1 Control Panel'!H$232:H$237,'1.1 Control Panel'!C$232:C$237,$C271),0)</f>
        <v>4</v>
      </c>
      <c r="J271" s="20"/>
    </row>
    <row r="272" spans="2:10" ht="11.5" customHeight="1" x14ac:dyDescent="0.25">
      <c r="C272" s="21" t="s">
        <v>455</v>
      </c>
      <c r="D272" s="38" t="s">
        <v>162</v>
      </c>
      <c r="E272" s="376">
        <f>ROUNDUP(SUMIFS('4.3 Global SME Data'!$C$88:$C$93,'4.3 Global SME Data'!$B$88:$B$93,$C272)*SUMIFS('4.3 Global SME Data'!$C$96:$C$107,'4.3 Global SME Data'!$B$96:$B$107,$C$268)*(1+'1.1 Control Panel'!E$55-'1.1 Control Panel'!E$56)*SUMIFS('1.1 Control Panel'!E$62:E$67,'1.1 Control Panel'!C$62:C$67,$C272)*SUMIFS('1.1 Control Panel'!E$147:E$152,'1.1 Control Panel'!C$147:C$152,$C272)*SUMIFS('1.1 Control Panel'!E$232:E$237,'1.1 Control Panel'!C$232:C$237,$C272),0)</f>
        <v>23</v>
      </c>
      <c r="F272" s="376">
        <f>ROUNDUP(SUMIFS('4.3 Global SME Data'!$C$88:$C$93,'4.3 Global SME Data'!$B$88:$B$93,$C272)*SUMIFS('4.3 Global SME Data'!$C$96:$C$107,'4.3 Global SME Data'!$B$96:$B$107,$C$268)*(1+'1.1 Control Panel'!E$55-'1.1 Control Panel'!E$56)*(1+'1.1 Control Panel'!F$55-'1.1 Control Panel'!F$56)*SUMIFS('1.1 Control Panel'!F$62:F$67,'1.1 Control Panel'!C$62:C$67,$C272)*SUMIFS('1.1 Control Panel'!F$147:F$152,'1.1 Control Panel'!C$147:C$152,$C272)*SUMIFS('1.1 Control Panel'!F$232:F$237,'1.1 Control Panel'!C$232:C$237,$C272),0)</f>
        <v>26</v>
      </c>
      <c r="G272" s="376">
        <f>ROUNDUP(SUMIFS('4.3 Global SME Data'!$C$88:$C$93,'4.3 Global SME Data'!$B$88:$B$93,$C272)*SUMIFS('4.3 Global SME Data'!$C$96:$C$107,'4.3 Global SME Data'!$B$96:$B$107,$C$268)*(1+'1.1 Control Panel'!E$55-'1.1 Control Panel'!E$56)*(1+'1.1 Control Panel'!F$55-'1.1 Control Panel'!F$56)*(1+'1.1 Control Panel'!G$55-'1.1 Control Panel'!G$56)*SUMIFS('1.1 Control Panel'!G$62:G$67,'1.1 Control Panel'!C$62:C$67,$C272)*SUMIFS('1.1 Control Panel'!G$147:G$152,'1.1 Control Panel'!C$147:C$152,$C272)*SUMIFS('1.1 Control Panel'!G$232:G$237,'1.1 Control Panel'!C$232:C$237,$C272),0)</f>
        <v>31</v>
      </c>
      <c r="H272" s="376">
        <f>ROUNDUP(SUMIFS('4.3 Global SME Data'!$C$88:$C$93,'4.3 Global SME Data'!$B$88:$B$93,$C272)*SUMIFS('4.3 Global SME Data'!$C$96:$C$107,'4.3 Global SME Data'!$B$96:$B$107,$C$268)*(1+'1.1 Control Panel'!E$55-'1.1 Control Panel'!E$56)*(1+'1.1 Control Panel'!F$55-'1.1 Control Panel'!F$56)*(1+'1.1 Control Panel'!G$55-'1.1 Control Panel'!G$56)*(1+'1.1 Control Panel'!H$55-'1.1 Control Panel'!H$56)*SUMIFS('1.1 Control Panel'!H$62:H$67,'1.1 Control Panel'!C$62:C$67,$C272)*SUMIFS('1.1 Control Panel'!H$147:H$152,'1.1 Control Panel'!C$147:C$152,$C272)*SUMIFS('1.1 Control Panel'!H$232:H$237,'1.1 Control Panel'!C$232:C$237,$C272),0)</f>
        <v>36</v>
      </c>
      <c r="J272" s="21"/>
    </row>
    <row r="273" spans="2:10" ht="11.5" customHeight="1" x14ac:dyDescent="0.25">
      <c r="C273" s="21" t="s">
        <v>393</v>
      </c>
      <c r="D273" s="38" t="s">
        <v>162</v>
      </c>
      <c r="E273" s="376">
        <f>ROUNDUP(SUMIFS('4.3 Global SME Data'!$C$88:$C$93,'4.3 Global SME Data'!$B$88:$B$93,$C273)*SUMIFS('4.3 Global SME Data'!$C$96:$C$107,'4.3 Global SME Data'!$B$96:$B$107,$C$268)*(1+'1.1 Control Panel'!E$55-'1.1 Control Panel'!E$56)*SUMIFS('1.1 Control Panel'!E$62:E$67,'1.1 Control Panel'!C$62:C$67,$C273)*SUMIFS('1.1 Control Panel'!E$147:E$152,'1.1 Control Panel'!C$147:C$152,$C273)*SUMIFS('1.1 Control Panel'!E$232:E$237,'1.1 Control Panel'!C$232:C$237,$C273),0)</f>
        <v>16</v>
      </c>
      <c r="F273" s="376">
        <f>ROUNDUP(SUMIFS('4.3 Global SME Data'!$C$88:$C$93,'4.3 Global SME Data'!$B$88:$B$93,$C273)*SUMIFS('4.3 Global SME Data'!$C$96:$C$107,'4.3 Global SME Data'!$B$96:$B$107,$C$268)*(1+'1.1 Control Panel'!E$55-'1.1 Control Panel'!E$56)*(1+'1.1 Control Panel'!F$55-'1.1 Control Panel'!F$56)*SUMIFS('1.1 Control Panel'!F$62:F$67,'1.1 Control Panel'!C$62:C$67,$C273)*SUMIFS('1.1 Control Panel'!F$147:F$152,'1.1 Control Panel'!C$147:C$152,$C273)*SUMIFS('1.1 Control Panel'!F$232:F$237,'1.1 Control Panel'!C$232:C$237,$C273),0)</f>
        <v>18</v>
      </c>
      <c r="G273" s="376">
        <f>ROUNDUP(SUMIFS('4.3 Global SME Data'!$C$88:$C$93,'4.3 Global SME Data'!$B$88:$B$93,$C273)*SUMIFS('4.3 Global SME Data'!$C$96:$C$107,'4.3 Global SME Data'!$B$96:$B$107,$C$268)*(1+'1.1 Control Panel'!E$55-'1.1 Control Panel'!E$56)*(1+'1.1 Control Panel'!F$55-'1.1 Control Panel'!F$56)*(1+'1.1 Control Panel'!G$55-'1.1 Control Panel'!G$56)*SUMIFS('1.1 Control Panel'!G$62:G$67,'1.1 Control Panel'!C$62:C$67,$C273)*SUMIFS('1.1 Control Panel'!G$147:G$152,'1.1 Control Panel'!C$147:C$152,$C273)*SUMIFS('1.1 Control Panel'!G$232:G$237,'1.1 Control Panel'!C$232:C$237,$C273),0)</f>
        <v>22</v>
      </c>
      <c r="H273" s="376">
        <f>ROUNDUP(SUMIFS('4.3 Global SME Data'!$C$88:$C$93,'4.3 Global SME Data'!$B$88:$B$93,$C273)*SUMIFS('4.3 Global SME Data'!$C$96:$C$107,'4.3 Global SME Data'!$B$96:$B$107,$C$268)*(1+'1.1 Control Panel'!E$55-'1.1 Control Panel'!E$56)*(1+'1.1 Control Panel'!F$55-'1.1 Control Panel'!F$56)*(1+'1.1 Control Panel'!G$55-'1.1 Control Panel'!G$56)*(1+'1.1 Control Panel'!H$55-'1.1 Control Panel'!H$56)*SUMIFS('1.1 Control Panel'!H$62:H$67,'1.1 Control Panel'!C$62:C$67,$C273)*SUMIFS('1.1 Control Panel'!H$147:H$152,'1.1 Control Panel'!C$147:C$152,$C273)*SUMIFS('1.1 Control Panel'!H$232:H$237,'1.1 Control Panel'!C$232:C$237,$C273),0)</f>
        <v>26</v>
      </c>
      <c r="J273" s="21"/>
    </row>
    <row r="274" spans="2:10" ht="11.5" customHeight="1" x14ac:dyDescent="0.25">
      <c r="C274" s="21" t="s">
        <v>456</v>
      </c>
      <c r="D274" s="38" t="s">
        <v>162</v>
      </c>
      <c r="E274" s="376">
        <f>ROUNDUP(SUMIFS('4.3 Global SME Data'!$C$88:$C$93,'4.3 Global SME Data'!$B$88:$B$93,$C274)*SUMIFS('4.3 Global SME Data'!$C$96:$C$107,'4.3 Global SME Data'!$B$96:$B$107,$C$268)*(1+'1.1 Control Panel'!E$55-'1.1 Control Panel'!E$56)*SUMIFS('1.1 Control Panel'!E$62:E$67,'1.1 Control Panel'!C$62:C$67,$C274)*SUMIFS('1.1 Control Panel'!E$147:E$152,'1.1 Control Panel'!C$147:C$152,$C274)*SUMIFS('1.1 Control Panel'!E$232:E$237,'1.1 Control Panel'!C$232:C$237,$C274),0)</f>
        <v>3</v>
      </c>
      <c r="F274" s="376">
        <f>ROUNDUP(SUMIFS('4.3 Global SME Data'!$C$88:$C$93,'4.3 Global SME Data'!$B$88:$B$93,$C274)*SUMIFS('4.3 Global SME Data'!$C$96:$C$107,'4.3 Global SME Data'!$B$96:$B$107,$C$268)*(1+'1.1 Control Panel'!E$55-'1.1 Control Panel'!E$56)*(1+'1.1 Control Panel'!F$55-'1.1 Control Panel'!F$56)*SUMIFS('1.1 Control Panel'!F$62:F$67,'1.1 Control Panel'!C$62:C$67,$C274)*SUMIFS('1.1 Control Panel'!F$147:F$152,'1.1 Control Panel'!C$147:C$152,$C274)*SUMIFS('1.1 Control Panel'!F$232:F$237,'1.1 Control Panel'!C$232:C$237,$C274),0)</f>
        <v>3</v>
      </c>
      <c r="G274" s="376">
        <f>ROUNDUP(SUMIFS('4.3 Global SME Data'!$C$88:$C$93,'4.3 Global SME Data'!$B$88:$B$93,$C274)*SUMIFS('4.3 Global SME Data'!$C$96:$C$107,'4.3 Global SME Data'!$B$96:$B$107,$C$268)*(1+'1.1 Control Panel'!E$55-'1.1 Control Panel'!E$56)*(1+'1.1 Control Panel'!F$55-'1.1 Control Panel'!F$56)*(1+'1.1 Control Panel'!G$55-'1.1 Control Panel'!G$56)*SUMIFS('1.1 Control Panel'!G$62:G$67,'1.1 Control Panel'!C$62:C$67,$C274)*SUMIFS('1.1 Control Panel'!G$147:G$152,'1.1 Control Panel'!C$147:C$152,$C274)*SUMIFS('1.1 Control Panel'!G$232:G$237,'1.1 Control Panel'!C$232:C$237,$C274),0)</f>
        <v>3</v>
      </c>
      <c r="H274" s="376">
        <f>ROUNDUP(SUMIFS('4.3 Global SME Data'!$C$88:$C$93,'4.3 Global SME Data'!$B$88:$B$93,$C274)*SUMIFS('4.3 Global SME Data'!$C$96:$C$107,'4.3 Global SME Data'!$B$96:$B$107,$C$268)*(1+'1.1 Control Panel'!E$55-'1.1 Control Panel'!E$56)*(1+'1.1 Control Panel'!F$55-'1.1 Control Panel'!F$56)*(1+'1.1 Control Panel'!G$55-'1.1 Control Panel'!G$56)*(1+'1.1 Control Panel'!H$55-'1.1 Control Panel'!H$56)*SUMIFS('1.1 Control Panel'!H$62:H$67,'1.1 Control Panel'!C$62:C$67,$C274)*SUMIFS('1.1 Control Panel'!H$147:H$152,'1.1 Control Panel'!C$147:C$152,$C274)*SUMIFS('1.1 Control Panel'!H$232:H$237,'1.1 Control Panel'!C$232:C$237,$C274),0)</f>
        <v>4</v>
      </c>
      <c r="J274" s="21"/>
    </row>
    <row r="275" spans="2:10" s="74" customFormat="1" ht="11.5" customHeight="1" x14ac:dyDescent="0.25">
      <c r="B275" s="99" t="s">
        <v>9</v>
      </c>
      <c r="C275" s="105" t="str">
        <f>'4.2 Sector Mapping'!$B$6</f>
        <v>Communication, Media and Technology</v>
      </c>
      <c r="D275" s="106" t="s">
        <v>162</v>
      </c>
      <c r="E275" s="380">
        <f>SUM(E276:E281)</f>
        <v>3813</v>
      </c>
      <c r="F275" s="380">
        <f t="shared" ref="F275" si="79">SUM(F276:F281)</f>
        <v>3973</v>
      </c>
      <c r="G275" s="380">
        <f t="shared" ref="G275" si="80">SUM(G276:G281)</f>
        <v>4244</v>
      </c>
      <c r="H275" s="380">
        <f t="shared" ref="H275" si="81">SUM(H276:H281)</f>
        <v>4522</v>
      </c>
      <c r="J275" s="105"/>
    </row>
    <row r="276" spans="2:10" ht="11.5" customHeight="1" x14ac:dyDescent="0.25">
      <c r="C276" s="20" t="s">
        <v>600</v>
      </c>
      <c r="D276" s="34" t="s">
        <v>162</v>
      </c>
      <c r="E276" s="28">
        <f>ROUNDUP(SUMIFS('4.3 Global SME Data'!$C$88:$C$93,'4.3 Global SME Data'!$B$88:$B$93,$C276)*SUMIFS('4.3 Global SME Data'!$C$96:$C$107,'4.3 Global SME Data'!$B$96:$B$107,$C$275)*(1+'1.1 Control Panel'!E$55-'1.1 Control Panel'!E$56)*SUMIFS('1.1 Control Panel'!E$69:E$74,'1.1 Control Panel'!C$69:C$74,$C276)*SUMIFS('1.1 Control Panel'!E$154:E$159,'1.1 Control Panel'!C$154:C$159,$C276)*SUMIFS('1.1 Control Panel'!E$239:E$244,'1.1 Control Panel'!C$239:C$244,$C276),0)</f>
        <v>2084</v>
      </c>
      <c r="F276" s="28">
        <f>ROUNDUP(SUMIFS('4.3 Global SME Data'!$C$88:$C$93,'4.3 Global SME Data'!$B$88:$B$93,$C276)*SUMIFS('4.3 Global SME Data'!$C$96:$C$107,'4.3 Global SME Data'!$B$96:$B$107,$C$275)*(1+'1.1 Control Panel'!E$55-'1.1 Control Panel'!E$56)*(1+'1.1 Control Panel'!F$55-'1.1 Control Panel'!F$56)*SUMIFS('1.1 Control Panel'!F$69:F$74,'1.1 Control Panel'!C$69:C$74,$C276)*SUMIFS('1.1 Control Panel'!F$154:F$159,'1.1 Control Panel'!C$154:C$159,$C276)*SUMIFS('1.1 Control Panel'!F$239:F$244,'1.1 Control Panel'!C$239:C$244,$C276),0)</f>
        <v>2175</v>
      </c>
      <c r="G276" s="28">
        <f>ROUNDUP(SUMIFS('4.3 Global SME Data'!$C$88:$C$93,'4.3 Global SME Data'!$B$88:$B$93,$C276)*SUMIFS('4.3 Global SME Data'!$C$96:$C$107,'4.3 Global SME Data'!$B$96:$B$107,$C$275)*(1+'1.1 Control Panel'!E$55-'1.1 Control Panel'!E$56)*(1+'1.1 Control Panel'!F$55-'1.1 Control Panel'!F$56)*(1+'1.1 Control Panel'!G$55-'1.1 Control Panel'!G$56)*SUMIFS('1.1 Control Panel'!G$69:G$74,'1.1 Control Panel'!C$69:C$74,$C276)*SUMIFS('1.1 Control Panel'!G$154:G$159,'1.1 Control Panel'!C$154:C$159,$C276)*SUMIFS('1.1 Control Panel'!G$246:G$251,'1.1 Control Panel'!C$246:C$251,$C276),0)</f>
        <v>2330</v>
      </c>
      <c r="H276" s="28">
        <f>ROUNDUP(SUMIFS('4.3 Global SME Data'!$C$88:$C$93,'4.3 Global SME Data'!$B$88:$B$93,$C276)*SUMIFS('4.3 Global SME Data'!$C$96:$C$107,'4.3 Global SME Data'!$B$96:$B$107,$C$275)*(1+'1.1 Control Panel'!E$55-'1.1 Control Panel'!E$56)*(1+'1.1 Control Panel'!F$55-'1.1 Control Panel'!F$56)*(1+'1.1 Control Panel'!G$55-'1.1 Control Panel'!G$56)*(1+'1.1 Control Panel'!H$55-'1.1 Control Panel'!H$56)*SUMIFS('1.1 Control Panel'!H$69:H$74,'1.1 Control Panel'!C$69:C$74,$C276)*SUMIFS('1.1 Control Panel'!H$154:H$159,'1.1 Control Panel'!C$154:C$159,$C276)*SUMIFS('1.1 Control Panel'!H$239:H$244,'1.1 Control Panel'!C$239:C$244,$C276),0)</f>
        <v>2489</v>
      </c>
      <c r="J276" s="20"/>
    </row>
    <row r="277" spans="2:10" ht="11.5" customHeight="1" x14ac:dyDescent="0.25">
      <c r="C277" s="20" t="s">
        <v>392</v>
      </c>
      <c r="D277" s="34" t="s">
        <v>162</v>
      </c>
      <c r="E277" s="28">
        <f>ROUNDUP(SUMIFS('4.3 Global SME Data'!$C$88:$C$93,'4.3 Global SME Data'!$B$88:$B$93,$C277)*SUMIFS('4.3 Global SME Data'!$C$96:$C$107,'4.3 Global SME Data'!$B$96:$B$107,$C$275)*(1+'1.1 Control Panel'!E$55-'1.1 Control Panel'!E$56)*SUMIFS('1.1 Control Panel'!E$69:E$74,'1.1 Control Panel'!C$69:C$74,$C277)*SUMIFS('1.1 Control Panel'!E$154:E$159,'1.1 Control Panel'!C$154:C$159,$C277)*SUMIFS('1.1 Control Panel'!E$239:E$244,'1.1 Control Panel'!C$239:C$244,$C277),0)</f>
        <v>8</v>
      </c>
      <c r="F277" s="28">
        <f>ROUNDUP(SUMIFS('4.3 Global SME Data'!$C$88:$C$93,'4.3 Global SME Data'!$B$88:$B$93,$C277)*SUMIFS('4.3 Global SME Data'!$C$96:$C$107,'4.3 Global SME Data'!$B$96:$B$107,$C$275)*(1+'1.1 Control Panel'!E$55-'1.1 Control Panel'!E$56)*(1+'1.1 Control Panel'!F$55-'1.1 Control Panel'!F$56)*SUMIFS('1.1 Control Panel'!F$69:F$74,'1.1 Control Panel'!C$69:C$74,$C277)*SUMIFS('1.1 Control Panel'!F$154:F$159,'1.1 Control Panel'!C$154:C$159,$C277)*SUMIFS('1.1 Control Panel'!F$239:F$244,'1.1 Control Panel'!C$239:C$244,$C277),0)</f>
        <v>9</v>
      </c>
      <c r="G277" s="28">
        <f>ROUNDUP(SUMIFS('4.3 Global SME Data'!$C$88:$C$93,'4.3 Global SME Data'!$B$88:$B$93,$C277)*SUMIFS('4.3 Global SME Data'!$C$96:$C$107,'4.3 Global SME Data'!$B$96:$B$107,$C$275)*(1+'1.1 Control Panel'!E$55-'1.1 Control Panel'!E$56)*(1+'1.1 Control Panel'!F$55-'1.1 Control Panel'!F$56)*(1+'1.1 Control Panel'!G$55-'1.1 Control Panel'!G$56)*SUMIFS('1.1 Control Panel'!G$69:G$74,'1.1 Control Panel'!C$69:C$74,$C277)*SUMIFS('1.1 Control Panel'!G$154:G$159,'1.1 Control Panel'!C$154:C$159,$C277)*SUMIFS('1.1 Control Panel'!G$246:G$251,'1.1 Control Panel'!C$246:C$251,$C277),0)</f>
        <v>9</v>
      </c>
      <c r="H277" s="28">
        <f>ROUNDUP(SUMIFS('4.3 Global SME Data'!$C$88:$C$93,'4.3 Global SME Data'!$B$88:$B$93,$C277)*SUMIFS('4.3 Global SME Data'!$C$96:$C$107,'4.3 Global SME Data'!$B$96:$B$107,$C$275)*(1+'1.1 Control Panel'!E$55-'1.1 Control Panel'!E$56)*(1+'1.1 Control Panel'!F$55-'1.1 Control Panel'!F$56)*(1+'1.1 Control Panel'!G$55-'1.1 Control Panel'!G$56)*(1+'1.1 Control Panel'!H$55-'1.1 Control Panel'!H$56)*SUMIFS('1.1 Control Panel'!H$69:H$74,'1.1 Control Panel'!C$69:C$74,$C277)*SUMIFS('1.1 Control Panel'!H$154:H$159,'1.1 Control Panel'!C$154:C$159,$C277)*SUMIFS('1.1 Control Panel'!H$239:H$244,'1.1 Control Panel'!C$239:C$244,$C277),0)</f>
        <v>9</v>
      </c>
      <c r="J277" s="20"/>
    </row>
    <row r="278" spans="2:10" ht="11.5" customHeight="1" x14ac:dyDescent="0.25">
      <c r="C278" s="20" t="s">
        <v>454</v>
      </c>
      <c r="D278" s="34" t="s">
        <v>162</v>
      </c>
      <c r="E278" s="28">
        <f>ROUNDUP(SUMIFS('4.3 Global SME Data'!$C$88:$C$93,'4.3 Global SME Data'!$B$88:$B$93,$C278)*SUMIFS('4.3 Global SME Data'!$C$96:$C$107,'4.3 Global SME Data'!$B$96:$B$107,$C$275)*(1+'1.1 Control Panel'!E$55-'1.1 Control Panel'!E$56)*SUMIFS('1.1 Control Panel'!E$69:E$74,'1.1 Control Panel'!C$69:C$74,$C278)*SUMIFS('1.1 Control Panel'!E$154:E$159,'1.1 Control Panel'!C$154:C$159,$C278)*SUMIFS('1.1 Control Panel'!E$239:E$244,'1.1 Control Panel'!C$239:C$244,$C278),0)</f>
        <v>114</v>
      </c>
      <c r="F278" s="28">
        <f>ROUNDUP(SUMIFS('4.3 Global SME Data'!$C$88:$C$93,'4.3 Global SME Data'!$B$88:$B$93,$C278)*SUMIFS('4.3 Global SME Data'!$C$96:$C$107,'4.3 Global SME Data'!$B$96:$B$107,$C$275)*(1+'1.1 Control Panel'!E$55-'1.1 Control Panel'!E$56)*(1+'1.1 Control Panel'!F$55-'1.1 Control Panel'!F$56)*SUMIFS('1.1 Control Panel'!F$69:F$74,'1.1 Control Panel'!C$69:C$74,$C278)*SUMIFS('1.1 Control Panel'!F$154:F$159,'1.1 Control Panel'!C$154:C$159,$C278)*SUMIFS('1.1 Control Panel'!F$239:F$244,'1.1 Control Panel'!C$239:C$244,$C278),0)</f>
        <v>116</v>
      </c>
      <c r="G278" s="28">
        <f>ROUNDUP(SUMIFS('4.3 Global SME Data'!$C$88:$C$93,'4.3 Global SME Data'!$B$88:$B$93,$C278)*SUMIFS('4.3 Global SME Data'!$C$96:$C$107,'4.3 Global SME Data'!$B$96:$B$107,$C$275)*(1+'1.1 Control Panel'!E$55-'1.1 Control Panel'!E$56)*(1+'1.1 Control Panel'!F$55-'1.1 Control Panel'!F$56)*(1+'1.1 Control Panel'!G$55-'1.1 Control Panel'!G$56)*SUMIFS('1.1 Control Panel'!G$69:G$74,'1.1 Control Panel'!C$69:C$74,$C278)*SUMIFS('1.1 Control Panel'!G$154:G$159,'1.1 Control Panel'!C$154:C$159,$C278)*SUMIFS('1.1 Control Panel'!G$246:G$251,'1.1 Control Panel'!C$246:C$251,$C278),0)</f>
        <v>120</v>
      </c>
      <c r="H278" s="28">
        <f>ROUNDUP(SUMIFS('4.3 Global SME Data'!$C$88:$C$93,'4.3 Global SME Data'!$B$88:$B$93,$C278)*SUMIFS('4.3 Global SME Data'!$C$96:$C$107,'4.3 Global SME Data'!$B$96:$B$107,$C$275)*(1+'1.1 Control Panel'!E$55-'1.1 Control Panel'!E$56)*(1+'1.1 Control Panel'!F$55-'1.1 Control Panel'!F$56)*(1+'1.1 Control Panel'!G$55-'1.1 Control Panel'!G$56)*(1+'1.1 Control Panel'!H$55-'1.1 Control Panel'!H$56)*SUMIFS('1.1 Control Panel'!H$69:H$74,'1.1 Control Panel'!C$69:C$74,$C278)*SUMIFS('1.1 Control Panel'!H$154:H$159,'1.1 Control Panel'!C$154:C$159,$C278)*SUMIFS('1.1 Control Panel'!H$239:H$244,'1.1 Control Panel'!C$239:C$244,$C278),0)</f>
        <v>124</v>
      </c>
      <c r="J278" s="20"/>
    </row>
    <row r="279" spans="2:10" ht="11.5" customHeight="1" x14ac:dyDescent="0.25">
      <c r="C279" s="21" t="s">
        <v>455</v>
      </c>
      <c r="D279" s="38" t="s">
        <v>162</v>
      </c>
      <c r="E279" s="376">
        <f>ROUNDUP(SUMIFS('4.3 Global SME Data'!$C$88:$C$93,'4.3 Global SME Data'!$B$88:$B$93,$C279)*SUMIFS('4.3 Global SME Data'!$C$96:$C$107,'4.3 Global SME Data'!$B$96:$B$107,$C$275)*(1+'1.1 Control Panel'!E$55-'1.1 Control Panel'!E$56)*SUMIFS('1.1 Control Panel'!E$69:E$74,'1.1 Control Panel'!C$69:C$74,$C279)*SUMIFS('1.1 Control Panel'!E$154:E$159,'1.1 Control Panel'!C$154:C$159,$C279)*SUMIFS('1.1 Control Panel'!E$239:E$244,'1.1 Control Panel'!C$239:C$244,$C279),0)</f>
        <v>954</v>
      </c>
      <c r="F279" s="376">
        <f>ROUNDUP(SUMIFS('4.3 Global SME Data'!$C$88:$C$93,'4.3 Global SME Data'!$B$88:$B$93,$C279)*SUMIFS('4.3 Global SME Data'!$C$96:$C$107,'4.3 Global SME Data'!$B$96:$B$107,$C$275)*(1+'1.1 Control Panel'!E$55-'1.1 Control Panel'!E$56)*(1+'1.1 Control Panel'!F$55-'1.1 Control Panel'!F$56)*SUMIFS('1.1 Control Panel'!F$69:F$74,'1.1 Control Panel'!C$69:C$74,$C279)*SUMIFS('1.1 Control Panel'!F$154:F$159,'1.1 Control Panel'!C$154:C$159,$C279)*SUMIFS('1.1 Control Panel'!F$239:F$244,'1.1 Control Panel'!C$239:C$244,$C279),0)</f>
        <v>992</v>
      </c>
      <c r="G279" s="376">
        <f>ROUNDUP(SUMIFS('4.3 Global SME Data'!$C$88:$C$93,'4.3 Global SME Data'!$B$88:$B$93,$C279)*SUMIFS('4.3 Global SME Data'!$C$96:$C$107,'4.3 Global SME Data'!$B$96:$B$107,$C$275)*(1+'1.1 Control Panel'!E$55-'1.1 Control Panel'!E$56)*(1+'1.1 Control Panel'!F$55-'1.1 Control Panel'!F$56)*(1+'1.1 Control Panel'!G$55-'1.1 Control Panel'!G$56)*SUMIFS('1.1 Control Panel'!G$69:G$74,'1.1 Control Panel'!C$69:C$74,$C279)*SUMIFS('1.1 Control Panel'!G$154:G$159,'1.1 Control Panel'!C$154:C$159,$C279)*SUMIFS('1.1 Control Panel'!G$246:G$251,'1.1 Control Panel'!C$246:C$251,$C279),0)</f>
        <v>1057</v>
      </c>
      <c r="H279" s="376">
        <f>ROUNDUP(SUMIFS('4.3 Global SME Data'!$C$88:$C$93,'4.3 Global SME Data'!$B$88:$B$93,$C279)*SUMIFS('4.3 Global SME Data'!$C$96:$C$107,'4.3 Global SME Data'!$B$96:$B$107,$C$275)*(1+'1.1 Control Panel'!E$55-'1.1 Control Panel'!E$56)*(1+'1.1 Control Panel'!F$55-'1.1 Control Panel'!F$56)*(1+'1.1 Control Panel'!G$55-'1.1 Control Panel'!G$56)*(1+'1.1 Control Panel'!H$55-'1.1 Control Panel'!H$56)*SUMIFS('1.1 Control Panel'!H$69:H$74,'1.1 Control Panel'!C$69:C$74,$C279)*SUMIFS('1.1 Control Panel'!H$154:H$159,'1.1 Control Panel'!C$154:C$159,$C279)*SUMIFS('1.1 Control Panel'!H$239:H$244,'1.1 Control Panel'!C$239:C$244,$C279),0)</f>
        <v>1123</v>
      </c>
      <c r="J279" s="21"/>
    </row>
    <row r="280" spans="2:10" ht="11.5" customHeight="1" x14ac:dyDescent="0.25">
      <c r="C280" s="21" t="s">
        <v>393</v>
      </c>
      <c r="D280" s="38" t="s">
        <v>162</v>
      </c>
      <c r="E280" s="376">
        <f>ROUNDUP(SUMIFS('4.3 Global SME Data'!$C$88:$C$93,'4.3 Global SME Data'!$B$88:$B$93,$C280)*SUMIFS('4.3 Global SME Data'!$C$96:$C$107,'4.3 Global SME Data'!$B$96:$B$107,$C$275)*(1+'1.1 Control Panel'!E$55-'1.1 Control Panel'!E$56)*SUMIFS('1.1 Control Panel'!E$69:E$74,'1.1 Control Panel'!C$69:C$74,$C280)*SUMIFS('1.1 Control Panel'!E$154:E$159,'1.1 Control Panel'!C$154:C$159,$C280)*SUMIFS('1.1 Control Panel'!E$239:E$244,'1.1 Control Panel'!C$239:C$244,$C280),0)</f>
        <v>559</v>
      </c>
      <c r="F280" s="376">
        <f>ROUNDUP(SUMIFS('4.3 Global SME Data'!$C$88:$C$93,'4.3 Global SME Data'!$B$88:$B$93,$C280)*SUMIFS('4.3 Global SME Data'!$C$96:$C$107,'4.3 Global SME Data'!$B$96:$B$107,$C$275)*(1+'1.1 Control Panel'!E$55-'1.1 Control Panel'!E$56)*(1+'1.1 Control Panel'!F$55-'1.1 Control Panel'!F$56)*SUMIFS('1.1 Control Panel'!F$69:F$74,'1.1 Control Panel'!C$69:C$74,$C280)*SUMIFS('1.1 Control Panel'!F$154:F$159,'1.1 Control Panel'!C$154:C$159,$C280)*SUMIFS('1.1 Control Panel'!F$239:F$244,'1.1 Control Panel'!C$239:C$244,$C280),0)</f>
        <v>585</v>
      </c>
      <c r="G280" s="376">
        <f>ROUNDUP(SUMIFS('4.3 Global SME Data'!$C$88:$C$93,'4.3 Global SME Data'!$B$88:$B$93,$C280)*SUMIFS('4.3 Global SME Data'!$C$96:$C$107,'4.3 Global SME Data'!$B$96:$B$107,$C$275)*(1+'1.1 Control Panel'!E$55-'1.1 Control Panel'!E$56)*(1+'1.1 Control Panel'!F$55-'1.1 Control Panel'!F$56)*(1+'1.1 Control Panel'!G$55-'1.1 Control Panel'!G$56)*SUMIFS('1.1 Control Panel'!G$69:G$74,'1.1 Control Panel'!C$69:C$74,$C280)*SUMIFS('1.1 Control Panel'!G$154:G$159,'1.1 Control Panel'!C$154:C$159,$C280)*SUMIFS('1.1 Control Panel'!G$246:G$251,'1.1 Control Panel'!C$246:C$251,$C280),0)</f>
        <v>629</v>
      </c>
      <c r="H280" s="376">
        <f>ROUNDUP(SUMIFS('4.3 Global SME Data'!$C$88:$C$93,'4.3 Global SME Data'!$B$88:$B$93,$C280)*SUMIFS('4.3 Global SME Data'!$C$96:$C$107,'4.3 Global SME Data'!$B$96:$B$107,$C$275)*(1+'1.1 Control Panel'!E$55-'1.1 Control Panel'!E$56)*(1+'1.1 Control Panel'!F$55-'1.1 Control Panel'!F$56)*(1+'1.1 Control Panel'!G$55-'1.1 Control Panel'!G$56)*(1+'1.1 Control Panel'!H$55-'1.1 Control Panel'!H$56)*SUMIFS('1.1 Control Panel'!H$69:H$74,'1.1 Control Panel'!C$69:C$74,$C280)*SUMIFS('1.1 Control Panel'!H$154:H$159,'1.1 Control Panel'!C$154:C$159,$C280)*SUMIFS('1.1 Control Panel'!H$239:H$244,'1.1 Control Panel'!C$239:C$244,$C280),0)</f>
        <v>674</v>
      </c>
      <c r="J280" s="21"/>
    </row>
    <row r="281" spans="2:10" ht="11.5" customHeight="1" x14ac:dyDescent="0.25">
      <c r="C281" s="21" t="s">
        <v>456</v>
      </c>
      <c r="D281" s="38" t="s">
        <v>162</v>
      </c>
      <c r="E281" s="376">
        <f>ROUNDUP(SUMIFS('4.3 Global SME Data'!$C$88:$C$93,'4.3 Global SME Data'!$B$88:$B$93,$C281)*SUMIFS('4.3 Global SME Data'!$C$96:$C$107,'4.3 Global SME Data'!$B$96:$B$107,$C$275)*(1+'1.1 Control Panel'!E$55-'1.1 Control Panel'!E$56)*SUMIFS('1.1 Control Panel'!E$69:E$74,'1.1 Control Panel'!C$69:C$74,$C281)*SUMIFS('1.1 Control Panel'!E$154:E$159,'1.1 Control Panel'!C$154:C$159,$C281)*SUMIFS('1.1 Control Panel'!E$239:E$244,'1.1 Control Panel'!C$239:C$244,$C281),0)</f>
        <v>94</v>
      </c>
      <c r="F281" s="376">
        <f>ROUNDUP(SUMIFS('4.3 Global SME Data'!$C$88:$C$93,'4.3 Global SME Data'!$B$88:$B$93,$C281)*SUMIFS('4.3 Global SME Data'!$C$96:$C$107,'4.3 Global SME Data'!$B$96:$B$107,$C$275)*(1+'1.1 Control Panel'!E$55-'1.1 Control Panel'!E$56)*(1+'1.1 Control Panel'!F$55-'1.1 Control Panel'!F$56)*SUMIFS('1.1 Control Panel'!F$69:F$74,'1.1 Control Panel'!C$69:C$74,$C281)*SUMIFS('1.1 Control Panel'!F$154:F$159,'1.1 Control Panel'!C$154:C$159,$C281)*SUMIFS('1.1 Control Panel'!F$239:F$244,'1.1 Control Panel'!C$239:C$244,$C281),0)</f>
        <v>96</v>
      </c>
      <c r="G281" s="376">
        <f>ROUNDUP(SUMIFS('4.3 Global SME Data'!$C$88:$C$93,'4.3 Global SME Data'!$B$88:$B$93,$C281)*SUMIFS('4.3 Global SME Data'!$C$96:$C$107,'4.3 Global SME Data'!$B$96:$B$107,$C$275)*(1+'1.1 Control Panel'!E$55-'1.1 Control Panel'!E$56)*(1+'1.1 Control Panel'!F$55-'1.1 Control Panel'!F$56)*(1+'1.1 Control Panel'!G$55-'1.1 Control Panel'!G$56)*SUMIFS('1.1 Control Panel'!G$69:G$74,'1.1 Control Panel'!C$69:C$74,$C281)*SUMIFS('1.1 Control Panel'!G$154:G$159,'1.1 Control Panel'!C$154:C$159,$C281)*SUMIFS('1.1 Control Panel'!G$246:G$251,'1.1 Control Panel'!C$246:C$251,$C281),0)</f>
        <v>99</v>
      </c>
      <c r="H281" s="376">
        <f>ROUNDUP(SUMIFS('4.3 Global SME Data'!$C$88:$C$93,'4.3 Global SME Data'!$B$88:$B$93,$C281)*SUMIFS('4.3 Global SME Data'!$C$96:$C$107,'4.3 Global SME Data'!$B$96:$B$107,$C$275)*(1+'1.1 Control Panel'!E$55-'1.1 Control Panel'!E$56)*(1+'1.1 Control Panel'!F$55-'1.1 Control Panel'!F$56)*(1+'1.1 Control Panel'!G$55-'1.1 Control Panel'!G$56)*(1+'1.1 Control Panel'!H$55-'1.1 Control Panel'!H$56)*SUMIFS('1.1 Control Panel'!H$69:H$74,'1.1 Control Panel'!C$69:C$74,$C281)*SUMIFS('1.1 Control Panel'!H$154:H$159,'1.1 Control Panel'!C$154:C$159,$C281)*SUMIFS('1.1 Control Panel'!H$239:H$244,'1.1 Control Panel'!C$239:C$244,$C281),0)</f>
        <v>103</v>
      </c>
      <c r="J281" s="21"/>
    </row>
    <row r="282" spans="2:10" s="74" customFormat="1" ht="11.5" customHeight="1" x14ac:dyDescent="0.25">
      <c r="B282" s="99" t="s">
        <v>9</v>
      </c>
      <c r="C282" s="105" t="str">
        <f>'4.2 Sector Mapping'!$B$7</f>
        <v>Energy and Environment</v>
      </c>
      <c r="D282" s="106" t="s">
        <v>162</v>
      </c>
      <c r="E282" s="380">
        <f>SUM(E283:E288)</f>
        <v>3185</v>
      </c>
      <c r="F282" s="380">
        <f t="shared" ref="F282" si="82">SUM(F283:F288)</f>
        <v>3395</v>
      </c>
      <c r="G282" s="380">
        <f t="shared" ref="G282" si="83">SUM(G283:G288)</f>
        <v>3756</v>
      </c>
      <c r="H282" s="380">
        <f t="shared" ref="H282" si="84">SUM(H283:H288)</f>
        <v>4132</v>
      </c>
      <c r="J282" s="105"/>
    </row>
    <row r="283" spans="2:10" ht="11.5" customHeight="1" x14ac:dyDescent="0.25">
      <c r="C283" s="20" t="s">
        <v>600</v>
      </c>
      <c r="D283" s="34" t="s">
        <v>162</v>
      </c>
      <c r="E283" s="28">
        <f>ROUNDUP(SUMIFS('4.3 Global SME Data'!$C$88:$C$93,'4.3 Global SME Data'!$B$88:$B$93,$C283)*SUMIFS('4.3 Global SME Data'!$C$96:$C$107,'4.3 Global SME Data'!$B$96:$B$107,$C$282)*(1+'1.1 Control Panel'!E$55-'1.1 Control Panel'!E$56)*SUMIFS('1.1 Control Panel'!E$76:E$81,'1.1 Control Panel'!C$76:C$81,$C283)*SUMIFS('1.1 Control Panel'!E$161:E$166,'1.1 Control Panel'!C$161:C$166,$C283)*SUMIFS('1.1 Control Panel'!E$246:E$251,'1.1 Control Panel'!C$246:C$251,$C283),0)</f>
        <v>1406</v>
      </c>
      <c r="F283" s="28">
        <f>ROUNDUP(SUMIFS('4.3 Global SME Data'!$C$88:$C$93,'4.3 Global SME Data'!$B$88:$B$93,$C283)*SUMIFS('4.3 Global SME Data'!$C$96:$C$107,'4.3 Global SME Data'!$B$96:$B$107,$C$282)*(1+'1.1 Control Panel'!E$55-'1.1 Control Panel'!E$56)*(1+'1.1 Control Panel'!F$55-'1.1 Control Panel'!F$56)*SUMIFS('1.1 Control Panel'!F$76:F$81,'1.1 Control Panel'!C$76:C$81,$C283)*SUMIFS('1.1 Control Panel'!F$161:F$166,'1.1 Control Panel'!C$161:C$166,$C283)*SUMIFS('1.1 Control Panel'!F$246:F$251,'1.1 Control Panel'!C$246:C$251,$C283),0)</f>
        <v>1515</v>
      </c>
      <c r="G283" s="28">
        <f>ROUNDUP(SUMIFS('4.3 Global SME Data'!$C$88:$C$93,'4.3 Global SME Data'!$B$88:$B$93,$C283)*SUMIFS('4.3 Global SME Data'!$C$96:$C$107,'4.3 Global SME Data'!$B$96:$B$107,$C$282)*(1+'1.1 Control Panel'!E$55-'1.1 Control Panel'!E$56)*(1+'1.1 Control Panel'!F$55-'1.1 Control Panel'!F$56)*(1+'1.1 Control Panel'!G$55-'1.1 Control Panel'!G$56)*SUMIFS('1.1 Control Panel'!G$76:G$81,'1.1 Control Panel'!C$76:C$81,$C283)*SUMIFS('1.1 Control Panel'!G$161:G$166,'1.1 Control Panel'!C$161:C$166,$C283)*SUMIFS('1.1 Control Panel'!G$246:G$251,'1.1 Control Panel'!C$246:C$251,$C283),0)</f>
        <v>1703</v>
      </c>
      <c r="H283" s="28">
        <f>ROUNDUP(SUMIFS('4.3 Global SME Data'!$C$88:$C$93,'4.3 Global SME Data'!$B$88:$B$93,$C283)*SUMIFS('4.3 Global SME Data'!$C$96:$C$107,'4.3 Global SME Data'!$B$96:$B$107,$C$282)*(1+'1.1 Control Panel'!E$55-'1.1 Control Panel'!E$56)*(1+'1.1 Control Panel'!F$55-'1.1 Control Panel'!F$56)*(1+'1.1 Control Panel'!G$55-'1.1 Control Panel'!G$56)*(1+'1.1 Control Panel'!H$55-'1.1 Control Panel'!H$56)*SUMIFS('1.1 Control Panel'!H$76:H$81,'1.1 Control Panel'!C$76:C$81,$C283)*SUMIFS('1.1 Control Panel'!H$161:H$166,'1.1 Control Panel'!C$161:C$166,$C283)*SUMIFS('1.1 Control Panel'!H$246:H$251,'1.1 Control Panel'!C$246:C$251,$C283),0)</f>
        <v>1901</v>
      </c>
      <c r="J283" s="20"/>
    </row>
    <row r="284" spans="2:10" ht="11.5" customHeight="1" x14ac:dyDescent="0.25">
      <c r="C284" s="20" t="s">
        <v>392</v>
      </c>
      <c r="D284" s="34" t="s">
        <v>162</v>
      </c>
      <c r="E284" s="28">
        <f>ROUNDUP(SUMIFS('4.3 Global SME Data'!$C$88:$C$93,'4.3 Global SME Data'!$B$88:$B$93,$C284)*SUMIFS('4.3 Global SME Data'!$C$96:$C$107,'4.3 Global SME Data'!$B$96:$B$107,$C$282)*(1+'1.1 Control Panel'!E$55-'1.1 Control Panel'!E$56)*SUMIFS('1.1 Control Panel'!E$76:E$81,'1.1 Control Panel'!C$76:C$81,$C284)*SUMIFS('1.1 Control Panel'!E$161:E$166,'1.1 Control Panel'!C$161:C$166,$C284)*SUMIFS('1.1 Control Panel'!E$246:E$251,'1.1 Control Panel'!C$246:C$251,$C284),0)</f>
        <v>4</v>
      </c>
      <c r="F284" s="28">
        <f>ROUNDUP(SUMIFS('4.3 Global SME Data'!$C$88:$C$93,'4.3 Global SME Data'!$B$88:$B$93,$C284)*SUMIFS('4.3 Global SME Data'!$C$96:$C$107,'4.3 Global SME Data'!$B$96:$B$107,$C$282)*(1+'1.1 Control Panel'!E$55-'1.1 Control Panel'!E$56)*(1+'1.1 Control Panel'!F$55-'1.1 Control Panel'!F$56)*SUMIFS('1.1 Control Panel'!F$76:F$81,'1.1 Control Panel'!C$76:C$81,$C284)*SUMIFS('1.1 Control Panel'!F$161:F$166,'1.1 Control Panel'!C$161:C$166,$C284)*SUMIFS('1.1 Control Panel'!F$246:F$251,'1.1 Control Panel'!C$246:C$251,$C284),0)</f>
        <v>5</v>
      </c>
      <c r="G284" s="28">
        <f>ROUNDUP(SUMIFS('4.3 Global SME Data'!$C$88:$C$93,'4.3 Global SME Data'!$B$88:$B$93,$C284)*SUMIFS('4.3 Global SME Data'!$C$96:$C$107,'4.3 Global SME Data'!$B$96:$B$107,$C$282)*(1+'1.1 Control Panel'!E$55-'1.1 Control Panel'!E$56)*(1+'1.1 Control Panel'!F$55-'1.1 Control Panel'!F$56)*(1+'1.1 Control Panel'!G$55-'1.1 Control Panel'!G$56)*SUMIFS('1.1 Control Panel'!G$76:G$81,'1.1 Control Panel'!C$76:C$81,$C284)*SUMIFS('1.1 Control Panel'!G$161:G$166,'1.1 Control Panel'!C$161:C$166,$C284)*SUMIFS('1.1 Control Panel'!G$246:G$251,'1.1 Control Panel'!C$246:C$251,$C284),0)</f>
        <v>5</v>
      </c>
      <c r="H284" s="28">
        <f>ROUNDUP(SUMIFS('4.3 Global SME Data'!$C$88:$C$93,'4.3 Global SME Data'!$B$88:$B$93,$C284)*SUMIFS('4.3 Global SME Data'!$C$96:$C$107,'4.3 Global SME Data'!$B$96:$B$107,$C$282)*(1+'1.1 Control Panel'!E$55-'1.1 Control Panel'!E$56)*(1+'1.1 Control Panel'!F$55-'1.1 Control Panel'!F$56)*(1+'1.1 Control Panel'!G$55-'1.1 Control Panel'!G$56)*(1+'1.1 Control Panel'!H$55-'1.1 Control Panel'!H$56)*SUMIFS('1.1 Control Panel'!H$76:H$81,'1.1 Control Panel'!C$76:C$81,$C284)*SUMIFS('1.1 Control Panel'!H$161:H$166,'1.1 Control Panel'!C$161:C$166,$C284)*SUMIFS('1.1 Control Panel'!H$246:H$251,'1.1 Control Panel'!C$246:C$251,$C284),0)</f>
        <v>6</v>
      </c>
      <c r="J284" s="20"/>
    </row>
    <row r="285" spans="2:10" ht="11.5" customHeight="1" x14ac:dyDescent="0.25">
      <c r="C285" s="20" t="s">
        <v>454</v>
      </c>
      <c r="D285" s="34" t="s">
        <v>162</v>
      </c>
      <c r="E285" s="28">
        <f>ROUNDUP(SUMIFS('4.3 Global SME Data'!$C$88:$C$93,'4.3 Global SME Data'!$B$88:$B$93,$C285)*SUMIFS('4.3 Global SME Data'!$C$96:$C$107,'4.3 Global SME Data'!$B$96:$B$107,$C$282)*(1+'1.1 Control Panel'!E$55-'1.1 Control Panel'!E$56)*SUMIFS('1.1 Control Panel'!E$76:E$81,'1.1 Control Panel'!C$76:C$81,$C285)*SUMIFS('1.1 Control Panel'!E$161:E$166,'1.1 Control Panel'!C$161:C$166,$C285)*SUMIFS('1.1 Control Panel'!E$246:E$251,'1.1 Control Panel'!C$246:C$251,$C285),0)</f>
        <v>91</v>
      </c>
      <c r="F285" s="28">
        <f>ROUNDUP(SUMIFS('4.3 Global SME Data'!$C$88:$C$93,'4.3 Global SME Data'!$B$88:$B$93,$C285)*SUMIFS('4.3 Global SME Data'!$C$96:$C$107,'4.3 Global SME Data'!$B$96:$B$107,$C$282)*(1+'1.1 Control Panel'!E$55-'1.1 Control Panel'!E$56)*(1+'1.1 Control Panel'!F$55-'1.1 Control Panel'!F$56)*SUMIFS('1.1 Control Panel'!F$76:F$81,'1.1 Control Panel'!C$76:C$81,$C285)*SUMIFS('1.1 Control Panel'!F$161:F$166,'1.1 Control Panel'!C$161:C$166,$C285)*SUMIFS('1.1 Control Panel'!F$246:F$251,'1.1 Control Panel'!C$246:C$251,$C285),0)</f>
        <v>94</v>
      </c>
      <c r="G285" s="28">
        <f>ROUNDUP(SUMIFS('4.3 Global SME Data'!$C$88:$C$93,'4.3 Global SME Data'!$B$88:$B$93,$C285)*SUMIFS('4.3 Global SME Data'!$C$96:$C$107,'4.3 Global SME Data'!$B$96:$B$107,$C$282)*(1+'1.1 Control Panel'!E$55-'1.1 Control Panel'!E$56)*(1+'1.1 Control Panel'!F$55-'1.1 Control Panel'!F$56)*(1+'1.1 Control Panel'!G$55-'1.1 Control Panel'!G$56)*SUMIFS('1.1 Control Panel'!G$76:G$81,'1.1 Control Panel'!C$76:C$81,$C285)*SUMIFS('1.1 Control Panel'!G$161:G$166,'1.1 Control Panel'!C$161:C$166,$C285)*SUMIFS('1.1 Control Panel'!G$246:G$251,'1.1 Control Panel'!C$246:C$251,$C285),0)</f>
        <v>100</v>
      </c>
      <c r="H285" s="28">
        <f>ROUNDUP(SUMIFS('4.3 Global SME Data'!$C$88:$C$93,'4.3 Global SME Data'!$B$88:$B$93,$C285)*SUMIFS('4.3 Global SME Data'!$C$96:$C$107,'4.3 Global SME Data'!$B$96:$B$107,$C$282)*(1+'1.1 Control Panel'!E$55-'1.1 Control Panel'!E$56)*(1+'1.1 Control Panel'!F$55-'1.1 Control Panel'!F$56)*(1+'1.1 Control Panel'!G$55-'1.1 Control Panel'!G$56)*(1+'1.1 Control Panel'!H$55-'1.1 Control Panel'!H$56)*SUMIFS('1.1 Control Panel'!H$76:H$81,'1.1 Control Panel'!C$76:C$81,$C285)*SUMIFS('1.1 Control Panel'!H$161:H$166,'1.1 Control Panel'!C$161:C$166,$C285)*SUMIFS('1.1 Control Panel'!H$246:H$251,'1.1 Control Panel'!C$246:C$251,$C285),0)</f>
        <v>105</v>
      </c>
      <c r="J285" s="20"/>
    </row>
    <row r="286" spans="2:10" ht="11.5" customHeight="1" x14ac:dyDescent="0.25">
      <c r="C286" s="21" t="s">
        <v>455</v>
      </c>
      <c r="D286" s="38" t="s">
        <v>162</v>
      </c>
      <c r="E286" s="376">
        <f>ROUNDUP(SUMIFS('4.3 Global SME Data'!$C$88:$C$93,'4.3 Global SME Data'!$B$88:$B$93,$C286)*SUMIFS('4.3 Global SME Data'!$C$96:$C$107,'4.3 Global SME Data'!$B$96:$B$107,$C$282)*(1+'1.1 Control Panel'!E$55-'1.1 Control Panel'!E$56)*SUMIFS('1.1 Control Panel'!E$76:E$81,'1.1 Control Panel'!C$76:C$81,$C286)*SUMIFS('1.1 Control Panel'!E$161:E$166,'1.1 Control Panel'!C$161:C$166,$C286)*SUMIFS('1.1 Control Panel'!E$246:E$251,'1.1 Control Panel'!C$246:C$251,$C286),0)</f>
        <v>840</v>
      </c>
      <c r="F286" s="376">
        <f>ROUNDUP(SUMIFS('4.3 Global SME Data'!$C$88:$C$93,'4.3 Global SME Data'!$B$88:$B$93,$C286)*SUMIFS('4.3 Global SME Data'!$C$96:$C$107,'4.3 Global SME Data'!$B$96:$B$107,$C$282)*(1+'1.1 Control Panel'!E$55-'1.1 Control Panel'!E$56)*(1+'1.1 Control Panel'!F$55-'1.1 Control Panel'!F$56)*SUMIFS('1.1 Control Panel'!F$76:F$81,'1.1 Control Panel'!C$76:C$81,$C286)*SUMIFS('1.1 Control Panel'!F$161:F$166,'1.1 Control Panel'!C$161:C$166,$C286)*SUMIFS('1.1 Control Panel'!F$246:F$251,'1.1 Control Panel'!C$246:C$251,$C286),0)</f>
        <v>891</v>
      </c>
      <c r="G286" s="376">
        <f>ROUNDUP(SUMIFS('4.3 Global SME Data'!$C$88:$C$93,'4.3 Global SME Data'!$B$88:$B$93,$C286)*SUMIFS('4.3 Global SME Data'!$C$96:$C$107,'4.3 Global SME Data'!$B$96:$B$107,$C$282)*(1+'1.1 Control Panel'!E$55-'1.1 Control Panel'!E$56)*(1+'1.1 Control Panel'!F$55-'1.1 Control Panel'!F$56)*(1+'1.1 Control Panel'!G$55-'1.1 Control Panel'!G$56)*SUMIFS('1.1 Control Panel'!G$76:G$81,'1.1 Control Panel'!C$76:C$81,$C286)*SUMIFS('1.1 Control Panel'!G$161:G$166,'1.1 Control Panel'!C$161:C$166,$C286)*SUMIFS('1.1 Control Panel'!G$246:G$251,'1.1 Control Panel'!C$246:C$251,$C286),0)</f>
        <v>979</v>
      </c>
      <c r="H286" s="376">
        <f>ROUNDUP(SUMIFS('4.3 Global SME Data'!$C$88:$C$93,'4.3 Global SME Data'!$B$88:$B$93,$C286)*SUMIFS('4.3 Global SME Data'!$C$96:$C$107,'4.3 Global SME Data'!$B$96:$B$107,$C$282)*(1+'1.1 Control Panel'!E$55-'1.1 Control Panel'!E$56)*(1+'1.1 Control Panel'!F$55-'1.1 Control Panel'!F$56)*(1+'1.1 Control Panel'!G$55-'1.1 Control Panel'!G$56)*(1+'1.1 Control Panel'!H$55-'1.1 Control Panel'!H$56)*SUMIFS('1.1 Control Panel'!H$76:H$81,'1.1 Control Panel'!C$76:C$81,$C286)*SUMIFS('1.1 Control Panel'!H$161:H$166,'1.1 Control Panel'!C$161:C$166,$C286)*SUMIFS('1.1 Control Panel'!H$246:H$251,'1.1 Control Panel'!C$246:C$251,$C286),0)</f>
        <v>1071</v>
      </c>
      <c r="J286" s="21"/>
    </row>
    <row r="287" spans="2:10" ht="11.5" customHeight="1" x14ac:dyDescent="0.25">
      <c r="C287" s="21" t="s">
        <v>393</v>
      </c>
      <c r="D287" s="38" t="s">
        <v>162</v>
      </c>
      <c r="E287" s="376">
        <f>ROUNDUP(SUMIFS('4.3 Global SME Data'!$C$88:$C$93,'4.3 Global SME Data'!$B$88:$B$93,$C287)*SUMIFS('4.3 Global SME Data'!$C$96:$C$107,'4.3 Global SME Data'!$B$96:$B$107,$C$282)*(1+'1.1 Control Panel'!E$55-'1.1 Control Panel'!E$56)*SUMIFS('1.1 Control Panel'!E$76:E$81,'1.1 Control Panel'!C$76:C$81,$C287)*SUMIFS('1.1 Control Panel'!E$161:E$166,'1.1 Control Panel'!C$161:C$166,$C287)*SUMIFS('1.1 Control Panel'!E$246:E$251,'1.1 Control Panel'!C$246:C$251,$C287),0)</f>
        <v>762</v>
      </c>
      <c r="F287" s="376">
        <f>ROUNDUP(SUMIFS('4.3 Global SME Data'!$C$88:$C$93,'4.3 Global SME Data'!$B$88:$B$93,$C287)*SUMIFS('4.3 Global SME Data'!$C$96:$C$107,'4.3 Global SME Data'!$B$96:$B$107,$C$282)*(1+'1.1 Control Panel'!E$55-'1.1 Control Panel'!E$56)*(1+'1.1 Control Panel'!F$55-'1.1 Control Panel'!F$56)*SUMIFS('1.1 Control Panel'!F$76:F$81,'1.1 Control Panel'!C$76:C$81,$C287)*SUMIFS('1.1 Control Panel'!F$161:F$166,'1.1 Control Panel'!C$161:C$166,$C287)*SUMIFS('1.1 Control Panel'!F$246:F$251,'1.1 Control Panel'!C$246:C$251,$C287),0)</f>
        <v>805</v>
      </c>
      <c r="G287" s="376">
        <f>ROUNDUP(SUMIFS('4.3 Global SME Data'!$C$88:$C$93,'4.3 Global SME Data'!$B$88:$B$93,$C287)*SUMIFS('4.3 Global SME Data'!$C$96:$C$107,'4.3 Global SME Data'!$B$96:$B$107,$C$282)*(1+'1.1 Control Panel'!E$55-'1.1 Control Panel'!E$56)*(1+'1.1 Control Panel'!F$55-'1.1 Control Panel'!F$56)*(1+'1.1 Control Panel'!G$55-'1.1 Control Panel'!G$56)*SUMIFS('1.1 Control Panel'!G$76:G$81,'1.1 Control Panel'!C$76:C$81,$C287)*SUMIFS('1.1 Control Panel'!G$161:G$166,'1.1 Control Panel'!C$161:C$166,$C287)*SUMIFS('1.1 Control Panel'!G$246:G$251,'1.1 Control Panel'!C$246:C$251,$C287),0)</f>
        <v>879</v>
      </c>
      <c r="H287" s="376">
        <f>ROUNDUP(SUMIFS('4.3 Global SME Data'!$C$88:$C$93,'4.3 Global SME Data'!$B$88:$B$93,$C287)*SUMIFS('4.3 Global SME Data'!$C$96:$C$107,'4.3 Global SME Data'!$B$96:$B$107,$C$282)*(1+'1.1 Control Panel'!E$55-'1.1 Control Panel'!E$56)*(1+'1.1 Control Panel'!F$55-'1.1 Control Panel'!F$56)*(1+'1.1 Control Panel'!G$55-'1.1 Control Panel'!G$56)*(1+'1.1 Control Panel'!H$55-'1.1 Control Panel'!H$56)*SUMIFS('1.1 Control Panel'!H$76:H$81,'1.1 Control Panel'!C$76:C$81,$C287)*SUMIFS('1.1 Control Panel'!H$161:H$166,'1.1 Control Panel'!C$161:C$166,$C287)*SUMIFS('1.1 Control Panel'!H$246:H$251,'1.1 Control Panel'!C$246:C$251,$C287),0)</f>
        <v>955</v>
      </c>
      <c r="J287" s="21"/>
    </row>
    <row r="288" spans="2:10" ht="11.5" customHeight="1" x14ac:dyDescent="0.25">
      <c r="C288" s="21" t="s">
        <v>456</v>
      </c>
      <c r="D288" s="38" t="s">
        <v>162</v>
      </c>
      <c r="E288" s="376">
        <f>ROUNDUP(SUMIFS('4.3 Global SME Data'!$C$88:$C$93,'4.3 Global SME Data'!$B$88:$B$93,$C288)*SUMIFS('4.3 Global SME Data'!$C$96:$C$107,'4.3 Global SME Data'!$B$96:$B$107,$C$282)*(1+'1.1 Control Panel'!E$55-'1.1 Control Panel'!E$56)*SUMIFS('1.1 Control Panel'!E$76:E$81,'1.1 Control Panel'!C$76:C$81,$C288)*SUMIFS('1.1 Control Panel'!E$161:E$166,'1.1 Control Panel'!C$161:C$166,$C288)*SUMIFS('1.1 Control Panel'!E$246:E$251,'1.1 Control Panel'!C$246:C$251,$C288),0)</f>
        <v>82</v>
      </c>
      <c r="F288" s="376">
        <f>ROUNDUP(SUMIFS('4.3 Global SME Data'!$C$88:$C$93,'4.3 Global SME Data'!$B$88:$B$93,$C288)*SUMIFS('4.3 Global SME Data'!$C$96:$C$107,'4.3 Global SME Data'!$B$96:$B$107,$C$282)*(1+'1.1 Control Panel'!E$55-'1.1 Control Panel'!E$56)*(1+'1.1 Control Panel'!F$55-'1.1 Control Panel'!F$56)*SUMIFS('1.1 Control Panel'!F$76:F$81,'1.1 Control Panel'!C$76:C$81,$C288)*SUMIFS('1.1 Control Panel'!F$161:F$166,'1.1 Control Panel'!C$161:C$166,$C288)*SUMIFS('1.1 Control Panel'!F$246:F$251,'1.1 Control Panel'!C$246:C$251,$C288),0)</f>
        <v>85</v>
      </c>
      <c r="G288" s="376">
        <f>ROUNDUP(SUMIFS('4.3 Global SME Data'!$C$88:$C$93,'4.3 Global SME Data'!$B$88:$B$93,$C288)*SUMIFS('4.3 Global SME Data'!$C$96:$C$107,'4.3 Global SME Data'!$B$96:$B$107,$C$282)*(1+'1.1 Control Panel'!E$55-'1.1 Control Panel'!E$56)*(1+'1.1 Control Panel'!F$55-'1.1 Control Panel'!F$56)*(1+'1.1 Control Panel'!G$55-'1.1 Control Panel'!G$56)*SUMIFS('1.1 Control Panel'!G$76:G$81,'1.1 Control Panel'!C$76:C$81,$C288)*SUMIFS('1.1 Control Panel'!G$161:G$166,'1.1 Control Panel'!C$161:C$166,$C288)*SUMIFS('1.1 Control Panel'!G$246:G$251,'1.1 Control Panel'!C$246:C$251,$C288),0)</f>
        <v>90</v>
      </c>
      <c r="H288" s="376">
        <f>ROUNDUP(SUMIFS('4.3 Global SME Data'!$C$88:$C$93,'4.3 Global SME Data'!$B$88:$B$93,$C288)*SUMIFS('4.3 Global SME Data'!$C$96:$C$107,'4.3 Global SME Data'!$B$96:$B$107,$C$282)*(1+'1.1 Control Panel'!E$55-'1.1 Control Panel'!E$56)*(1+'1.1 Control Panel'!F$55-'1.1 Control Panel'!F$56)*(1+'1.1 Control Panel'!G$55-'1.1 Control Panel'!G$56)*(1+'1.1 Control Panel'!H$55-'1.1 Control Panel'!H$56)*SUMIFS('1.1 Control Panel'!H$76:H$81,'1.1 Control Panel'!C$76:C$81,$C288)*SUMIFS('1.1 Control Panel'!H$161:H$166,'1.1 Control Panel'!C$161:C$166,$C288)*SUMIFS('1.1 Control Panel'!H$246:H$251,'1.1 Control Panel'!C$246:C$251,$C288),0)</f>
        <v>94</v>
      </c>
      <c r="J288" s="21"/>
    </row>
    <row r="289" spans="2:10" s="74" customFormat="1" ht="11.5" customHeight="1" x14ac:dyDescent="0.25">
      <c r="B289" s="99" t="s">
        <v>9</v>
      </c>
      <c r="C289" s="105" t="str">
        <f>'4.2 Sector Mapping'!$B$8</f>
        <v>Financial Services</v>
      </c>
      <c r="D289" s="106" t="s">
        <v>162</v>
      </c>
      <c r="E289" s="380">
        <f>SUM(E290:E295)</f>
        <v>4659</v>
      </c>
      <c r="F289" s="380">
        <f t="shared" ref="F289" si="85">SUM(F290:F295)</f>
        <v>4853</v>
      </c>
      <c r="G289" s="380">
        <f t="shared" ref="G289" si="86">SUM(G290:G295)</f>
        <v>5182</v>
      </c>
      <c r="H289" s="380">
        <f t="shared" ref="H289" si="87">SUM(H290:H295)</f>
        <v>5520</v>
      </c>
      <c r="J289" s="105"/>
    </row>
    <row r="290" spans="2:10" ht="11.5" customHeight="1" x14ac:dyDescent="0.25">
      <c r="C290" s="20" t="s">
        <v>600</v>
      </c>
      <c r="D290" s="34" t="s">
        <v>162</v>
      </c>
      <c r="E290" s="28">
        <f>ROUNDUP(SUMIFS('4.3 Global SME Data'!$C$88:$C$93,'4.3 Global SME Data'!$B$88:$B$93,$C290)*SUMIFS('4.3 Global SME Data'!$C$96:$C$107,'4.3 Global SME Data'!$B$96:$B$107,$C$289)*(1+'1.1 Control Panel'!E$55-'1.1 Control Panel'!E$56)*SUMIFS('1.1 Control Panel'!E$83:E$88,'1.1 Control Panel'!C$83:C$88,$C290)*SUMIFS('1.1 Control Panel'!E$168:E$173,'1.1 Control Panel'!C$168:C$173,$C290)*SUMIFS('1.1 Control Panel'!E$253:E$258,'1.1 Control Panel'!C$253:C$258,$C290),0)</f>
        <v>2679</v>
      </c>
      <c r="F290" s="28">
        <f>ROUNDUP(SUMIFS('4.3 Global SME Data'!$C$88:$C$93,'4.3 Global SME Data'!$B$88:$B$93,$C290)*SUMIFS('4.3 Global SME Data'!$C$96:$C$107,'4.3 Global SME Data'!$B$96:$B$107,$C$289)*(1+'1.1 Control Panel'!E$55-'1.1 Control Panel'!E$56)*(1+'1.1 Control Panel'!F$55-'1.1 Control Panel'!F$56)*SUMIFS('1.1 Control Panel'!F$83:F$88,'1.1 Control Panel'!C$83:C$88,$C290)*SUMIFS('1.1 Control Panel'!F$168:F$173,'1.1 Control Panel'!C$168:C$173,$C290)*SUMIFS('1.1 Control Panel'!F$253:F$258,'1.1 Control Panel'!C$253:C$258,$C290),0)</f>
        <v>2792</v>
      </c>
      <c r="G290" s="28">
        <f>ROUNDUP(SUMIFS('4.3 Global SME Data'!$C$88:$C$93,'4.3 Global SME Data'!$B$88:$B$93,$C290)*SUMIFS('4.3 Global SME Data'!$C$96:$C$107,'4.3 Global SME Data'!$B$96:$B$107,$C$289)*(1+'1.1 Control Panel'!E$55-'1.1 Control Panel'!E$56)*(1+'1.1 Control Panel'!F$55-'1.1 Control Panel'!F$56)*(1+'1.1 Control Panel'!G$55-'1.1 Control Panel'!G$56)*SUMIFS('1.1 Control Panel'!G$83:G$88,'1.1 Control Panel'!C$83:C$88,$C290)*SUMIFS('1.1 Control Panel'!G$168:G$173,'1.1 Control Panel'!C$168:C$173,$C290)*SUMIFS('1.1 Control Panel'!G$253:G$258,'1.1 Control Panel'!C$253:C$258,$C290),0)</f>
        <v>2985</v>
      </c>
      <c r="H290" s="28">
        <f>ROUNDUP(SUMIFS('4.3 Global SME Data'!$C$88:$C$93,'4.3 Global SME Data'!$B$88:$B$93,$C290)*SUMIFS('4.3 Global SME Data'!$C$96:$C$107,'4.3 Global SME Data'!$B$96:$B$107,$C$289)*(1+'1.1 Control Panel'!E$55-'1.1 Control Panel'!E$56)*(1+'1.1 Control Panel'!F$55-'1.1 Control Panel'!F$56)*(1+'1.1 Control Panel'!G$55-'1.1 Control Panel'!G$56)*(1+'1.1 Control Panel'!H$55-'1.1 Control Panel'!H$56)*SUMIFS('1.1 Control Panel'!H$83:H$88,'1.1 Control Panel'!C$83:C$88,$C290)*SUMIFS('1.1 Control Panel'!H$168:H$173,'1.1 Control Panel'!C$168:C$173,$C290)*SUMIFS('1.1 Control Panel'!H$253:H$258,'1.1 Control Panel'!C$253:C$258,$C290),0)</f>
        <v>3182</v>
      </c>
      <c r="J290" s="20"/>
    </row>
    <row r="291" spans="2:10" ht="11.5" customHeight="1" x14ac:dyDescent="0.25">
      <c r="C291" s="20" t="s">
        <v>392</v>
      </c>
      <c r="D291" s="34" t="s">
        <v>162</v>
      </c>
      <c r="E291" s="28">
        <f>ROUNDUP(SUMIFS('4.3 Global SME Data'!$C$88:$C$93,'4.3 Global SME Data'!$B$88:$B$93,$C291)*SUMIFS('4.3 Global SME Data'!$C$96:$C$107,'4.3 Global SME Data'!$B$96:$B$107,$C$289)*(1+'1.1 Control Panel'!E$55-'1.1 Control Panel'!E$56)*SUMIFS('1.1 Control Panel'!E$83:E$88,'1.1 Control Panel'!C$83:C$88,$C291)*SUMIFS('1.1 Control Panel'!E$168:E$173,'1.1 Control Panel'!C$168:C$173,$C291)*SUMIFS('1.1 Control Panel'!E$253:E$258,'1.1 Control Panel'!C$253:C$258,$C291),0)</f>
        <v>12</v>
      </c>
      <c r="F291" s="28">
        <f>ROUNDUP(SUMIFS('4.3 Global SME Data'!$C$88:$C$93,'4.3 Global SME Data'!$B$88:$B$93,$C291)*SUMIFS('4.3 Global SME Data'!$C$96:$C$107,'4.3 Global SME Data'!$B$96:$B$107,$C$289)*(1+'1.1 Control Panel'!E$55-'1.1 Control Panel'!E$56)*(1+'1.1 Control Panel'!F$55-'1.1 Control Panel'!F$56)*SUMIFS('1.1 Control Panel'!F$83:F$88,'1.1 Control Panel'!C$83:C$88,$C291)*SUMIFS('1.1 Control Panel'!F$168:F$173,'1.1 Control Panel'!C$168:C$173,$C291)*SUMIFS('1.1 Control Panel'!F$253:F$258,'1.1 Control Panel'!C$253:C$258,$C291),0)</f>
        <v>12</v>
      </c>
      <c r="G291" s="28">
        <f>ROUNDUP(SUMIFS('4.3 Global SME Data'!$C$88:$C$93,'4.3 Global SME Data'!$B$88:$B$93,$C291)*SUMIFS('4.3 Global SME Data'!$C$96:$C$107,'4.3 Global SME Data'!$B$96:$B$107,$C$289)*(1+'1.1 Control Panel'!E$55-'1.1 Control Panel'!E$56)*(1+'1.1 Control Panel'!F$55-'1.1 Control Panel'!F$56)*(1+'1.1 Control Panel'!G$55-'1.1 Control Panel'!G$56)*SUMIFS('1.1 Control Panel'!G$83:G$88,'1.1 Control Panel'!C$83:C$88,$C291)*SUMIFS('1.1 Control Panel'!G$168:G$173,'1.1 Control Panel'!C$168:C$173,$C291)*SUMIFS('1.1 Control Panel'!G$253:G$258,'1.1 Control Panel'!C$253:C$258,$C291),0)</f>
        <v>12</v>
      </c>
      <c r="H291" s="28">
        <f>ROUNDUP(SUMIFS('4.3 Global SME Data'!$C$88:$C$93,'4.3 Global SME Data'!$B$88:$B$93,$C291)*SUMIFS('4.3 Global SME Data'!$C$96:$C$107,'4.3 Global SME Data'!$B$96:$B$107,$C$289)*(1+'1.1 Control Panel'!E$55-'1.1 Control Panel'!E$56)*(1+'1.1 Control Panel'!F$55-'1.1 Control Panel'!F$56)*(1+'1.1 Control Panel'!G$55-'1.1 Control Panel'!G$56)*(1+'1.1 Control Panel'!H$55-'1.1 Control Panel'!H$56)*SUMIFS('1.1 Control Panel'!H$83:H$88,'1.1 Control Panel'!C$83:C$88,$C291)*SUMIFS('1.1 Control Panel'!H$168:H$173,'1.1 Control Panel'!C$168:C$173,$C291)*SUMIFS('1.1 Control Panel'!H$253:H$258,'1.1 Control Panel'!C$253:C$258,$C291),0)</f>
        <v>13</v>
      </c>
      <c r="J291" s="20"/>
    </row>
    <row r="292" spans="2:10" ht="11.5" customHeight="1" x14ac:dyDescent="0.25">
      <c r="C292" s="20" t="s">
        <v>454</v>
      </c>
      <c r="D292" s="34" t="s">
        <v>162</v>
      </c>
      <c r="E292" s="28">
        <f>ROUNDUP(SUMIFS('4.3 Global SME Data'!$C$88:$C$93,'4.3 Global SME Data'!$B$88:$B$93,$C292)*SUMIFS('4.3 Global SME Data'!$C$96:$C$107,'4.3 Global SME Data'!$B$96:$B$107,$C$289)*(1+'1.1 Control Panel'!E$55-'1.1 Control Panel'!E$56)*SUMIFS('1.1 Control Panel'!E$83:E$88,'1.1 Control Panel'!C$83:C$88,$C292)*SUMIFS('1.1 Control Panel'!E$168:E$173,'1.1 Control Panel'!C$168:C$173,$C292)*SUMIFS('1.1 Control Panel'!E$253:E$258,'1.1 Control Panel'!C$253:C$258,$C292),0)</f>
        <v>151</v>
      </c>
      <c r="F292" s="28">
        <f>ROUNDUP(SUMIFS('4.3 Global SME Data'!$C$88:$C$93,'4.3 Global SME Data'!$B$88:$B$93,$C292)*SUMIFS('4.3 Global SME Data'!$C$96:$C$107,'4.3 Global SME Data'!$B$96:$B$107,$C$289)*(1+'1.1 Control Panel'!E$55-'1.1 Control Panel'!E$56)*(1+'1.1 Control Panel'!F$55-'1.1 Control Panel'!F$56)*SUMIFS('1.1 Control Panel'!F$83:F$88,'1.1 Control Panel'!C$83:C$88,$C292)*SUMIFS('1.1 Control Panel'!F$168:F$173,'1.1 Control Panel'!C$168:C$173,$C292)*SUMIFS('1.1 Control Panel'!F$253:F$258,'1.1 Control Panel'!C$253:C$258,$C292),0)</f>
        <v>155</v>
      </c>
      <c r="G292" s="28">
        <f>ROUNDUP(SUMIFS('4.3 Global SME Data'!$C$88:$C$93,'4.3 Global SME Data'!$B$88:$B$93,$C292)*SUMIFS('4.3 Global SME Data'!$C$96:$C$107,'4.3 Global SME Data'!$B$96:$B$107,$C$289)*(1+'1.1 Control Panel'!E$55-'1.1 Control Panel'!E$56)*(1+'1.1 Control Panel'!F$55-'1.1 Control Panel'!F$56)*(1+'1.1 Control Panel'!G$55-'1.1 Control Panel'!G$56)*SUMIFS('1.1 Control Panel'!G$83:G$88,'1.1 Control Panel'!C$83:C$88,$C292)*SUMIFS('1.1 Control Panel'!G$168:G$173,'1.1 Control Panel'!C$168:C$173,$C292)*SUMIFS('1.1 Control Panel'!G$253:G$258,'1.1 Control Panel'!C$253:C$258,$C292),0)</f>
        <v>160</v>
      </c>
      <c r="H292" s="28">
        <f>ROUNDUP(SUMIFS('4.3 Global SME Data'!$C$88:$C$93,'4.3 Global SME Data'!$B$88:$B$93,$C292)*SUMIFS('4.3 Global SME Data'!$C$96:$C$107,'4.3 Global SME Data'!$B$96:$B$107,$C$289)*(1+'1.1 Control Panel'!E$55-'1.1 Control Panel'!E$56)*(1+'1.1 Control Panel'!F$55-'1.1 Control Panel'!F$56)*(1+'1.1 Control Panel'!G$55-'1.1 Control Panel'!G$56)*(1+'1.1 Control Panel'!H$55-'1.1 Control Panel'!H$56)*SUMIFS('1.1 Control Panel'!H$83:H$88,'1.1 Control Panel'!C$83:C$88,$C292)*SUMIFS('1.1 Control Panel'!H$168:H$173,'1.1 Control Panel'!C$168:C$173,$C292)*SUMIFS('1.1 Control Panel'!H$253:H$258,'1.1 Control Panel'!C$253:C$258,$C292),0)</f>
        <v>165</v>
      </c>
      <c r="J292" s="20"/>
    </row>
    <row r="293" spans="2:10" ht="11.5" customHeight="1" x14ac:dyDescent="0.25">
      <c r="C293" s="21" t="s">
        <v>455</v>
      </c>
      <c r="D293" s="38" t="s">
        <v>162</v>
      </c>
      <c r="E293" s="376">
        <f>ROUNDUP(SUMIFS('4.3 Global SME Data'!$C$88:$C$93,'4.3 Global SME Data'!$B$88:$B$93,$C293)*SUMIFS('4.3 Global SME Data'!$C$96:$C$107,'4.3 Global SME Data'!$B$96:$B$107,$C$289)*(1+'1.1 Control Panel'!E$55-'1.1 Control Panel'!E$56)*SUMIFS('1.1 Control Panel'!E$83:E$88,'1.1 Control Panel'!C$83:C$88,$C293)*SUMIFS('1.1 Control Panel'!E$168:E$173,'1.1 Control Panel'!C$168:C$173,$C293)*SUMIFS('1.1 Control Panel'!E$253:E$258,'1.1 Control Panel'!C$253:C$258,$C293),0)</f>
        <v>1018</v>
      </c>
      <c r="F293" s="376">
        <f>ROUNDUP(SUMIFS('4.3 Global SME Data'!$C$88:$C$93,'4.3 Global SME Data'!$B$88:$B$93,$C293)*SUMIFS('4.3 Global SME Data'!$C$96:$C$107,'4.3 Global SME Data'!$B$96:$B$107,$C$289)*(1+'1.1 Control Panel'!E$55-'1.1 Control Panel'!E$56)*(1+'1.1 Control Panel'!F$55-'1.1 Control Panel'!F$56)*SUMIFS('1.1 Control Panel'!F$83:F$88,'1.1 Control Panel'!C$83:C$88,$C293)*SUMIFS('1.1 Control Panel'!F$168:F$173,'1.1 Control Panel'!C$168:C$173,$C293)*SUMIFS('1.1 Control Panel'!F$253:F$258,'1.1 Control Panel'!C$253:C$258,$C293),0)</f>
        <v>1061</v>
      </c>
      <c r="G293" s="376">
        <f>ROUNDUP(SUMIFS('4.3 Global SME Data'!$C$88:$C$93,'4.3 Global SME Data'!$B$88:$B$93,$C293)*SUMIFS('4.3 Global SME Data'!$C$96:$C$107,'4.3 Global SME Data'!$B$96:$B$107,$C$289)*(1+'1.1 Control Panel'!E$55-'1.1 Control Panel'!E$56)*(1+'1.1 Control Panel'!F$55-'1.1 Control Panel'!F$56)*(1+'1.1 Control Panel'!G$55-'1.1 Control Panel'!G$56)*SUMIFS('1.1 Control Panel'!G$83:G$88,'1.1 Control Panel'!C$83:C$88,$C293)*SUMIFS('1.1 Control Panel'!G$168:G$173,'1.1 Control Panel'!C$168:C$173,$C293)*SUMIFS('1.1 Control Panel'!G$253:G$258,'1.1 Control Panel'!C$253:C$258,$C293),0)</f>
        <v>1134</v>
      </c>
      <c r="H293" s="376">
        <f>ROUNDUP(SUMIFS('4.3 Global SME Data'!$C$88:$C$93,'4.3 Global SME Data'!$B$88:$B$93,$C293)*SUMIFS('4.3 Global SME Data'!$C$96:$C$107,'4.3 Global SME Data'!$B$96:$B$107,$C$289)*(1+'1.1 Control Panel'!E$55-'1.1 Control Panel'!E$56)*(1+'1.1 Control Panel'!F$55-'1.1 Control Panel'!F$56)*(1+'1.1 Control Panel'!G$55-'1.1 Control Panel'!G$56)*(1+'1.1 Control Panel'!H$55-'1.1 Control Panel'!H$56)*SUMIFS('1.1 Control Panel'!H$83:H$88,'1.1 Control Panel'!C$83:C$88,$C293)*SUMIFS('1.1 Control Panel'!H$168:H$173,'1.1 Control Panel'!C$168:C$173,$C293)*SUMIFS('1.1 Control Panel'!H$253:H$258,'1.1 Control Panel'!C$253:C$258,$C293),0)</f>
        <v>1209</v>
      </c>
      <c r="J293" s="21"/>
    </row>
    <row r="294" spans="2:10" ht="11.5" customHeight="1" x14ac:dyDescent="0.25">
      <c r="C294" s="21" t="s">
        <v>393</v>
      </c>
      <c r="D294" s="38" t="s">
        <v>162</v>
      </c>
      <c r="E294" s="376">
        <f>ROUNDUP(SUMIFS('4.3 Global SME Data'!$C$88:$C$93,'4.3 Global SME Data'!$B$88:$B$93,$C294)*SUMIFS('4.3 Global SME Data'!$C$96:$C$107,'4.3 Global SME Data'!$B$96:$B$107,$C$289)*(1+'1.1 Control Panel'!E$55-'1.1 Control Panel'!E$56)*SUMIFS('1.1 Control Panel'!E$83:E$88,'1.1 Control Panel'!C$83:C$88,$C294)*SUMIFS('1.1 Control Panel'!E$168:E$173,'1.1 Control Panel'!C$168:C$173,$C294)*SUMIFS('1.1 Control Panel'!E$253:E$258,'1.1 Control Panel'!C$253:C$258,$C294),0)</f>
        <v>734</v>
      </c>
      <c r="F294" s="376">
        <f>ROUNDUP(SUMIFS('4.3 Global SME Data'!$C$88:$C$93,'4.3 Global SME Data'!$B$88:$B$93,$C294)*SUMIFS('4.3 Global SME Data'!$C$96:$C$107,'4.3 Global SME Data'!$B$96:$B$107,$C$289)*(1+'1.1 Control Panel'!E$55-'1.1 Control Panel'!E$56)*(1+'1.1 Control Panel'!F$55-'1.1 Control Panel'!F$56)*SUMIFS('1.1 Control Panel'!F$83:F$88,'1.1 Control Panel'!C$83:C$88,$C294)*SUMIFS('1.1 Control Panel'!F$168:F$173,'1.1 Control Panel'!C$168:C$173,$C294)*SUMIFS('1.1 Control Panel'!F$253:F$258,'1.1 Control Panel'!C$253:C$258,$C294),0)</f>
        <v>766</v>
      </c>
      <c r="G294" s="376">
        <f>ROUNDUP(SUMIFS('4.3 Global SME Data'!$C$88:$C$93,'4.3 Global SME Data'!$B$88:$B$93,$C294)*SUMIFS('4.3 Global SME Data'!$C$96:$C$107,'4.3 Global SME Data'!$B$96:$B$107,$C$289)*(1+'1.1 Control Panel'!E$55-'1.1 Control Panel'!E$56)*(1+'1.1 Control Panel'!F$55-'1.1 Control Panel'!F$56)*(1+'1.1 Control Panel'!G$55-'1.1 Control Panel'!G$56)*SUMIFS('1.1 Control Panel'!G$83:G$88,'1.1 Control Panel'!C$83:C$88,$C294)*SUMIFS('1.1 Control Panel'!G$168:G$173,'1.1 Control Panel'!C$168:C$173,$C294)*SUMIFS('1.1 Control Panel'!G$253:G$258,'1.1 Control Panel'!C$253:C$258,$C294),0)</f>
        <v>821</v>
      </c>
      <c r="H294" s="376">
        <f>ROUNDUP(SUMIFS('4.3 Global SME Data'!$C$88:$C$93,'4.3 Global SME Data'!$B$88:$B$93,$C294)*SUMIFS('4.3 Global SME Data'!$C$96:$C$107,'4.3 Global SME Data'!$B$96:$B$107,$C$289)*(1+'1.1 Control Panel'!E$55-'1.1 Control Panel'!E$56)*(1+'1.1 Control Panel'!F$55-'1.1 Control Panel'!F$56)*(1+'1.1 Control Panel'!G$55-'1.1 Control Panel'!G$56)*(1+'1.1 Control Panel'!H$55-'1.1 Control Panel'!H$56)*SUMIFS('1.1 Control Panel'!H$83:H$88,'1.1 Control Panel'!C$83:C$88,$C294)*SUMIFS('1.1 Control Panel'!H$168:H$173,'1.1 Control Panel'!C$168:C$173,$C294)*SUMIFS('1.1 Control Panel'!H$253:H$258,'1.1 Control Panel'!C$253:C$258,$C294),0)</f>
        <v>878</v>
      </c>
      <c r="J294" s="21"/>
    </row>
    <row r="295" spans="2:10" ht="11.5" customHeight="1" x14ac:dyDescent="0.25">
      <c r="C295" s="21" t="s">
        <v>456</v>
      </c>
      <c r="D295" s="38" t="s">
        <v>162</v>
      </c>
      <c r="E295" s="376">
        <f>ROUNDUP(SUMIFS('4.3 Global SME Data'!$C$88:$C$93,'4.3 Global SME Data'!$B$88:$B$93,$C295)*SUMIFS('4.3 Global SME Data'!$C$96:$C$107,'4.3 Global SME Data'!$B$96:$B$107,$C$289)*(1+'1.1 Control Panel'!E$55-'1.1 Control Panel'!E$56)*SUMIFS('1.1 Control Panel'!E$83:E$88,'1.1 Control Panel'!C$83:C$88,$C295)*SUMIFS('1.1 Control Panel'!E$168:E$173,'1.1 Control Panel'!C$168:C$173,$C295)*SUMIFS('1.1 Control Panel'!E$253:E$258,'1.1 Control Panel'!C$253:C$258,$C295),0)</f>
        <v>65</v>
      </c>
      <c r="F295" s="376">
        <f>ROUNDUP(SUMIFS('4.3 Global SME Data'!$C$88:$C$93,'4.3 Global SME Data'!$B$88:$B$93,$C295)*SUMIFS('4.3 Global SME Data'!$C$96:$C$107,'4.3 Global SME Data'!$B$96:$B$107,$C$289)*(1+'1.1 Control Panel'!E$55-'1.1 Control Panel'!E$56)*(1+'1.1 Control Panel'!F$55-'1.1 Control Panel'!F$56)*SUMIFS('1.1 Control Panel'!F$83:F$88,'1.1 Control Panel'!C$83:C$88,$C295)*SUMIFS('1.1 Control Panel'!F$168:F$173,'1.1 Control Panel'!C$168:C$173,$C295)*SUMIFS('1.1 Control Panel'!F$253:F$258,'1.1 Control Panel'!C$253:C$258,$C295),0)</f>
        <v>67</v>
      </c>
      <c r="G295" s="376">
        <f>ROUNDUP(SUMIFS('4.3 Global SME Data'!$C$88:$C$93,'4.3 Global SME Data'!$B$88:$B$93,$C295)*SUMIFS('4.3 Global SME Data'!$C$96:$C$107,'4.3 Global SME Data'!$B$96:$B$107,$C$289)*(1+'1.1 Control Panel'!E$55-'1.1 Control Panel'!E$56)*(1+'1.1 Control Panel'!F$55-'1.1 Control Panel'!F$56)*(1+'1.1 Control Panel'!G$55-'1.1 Control Panel'!G$56)*SUMIFS('1.1 Control Panel'!G$83:G$88,'1.1 Control Panel'!C$83:C$88,$C295)*SUMIFS('1.1 Control Panel'!G$168:G$173,'1.1 Control Panel'!C$168:C$173,$C295)*SUMIFS('1.1 Control Panel'!G$253:G$258,'1.1 Control Panel'!C$253:C$258,$C295),0)</f>
        <v>70</v>
      </c>
      <c r="H295" s="376">
        <f>ROUNDUP(SUMIFS('4.3 Global SME Data'!$C$88:$C$93,'4.3 Global SME Data'!$B$88:$B$93,$C295)*SUMIFS('4.3 Global SME Data'!$C$96:$C$107,'4.3 Global SME Data'!$B$96:$B$107,$C$289)*(1+'1.1 Control Panel'!E$55-'1.1 Control Panel'!E$56)*(1+'1.1 Control Panel'!F$55-'1.1 Control Panel'!F$56)*(1+'1.1 Control Panel'!G$55-'1.1 Control Panel'!G$56)*(1+'1.1 Control Panel'!H$55-'1.1 Control Panel'!H$56)*SUMIFS('1.1 Control Panel'!H$83:H$88,'1.1 Control Panel'!C$83:C$88,$C295)*SUMIFS('1.1 Control Panel'!H$168:H$173,'1.1 Control Panel'!C$168:C$173,$C295)*SUMIFS('1.1 Control Panel'!H$253:H$258,'1.1 Control Panel'!C$253:C$258,$C295),0)</f>
        <v>73</v>
      </c>
      <c r="J295" s="21"/>
    </row>
    <row r="296" spans="2:10" s="74" customFormat="1" ht="11.5" customHeight="1" x14ac:dyDescent="0.25">
      <c r="B296" s="99" t="s">
        <v>9</v>
      </c>
      <c r="C296" s="105" t="str">
        <f>'4.2 Sector Mapping'!$B$9</f>
        <v>Healthcare</v>
      </c>
      <c r="D296" s="106" t="s">
        <v>162</v>
      </c>
      <c r="E296" s="380">
        <f>SUM(E297:E302)</f>
        <v>2377</v>
      </c>
      <c r="F296" s="380">
        <f t="shared" ref="F296" si="88">SUM(F297:F302)</f>
        <v>2518</v>
      </c>
      <c r="G296" s="380">
        <f t="shared" ref="G296" si="89">SUM(G297:G302)</f>
        <v>2756</v>
      </c>
      <c r="H296" s="380">
        <f t="shared" ref="H296" si="90">SUM(H297:H302)</f>
        <v>3004</v>
      </c>
      <c r="J296" s="105"/>
    </row>
    <row r="297" spans="2:10" ht="11.5" customHeight="1" x14ac:dyDescent="0.25">
      <c r="C297" s="20" t="s">
        <v>600</v>
      </c>
      <c r="D297" s="34" t="s">
        <v>162</v>
      </c>
      <c r="E297" s="28">
        <f>ROUNDUP(SUMIFS('4.3 Global SME Data'!$C$88:$C$93,'4.3 Global SME Data'!$B$88:$B$93,$C297)*SUMIFS('4.3 Global SME Data'!$C$96:$C$107,'4.3 Global SME Data'!$B$96:$B$107,$C$296)*(1+'1.1 Control Panel'!E$55-'1.1 Control Panel'!E$56)*SUMIFS('1.1 Control Panel'!E$90:E$95,'1.1 Control Panel'!C$90:C$95,$C297)*SUMIFS('1.1 Control Panel'!E$175:E$180,'1.1 Control Panel'!C$175:C$180,$C297)*SUMIFS('1.1 Control Panel'!E$260:E$265,'1.1 Control Panel'!C$260:C$265,$C297),0)</f>
        <v>1072</v>
      </c>
      <c r="F297" s="28">
        <f>ROUNDUP(SUMIFS('4.3 Global SME Data'!$C$88:$C$93,'4.3 Global SME Data'!$B$88:$B$93,$C297)*SUMIFS('4.3 Global SME Data'!$C$96:$C$107,'4.3 Global SME Data'!$B$96:$B$107,$C$296)*(1+'1.1 Control Panel'!E$55-'1.1 Control Panel'!E$56)*(1+'1.1 Control Panel'!F$55-'1.1 Control Panel'!F$56)*SUMIFS('1.1 Control Panel'!F$90:F$95,'1.1 Control Panel'!C$90:C$95,$C297)*SUMIFS('1.1 Control Panel'!F$175:F$180,'1.1 Control Panel'!C$175:C$180,$C297)*SUMIFS('1.1 Control Panel'!F$260:F$265,'1.1 Control Panel'!C$260:C$265,$C297),0)</f>
        <v>1145</v>
      </c>
      <c r="G297" s="28">
        <f>ROUNDUP(SUMIFS('4.3 Global SME Data'!$C$88:$C$93,'4.3 Global SME Data'!$B$88:$B$93,$C297)*SUMIFS('4.3 Global SME Data'!$C$96:$C$107,'4.3 Global SME Data'!$B$96:$B$107,$C$296)*(1+'1.1 Control Panel'!E$55-'1.1 Control Panel'!E$56)*(1+'1.1 Control Panel'!F$55-'1.1 Control Panel'!F$56)*(1+'1.1 Control Panel'!G$55-'1.1 Control Panel'!G$56)*SUMIFS('1.1 Control Panel'!G$90:G$95,'1.1 Control Panel'!C$90:C$95,$C297)*SUMIFS('1.1 Control Panel'!G$175:G$180,'1.1 Control Panel'!C$175:C$180,$C297)*SUMIFS('1.1 Control Panel'!G$260:G$265,'1.1 Control Panel'!C$260:C$265,$C297),0)</f>
        <v>1271</v>
      </c>
      <c r="H297" s="28">
        <f>ROUNDUP(SUMIFS('4.3 Global SME Data'!$C$88:$C$93,'4.3 Global SME Data'!$B$88:$B$93,$C297)*SUMIFS('4.3 Global SME Data'!$C$96:$C$107,'4.3 Global SME Data'!$B$96:$B$107,$C$296)*(1+'1.1 Control Panel'!E$55-'1.1 Control Panel'!E$56)*(1+'1.1 Control Panel'!F$55-'1.1 Control Panel'!F$56)*(1+'1.1 Control Panel'!G$55-'1.1 Control Panel'!G$56)*(1+'1.1 Control Panel'!H$55-'1.1 Control Panel'!H$56)*SUMIFS('1.1 Control Panel'!H$90:H$95,'1.1 Control Panel'!C$90:C$95,$C297)*SUMIFS('1.1 Control Panel'!H$175:H$180,'1.1 Control Panel'!C$175:C$180,$C297)*SUMIFS('1.1 Control Panel'!H$260:H$265,'1.1 Control Panel'!C$260:C$265,$C297),0)</f>
        <v>1402</v>
      </c>
      <c r="J297" s="20"/>
    </row>
    <row r="298" spans="2:10" ht="11.5" customHeight="1" x14ac:dyDescent="0.25">
      <c r="C298" s="20" t="s">
        <v>392</v>
      </c>
      <c r="D298" s="34" t="s">
        <v>162</v>
      </c>
      <c r="E298" s="28">
        <f>ROUNDUP(SUMIFS('4.3 Global SME Data'!$C$88:$C$93,'4.3 Global SME Data'!$B$88:$B$93,$C298)*SUMIFS('4.3 Global SME Data'!$C$96:$C$107,'4.3 Global SME Data'!$B$96:$B$107,$C$296)*(1+'1.1 Control Panel'!E$55-'1.1 Control Panel'!E$56)*SUMIFS('1.1 Control Panel'!E$90:E$95,'1.1 Control Panel'!C$90:C$95,$C298)*SUMIFS('1.1 Control Panel'!E$175:E$180,'1.1 Control Panel'!C$175:C$180,$C298)*SUMIFS('1.1 Control Panel'!E$260:E$265,'1.1 Control Panel'!C$260:C$265,$C298),0)</f>
        <v>6</v>
      </c>
      <c r="F298" s="28">
        <f>ROUNDUP(SUMIFS('4.3 Global SME Data'!$C$88:$C$93,'4.3 Global SME Data'!$B$88:$B$93,$C298)*SUMIFS('4.3 Global SME Data'!$C$96:$C$107,'4.3 Global SME Data'!$B$96:$B$107,$C$296)*(1+'1.1 Control Panel'!E$55-'1.1 Control Panel'!E$56)*(1+'1.1 Control Panel'!F$55-'1.1 Control Panel'!F$56)*SUMIFS('1.1 Control Panel'!F$90:F$95,'1.1 Control Panel'!C$90:C$95,$C298)*SUMIFS('1.1 Control Panel'!F$175:F$180,'1.1 Control Panel'!C$175:C$180,$C298)*SUMIFS('1.1 Control Panel'!F$260:F$265,'1.1 Control Panel'!C$260:C$265,$C298),0)</f>
        <v>7</v>
      </c>
      <c r="G298" s="28">
        <f>ROUNDUP(SUMIFS('4.3 Global SME Data'!$C$88:$C$93,'4.3 Global SME Data'!$B$88:$B$93,$C298)*SUMIFS('4.3 Global SME Data'!$C$96:$C$107,'4.3 Global SME Data'!$B$96:$B$107,$C$296)*(1+'1.1 Control Panel'!E$55-'1.1 Control Panel'!E$56)*(1+'1.1 Control Panel'!F$55-'1.1 Control Panel'!F$56)*(1+'1.1 Control Panel'!G$55-'1.1 Control Panel'!G$56)*SUMIFS('1.1 Control Panel'!G$90:G$95,'1.1 Control Panel'!C$90:C$95,$C298)*SUMIFS('1.1 Control Panel'!G$175:G$180,'1.1 Control Panel'!C$175:C$180,$C298)*SUMIFS('1.1 Control Panel'!G$260:G$265,'1.1 Control Panel'!C$260:C$265,$C298),0)</f>
        <v>7</v>
      </c>
      <c r="H298" s="28">
        <f>ROUNDUP(SUMIFS('4.3 Global SME Data'!$C$88:$C$93,'4.3 Global SME Data'!$B$88:$B$93,$C298)*SUMIFS('4.3 Global SME Data'!$C$96:$C$107,'4.3 Global SME Data'!$B$96:$B$107,$C$296)*(1+'1.1 Control Panel'!E$55-'1.1 Control Panel'!E$56)*(1+'1.1 Control Panel'!F$55-'1.1 Control Panel'!F$56)*(1+'1.1 Control Panel'!G$55-'1.1 Control Panel'!G$56)*(1+'1.1 Control Panel'!H$55-'1.1 Control Panel'!H$56)*SUMIFS('1.1 Control Panel'!H$90:H$95,'1.1 Control Panel'!C$90:C$95,$C298)*SUMIFS('1.1 Control Panel'!H$175:H$180,'1.1 Control Panel'!C$175:C$180,$C298)*SUMIFS('1.1 Control Panel'!H$260:H$265,'1.1 Control Panel'!C$260:C$265,$C298),0)</f>
        <v>7</v>
      </c>
      <c r="J298" s="20"/>
    </row>
    <row r="299" spans="2:10" ht="11.5" customHeight="1" x14ac:dyDescent="0.25">
      <c r="C299" s="20" t="s">
        <v>454</v>
      </c>
      <c r="D299" s="34" t="s">
        <v>162</v>
      </c>
      <c r="E299" s="28">
        <f>ROUNDUP(SUMIFS('4.3 Global SME Data'!$C$88:$C$93,'4.3 Global SME Data'!$B$88:$B$93,$C299)*SUMIFS('4.3 Global SME Data'!$C$96:$C$107,'4.3 Global SME Data'!$B$96:$B$107,$C$296)*(1+'1.1 Control Panel'!E$55-'1.1 Control Panel'!E$56)*SUMIFS('1.1 Control Panel'!E$90:E$95,'1.1 Control Panel'!C$90:C$95,$C299)*SUMIFS('1.1 Control Panel'!E$175:E$180,'1.1 Control Panel'!C$175:C$180,$C299)*SUMIFS('1.1 Control Panel'!E$260:E$265,'1.1 Control Panel'!C$260:C$265,$C299),0)</f>
        <v>64</v>
      </c>
      <c r="F299" s="28">
        <f>ROUNDUP(SUMIFS('4.3 Global SME Data'!$C$88:$C$93,'4.3 Global SME Data'!$B$88:$B$93,$C299)*SUMIFS('4.3 Global SME Data'!$C$96:$C$107,'4.3 Global SME Data'!$B$96:$B$107,$C$296)*(1+'1.1 Control Panel'!E$55-'1.1 Control Panel'!E$56)*(1+'1.1 Control Panel'!F$55-'1.1 Control Panel'!F$56)*SUMIFS('1.1 Control Panel'!F$90:F$95,'1.1 Control Panel'!C$90:C$95,$C299)*SUMIFS('1.1 Control Panel'!F$175:F$180,'1.1 Control Panel'!C$175:C$180,$C299)*SUMIFS('1.1 Control Panel'!F$260:F$265,'1.1 Control Panel'!C$260:C$265,$C299),0)</f>
        <v>66</v>
      </c>
      <c r="G299" s="28">
        <f>ROUNDUP(SUMIFS('4.3 Global SME Data'!$C$88:$C$93,'4.3 Global SME Data'!$B$88:$B$93,$C299)*SUMIFS('4.3 Global SME Data'!$C$96:$C$107,'4.3 Global SME Data'!$B$96:$B$107,$C$296)*(1+'1.1 Control Panel'!E$55-'1.1 Control Panel'!E$56)*(1+'1.1 Control Panel'!F$55-'1.1 Control Panel'!F$56)*(1+'1.1 Control Panel'!G$55-'1.1 Control Panel'!G$56)*SUMIFS('1.1 Control Panel'!G$90:G$95,'1.1 Control Panel'!C$90:C$95,$C299)*SUMIFS('1.1 Control Panel'!G$175:G$180,'1.1 Control Panel'!C$175:C$180,$C299)*SUMIFS('1.1 Control Panel'!G$260:G$265,'1.1 Control Panel'!C$260:C$265,$C299),0)</f>
        <v>69</v>
      </c>
      <c r="H299" s="28">
        <f>ROUNDUP(SUMIFS('4.3 Global SME Data'!$C$88:$C$93,'4.3 Global SME Data'!$B$88:$B$93,$C299)*SUMIFS('4.3 Global SME Data'!$C$96:$C$107,'4.3 Global SME Data'!$B$96:$B$107,$C$296)*(1+'1.1 Control Panel'!E$55-'1.1 Control Panel'!E$56)*(1+'1.1 Control Panel'!F$55-'1.1 Control Panel'!F$56)*(1+'1.1 Control Panel'!G$55-'1.1 Control Panel'!G$56)*(1+'1.1 Control Panel'!H$55-'1.1 Control Panel'!H$56)*SUMIFS('1.1 Control Panel'!H$90:H$95,'1.1 Control Panel'!C$90:C$95,$C299)*SUMIFS('1.1 Control Panel'!H$175:H$180,'1.1 Control Panel'!C$175:C$180,$C299)*SUMIFS('1.1 Control Panel'!H$260:H$265,'1.1 Control Panel'!C$260:C$265,$C299),0)</f>
        <v>73</v>
      </c>
      <c r="J299" s="20"/>
    </row>
    <row r="300" spans="2:10" ht="11.5" customHeight="1" x14ac:dyDescent="0.25">
      <c r="C300" s="21" t="s">
        <v>455</v>
      </c>
      <c r="D300" s="38" t="s">
        <v>162</v>
      </c>
      <c r="E300" s="376">
        <f>ROUNDUP(SUMIFS('4.3 Global SME Data'!$C$88:$C$93,'4.3 Global SME Data'!$B$88:$B$93,$C300)*SUMIFS('4.3 Global SME Data'!$C$96:$C$107,'4.3 Global SME Data'!$B$96:$B$107,$C$296)*(1+'1.1 Control Panel'!E$55-'1.1 Control Panel'!E$56)*SUMIFS('1.1 Control Panel'!E$90:E$95,'1.1 Control Panel'!C$90:C$95,$C300)*SUMIFS('1.1 Control Panel'!E$175:E$180,'1.1 Control Panel'!C$175:C$180,$C300)*SUMIFS('1.1 Control Panel'!E$260:E$265,'1.1 Control Panel'!C$260:C$265,$C300),0)</f>
        <v>611</v>
      </c>
      <c r="F300" s="376">
        <f>ROUNDUP(SUMIFS('4.3 Global SME Data'!$C$88:$C$93,'4.3 Global SME Data'!$B$88:$B$93,$C300)*SUMIFS('4.3 Global SME Data'!$C$96:$C$107,'4.3 Global SME Data'!$B$96:$B$107,$C$296)*(1+'1.1 Control Panel'!E$55-'1.1 Control Panel'!E$56)*(1+'1.1 Control Panel'!F$55-'1.1 Control Panel'!F$56)*SUMIFS('1.1 Control Panel'!F$90:F$95,'1.1 Control Panel'!C$90:C$95,$C300)*SUMIFS('1.1 Control Panel'!F$175:F$180,'1.1 Control Panel'!C$175:C$180,$C300)*SUMIFS('1.1 Control Panel'!F$260:F$265,'1.1 Control Panel'!C$260:C$265,$C300),0)</f>
        <v>645</v>
      </c>
      <c r="G300" s="376">
        <f>ROUNDUP(SUMIFS('4.3 Global SME Data'!$C$88:$C$93,'4.3 Global SME Data'!$B$88:$B$93,$C300)*SUMIFS('4.3 Global SME Data'!$C$96:$C$107,'4.3 Global SME Data'!$B$96:$B$107,$C$296)*(1+'1.1 Control Panel'!E$55-'1.1 Control Panel'!E$56)*(1+'1.1 Control Panel'!F$55-'1.1 Control Panel'!F$56)*(1+'1.1 Control Panel'!G$55-'1.1 Control Panel'!G$56)*SUMIFS('1.1 Control Panel'!G$90:G$95,'1.1 Control Panel'!C$90:C$95,$C300)*SUMIFS('1.1 Control Panel'!G$175:G$180,'1.1 Control Panel'!C$175:C$180,$C300)*SUMIFS('1.1 Control Panel'!G$260:G$265,'1.1 Control Panel'!C$260:C$265,$C300),0)</f>
        <v>702</v>
      </c>
      <c r="H300" s="376">
        <f>ROUNDUP(SUMIFS('4.3 Global SME Data'!$C$88:$C$93,'4.3 Global SME Data'!$B$88:$B$93,$C300)*SUMIFS('4.3 Global SME Data'!$C$96:$C$107,'4.3 Global SME Data'!$B$96:$B$107,$C$296)*(1+'1.1 Control Panel'!E$55-'1.1 Control Panel'!E$56)*(1+'1.1 Control Panel'!F$55-'1.1 Control Panel'!F$56)*(1+'1.1 Control Panel'!G$55-'1.1 Control Panel'!G$56)*(1+'1.1 Control Panel'!H$55-'1.1 Control Panel'!H$56)*SUMIFS('1.1 Control Panel'!H$90:H$95,'1.1 Control Panel'!C$90:C$95,$C300)*SUMIFS('1.1 Control Panel'!H$175:H$180,'1.1 Control Panel'!C$175:C$180,$C300)*SUMIFS('1.1 Control Panel'!H$260:H$265,'1.1 Control Panel'!C$260:C$265,$C300),0)</f>
        <v>762</v>
      </c>
      <c r="J300" s="21"/>
    </row>
    <row r="301" spans="2:10" ht="11.5" customHeight="1" x14ac:dyDescent="0.25">
      <c r="C301" s="21" t="s">
        <v>393</v>
      </c>
      <c r="D301" s="38" t="s">
        <v>162</v>
      </c>
      <c r="E301" s="376">
        <f>ROUNDUP(SUMIFS('4.3 Global SME Data'!$C$88:$C$93,'4.3 Global SME Data'!$B$88:$B$93,$C301)*SUMIFS('4.3 Global SME Data'!$C$96:$C$107,'4.3 Global SME Data'!$B$96:$B$107,$C$296)*(1+'1.1 Control Panel'!E$55-'1.1 Control Panel'!E$56)*SUMIFS('1.1 Control Panel'!E$90:E$95,'1.1 Control Panel'!C$90:C$95,$C301)*SUMIFS('1.1 Control Panel'!E$175:E$180,'1.1 Control Panel'!C$175:C$180,$C301)*SUMIFS('1.1 Control Panel'!E$260:E$265,'1.1 Control Panel'!C$260:C$265,$C301),0)</f>
        <v>569</v>
      </c>
      <c r="F301" s="376">
        <f>ROUNDUP(SUMIFS('4.3 Global SME Data'!$C$88:$C$93,'4.3 Global SME Data'!$B$88:$B$93,$C301)*SUMIFS('4.3 Global SME Data'!$C$96:$C$107,'4.3 Global SME Data'!$B$96:$B$107,$C$296)*(1+'1.1 Control Panel'!E$55-'1.1 Control Panel'!E$56)*(1+'1.1 Control Panel'!F$55-'1.1 Control Panel'!F$56)*SUMIFS('1.1 Control Panel'!F$90:F$95,'1.1 Control Panel'!C$90:C$95,$C301)*SUMIFS('1.1 Control Panel'!F$175:F$180,'1.1 Control Panel'!C$175:C$180,$C301)*SUMIFS('1.1 Control Panel'!F$260:F$265,'1.1 Control Panel'!C$260:C$265,$C301),0)</f>
        <v>598</v>
      </c>
      <c r="G301" s="376">
        <f>ROUNDUP(SUMIFS('4.3 Global SME Data'!$C$88:$C$93,'4.3 Global SME Data'!$B$88:$B$93,$C301)*SUMIFS('4.3 Global SME Data'!$C$96:$C$107,'4.3 Global SME Data'!$B$96:$B$107,$C$296)*(1+'1.1 Control Panel'!E$55-'1.1 Control Panel'!E$56)*(1+'1.1 Control Panel'!F$55-'1.1 Control Panel'!F$56)*(1+'1.1 Control Panel'!G$55-'1.1 Control Panel'!G$56)*SUMIFS('1.1 Control Panel'!G$90:G$95,'1.1 Control Panel'!C$90:C$95,$C301)*SUMIFS('1.1 Control Panel'!G$175:G$180,'1.1 Control Panel'!C$175:C$180,$C301)*SUMIFS('1.1 Control Panel'!G$260:G$265,'1.1 Control Panel'!C$260:C$265,$C301),0)</f>
        <v>647</v>
      </c>
      <c r="H301" s="376">
        <f>ROUNDUP(SUMIFS('4.3 Global SME Data'!$C$88:$C$93,'4.3 Global SME Data'!$B$88:$B$93,$C301)*SUMIFS('4.3 Global SME Data'!$C$96:$C$107,'4.3 Global SME Data'!$B$96:$B$107,$C$296)*(1+'1.1 Control Panel'!E$55-'1.1 Control Panel'!E$56)*(1+'1.1 Control Panel'!F$55-'1.1 Control Panel'!F$56)*(1+'1.1 Control Panel'!G$55-'1.1 Control Panel'!G$56)*(1+'1.1 Control Panel'!H$55-'1.1 Control Panel'!H$56)*SUMIFS('1.1 Control Panel'!H$90:H$95,'1.1 Control Panel'!C$90:C$95,$C301)*SUMIFS('1.1 Control Panel'!H$175:H$180,'1.1 Control Panel'!C$175:C$180,$C301)*SUMIFS('1.1 Control Panel'!H$260:H$265,'1.1 Control Panel'!C$260:C$265,$C301),0)</f>
        <v>697</v>
      </c>
      <c r="J301" s="21"/>
    </row>
    <row r="302" spans="2:10" ht="11.5" customHeight="1" x14ac:dyDescent="0.25">
      <c r="C302" s="21" t="s">
        <v>456</v>
      </c>
      <c r="D302" s="38" t="s">
        <v>162</v>
      </c>
      <c r="E302" s="376">
        <f>ROUNDUP(SUMIFS('4.3 Global SME Data'!$C$88:$C$93,'4.3 Global SME Data'!$B$88:$B$93,$C302)*SUMIFS('4.3 Global SME Data'!$C$96:$C$107,'4.3 Global SME Data'!$B$96:$B$107,$C$296)*(1+'1.1 Control Panel'!E$55-'1.1 Control Panel'!E$56)*SUMIFS('1.1 Control Panel'!E$90:E$95,'1.1 Control Panel'!C$90:C$95,$C302)*SUMIFS('1.1 Control Panel'!E$175:E$180,'1.1 Control Panel'!C$175:C$180,$C302)*SUMIFS('1.1 Control Panel'!E$260:E$265,'1.1 Control Panel'!C$260:C$265,$C302),0)</f>
        <v>55</v>
      </c>
      <c r="F302" s="376">
        <f>ROUNDUP(SUMIFS('4.3 Global SME Data'!$C$88:$C$93,'4.3 Global SME Data'!$B$88:$B$93,$C302)*SUMIFS('4.3 Global SME Data'!$C$96:$C$107,'4.3 Global SME Data'!$B$96:$B$107,$C$296)*(1+'1.1 Control Panel'!E$55-'1.1 Control Panel'!E$56)*(1+'1.1 Control Panel'!F$55-'1.1 Control Panel'!F$56)*SUMIFS('1.1 Control Panel'!F$90:F$95,'1.1 Control Panel'!C$90:C$95,$C302)*SUMIFS('1.1 Control Panel'!F$175:F$180,'1.1 Control Panel'!C$175:C$180,$C302)*SUMIFS('1.1 Control Panel'!F$260:F$265,'1.1 Control Panel'!C$260:C$265,$C302),0)</f>
        <v>57</v>
      </c>
      <c r="G302" s="376">
        <f>ROUNDUP(SUMIFS('4.3 Global SME Data'!$C$88:$C$93,'4.3 Global SME Data'!$B$88:$B$93,$C302)*SUMIFS('4.3 Global SME Data'!$C$96:$C$107,'4.3 Global SME Data'!$B$96:$B$107,$C$296)*(1+'1.1 Control Panel'!E$55-'1.1 Control Panel'!E$56)*(1+'1.1 Control Panel'!F$55-'1.1 Control Panel'!F$56)*(1+'1.1 Control Panel'!G$55-'1.1 Control Panel'!G$56)*SUMIFS('1.1 Control Panel'!G$90:G$95,'1.1 Control Panel'!C$90:C$95,$C302)*SUMIFS('1.1 Control Panel'!G$175:G$180,'1.1 Control Panel'!C$175:C$180,$C302)*SUMIFS('1.1 Control Panel'!G$260:G$265,'1.1 Control Panel'!C$260:C$265,$C302),0)</f>
        <v>60</v>
      </c>
      <c r="H302" s="376">
        <f>ROUNDUP(SUMIFS('4.3 Global SME Data'!$C$88:$C$93,'4.3 Global SME Data'!$B$88:$B$93,$C302)*SUMIFS('4.3 Global SME Data'!$C$96:$C$107,'4.3 Global SME Data'!$B$96:$B$107,$C$296)*(1+'1.1 Control Panel'!E$55-'1.1 Control Panel'!E$56)*(1+'1.1 Control Panel'!F$55-'1.1 Control Panel'!F$56)*(1+'1.1 Control Panel'!G$55-'1.1 Control Panel'!G$56)*(1+'1.1 Control Panel'!H$55-'1.1 Control Panel'!H$56)*SUMIFS('1.1 Control Panel'!H$90:H$95,'1.1 Control Panel'!C$90:C$95,$C302)*SUMIFS('1.1 Control Panel'!H$175:H$180,'1.1 Control Panel'!C$175:C$180,$C302)*SUMIFS('1.1 Control Panel'!H$260:H$265,'1.1 Control Panel'!C$260:C$265,$C302),0)</f>
        <v>63</v>
      </c>
      <c r="J302" s="21"/>
    </row>
    <row r="303" spans="2:10" s="74" customFormat="1" ht="11.5" customHeight="1" x14ac:dyDescent="0.25">
      <c r="B303" s="99" t="s">
        <v>9</v>
      </c>
      <c r="C303" s="105" t="str">
        <f>'4.2 Sector Mapping'!$B$10</f>
        <v>Industrials and Services</v>
      </c>
      <c r="D303" s="106" t="s">
        <v>162</v>
      </c>
      <c r="E303" s="380">
        <f>SUM(E304:E309)</f>
        <v>3860</v>
      </c>
      <c r="F303" s="380">
        <f t="shared" ref="F303" si="91">SUM(F304:F309)</f>
        <v>4044</v>
      </c>
      <c r="G303" s="380">
        <f t="shared" ref="G303" si="92">SUM(G304:G309)</f>
        <v>4364</v>
      </c>
      <c r="H303" s="380">
        <f t="shared" ref="H303" si="93">SUM(H304:H309)</f>
        <v>4688</v>
      </c>
      <c r="J303" s="105"/>
    </row>
    <row r="304" spans="2:10" ht="11.5" customHeight="1" x14ac:dyDescent="0.25">
      <c r="C304" s="20" t="s">
        <v>600</v>
      </c>
      <c r="D304" s="34" t="s">
        <v>162</v>
      </c>
      <c r="E304" s="28">
        <f>ROUNDUP(SUMIFS('4.3 Global SME Data'!$C$88:$C$93,'4.3 Global SME Data'!$B$88:$B$93,$C304)*SUMIFS('4.3 Global SME Data'!$C$96:$C$107,'4.3 Global SME Data'!$B$96:$B$107,$C$303)*(1+'1.1 Control Panel'!E$55-'1.1 Control Panel'!E$56)*SUMIFS('1.1 Control Panel'!E$97:E$102,'1.1 Control Panel'!C$97:C$102,$C304)*SUMIFS('1.1 Control Panel'!E$182:E$187,'1.1 Control Panel'!C$182:C$187,$C304)*SUMIFS('1.1 Control Panel'!E$267:E$272,'1.1 Control Panel'!C$267:C$272,$C304),0)</f>
        <v>1935</v>
      </c>
      <c r="F304" s="28">
        <f>ROUNDUP(SUMIFS('4.3 Global SME Data'!$C$88:$C$93,'4.3 Global SME Data'!$B$88:$B$93,$C304)*SUMIFS('4.3 Global SME Data'!$C$96:$C$107,'4.3 Global SME Data'!$B$96:$B$107,$C$303)*(1+'1.1 Control Panel'!E$55-'1.1 Control Panel'!E$56)*(1+'1.1 Control Panel'!F$55-'1.1 Control Panel'!F$56)*SUMIFS('1.1 Control Panel'!F$97:F$102,'1.1 Control Panel'!C$97:C$102,$C304)*SUMIFS('1.1 Control Panel'!F$182:F$187,'1.1 Control Panel'!C$182:C$187,$C304)*SUMIFS('1.1 Control Panel'!F$267:F$272,'1.1 Control Panel'!C$267:C$272,$C304),0)</f>
        <v>2036</v>
      </c>
      <c r="G304" s="28">
        <f>ROUNDUP(SUMIFS('4.3 Global SME Data'!$C$88:$C$93,'4.3 Global SME Data'!$B$88:$B$93,$C304)*SUMIFS('4.3 Global SME Data'!$C$96:$C$107,'4.3 Global SME Data'!$B$96:$B$107,$C$303)*(1+'1.1 Control Panel'!E$55-'1.1 Control Panel'!E$56)*(1+'1.1 Control Panel'!F$55-'1.1 Control Panel'!F$56)*(1+'1.1 Control Panel'!G$55-'1.1 Control Panel'!G$56)*SUMIFS('1.1 Control Panel'!G$97:G$102,'1.1 Control Panel'!C$97:C$102,$C304)*SUMIFS('1.1 Control Panel'!G$182:G$187,'1.1 Control Panel'!C$182:C$187,$C304)*SUMIFS('1.1 Control Panel'!G$267:G$272,'1.1 Control Panel'!C$267:C$272,$C304),0)</f>
        <v>2211</v>
      </c>
      <c r="H304" s="28">
        <f>ROUNDUP(SUMIFS('4.3 Global SME Data'!$C$88:$C$93,'4.3 Global SME Data'!$B$88:$B$93,$C304)*SUMIFS('4.3 Global SME Data'!$C$96:$C$107,'4.3 Global SME Data'!$B$96:$B$107,$C$303)*(1+'1.1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Panel'!C$97:C$102,$C304)*SUMIFS('1.1 Control Panel'!H$182:H$187,'1.1 Control Panel'!C$182:C$187,$C304)*SUMIFS('1.1 Control Panel'!H$267:H$272,'1.1 Control Panel'!C$267:C$272,$C304),0)</f>
        <v>2390</v>
      </c>
      <c r="J304" s="20"/>
    </row>
    <row r="305" spans="2:10" ht="11.5" customHeight="1" x14ac:dyDescent="0.25">
      <c r="C305" s="20" t="s">
        <v>392</v>
      </c>
      <c r="D305" s="34" t="s">
        <v>162</v>
      </c>
      <c r="E305" s="28">
        <f>ROUNDUP(SUMIFS('4.3 Global SME Data'!$C$88:$C$93,'4.3 Global SME Data'!$B$88:$B$93,$C305)*SUMIFS('4.3 Global SME Data'!$C$96:$C$107,'4.3 Global SME Data'!$B$96:$B$107,$C$303)*(1+'1.1 Control Panel'!E$55-'1.1 Control Panel'!E$56)*SUMIFS('1.1 Control Panel'!E$97:E$102,'1.1 Control Panel'!C$97:C$102,$C305)*SUMIFS('1.1 Control Panel'!E$182:E$187,'1.1 Control Panel'!C$182:C$187,$C305)*SUMIFS('1.1 Control Panel'!E$267:E$272,'1.1 Control Panel'!C$267:C$272,$C305),0)</f>
        <v>5</v>
      </c>
      <c r="F305" s="28">
        <f>ROUNDUP(SUMIFS('4.3 Global SME Data'!$C$88:$C$93,'4.3 Global SME Data'!$B$88:$B$93,$C305)*SUMIFS('4.3 Global SME Data'!$C$96:$C$107,'4.3 Global SME Data'!$B$96:$B$107,$C$303)*(1+'1.1 Control Panel'!E$55-'1.1 Control Panel'!E$56)*(1+'1.1 Control Panel'!F$55-'1.1 Control Panel'!F$56)*SUMIFS('1.1 Control Panel'!F$97:F$102,'1.1 Control Panel'!C$97:C$102,$C305)*SUMIFS('1.1 Control Panel'!F$182:F$187,'1.1 Control Panel'!C$182:C$187,$C305)*SUMIFS('1.1 Control Panel'!F$267:F$272,'1.1 Control Panel'!C$267:C$272,$C305),0)</f>
        <v>5</v>
      </c>
      <c r="G305" s="28">
        <f>ROUNDUP(SUMIFS('4.3 Global SME Data'!$C$88:$C$93,'4.3 Global SME Data'!$B$88:$B$93,$C305)*SUMIFS('4.3 Global SME Data'!$C$96:$C$107,'4.3 Global SME Data'!$B$96:$B$107,$C$303)*(1+'1.1 Control Panel'!E$55-'1.1 Control Panel'!E$56)*(1+'1.1 Control Panel'!F$55-'1.1 Control Panel'!F$56)*(1+'1.1 Control Panel'!G$55-'1.1 Control Panel'!G$56)*SUMIFS('1.1 Control Panel'!G$97:G$102,'1.1 Control Panel'!C$97:C$102,$C305)*SUMIFS('1.1 Control Panel'!G$182:G$187,'1.1 Control Panel'!C$182:C$187,$C305)*SUMIFS('1.1 Control Panel'!G$267:G$272,'1.1 Control Panel'!C$267:C$272,$C305),0)</f>
        <v>6</v>
      </c>
      <c r="H305" s="28">
        <f>ROUNDUP(SUMIFS('4.3 Global SME Data'!$C$88:$C$93,'4.3 Global SME Data'!$B$88:$B$93,$C305)*SUMIFS('4.3 Global SME Data'!$C$96:$C$107,'4.3 Global SME Data'!$B$96:$B$107,$C$303)*(1+'1.1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Panel'!C$97:C$102,$C305)*SUMIFS('1.1 Control Panel'!H$182:H$187,'1.1 Control Panel'!C$182:C$187,$C305)*SUMIFS('1.1 Control Panel'!H$267:H$272,'1.1 Control Panel'!C$267:C$272,$C305),0)</f>
        <v>6</v>
      </c>
      <c r="J305" s="20"/>
    </row>
    <row r="306" spans="2:10" ht="11.5" customHeight="1" x14ac:dyDescent="0.25">
      <c r="C306" s="20" t="s">
        <v>454</v>
      </c>
      <c r="D306" s="34" t="s">
        <v>162</v>
      </c>
      <c r="E306" s="28">
        <f>ROUNDUP(SUMIFS('4.3 Global SME Data'!$C$88:$C$93,'4.3 Global SME Data'!$B$88:$B$93,$C306)*SUMIFS('4.3 Global SME Data'!$C$96:$C$107,'4.3 Global SME Data'!$B$96:$B$107,$C$303)*(1+'1.1 Control Panel'!E$55-'1.1 Control Panel'!E$56)*SUMIFS('1.1 Control Panel'!E$97:E$102,'1.1 Control Panel'!C$97:C$102,$C306)*SUMIFS('1.1 Control Panel'!E$182:E$187,'1.1 Control Panel'!C$182:C$187,$C306)*SUMIFS('1.1 Control Panel'!E$267:E$272,'1.1 Control Panel'!C$267:C$272,$C306),0)</f>
        <v>53</v>
      </c>
      <c r="F306" s="28">
        <f>ROUNDUP(SUMIFS('4.3 Global SME Data'!$C$88:$C$93,'4.3 Global SME Data'!$B$88:$B$93,$C306)*SUMIFS('4.3 Global SME Data'!$C$96:$C$107,'4.3 Global SME Data'!$B$96:$B$107,$C$303)*(1+'1.1 Control Panel'!E$55-'1.1 Control Panel'!E$56)*(1+'1.1 Control Panel'!F$55-'1.1 Control Panel'!F$56)*SUMIFS('1.1 Control Panel'!F$97:F$102,'1.1 Control Panel'!C$97:C$102,$C306)*SUMIFS('1.1 Control Panel'!F$182:F$187,'1.1 Control Panel'!C$182:C$187,$C306)*SUMIFS('1.1 Control Panel'!F$267:F$272,'1.1 Control Panel'!C$267:C$272,$C306),0)</f>
        <v>55</v>
      </c>
      <c r="G306" s="28">
        <f>ROUNDUP(SUMIFS('4.3 Global SME Data'!$C$88:$C$93,'4.3 Global SME Data'!$B$88:$B$93,$C306)*SUMIFS('4.3 Global SME Data'!$C$96:$C$107,'4.3 Global SME Data'!$B$96:$B$107,$C$303)*(1+'1.1 Control Panel'!E$55-'1.1 Control Panel'!E$56)*(1+'1.1 Control Panel'!F$55-'1.1 Control Panel'!F$56)*(1+'1.1 Control Panel'!G$55-'1.1 Control Panel'!G$56)*SUMIFS('1.1 Control Panel'!G$97:G$102,'1.1 Control Panel'!C$97:C$102,$C306)*SUMIFS('1.1 Control Panel'!G$182:G$187,'1.1 Control Panel'!C$182:C$187,$C306)*SUMIFS('1.1 Control Panel'!G$267:G$272,'1.1 Control Panel'!C$267:C$272,$C306),0)</f>
        <v>59</v>
      </c>
      <c r="H306" s="28">
        <f>ROUNDUP(SUMIFS('4.3 Global SME Data'!$C$88:$C$93,'4.3 Global SME Data'!$B$88:$B$93,$C306)*SUMIFS('4.3 Global SME Data'!$C$96:$C$107,'4.3 Global SME Data'!$B$96:$B$107,$C$303)*(1+'1.1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Panel'!C$97:C$102,$C306)*SUMIFS('1.1 Control Panel'!H$182:H$187,'1.1 Control Panel'!C$182:C$187,$C306)*SUMIFS('1.1 Control Panel'!H$267:H$272,'1.1 Control Panel'!C$267:C$272,$C306),0)</f>
        <v>62</v>
      </c>
      <c r="J306" s="20"/>
    </row>
    <row r="307" spans="2:10" ht="11.5" customHeight="1" x14ac:dyDescent="0.25">
      <c r="C307" s="21" t="s">
        <v>455</v>
      </c>
      <c r="D307" s="38" t="s">
        <v>162</v>
      </c>
      <c r="E307" s="376">
        <f>ROUNDUP(SUMIFS('4.3 Global SME Data'!$C$88:$C$93,'4.3 Global SME Data'!$B$88:$B$93,$C307)*SUMIFS('4.3 Global SME Data'!$C$96:$C$107,'4.3 Global SME Data'!$B$96:$B$107,$C$303)*(1+'1.1 Control Panel'!E$55-'1.1 Control Panel'!E$56)*SUMIFS('1.1 Control Panel'!E$97:E$102,'1.1 Control Panel'!C$97:C$102,$C307)*SUMIFS('1.1 Control Panel'!E$182:E$187,'1.1 Control Panel'!C$182:C$187,$C307)*SUMIFS('1.1 Control Panel'!E$267:E$272,'1.1 Control Panel'!C$267:C$272,$C307),0)</f>
        <v>1103</v>
      </c>
      <c r="F307" s="376">
        <f>ROUNDUP(SUMIFS('4.3 Global SME Data'!$C$88:$C$93,'4.3 Global SME Data'!$B$88:$B$93,$C307)*SUMIFS('4.3 Global SME Data'!$C$96:$C$107,'4.3 Global SME Data'!$B$96:$B$107,$C$303)*(1+'1.1 Control Panel'!E$55-'1.1 Control Panel'!E$56)*(1+'1.1 Control Panel'!F$55-'1.1 Control Panel'!F$56)*SUMIFS('1.1 Control Panel'!F$97:F$102,'1.1 Control Panel'!C$97:C$102,$C307)*SUMIFS('1.1 Control Panel'!F$182:F$187,'1.1 Control Panel'!C$182:C$187,$C307)*SUMIFS('1.1 Control Panel'!F$267:F$272,'1.1 Control Panel'!C$267:C$272,$C307),0)</f>
        <v>1149</v>
      </c>
      <c r="G307" s="376">
        <f>ROUNDUP(SUMIFS('4.3 Global SME Data'!$C$88:$C$93,'4.3 Global SME Data'!$B$88:$B$93,$C307)*SUMIFS('4.3 Global SME Data'!$C$96:$C$107,'4.3 Global SME Data'!$B$96:$B$107,$C$303)*(1+'1.1 Control Panel'!E$55-'1.1 Control Panel'!E$56)*(1+'1.1 Control Panel'!F$55-'1.1 Control Panel'!F$56)*(1+'1.1 Control Panel'!G$55-'1.1 Control Panel'!G$56)*SUMIFS('1.1 Control Panel'!G$97:G$102,'1.1 Control Panel'!C$97:C$102,$C307)*SUMIFS('1.1 Control Panel'!G$182:G$187,'1.1 Control Panel'!C$182:C$187,$C307)*SUMIFS('1.1 Control Panel'!G$267:G$272,'1.1 Control Panel'!C$267:C$272,$C307),0)</f>
        <v>1229</v>
      </c>
      <c r="H307" s="376">
        <f>ROUNDUP(SUMIFS('4.3 Global SME Data'!$C$88:$C$93,'4.3 Global SME Data'!$B$88:$B$93,$C307)*SUMIFS('4.3 Global SME Data'!$C$96:$C$107,'4.3 Global SME Data'!$B$96:$B$107,$C$303)*(1+'1.1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Panel'!C$97:C$102,$C307)*SUMIFS('1.1 Control Panel'!H$182:H$187,'1.1 Control Panel'!C$182:C$187,$C307)*SUMIFS('1.1 Control Panel'!H$267:H$272,'1.1 Control Panel'!C$267:C$272,$C307),0)</f>
        <v>1310</v>
      </c>
      <c r="J307" s="21"/>
    </row>
    <row r="308" spans="2:10" ht="11.5" customHeight="1" x14ac:dyDescent="0.25">
      <c r="C308" s="21" t="s">
        <v>393</v>
      </c>
      <c r="D308" s="38" t="s">
        <v>162</v>
      </c>
      <c r="E308" s="376">
        <f>ROUNDUP(SUMIFS('4.3 Global SME Data'!$C$88:$C$93,'4.3 Global SME Data'!$B$88:$B$93,$C308)*SUMIFS('4.3 Global SME Data'!$C$96:$C$107,'4.3 Global SME Data'!$B$96:$B$107,$C$303)*(1+'1.1 Control Panel'!E$55-'1.1 Control Panel'!E$56)*SUMIFS('1.1 Control Panel'!E$97:E$102,'1.1 Control Panel'!C$97:C$102,$C308)*SUMIFS('1.1 Control Panel'!E$182:E$187,'1.1 Control Panel'!C$182:C$187,$C308)*SUMIFS('1.1 Control Panel'!E$267:E$272,'1.1 Control Panel'!C$267:C$272,$C308),0)</f>
        <v>702</v>
      </c>
      <c r="F308" s="376">
        <f>ROUNDUP(SUMIFS('4.3 Global SME Data'!$C$88:$C$93,'4.3 Global SME Data'!$B$88:$B$93,$C308)*SUMIFS('4.3 Global SME Data'!$C$96:$C$107,'4.3 Global SME Data'!$B$96:$B$107,$C$303)*(1+'1.1 Control Panel'!E$55-'1.1 Control Panel'!E$56)*(1+'1.1 Control Panel'!F$55-'1.1 Control Panel'!F$56)*SUMIFS('1.1 Control Panel'!F$97:F$102,'1.1 Control Panel'!C$97:C$102,$C308)*SUMIFS('1.1 Control Panel'!F$182:F$187,'1.1 Control Panel'!C$182:C$187,$C308)*SUMIFS('1.1 Control Panel'!F$267:F$272,'1.1 Control Panel'!C$267:C$272,$C308),0)</f>
        <v>735</v>
      </c>
      <c r="G308" s="376">
        <f>ROUNDUP(SUMIFS('4.3 Global SME Data'!$C$88:$C$93,'4.3 Global SME Data'!$B$88:$B$93,$C308)*SUMIFS('4.3 Global SME Data'!$C$96:$C$107,'4.3 Global SME Data'!$B$96:$B$107,$C$303)*(1+'1.1 Control Panel'!E$55-'1.1 Control Panel'!E$56)*(1+'1.1 Control Panel'!F$55-'1.1 Control Panel'!F$56)*(1+'1.1 Control Panel'!G$55-'1.1 Control Panel'!G$56)*SUMIFS('1.1 Control Panel'!G$97:G$102,'1.1 Control Panel'!C$97:C$102,$C308)*SUMIFS('1.1 Control Panel'!G$182:G$187,'1.1 Control Panel'!C$182:C$187,$C308)*SUMIFS('1.1 Control Panel'!G$267:G$272,'1.1 Control Panel'!C$267:C$272,$C308),0)</f>
        <v>791</v>
      </c>
      <c r="H308" s="376">
        <f>ROUNDUP(SUMIFS('4.3 Global SME Data'!$C$88:$C$93,'4.3 Global SME Data'!$B$88:$B$93,$C308)*SUMIFS('4.3 Global SME Data'!$C$96:$C$107,'4.3 Global SME Data'!$B$96:$B$107,$C$303)*(1+'1.1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Panel'!C$97:C$102,$C308)*SUMIFS('1.1 Control Panel'!H$182:H$187,'1.1 Control Panel'!C$182:C$187,$C308)*SUMIFS('1.1 Control Panel'!H$267:H$272,'1.1 Control Panel'!C$267:C$272,$C308),0)</f>
        <v>849</v>
      </c>
      <c r="J308" s="21"/>
    </row>
    <row r="309" spans="2:10" ht="11.5" customHeight="1" x14ac:dyDescent="0.25">
      <c r="C309" s="21" t="s">
        <v>456</v>
      </c>
      <c r="D309" s="38" t="s">
        <v>162</v>
      </c>
      <c r="E309" s="376">
        <f>ROUNDUP(SUMIFS('4.3 Global SME Data'!$C$88:$C$93,'4.3 Global SME Data'!$B$88:$B$93,$C309)*SUMIFS('4.3 Global SME Data'!$C$96:$C$107,'4.3 Global SME Data'!$B$96:$B$107,$C$303)*(1+'1.1 Control Panel'!E$55-'1.1 Control Panel'!E$56)*SUMIFS('1.1 Control Panel'!E$97:E$102,'1.1 Control Panel'!C$97:C$102,$C309)*SUMIFS('1.1 Control Panel'!E$182:E$187,'1.1 Control Panel'!C$182:C$187,$C309)*SUMIFS('1.1 Control Panel'!E$267:E$272,'1.1 Control Panel'!C$267:C$272,$C309),0)</f>
        <v>62</v>
      </c>
      <c r="F309" s="376">
        <f>ROUNDUP(SUMIFS('4.3 Global SME Data'!$C$88:$C$93,'4.3 Global SME Data'!$B$88:$B$93,$C309)*SUMIFS('4.3 Global SME Data'!$C$96:$C$107,'4.3 Global SME Data'!$B$96:$B$107,$C$303)*(1+'1.1 Control Panel'!E$55-'1.1 Control Panel'!E$56)*(1+'1.1 Control Panel'!F$55-'1.1 Control Panel'!F$56)*SUMIFS('1.1 Control Panel'!F$97:F$102,'1.1 Control Panel'!C$97:C$102,$C309)*SUMIFS('1.1 Control Panel'!F$182:F$187,'1.1 Control Panel'!C$182:C$187,$C309)*SUMIFS('1.1 Control Panel'!F$267:F$272,'1.1 Control Panel'!C$267:C$272,$C309),0)</f>
        <v>64</v>
      </c>
      <c r="G309" s="376">
        <f>ROUNDUP(SUMIFS('4.3 Global SME Data'!$C$88:$C$93,'4.3 Global SME Data'!$B$88:$B$93,$C309)*SUMIFS('4.3 Global SME Data'!$C$96:$C$107,'4.3 Global SME Data'!$B$96:$B$107,$C$303)*(1+'1.1 Control Panel'!E$55-'1.1 Control Panel'!E$56)*(1+'1.1 Control Panel'!F$55-'1.1 Control Panel'!F$56)*(1+'1.1 Control Panel'!G$55-'1.1 Control Panel'!G$56)*SUMIFS('1.1 Control Panel'!G$97:G$102,'1.1 Control Panel'!C$97:C$102,$C309)*SUMIFS('1.1 Control Panel'!G$182:G$187,'1.1 Control Panel'!C$182:C$187,$C309)*SUMIFS('1.1 Control Panel'!G$267:G$272,'1.1 Control Panel'!C$267:C$272,$C309),0)</f>
        <v>68</v>
      </c>
      <c r="H309" s="376">
        <f>ROUNDUP(SUMIFS('4.3 Global SME Data'!$C$88:$C$93,'4.3 Global SME Data'!$B$88:$B$93,$C309)*SUMIFS('4.3 Global SME Data'!$C$96:$C$107,'4.3 Global SME Data'!$B$96:$B$107,$C$303)*(1+'1.1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Panel'!C$97:C$102,$C309)*SUMIFS('1.1 Control Panel'!H$182:H$187,'1.1 Control Panel'!C$182:C$187,$C309)*SUMIFS('1.1 Control Panel'!H$267:H$272,'1.1 Control Panel'!C$267:C$272,$C309),0)</f>
        <v>71</v>
      </c>
      <c r="J309" s="21"/>
    </row>
    <row r="310" spans="2:10" s="74" customFormat="1" ht="11.5" customHeight="1" x14ac:dyDescent="0.25">
      <c r="B310" s="99" t="s">
        <v>9</v>
      </c>
      <c r="C310" s="105" t="str">
        <f>'4.2 Sector Mapping'!$B$11</f>
        <v>Professional Services: Human Resources, Education, Consulting, Legal</v>
      </c>
      <c r="D310" s="106" t="s">
        <v>162</v>
      </c>
      <c r="E310" s="380">
        <f>SUM(E311:E316)</f>
        <v>2377</v>
      </c>
      <c r="F310" s="380">
        <f t="shared" ref="F310" si="94">SUM(F311:F316)</f>
        <v>2491</v>
      </c>
      <c r="G310" s="380">
        <f t="shared" ref="G310" si="95">SUM(G311:G316)</f>
        <v>2686</v>
      </c>
      <c r="H310" s="380">
        <f t="shared" ref="H310" si="96">SUM(H311:H316)</f>
        <v>2885</v>
      </c>
      <c r="J310" s="105"/>
    </row>
    <row r="311" spans="2:10" ht="11.5" customHeight="1" x14ac:dyDescent="0.25">
      <c r="C311" s="20" t="s">
        <v>600</v>
      </c>
      <c r="D311" s="34" t="s">
        <v>162</v>
      </c>
      <c r="E311" s="28">
        <f>ROUNDUP(SUMIFS('4.3 Global SME Data'!$C$88:$C$93,'4.3 Global SME Data'!$B$88:$B$93,$C311)*SUMIFS('4.3 Global SME Data'!$C$96:$C$107,'4.3 Global SME Data'!$B$96:$B$107,$C$310)*(1+'1.1 Control Panel'!E$55-'1.1 Control Panel'!E$56)*SUMIFS('1.1 Control Panel'!E$104:E$109,'1.1 Control Panel'!C$104:C$109,$C311)*SUMIFS('1.1 Control Panel'!E$189:E$194,'1.1 Control Panel'!C$189:C$194,$C311)*SUMIFS('1.1 Control Panel'!E$274:E$279,'1.1 Control Panel'!C$274:C$279,$C311),0)</f>
        <v>1191</v>
      </c>
      <c r="F311" s="28">
        <f>ROUNDUP(SUMIFS('4.3 Global SME Data'!$C$88:$C$93,'4.3 Global SME Data'!$B$88:$B$93,$C311)*SUMIFS('4.3 Global SME Data'!$C$96:$C$107,'4.3 Global SME Data'!$B$96:$B$107,$C$310)*(1+'1.1 Control Panel'!E$55-'1.1 Control Panel'!E$56)*(1+'1.1 Control Panel'!F$55-'1.1 Control Panel'!F$56)*SUMIFS('1.1 Control Panel'!F$104:F$109,'1.1 Control Panel'!C$104:C$109,$C311)*SUMIFS('1.1 Control Panel'!F$189:F$194,'1.1 Control Panel'!C$189:C$194,$C311)*SUMIFS('1.1 Control Panel'!F$274:F$279,'1.1 Control Panel'!C$274:C$279,$C311),0)</f>
        <v>1253</v>
      </c>
      <c r="G311" s="28">
        <f>ROUNDUP(SUMIFS('4.3 Global SME Data'!$C$88:$C$93,'4.3 Global SME Data'!$B$88:$B$93,$C311)*SUMIFS('4.3 Global SME Data'!$C$96:$C$107,'4.3 Global SME Data'!$B$96:$B$107,$C$310)*(1+'1.1 Control Panel'!E$55-'1.1 Control Panel'!E$56)*(1+'1.1 Control Panel'!F$55-'1.1 Control Panel'!F$56)*(1+'1.1 Control Panel'!G$55-'1.1 Control Panel'!G$56)*SUMIFS('1.1 Control Panel'!G$97:G$102,'1.1 Control Panel'!C$97:C$102,$C311)*SUMIFS('1.1 Control Panel'!G$182:G$187,'1.1 Control Panel'!C$182:C$187,$C311)*SUMIFS('1.1 Control Panel'!G$267:G$272,'1.1 Control Panel'!C$267:C$272,$C311),0)</f>
        <v>1361</v>
      </c>
      <c r="H311" s="28">
        <f>ROUNDUP(SUMIFS('4.3 Global SME Data'!$C$88:$C$93,'4.3 Global SME Data'!$B$88:$B$93,$C311)*SUMIFS('4.3 Global SME Data'!$C$96:$C$107,'4.3 Global SME Data'!$B$96:$B$107,$C$310)*(1+'1.1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Panel'!C$97:C$102,$C311)*SUMIFS('1.1 Control Panel'!H$182:H$187,'1.1 Control Panel'!C$182:C$187,$C311)*SUMIFS('1.1 Control Panel'!H$267:H$272,'1.1 Control Panel'!C$267:C$272,$C311),0)</f>
        <v>1471</v>
      </c>
      <c r="J311" s="20"/>
    </row>
    <row r="312" spans="2:10" ht="11.5" customHeight="1" x14ac:dyDescent="0.25">
      <c r="C312" s="20" t="s">
        <v>392</v>
      </c>
      <c r="D312" s="34" t="s">
        <v>162</v>
      </c>
      <c r="E312" s="28">
        <f>ROUNDUP(SUMIFS('4.3 Global SME Data'!$C$88:$C$93,'4.3 Global SME Data'!$B$88:$B$93,$C312)*SUMIFS('4.3 Global SME Data'!$C$96:$C$107,'4.3 Global SME Data'!$B$96:$B$107,$C$310)*(1+'1.1 Control Panel'!E$55-'1.1 Control Panel'!E$56)*SUMIFS('1.1 Control Panel'!E$104:E$109,'1.1 Control Panel'!C$104:C$109,$C312)*SUMIFS('1.1 Control Panel'!E$189:E$194,'1.1 Control Panel'!C$189:C$194,$C312)*SUMIFS('1.1 Control Panel'!E$274:E$279,'1.1 Control Panel'!C$274:C$279,$C312),0)</f>
        <v>3</v>
      </c>
      <c r="F312" s="28">
        <f>ROUNDUP(SUMIFS('4.3 Global SME Data'!$C$88:$C$93,'4.3 Global SME Data'!$B$88:$B$93,$C312)*SUMIFS('4.3 Global SME Data'!$C$96:$C$107,'4.3 Global SME Data'!$B$96:$B$107,$C$310)*(1+'1.1 Control Panel'!E$55-'1.1 Control Panel'!E$56)*(1+'1.1 Control Panel'!F$55-'1.1 Control Panel'!F$56)*SUMIFS('1.1 Control Panel'!F$104:F$109,'1.1 Control Panel'!C$104:C$109,$C312)*SUMIFS('1.1 Control Panel'!F$189:F$194,'1.1 Control Panel'!C$189:C$194,$C312)*SUMIFS('1.1 Control Panel'!F$274:F$279,'1.1 Control Panel'!C$274:C$279,$C312),0)</f>
        <v>4</v>
      </c>
      <c r="G312" s="28">
        <f>ROUNDUP(SUMIFS('4.3 Global SME Data'!$C$88:$C$93,'4.3 Global SME Data'!$B$88:$B$93,$C312)*SUMIFS('4.3 Global SME Data'!$C$96:$C$107,'4.3 Global SME Data'!$B$96:$B$107,$C$310)*(1+'1.1 Control Panel'!E$55-'1.1 Control Panel'!E$56)*(1+'1.1 Control Panel'!F$55-'1.1 Control Panel'!F$56)*(1+'1.1 Control Panel'!G$55-'1.1 Control Panel'!G$56)*SUMIFS('1.1 Control Panel'!G$97:G$102,'1.1 Control Panel'!C$97:C$102,$C312)*SUMIFS('1.1 Control Panel'!G$182:G$187,'1.1 Control Panel'!C$182:C$187,$C312)*SUMIFS('1.1 Control Panel'!G$267:G$272,'1.1 Control Panel'!C$267:C$272,$C312),0)</f>
        <v>4</v>
      </c>
      <c r="H312" s="28">
        <f>ROUNDUP(SUMIFS('4.3 Global SME Data'!$C$88:$C$93,'4.3 Global SME Data'!$B$88:$B$93,$C312)*SUMIFS('4.3 Global SME Data'!$C$96:$C$107,'4.3 Global SME Data'!$B$96:$B$107,$C$310)*(1+'1.1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Panel'!C$97:C$102,$C312)*SUMIFS('1.1 Control Panel'!H$182:H$187,'1.1 Control Panel'!C$182:C$187,$C312)*SUMIFS('1.1 Control Panel'!H$267:H$272,'1.1 Control Panel'!C$267:C$272,$C312),0)</f>
        <v>4</v>
      </c>
      <c r="J312" s="20"/>
    </row>
    <row r="313" spans="2:10" ht="11.5" customHeight="1" x14ac:dyDescent="0.25">
      <c r="C313" s="20" t="s">
        <v>454</v>
      </c>
      <c r="D313" s="34" t="s">
        <v>162</v>
      </c>
      <c r="E313" s="28">
        <f>ROUNDUP(SUMIFS('4.3 Global SME Data'!$C$88:$C$93,'4.3 Global SME Data'!$B$88:$B$93,$C313)*SUMIFS('4.3 Global SME Data'!$C$96:$C$107,'4.3 Global SME Data'!$B$96:$B$107,$C$310)*(1+'1.1 Control Panel'!E$55-'1.1 Control Panel'!E$56)*SUMIFS('1.1 Control Panel'!E$104:E$109,'1.1 Control Panel'!C$104:C$109,$C313)*SUMIFS('1.1 Control Panel'!E$189:E$194,'1.1 Control Panel'!C$189:C$194,$C313)*SUMIFS('1.1 Control Panel'!E$274:E$279,'1.1 Control Panel'!C$274:C$279,$C313),0)</f>
        <v>33</v>
      </c>
      <c r="F313" s="28">
        <f>ROUNDUP(SUMIFS('4.3 Global SME Data'!$C$88:$C$93,'4.3 Global SME Data'!$B$88:$B$93,$C313)*SUMIFS('4.3 Global SME Data'!$C$96:$C$107,'4.3 Global SME Data'!$B$96:$B$107,$C$310)*(1+'1.1 Control Panel'!E$55-'1.1 Control Panel'!E$56)*(1+'1.1 Control Panel'!F$55-'1.1 Control Panel'!F$56)*SUMIFS('1.1 Control Panel'!F$104:F$109,'1.1 Control Panel'!C$104:C$109,$C313)*SUMIFS('1.1 Control Panel'!F$189:F$194,'1.1 Control Panel'!C$189:C$194,$C313)*SUMIFS('1.1 Control Panel'!F$274:F$279,'1.1 Control Panel'!C$274:C$279,$C313),0)</f>
        <v>34</v>
      </c>
      <c r="G313" s="28">
        <f>ROUNDUP(SUMIFS('4.3 Global SME Data'!$C$88:$C$93,'4.3 Global SME Data'!$B$88:$B$93,$C313)*SUMIFS('4.3 Global SME Data'!$C$96:$C$107,'4.3 Global SME Data'!$B$96:$B$107,$C$310)*(1+'1.1 Control Panel'!E$55-'1.1 Control Panel'!E$56)*(1+'1.1 Control Panel'!F$55-'1.1 Control Panel'!F$56)*(1+'1.1 Control Panel'!G$55-'1.1 Control Panel'!G$56)*SUMIFS('1.1 Control Panel'!G$97:G$102,'1.1 Control Panel'!C$97:C$102,$C313)*SUMIFS('1.1 Control Panel'!G$182:G$187,'1.1 Control Panel'!C$182:C$187,$C313)*SUMIFS('1.1 Control Panel'!G$267:G$272,'1.1 Control Panel'!C$267:C$272,$C313),0)</f>
        <v>36</v>
      </c>
      <c r="H313" s="28">
        <f>ROUNDUP(SUMIFS('4.3 Global SME Data'!$C$88:$C$93,'4.3 Global SME Data'!$B$88:$B$93,$C313)*SUMIFS('4.3 Global SME Data'!$C$96:$C$107,'4.3 Global SME Data'!$B$96:$B$107,$C$310)*(1+'1.1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Panel'!C$97:C$102,$C313)*SUMIFS('1.1 Control Panel'!H$182:H$187,'1.1 Control Panel'!C$182:C$187,$C313)*SUMIFS('1.1 Control Panel'!H$267:H$272,'1.1 Control Panel'!C$267:C$272,$C313),0)</f>
        <v>38</v>
      </c>
      <c r="J313" s="20"/>
    </row>
    <row r="314" spans="2:10" ht="11.5" customHeight="1" x14ac:dyDescent="0.25">
      <c r="C314" s="21" t="s">
        <v>455</v>
      </c>
      <c r="D314" s="38" t="s">
        <v>162</v>
      </c>
      <c r="E314" s="376">
        <f>ROUNDUP(SUMIFS('4.3 Global SME Data'!$C$88:$C$93,'4.3 Global SME Data'!$B$88:$B$93,$C314)*SUMIFS('4.3 Global SME Data'!$C$96:$C$107,'4.3 Global SME Data'!$B$96:$B$107,$C$310)*(1+'1.1 Control Panel'!E$55-'1.1 Control Panel'!E$56)*SUMIFS('1.1 Control Panel'!E$104:E$109,'1.1 Control Panel'!C$104:C$109,$C314)*SUMIFS('1.1 Control Panel'!E$189:E$194,'1.1 Control Panel'!C$189:C$194,$C314)*SUMIFS('1.1 Control Panel'!E$274:E$279,'1.1 Control Panel'!C$274:C$279,$C314),0)</f>
        <v>679</v>
      </c>
      <c r="F314" s="376">
        <f>ROUNDUP(SUMIFS('4.3 Global SME Data'!$C$88:$C$93,'4.3 Global SME Data'!$B$88:$B$93,$C314)*SUMIFS('4.3 Global SME Data'!$C$96:$C$107,'4.3 Global SME Data'!$B$96:$B$107,$C$310)*(1+'1.1 Control Panel'!E$55-'1.1 Control Panel'!E$56)*(1+'1.1 Control Panel'!F$55-'1.1 Control Panel'!F$56)*SUMIFS('1.1 Control Panel'!F$104:F$109,'1.1 Control Panel'!C$104:C$109,$C314)*SUMIFS('1.1 Control Panel'!F$189:F$194,'1.1 Control Panel'!C$189:C$194,$C314)*SUMIFS('1.1 Control Panel'!F$274:F$279,'1.1 Control Panel'!C$274:C$279,$C314),0)</f>
        <v>708</v>
      </c>
      <c r="G314" s="376">
        <f>ROUNDUP(SUMIFS('4.3 Global SME Data'!$C$88:$C$93,'4.3 Global SME Data'!$B$88:$B$93,$C314)*SUMIFS('4.3 Global SME Data'!$C$96:$C$107,'4.3 Global SME Data'!$B$96:$B$107,$C$310)*(1+'1.1 Control Panel'!E$55-'1.1 Control Panel'!E$56)*(1+'1.1 Control Panel'!F$55-'1.1 Control Panel'!F$56)*(1+'1.1 Control Panel'!G$55-'1.1 Control Panel'!G$56)*SUMIFS('1.1 Control Panel'!G$97:G$102,'1.1 Control Panel'!C$97:C$102,$C314)*SUMIFS('1.1 Control Panel'!G$182:G$187,'1.1 Control Panel'!C$182:C$187,$C314)*SUMIFS('1.1 Control Panel'!G$267:G$272,'1.1 Control Panel'!C$267:C$272,$C314),0)</f>
        <v>756</v>
      </c>
      <c r="H314" s="376">
        <f>ROUNDUP(SUMIFS('4.3 Global SME Data'!$C$88:$C$93,'4.3 Global SME Data'!$B$88:$B$93,$C314)*SUMIFS('4.3 Global SME Data'!$C$96:$C$107,'4.3 Global SME Data'!$B$96:$B$107,$C$310)*(1+'1.1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Panel'!C$97:C$102,$C314)*SUMIFS('1.1 Control Panel'!H$182:H$187,'1.1 Control Panel'!C$182:C$187,$C314)*SUMIFS('1.1 Control Panel'!H$267:H$272,'1.1 Control Panel'!C$267:C$272,$C314),0)</f>
        <v>806</v>
      </c>
      <c r="J314" s="21"/>
    </row>
    <row r="315" spans="2:10" ht="11.5" customHeight="1" x14ac:dyDescent="0.25">
      <c r="C315" s="21" t="s">
        <v>393</v>
      </c>
      <c r="D315" s="38" t="s">
        <v>162</v>
      </c>
      <c r="E315" s="376">
        <f>ROUNDUP(SUMIFS('4.3 Global SME Data'!$C$88:$C$93,'4.3 Global SME Data'!$B$88:$B$93,$C315)*SUMIFS('4.3 Global SME Data'!$C$96:$C$107,'4.3 Global SME Data'!$B$96:$B$107,$C$310)*(1+'1.1 Control Panel'!E$55-'1.1 Control Panel'!E$56)*SUMIFS('1.1 Control Panel'!E$104:E$109,'1.1 Control Panel'!C$104:C$109,$C315)*SUMIFS('1.1 Control Panel'!E$189:E$194,'1.1 Control Panel'!C$189:C$194,$C315)*SUMIFS('1.1 Control Panel'!E$274:E$279,'1.1 Control Panel'!C$274:C$279,$C315),0)</f>
        <v>432</v>
      </c>
      <c r="F315" s="376">
        <f>ROUNDUP(SUMIFS('4.3 Global SME Data'!$C$88:$C$93,'4.3 Global SME Data'!$B$88:$B$93,$C315)*SUMIFS('4.3 Global SME Data'!$C$96:$C$107,'4.3 Global SME Data'!$B$96:$B$107,$C$310)*(1+'1.1 Control Panel'!E$55-'1.1 Control Panel'!E$56)*(1+'1.1 Control Panel'!F$55-'1.1 Control Panel'!F$56)*SUMIFS('1.1 Control Panel'!F$104:F$109,'1.1 Control Panel'!C$104:C$109,$C315)*SUMIFS('1.1 Control Panel'!F$189:F$194,'1.1 Control Panel'!C$189:C$194,$C315)*SUMIFS('1.1 Control Panel'!F$274:F$279,'1.1 Control Panel'!C$274:C$279,$C315),0)</f>
        <v>452</v>
      </c>
      <c r="G315" s="376">
        <f>ROUNDUP(SUMIFS('4.3 Global SME Data'!$C$88:$C$93,'4.3 Global SME Data'!$B$88:$B$93,$C315)*SUMIFS('4.3 Global SME Data'!$C$96:$C$107,'4.3 Global SME Data'!$B$96:$B$107,$C$310)*(1+'1.1 Control Panel'!E$55-'1.1 Control Panel'!E$56)*(1+'1.1 Control Panel'!F$55-'1.1 Control Panel'!F$56)*(1+'1.1 Control Panel'!G$55-'1.1 Control Panel'!G$56)*SUMIFS('1.1 Control Panel'!G$97:G$102,'1.1 Control Panel'!C$97:C$102,$C315)*SUMIFS('1.1 Control Panel'!G$182:G$187,'1.1 Control Panel'!C$182:C$187,$C315)*SUMIFS('1.1 Control Panel'!G$267:G$272,'1.1 Control Panel'!C$267:C$272,$C315),0)</f>
        <v>487</v>
      </c>
      <c r="H315" s="376">
        <f>ROUNDUP(SUMIFS('4.3 Global SME Data'!$C$88:$C$93,'4.3 Global SME Data'!$B$88:$B$93,$C315)*SUMIFS('4.3 Global SME Data'!$C$96:$C$107,'4.3 Global SME Data'!$B$96:$B$107,$C$310)*(1+'1.1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Panel'!C$97:C$102,$C315)*SUMIFS('1.1 Control Panel'!H$182:H$187,'1.1 Control Panel'!C$182:C$187,$C315)*SUMIFS('1.1 Control Panel'!H$267:H$272,'1.1 Control Panel'!C$267:C$272,$C315),0)</f>
        <v>522</v>
      </c>
      <c r="J315" s="21"/>
    </row>
    <row r="316" spans="2:10" ht="11.5" customHeight="1" x14ac:dyDescent="0.25">
      <c r="C316" s="21" t="s">
        <v>456</v>
      </c>
      <c r="D316" s="38" t="s">
        <v>162</v>
      </c>
      <c r="E316" s="376">
        <f>ROUNDUP(SUMIFS('4.3 Global SME Data'!$C$88:$C$93,'4.3 Global SME Data'!$B$88:$B$93,$C316)*SUMIFS('4.3 Global SME Data'!$C$96:$C$107,'4.3 Global SME Data'!$B$96:$B$107,$C$310)*(1+'1.1 Control Panel'!E$55-'1.1 Control Panel'!E$56)*SUMIFS('1.1 Control Panel'!E$104:E$109,'1.1 Control Panel'!C$104:C$109,$C316)*SUMIFS('1.1 Control Panel'!E$189:E$194,'1.1 Control Panel'!C$189:C$194,$C316)*SUMIFS('1.1 Control Panel'!E$274:E$279,'1.1 Control Panel'!C$274:C$279,$C316),0)</f>
        <v>39</v>
      </c>
      <c r="F316" s="376">
        <f>ROUNDUP(SUMIFS('4.3 Global SME Data'!$C$88:$C$93,'4.3 Global SME Data'!$B$88:$B$93,$C316)*SUMIFS('4.3 Global SME Data'!$C$96:$C$107,'4.3 Global SME Data'!$B$96:$B$107,$C$310)*(1+'1.1 Control Panel'!E$55-'1.1 Control Panel'!E$56)*(1+'1.1 Control Panel'!F$55-'1.1 Control Panel'!F$56)*SUMIFS('1.1 Control Panel'!F$104:F$109,'1.1 Control Panel'!C$104:C$109,$C316)*SUMIFS('1.1 Control Panel'!F$189:F$194,'1.1 Control Panel'!C$189:C$194,$C316)*SUMIFS('1.1 Control Panel'!F$274:F$279,'1.1 Control Panel'!C$274:C$279,$C316),0)</f>
        <v>40</v>
      </c>
      <c r="G316" s="376">
        <f>ROUNDUP(SUMIFS('4.3 Global SME Data'!$C$88:$C$93,'4.3 Global SME Data'!$B$88:$B$93,$C316)*SUMIFS('4.3 Global SME Data'!$C$96:$C$107,'4.3 Global SME Data'!$B$96:$B$107,$C$310)*(1+'1.1 Control Panel'!E$55-'1.1 Control Panel'!E$56)*(1+'1.1 Control Panel'!F$55-'1.1 Control Panel'!F$56)*(1+'1.1 Control Panel'!G$55-'1.1 Control Panel'!G$56)*SUMIFS('1.1 Control Panel'!G$97:G$102,'1.1 Control Panel'!C$97:C$102,$C316)*SUMIFS('1.1 Control Panel'!G$182:G$187,'1.1 Control Panel'!C$182:C$187,$C316)*SUMIFS('1.1 Control Panel'!G$267:G$272,'1.1 Control Panel'!C$267:C$272,$C316),0)</f>
        <v>42</v>
      </c>
      <c r="H316" s="376">
        <f>ROUNDUP(SUMIFS('4.3 Global SME Data'!$C$88:$C$93,'4.3 Global SME Data'!$B$88:$B$93,$C316)*SUMIFS('4.3 Global SME Data'!$C$96:$C$107,'4.3 Global SME Data'!$B$96:$B$107,$C$310)*(1+'1.1 Control Panel'!E$55-'1.1 Control Panel'!E$56)*(1+'1.1 Control Panel'!F$55-'1.1 Control Panel'!F$56)*(1+'1.1 Control Panel'!G$55-'1.1 Control Panel'!G$56)*(1+'1.1 Control Panel'!H$55-'1.1 Control Panel'!H$56)*SUMIFS('1.1 Control Panel'!H$97:H$102,'1.1 Control Panel'!C$97:C$102,$C316)*SUMIFS('1.1 Control Panel'!H$182:H$187,'1.1 Control Panel'!C$182:C$187,$C316)*SUMIFS('1.1 Control Panel'!H$267:H$272,'1.1 Control Panel'!C$267:C$272,$C316),0)</f>
        <v>44</v>
      </c>
      <c r="J316" s="21"/>
    </row>
    <row r="317" spans="2:10" s="74" customFormat="1" ht="11.5" customHeight="1" x14ac:dyDescent="0.25">
      <c r="B317" s="99" t="s">
        <v>9</v>
      </c>
      <c r="C317" s="105" t="str">
        <f>'4.2 Sector Mapping'!$B$12</f>
        <v>Public and Social Services</v>
      </c>
      <c r="D317" s="106" t="s">
        <v>162</v>
      </c>
      <c r="E317" s="380">
        <f>SUM(E318:E323)</f>
        <v>798</v>
      </c>
      <c r="F317" s="380">
        <f t="shared" ref="F317" si="97">SUM(F318:F323)</f>
        <v>852</v>
      </c>
      <c r="G317" s="380">
        <f t="shared" ref="G317" si="98">SUM(G318:G323)</f>
        <v>941</v>
      </c>
      <c r="H317" s="380">
        <f t="shared" ref="H317" si="99">SUM(H318:H323)</f>
        <v>1036</v>
      </c>
      <c r="J317" s="105"/>
    </row>
    <row r="318" spans="2:10" ht="11.5" customHeight="1" x14ac:dyDescent="0.25">
      <c r="C318" s="20" t="s">
        <v>600</v>
      </c>
      <c r="D318" s="34" t="s">
        <v>162</v>
      </c>
      <c r="E318" s="28">
        <f>ROUNDUP(SUMIFS('4.3 Global SME Data'!$C$88:$C$93,'4.3 Global SME Data'!$B$88:$B$93,$C318)*SUMIFS('4.3 Global SME Data'!$C$96:$C$107,'4.3 Global SME Data'!$B$96:$B$107,$C$317)*(1+'1.1 Control Panel'!E$55-'1.1 Control Panel'!E$56)*SUMIFS('1.1 Control Panel'!E$111:E$116,'1.1 Control Panel'!C$111:C$116,$C318)*SUMIFS('1.1 Control Panel'!E$196:E$201,'1.1 Control Panel'!C$196:C$201,$C318)*SUMIFS('1.1 Control Panel'!E$281:E$286,'1.1 Control Panel'!C$281:C$286,$C318),0)</f>
        <v>352</v>
      </c>
      <c r="F318" s="28">
        <f>ROUNDUP(SUMIFS('4.3 Global SME Data'!$C$88:$C$93,'4.3 Global SME Data'!$B$88:$B$93,$C318)*SUMIFS('4.3 Global SME Data'!$C$96:$C$107,'4.3 Global SME Data'!$B$96:$B$107,$C$317)*(1+'1.1 Control Panel'!E$55-'1.1 Control Panel'!E$56)*(1+'1.1 Control Panel'!F$55-'1.1 Control Panel'!F$56)*SUMIFS('1.1 Control Panel'!F$111:F$116,'1.1 Control Panel'!C$111:C$116,$C318)*SUMIFS('1.1 Control Panel'!F$196:F$201,'1.1 Control Panel'!C$196:C$201,$C318)*SUMIFS('1.1 Control Panel'!F$281:F$286,'1.1 Control Panel'!C$281:C$286,$C318),0)</f>
        <v>379</v>
      </c>
      <c r="G318" s="28">
        <f>ROUNDUP(SUMIFS('4.3 Global SME Data'!$C$88:$C$93,'4.3 Global SME Data'!$B$88:$B$93,$C318)*SUMIFS('4.3 Global SME Data'!$C$96:$C$107,'4.3 Global SME Data'!$B$96:$B$107,$C$317)*(1+'1.1 Control Panel'!E$55-'1.1 Control Panel'!E$56)*(1+'1.1 Control Panel'!F$55-'1.1 Control Panel'!F$56)*(1+'1.1 Control Panel'!G$55-'1.1 Control Panel'!G$56)*SUMIFS('1.1 Control Panel'!G$111:G$116,'1.1 Control Panel'!C$111:C$116,$C318)*SUMIFS('1.1 Control Panel'!G$196:G$201,'1.1 Control Panel'!C$196:C$201,$C318)*SUMIFS('1.1 Control Panel'!G$281:G$286,'1.1 Control Panel'!C$281:C$286,$C318),0)</f>
        <v>426</v>
      </c>
      <c r="H318" s="28">
        <f>ROUNDUP(SUMIFS('4.3 Global SME Data'!$C$88:$C$93,'4.3 Global SME Data'!$B$88:$B$93,$C318)*SUMIFS('4.3 Global SME Data'!$C$96:$C$107,'4.3 Global SME Data'!$B$96:$B$107,$C$317)*(1+'1.1 Control Panel'!E$55-'1.1 Control Panel'!E$56)*(1+'1.1 Control Panel'!F$55-'1.1 Control Panel'!F$56)*(1+'1.1 Control Panel'!G$55-'1.1 Control Panel'!G$56)*(1+'1.1 Control Panel'!H$55-'1.1 Control Panel'!H$56)*SUMIFS('1.1 Control Panel'!H$111:H$116,'1.1 Control Panel'!C$111:C$116,$C318)*SUMIFS('1.1 Control Panel'!H$196:H$201,'1.1 Control Panel'!C$196:C$201,$C318)*SUMIFS('1.1 Control Panel'!H$281:H$286,'1.1 Control Panel'!C$281:C$286,$C318),0)</f>
        <v>476</v>
      </c>
      <c r="J318" s="20"/>
    </row>
    <row r="319" spans="2:10" ht="11.5" customHeight="1" x14ac:dyDescent="0.25">
      <c r="C319" s="20" t="s">
        <v>392</v>
      </c>
      <c r="D319" s="34" t="s">
        <v>162</v>
      </c>
      <c r="E319" s="28">
        <f>ROUNDUP(SUMIFS('4.3 Global SME Data'!$C$88:$C$93,'4.3 Global SME Data'!$B$88:$B$93,$C319)*SUMIFS('4.3 Global SME Data'!$C$96:$C$107,'4.3 Global SME Data'!$B$96:$B$107,$C$317)*(1+'1.1 Control Panel'!E$55-'1.1 Control Panel'!E$56)*SUMIFS('1.1 Control Panel'!E$111:E$116,'1.1 Control Panel'!C$111:C$116,$C319)*SUMIFS('1.1 Control Panel'!E$196:E$201,'1.1 Control Panel'!C$196:C$201,$C319)*SUMIFS('1.1 Control Panel'!E$281:E$286,'1.1 Control Panel'!C$281:C$286,$C319),0)</f>
        <v>1</v>
      </c>
      <c r="F319" s="28">
        <f>ROUNDUP(SUMIFS('4.3 Global SME Data'!$C$88:$C$93,'4.3 Global SME Data'!$B$88:$B$93,$C319)*SUMIFS('4.3 Global SME Data'!$C$96:$C$107,'4.3 Global SME Data'!$B$96:$B$107,$C$317)*(1+'1.1 Control Panel'!E$55-'1.1 Control Panel'!E$56)*(1+'1.1 Control Panel'!F$55-'1.1 Control Panel'!F$56)*SUMIFS('1.1 Control Panel'!F$111:F$116,'1.1 Control Panel'!C$111:C$116,$C319)*SUMIFS('1.1 Control Panel'!F$196:F$201,'1.1 Control Panel'!C$196:C$201,$C319)*SUMIFS('1.1 Control Panel'!F$281:F$286,'1.1 Control Panel'!C$281:C$286,$C319),0)</f>
        <v>2</v>
      </c>
      <c r="G319" s="28">
        <f>ROUNDUP(SUMIFS('4.3 Global SME Data'!$C$88:$C$93,'4.3 Global SME Data'!$B$88:$B$93,$C319)*SUMIFS('4.3 Global SME Data'!$C$96:$C$107,'4.3 Global SME Data'!$B$96:$B$107,$C$317)*(1+'1.1 Control Panel'!E$55-'1.1 Control Panel'!E$56)*(1+'1.1 Control Panel'!F$55-'1.1 Control Panel'!F$56)*(1+'1.1 Control Panel'!G$55-'1.1 Control Panel'!G$56)*SUMIFS('1.1 Control Panel'!G$111:G$116,'1.1 Control Panel'!C$111:C$116,$C319)*SUMIFS('1.1 Control Panel'!G$196:G$201,'1.1 Control Panel'!C$196:C$201,$C319)*SUMIFS('1.1 Control Panel'!G$281:G$286,'1.1 Control Panel'!C$281:C$286,$C319),0)</f>
        <v>2</v>
      </c>
      <c r="H319" s="28">
        <f>ROUNDUP(SUMIFS('4.3 Global SME Data'!$C$88:$C$93,'4.3 Global SME Data'!$B$88:$B$93,$C319)*SUMIFS('4.3 Global SME Data'!$C$96:$C$107,'4.3 Global SME Data'!$B$96:$B$107,$C$317)*(1+'1.1 Control Panel'!E$55-'1.1 Control Panel'!E$56)*(1+'1.1 Control Panel'!F$55-'1.1 Control Panel'!F$56)*(1+'1.1 Control Panel'!G$55-'1.1 Control Panel'!G$56)*(1+'1.1 Control Panel'!H$55-'1.1 Control Panel'!H$56)*SUMIFS('1.1 Control Panel'!H$111:H$116,'1.1 Control Panel'!C$111:C$116,$C319)*SUMIFS('1.1 Control Panel'!H$196:H$201,'1.1 Control Panel'!C$196:C$201,$C319)*SUMIFS('1.1 Control Panel'!H$281:H$286,'1.1 Control Panel'!C$281:C$286,$C319),0)</f>
        <v>2</v>
      </c>
      <c r="J319" s="20"/>
    </row>
    <row r="320" spans="2:10" ht="11.5" customHeight="1" x14ac:dyDescent="0.25">
      <c r="C320" s="20" t="s">
        <v>454</v>
      </c>
      <c r="D320" s="34" t="s">
        <v>162</v>
      </c>
      <c r="E320" s="28">
        <f>ROUNDUP(SUMIFS('4.3 Global SME Data'!$C$88:$C$93,'4.3 Global SME Data'!$B$88:$B$93,$C320)*SUMIFS('4.3 Global SME Data'!$C$96:$C$107,'4.3 Global SME Data'!$B$96:$B$107,$C$317)*(1+'1.1 Control Panel'!E$55-'1.1 Control Panel'!E$56)*SUMIFS('1.1 Control Panel'!E$111:E$116,'1.1 Control Panel'!C$111:C$116,$C320)*SUMIFS('1.1 Control Panel'!E$196:E$201,'1.1 Control Panel'!C$196:C$201,$C320)*SUMIFS('1.1 Control Panel'!E$281:E$286,'1.1 Control Panel'!C$281:C$286,$C320),0)</f>
        <v>23</v>
      </c>
      <c r="F320" s="28">
        <f>ROUNDUP(SUMIFS('4.3 Global SME Data'!$C$88:$C$93,'4.3 Global SME Data'!$B$88:$B$93,$C320)*SUMIFS('4.3 Global SME Data'!$C$96:$C$107,'4.3 Global SME Data'!$B$96:$B$107,$C$317)*(1+'1.1 Control Panel'!E$55-'1.1 Control Panel'!E$56)*(1+'1.1 Control Panel'!F$55-'1.1 Control Panel'!F$56)*SUMIFS('1.1 Control Panel'!F$111:F$116,'1.1 Control Panel'!C$111:C$116,$C320)*SUMIFS('1.1 Control Panel'!F$196:F$201,'1.1 Control Panel'!C$196:C$201,$C320)*SUMIFS('1.1 Control Panel'!F$281:F$286,'1.1 Control Panel'!C$281:C$286,$C320),0)</f>
        <v>24</v>
      </c>
      <c r="G320" s="28">
        <f>ROUNDUP(SUMIFS('4.3 Global SME Data'!$C$88:$C$93,'4.3 Global SME Data'!$B$88:$B$93,$C320)*SUMIFS('4.3 Global SME Data'!$C$96:$C$107,'4.3 Global SME Data'!$B$96:$B$107,$C$317)*(1+'1.1 Control Panel'!E$55-'1.1 Control Panel'!E$56)*(1+'1.1 Control Panel'!F$55-'1.1 Control Panel'!F$56)*(1+'1.1 Control Panel'!G$55-'1.1 Control Panel'!G$56)*SUMIFS('1.1 Control Panel'!G$111:G$116,'1.1 Control Panel'!C$111:C$116,$C320)*SUMIFS('1.1 Control Panel'!G$196:G$201,'1.1 Control Panel'!C$196:C$201,$C320)*SUMIFS('1.1 Control Panel'!G$281:G$286,'1.1 Control Panel'!C$281:C$286,$C320),0)</f>
        <v>25</v>
      </c>
      <c r="H320" s="28">
        <f>ROUNDUP(SUMIFS('4.3 Global SME Data'!$C$88:$C$93,'4.3 Global SME Data'!$B$88:$B$93,$C320)*SUMIFS('4.3 Global SME Data'!$C$96:$C$107,'4.3 Global SME Data'!$B$96:$B$107,$C$317)*(1+'1.1 Control Panel'!E$55-'1.1 Control Panel'!E$56)*(1+'1.1 Control Panel'!F$55-'1.1 Control Panel'!F$56)*(1+'1.1 Control Panel'!G$55-'1.1 Control Panel'!G$56)*(1+'1.1 Control Panel'!H$55-'1.1 Control Panel'!H$56)*SUMIFS('1.1 Control Panel'!H$111:H$116,'1.1 Control Panel'!C$111:C$116,$C320)*SUMIFS('1.1 Control Panel'!H$196:H$201,'1.1 Control Panel'!C$196:C$201,$C320)*SUMIFS('1.1 Control Panel'!H$281:H$286,'1.1 Control Panel'!C$281:C$286,$C320),0)</f>
        <v>27</v>
      </c>
      <c r="J320" s="20"/>
    </row>
    <row r="321" spans="2:10" ht="11.5" customHeight="1" x14ac:dyDescent="0.25">
      <c r="C321" s="21" t="s">
        <v>455</v>
      </c>
      <c r="D321" s="38" t="s">
        <v>162</v>
      </c>
      <c r="E321" s="376">
        <f>ROUNDUP(SUMIFS('4.3 Global SME Data'!$C$88:$C$93,'4.3 Global SME Data'!$B$88:$B$93,$C321)*SUMIFS('4.3 Global SME Data'!$C$96:$C$107,'4.3 Global SME Data'!$B$96:$B$107,$C$317)*(1+'1.1 Control Panel'!E$55-'1.1 Control Panel'!E$56)*SUMIFS('1.1 Control Panel'!E$111:E$116,'1.1 Control Panel'!C$111:C$116,$C321)*SUMIFS('1.1 Control Panel'!E$196:E$201,'1.1 Control Panel'!C$196:C$201,$C321)*SUMIFS('1.1 Control Panel'!E$281:E$286,'1.1 Control Panel'!C$281:C$286,$C321),0)</f>
        <v>210</v>
      </c>
      <c r="F321" s="376">
        <f>ROUNDUP(SUMIFS('4.3 Global SME Data'!$C$88:$C$93,'4.3 Global SME Data'!$B$88:$B$93,$C321)*SUMIFS('4.3 Global SME Data'!$C$96:$C$107,'4.3 Global SME Data'!$B$96:$B$107,$C$317)*(1+'1.1 Control Panel'!E$55-'1.1 Control Panel'!E$56)*(1+'1.1 Control Panel'!F$55-'1.1 Control Panel'!F$56)*SUMIFS('1.1 Control Panel'!F$111:F$116,'1.1 Control Panel'!C$111:C$116,$C321)*SUMIFS('1.1 Control Panel'!F$196:F$201,'1.1 Control Panel'!C$196:C$201,$C321)*SUMIFS('1.1 Control Panel'!F$281:F$286,'1.1 Control Panel'!C$281:C$286,$C321),0)</f>
        <v>223</v>
      </c>
      <c r="G321" s="376">
        <f>ROUNDUP(SUMIFS('4.3 Global SME Data'!$C$88:$C$93,'4.3 Global SME Data'!$B$88:$B$93,$C321)*SUMIFS('4.3 Global SME Data'!$C$96:$C$107,'4.3 Global SME Data'!$B$96:$B$107,$C$317)*(1+'1.1 Control Panel'!E$55-'1.1 Control Panel'!E$56)*(1+'1.1 Control Panel'!F$55-'1.1 Control Panel'!F$56)*(1+'1.1 Control Panel'!G$55-'1.1 Control Panel'!G$56)*SUMIFS('1.1 Control Panel'!G$111:G$116,'1.1 Control Panel'!C$111:C$116,$C321)*SUMIFS('1.1 Control Panel'!G$196:G$201,'1.1 Control Panel'!C$196:C$201,$C321)*SUMIFS('1.1 Control Panel'!G$281:G$286,'1.1 Control Panel'!C$281:C$286,$C321),0)</f>
        <v>245</v>
      </c>
      <c r="H321" s="376">
        <f>ROUNDUP(SUMIFS('4.3 Global SME Data'!$C$88:$C$93,'4.3 Global SME Data'!$B$88:$B$93,$C321)*SUMIFS('4.3 Global SME Data'!$C$96:$C$107,'4.3 Global SME Data'!$B$96:$B$107,$C$317)*(1+'1.1 Control Panel'!E$55-'1.1 Control Panel'!E$56)*(1+'1.1 Control Panel'!F$55-'1.1 Control Panel'!F$56)*(1+'1.1 Control Panel'!G$55-'1.1 Control Panel'!G$56)*(1+'1.1 Control Panel'!H$55-'1.1 Control Panel'!H$56)*SUMIFS('1.1 Control Panel'!H$111:H$116,'1.1 Control Panel'!C$111:C$116,$C321)*SUMIFS('1.1 Control Panel'!H$196:H$201,'1.1 Control Panel'!C$196:C$201,$C321)*SUMIFS('1.1 Control Panel'!H$281:H$286,'1.1 Control Panel'!C$281:C$286,$C321),0)</f>
        <v>268</v>
      </c>
      <c r="J321" s="21"/>
    </row>
    <row r="322" spans="2:10" ht="11.5" customHeight="1" x14ac:dyDescent="0.25">
      <c r="C322" s="21" t="s">
        <v>393</v>
      </c>
      <c r="D322" s="38" t="s">
        <v>162</v>
      </c>
      <c r="E322" s="376">
        <f>ROUNDUP(SUMIFS('4.3 Global SME Data'!$C$88:$C$93,'4.3 Global SME Data'!$B$88:$B$93,$C322)*SUMIFS('4.3 Global SME Data'!$C$96:$C$107,'4.3 Global SME Data'!$B$96:$B$107,$C$317)*(1+'1.1 Control Panel'!E$55-'1.1 Control Panel'!E$56)*SUMIFS('1.1 Control Panel'!E$111:E$116,'1.1 Control Panel'!C$111:C$116,$C322)*SUMIFS('1.1 Control Panel'!E$196:E$201,'1.1 Control Panel'!C$196:C$201,$C322)*SUMIFS('1.1 Control Panel'!E$281:E$286,'1.1 Control Panel'!C$281:C$286,$C322),0)</f>
        <v>191</v>
      </c>
      <c r="F322" s="376">
        <f>ROUNDUP(SUMIFS('4.3 Global SME Data'!$C$88:$C$93,'4.3 Global SME Data'!$B$88:$B$93,$C322)*SUMIFS('4.3 Global SME Data'!$C$96:$C$107,'4.3 Global SME Data'!$B$96:$B$107,$C$317)*(1+'1.1 Control Panel'!E$55-'1.1 Control Panel'!E$56)*(1+'1.1 Control Panel'!F$55-'1.1 Control Panel'!F$56)*SUMIFS('1.1 Control Panel'!F$111:F$116,'1.1 Control Panel'!C$111:C$116,$C322)*SUMIFS('1.1 Control Panel'!F$196:F$201,'1.1 Control Panel'!C$196:C$201,$C322)*SUMIFS('1.1 Control Panel'!F$281:F$286,'1.1 Control Panel'!C$281:C$286,$C322),0)</f>
        <v>202</v>
      </c>
      <c r="G322" s="376">
        <f>ROUNDUP(SUMIFS('4.3 Global SME Data'!$C$88:$C$93,'4.3 Global SME Data'!$B$88:$B$93,$C322)*SUMIFS('4.3 Global SME Data'!$C$96:$C$107,'4.3 Global SME Data'!$B$96:$B$107,$C$317)*(1+'1.1 Control Panel'!E$55-'1.1 Control Panel'!E$56)*(1+'1.1 Control Panel'!F$55-'1.1 Control Panel'!F$56)*(1+'1.1 Control Panel'!G$55-'1.1 Control Panel'!G$56)*SUMIFS('1.1 Control Panel'!G$111:G$116,'1.1 Control Panel'!C$111:C$116,$C322)*SUMIFS('1.1 Control Panel'!G$196:G$201,'1.1 Control Panel'!C$196:C$201,$C322)*SUMIFS('1.1 Control Panel'!G$281:G$286,'1.1 Control Panel'!C$281:C$286,$C322),0)</f>
        <v>220</v>
      </c>
      <c r="H322" s="376">
        <f>ROUNDUP(SUMIFS('4.3 Global SME Data'!$C$88:$C$93,'4.3 Global SME Data'!$B$88:$B$93,$C322)*SUMIFS('4.3 Global SME Data'!$C$96:$C$107,'4.3 Global SME Data'!$B$96:$B$107,$C$317)*(1+'1.1 Control Panel'!E$55-'1.1 Control Panel'!E$56)*(1+'1.1 Control Panel'!F$55-'1.1 Control Panel'!F$56)*(1+'1.1 Control Panel'!G$55-'1.1 Control Panel'!G$56)*(1+'1.1 Control Panel'!H$55-'1.1 Control Panel'!H$56)*SUMIFS('1.1 Control Panel'!H$111:H$116,'1.1 Control Panel'!C$111:C$116,$C322)*SUMIFS('1.1 Control Panel'!H$196:H$201,'1.1 Control Panel'!C$196:C$201,$C322)*SUMIFS('1.1 Control Panel'!H$281:H$286,'1.1 Control Panel'!C$281:C$286,$C322),0)</f>
        <v>239</v>
      </c>
      <c r="J322" s="21"/>
    </row>
    <row r="323" spans="2:10" ht="11.5" customHeight="1" x14ac:dyDescent="0.25">
      <c r="C323" s="21" t="s">
        <v>456</v>
      </c>
      <c r="D323" s="38" t="s">
        <v>162</v>
      </c>
      <c r="E323" s="376">
        <f>ROUNDUP(SUMIFS('4.3 Global SME Data'!$C$88:$C$93,'4.3 Global SME Data'!$B$88:$B$93,$C323)*SUMIFS('4.3 Global SME Data'!$C$96:$C$107,'4.3 Global SME Data'!$B$96:$B$107,$C$317)*(1+'1.1 Control Panel'!E$55-'1.1 Control Panel'!E$56)*SUMIFS('1.1 Control Panel'!E$111:E$116,'1.1 Control Panel'!C$111:C$116,$C323)*SUMIFS('1.1 Control Panel'!E$196:E$201,'1.1 Control Panel'!C$196:C$201,$C323)*SUMIFS('1.1 Control Panel'!E$281:E$286,'1.1 Control Panel'!C$281:C$286,$C323),0)</f>
        <v>21</v>
      </c>
      <c r="F323" s="376">
        <f>ROUNDUP(SUMIFS('4.3 Global SME Data'!$C$88:$C$93,'4.3 Global SME Data'!$B$88:$B$93,$C323)*SUMIFS('4.3 Global SME Data'!$C$96:$C$107,'4.3 Global SME Data'!$B$96:$B$107,$C$317)*(1+'1.1 Control Panel'!E$55-'1.1 Control Panel'!E$56)*(1+'1.1 Control Panel'!F$55-'1.1 Control Panel'!F$56)*SUMIFS('1.1 Control Panel'!F$111:F$116,'1.1 Control Panel'!C$111:C$116,$C323)*SUMIFS('1.1 Control Panel'!F$196:F$201,'1.1 Control Panel'!C$196:C$201,$C323)*SUMIFS('1.1 Control Panel'!F$281:F$286,'1.1 Control Panel'!C$281:C$286,$C323),0)</f>
        <v>22</v>
      </c>
      <c r="G323" s="376">
        <f>ROUNDUP(SUMIFS('4.3 Global SME Data'!$C$88:$C$93,'4.3 Global SME Data'!$B$88:$B$93,$C323)*SUMIFS('4.3 Global SME Data'!$C$96:$C$107,'4.3 Global SME Data'!$B$96:$B$107,$C$317)*(1+'1.1 Control Panel'!E$55-'1.1 Control Panel'!E$56)*(1+'1.1 Control Panel'!F$55-'1.1 Control Panel'!F$56)*(1+'1.1 Control Panel'!G$55-'1.1 Control Panel'!G$56)*SUMIFS('1.1 Control Panel'!G$111:G$116,'1.1 Control Panel'!C$111:C$116,$C323)*SUMIFS('1.1 Control Panel'!G$196:G$201,'1.1 Control Panel'!C$196:C$201,$C323)*SUMIFS('1.1 Control Panel'!G$281:G$286,'1.1 Control Panel'!C$281:C$286,$C323),0)</f>
        <v>23</v>
      </c>
      <c r="H323" s="376">
        <f>ROUNDUP(SUMIFS('4.3 Global SME Data'!$C$88:$C$93,'4.3 Global SME Data'!$B$88:$B$93,$C323)*SUMIFS('4.3 Global SME Data'!$C$96:$C$107,'4.3 Global SME Data'!$B$96:$B$107,$C$317)*(1+'1.1 Control Panel'!E$55-'1.1 Control Panel'!E$56)*(1+'1.1 Control Panel'!F$55-'1.1 Control Panel'!F$56)*(1+'1.1 Control Panel'!G$55-'1.1 Control Panel'!G$56)*(1+'1.1 Control Panel'!H$55-'1.1 Control Panel'!H$56)*SUMIFS('1.1 Control Panel'!H$111:H$116,'1.1 Control Panel'!C$111:C$116,$C323)*SUMIFS('1.1 Control Panel'!H$196:H$201,'1.1 Control Panel'!C$196:C$201,$C323)*SUMIFS('1.1 Control Panel'!H$281:H$286,'1.1 Control Panel'!C$281:C$286,$C323),0)</f>
        <v>24</v>
      </c>
      <c r="J323" s="21"/>
    </row>
    <row r="324" spans="2:10" s="74" customFormat="1" ht="11.5" customHeight="1" x14ac:dyDescent="0.25">
      <c r="B324" s="99" t="s">
        <v>9</v>
      </c>
      <c r="C324" s="105" t="str">
        <f>'4.2 Sector Mapping'!$B$13</f>
        <v>Real Estate and Construction</v>
      </c>
      <c r="D324" s="106" t="s">
        <v>162</v>
      </c>
      <c r="E324" s="380">
        <f>SUM(E325:E330)</f>
        <v>616</v>
      </c>
      <c r="F324" s="380">
        <f t="shared" ref="F324" si="100">SUM(F325:F330)</f>
        <v>667</v>
      </c>
      <c r="G324" s="380">
        <f t="shared" ref="G324" si="101">SUM(G325:G330)</f>
        <v>760</v>
      </c>
      <c r="H324" s="380">
        <f t="shared" ref="H324" si="102">SUM(H325:H330)</f>
        <v>857</v>
      </c>
      <c r="J324" s="105"/>
    </row>
    <row r="325" spans="2:10" ht="11.5" customHeight="1" x14ac:dyDescent="0.25">
      <c r="C325" s="20" t="s">
        <v>600</v>
      </c>
      <c r="D325" s="34" t="s">
        <v>162</v>
      </c>
      <c r="E325" s="28">
        <f>ROUNDUP(SUMIFS('4.3 Global SME Data'!$C$88:$C$93,'4.3 Global SME Data'!$B$88:$B$93,$C325)*SUMIFS('4.3 Global SME Data'!$C$96:$C$107,'4.3 Global SME Data'!$B$96:$B$107,$C$324)*(1+'1.1 Control Panel'!E$55-'1.1 Control Panel'!E$56)*SUMIFS('1.1 Control Panel'!E$118:E$123,'1.1 Control Panel'!C$118:C$123,$C325)*SUMIFS('1.1 Control Panel'!E$203:E$208,'1.1 Control Panel'!C$203:C$208,$C325)*SUMIFS('1.1 Control Panel'!E$288:E$293,'1.1 Control Panel'!C$288:C$293,$C325),0)</f>
        <v>242</v>
      </c>
      <c r="F325" s="28">
        <f>ROUNDUP(SUMIFS('4.3 Global SME Data'!$C$88:$C$93,'4.3 Global SME Data'!$B$88:$B$93,$C325)*SUMIFS('4.3 Global SME Data'!$C$96:$C$107,'4.3 Global SME Data'!$B$96:$B$107,$C$324)*(1+'1.1 Control Panel'!E$55-'1.1 Control Panel'!E$56)*(1+'1.1 Control Panel'!F$55-'1.1 Control Panel'!F$56)*SUMIFS('1.1 Control Panel'!F$118:F$123,'1.1 Control Panel'!C$118:C$123,$C325)*SUMIFS('1.1 Control Panel'!F$203:F$208,'1.1 Control Panel'!C$203:C$208,$C325)*SUMIFS('1.1 Control Panel'!F$288:F$293,'1.1 Control Panel'!C$288:C$293,$C325),0)</f>
        <v>268</v>
      </c>
      <c r="G325" s="28">
        <f>ROUNDUP(SUMIFS('4.3 Global SME Data'!$C$88:$C$93,'4.3 Global SME Data'!$B$88:$B$93,$C325)*SUMIFS('4.3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Panel'!C$118:C$123,$C325)*SUMIFS('1.1 Control Panel'!G$203:G$208,'1.1 Control Panel'!C$203:C$208,$C325)*SUMIFS('1.1 Control Panel'!G$288:G$293,'1.1 Control Panel'!C$288:C$293,$C325),0)</f>
        <v>315</v>
      </c>
      <c r="H325" s="28">
        <f>ROUNDUP(SUMIFS('4.3 Global SME Data'!$C$88:$C$93,'4.3 Global SME Data'!$B$88:$B$93,$C325)*SUMIFS('4.3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Panel'!C$118:C$123,$C325)*SUMIFS('1.1 Control Panel'!H$203:H$208,'1.1 Control Panel'!C$203:C$208,$C325)*SUMIFS('1.1 Control Panel'!H$288:H$293,'1.1 Control Panel'!C$288:C$293,$C325),0)</f>
        <v>365</v>
      </c>
      <c r="J325" s="20"/>
    </row>
    <row r="326" spans="2:10" ht="11.5" customHeight="1" x14ac:dyDescent="0.25">
      <c r="C326" s="20" t="s">
        <v>392</v>
      </c>
      <c r="D326" s="34" t="s">
        <v>162</v>
      </c>
      <c r="E326" s="28">
        <f>ROUNDUP(SUMIFS('4.3 Global SME Data'!$C$88:$C$93,'4.3 Global SME Data'!$B$88:$B$93,$C326)*SUMIFS('4.3 Global SME Data'!$C$96:$C$107,'4.3 Global SME Data'!$B$96:$B$107,$C$324)*(1+'1.1 Control Panel'!E$55-'1.1 Control Panel'!E$56)*SUMIFS('1.1 Control Panel'!E$118:E$123,'1.1 Control Panel'!C$118:C$123,$C326)*SUMIFS('1.1 Control Panel'!E$203:E$208,'1.1 Control Panel'!C$203:C$208,$C326)*SUMIFS('1.1 Control Panel'!E$288:E$293,'1.1 Control Panel'!C$288:C$293,$C326),0)</f>
        <v>2</v>
      </c>
      <c r="F326" s="28">
        <f>ROUNDUP(SUMIFS('4.3 Global SME Data'!$C$88:$C$93,'4.3 Global SME Data'!$B$88:$B$93,$C326)*SUMIFS('4.3 Global SME Data'!$C$96:$C$107,'4.3 Global SME Data'!$B$96:$B$107,$C$324)*(1+'1.1 Control Panel'!E$55-'1.1 Control Panel'!E$56)*(1+'1.1 Control Panel'!F$55-'1.1 Control Panel'!F$56)*SUMIFS('1.1 Control Panel'!F$118:F$123,'1.1 Control Panel'!C$118:C$123,$C326)*SUMIFS('1.1 Control Panel'!F$203:F$208,'1.1 Control Panel'!C$203:C$208,$C326)*SUMIFS('1.1 Control Panel'!F$288:F$293,'1.1 Control Panel'!C$288:C$293,$C326),0)</f>
        <v>2</v>
      </c>
      <c r="G326" s="28">
        <f>ROUNDUP(SUMIFS('4.3 Global SME Data'!$C$88:$C$93,'4.3 Global SME Data'!$B$88:$B$93,$C326)*SUMIFS('4.3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Panel'!C$118:C$123,$C326)*SUMIFS('1.1 Control Panel'!G$203:G$208,'1.1 Control Panel'!C$203:C$208,$C326)*SUMIFS('1.1 Control Panel'!G$288:G$293,'1.1 Control Panel'!C$288:C$293,$C326),0)</f>
        <v>2</v>
      </c>
      <c r="H326" s="28">
        <f>ROUNDUP(SUMIFS('4.3 Global SME Data'!$C$88:$C$93,'4.3 Global SME Data'!$B$88:$B$93,$C326)*SUMIFS('4.3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Panel'!C$118:C$123,$C326)*SUMIFS('1.1 Control Panel'!H$203:H$208,'1.1 Control Panel'!C$203:C$208,$C326)*SUMIFS('1.1 Control Panel'!H$288:H$293,'1.1 Control Panel'!C$288:C$293,$C326),0)</f>
        <v>2</v>
      </c>
      <c r="J326" s="20"/>
    </row>
    <row r="327" spans="2:10" ht="11.5" customHeight="1" x14ac:dyDescent="0.25">
      <c r="C327" s="20" t="s">
        <v>454</v>
      </c>
      <c r="D327" s="34" t="s">
        <v>162</v>
      </c>
      <c r="E327" s="28">
        <f>ROUNDUP(SUMIFS('4.3 Global SME Data'!$C$88:$C$93,'4.3 Global SME Data'!$B$88:$B$93,$C327)*SUMIFS('4.3 Global SME Data'!$C$96:$C$107,'4.3 Global SME Data'!$B$96:$B$107,$C$324)*(1+'1.1 Control Panel'!E$55-'1.1 Control Panel'!E$56)*SUMIFS('1.1 Control Panel'!E$118:E$123,'1.1 Control Panel'!C$118:C$123,$C327)*SUMIFS('1.1 Control Panel'!E$203:E$208,'1.1 Control Panel'!C$203:C$208,$C327)*SUMIFS('1.1 Control Panel'!E$288:E$293,'1.1 Control Panel'!C$288:C$293,$C327),0)</f>
        <v>19</v>
      </c>
      <c r="F327" s="28">
        <f>ROUNDUP(SUMIFS('4.3 Global SME Data'!$C$88:$C$93,'4.3 Global SME Data'!$B$88:$B$93,$C327)*SUMIFS('4.3 Global SME Data'!$C$96:$C$107,'4.3 Global SME Data'!$B$96:$B$107,$C$324)*(1+'1.1 Control Panel'!E$55-'1.1 Control Panel'!E$56)*(1+'1.1 Control Panel'!F$55-'1.1 Control Panel'!F$56)*SUMIFS('1.1 Control Panel'!F$118:F$123,'1.1 Control Panel'!C$118:C$123,$C327)*SUMIFS('1.1 Control Panel'!F$203:F$208,'1.1 Control Panel'!C$203:C$208,$C327)*SUMIFS('1.1 Control Panel'!F$288:F$293,'1.1 Control Panel'!C$288:C$293,$C327),0)</f>
        <v>19</v>
      </c>
      <c r="G327" s="28">
        <f>ROUNDUP(SUMIFS('4.3 Global SME Data'!$C$88:$C$93,'4.3 Global SME Data'!$B$88:$B$93,$C327)*SUMIFS('4.3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Panel'!C$118:C$123,$C327)*SUMIFS('1.1 Control Panel'!G$203:G$208,'1.1 Control Panel'!C$203:C$208,$C327)*SUMIFS('1.1 Control Panel'!G$288:G$293,'1.1 Control Panel'!C$288:C$293,$C327),0)</f>
        <v>21</v>
      </c>
      <c r="H327" s="28">
        <f>ROUNDUP(SUMIFS('4.3 Global SME Data'!$C$88:$C$93,'4.3 Global SME Data'!$B$88:$B$93,$C327)*SUMIFS('4.3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Panel'!C$118:C$123,$C327)*SUMIFS('1.1 Control Panel'!H$203:H$208,'1.1 Control Panel'!C$203:C$208,$C327)*SUMIFS('1.1 Control Panel'!H$288:H$293,'1.1 Control Panel'!C$288:C$293,$C327),0)</f>
        <v>22</v>
      </c>
      <c r="J327" s="20"/>
    </row>
    <row r="328" spans="2:10" ht="11.5" customHeight="1" x14ac:dyDescent="0.25">
      <c r="C328" s="21" t="s">
        <v>455</v>
      </c>
      <c r="D328" s="38" t="s">
        <v>162</v>
      </c>
      <c r="E328" s="376">
        <f>ROUNDUP(SUMIFS('4.3 Global SME Data'!$C$88:$C$93,'4.3 Global SME Data'!$B$88:$B$93,$C328)*SUMIFS('4.3 Global SME Data'!$C$96:$C$107,'4.3 Global SME Data'!$B$96:$B$107,$C$324)*(1+'1.1 Control Panel'!E$55-'1.1 Control Panel'!E$56)*SUMIFS('1.1 Control Panel'!E$118:E$123,'1.1 Control Panel'!C$118:C$123,$C328)*SUMIFS('1.1 Control Panel'!E$203:E$208,'1.1 Control Panel'!C$203:C$208,$C328)*SUMIFS('1.1 Control Panel'!E$288:E$293,'1.1 Control Panel'!C$288:C$293,$C328),0)</f>
        <v>187</v>
      </c>
      <c r="F328" s="376">
        <f>ROUNDUP(SUMIFS('4.3 Global SME Data'!$C$88:$C$93,'4.3 Global SME Data'!$B$88:$B$93,$C328)*SUMIFS('4.3 Global SME Data'!$C$96:$C$107,'4.3 Global SME Data'!$B$96:$B$107,$C$324)*(1+'1.1 Control Panel'!E$55-'1.1 Control Panel'!E$56)*(1+'1.1 Control Panel'!F$55-'1.1 Control Panel'!F$56)*SUMIFS('1.1 Control Panel'!F$118:F$123,'1.1 Control Panel'!C$118:C$123,$C328)*SUMIFS('1.1 Control Panel'!F$203:F$208,'1.1 Control Panel'!C$203:C$208,$C328)*SUMIFS('1.1 Control Panel'!F$288:F$293,'1.1 Control Panel'!C$288:C$293,$C328),0)</f>
        <v>201</v>
      </c>
      <c r="G328" s="376">
        <f>ROUNDUP(SUMIFS('4.3 Global SME Data'!$C$88:$C$93,'4.3 Global SME Data'!$B$88:$B$93,$C328)*SUMIFS('4.3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Panel'!C$118:C$123,$C328)*SUMIFS('1.1 Control Panel'!G$203:G$208,'1.1 Control Panel'!C$203:C$208,$C328)*SUMIFS('1.1 Control Panel'!G$288:G$293,'1.1 Control Panel'!C$288:C$293,$C328),0)</f>
        <v>224</v>
      </c>
      <c r="H328" s="376">
        <f>ROUNDUP(SUMIFS('4.3 Global SME Data'!$C$88:$C$93,'4.3 Global SME Data'!$B$88:$B$93,$C328)*SUMIFS('4.3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Panel'!C$118:C$123,$C328)*SUMIFS('1.1 Control Panel'!H$203:H$208,'1.1 Control Panel'!C$203:C$208,$C328)*SUMIFS('1.1 Control Panel'!H$288:H$293,'1.1 Control Panel'!C$288:C$293,$C328),0)</f>
        <v>249</v>
      </c>
      <c r="J328" s="21"/>
    </row>
    <row r="329" spans="2:10" ht="11.5" customHeight="1" x14ac:dyDescent="0.25">
      <c r="C329" s="21" t="s">
        <v>393</v>
      </c>
      <c r="D329" s="38" t="s">
        <v>162</v>
      </c>
      <c r="E329" s="376">
        <f>ROUNDUP(SUMIFS('4.3 Global SME Data'!$C$88:$C$93,'4.3 Global SME Data'!$B$88:$B$93,$C329)*SUMIFS('4.3 Global SME Data'!$C$96:$C$107,'4.3 Global SME Data'!$B$96:$B$107,$C$324)*(1+'1.1 Control Panel'!E$55-'1.1 Control Panel'!E$56)*SUMIFS('1.1 Control Panel'!E$118:E$123,'1.1 Control Panel'!C$118:C$123,$C329)*SUMIFS('1.1 Control Panel'!E$203:E$208,'1.1 Control Panel'!C$203:C$208,$C329)*SUMIFS('1.1 Control Panel'!E$288:E$293,'1.1 Control Panel'!C$288:C$293,$C329),0)</f>
        <v>153</v>
      </c>
      <c r="F329" s="376">
        <f>ROUNDUP(SUMIFS('4.3 Global SME Data'!$C$88:$C$93,'4.3 Global SME Data'!$B$88:$B$93,$C329)*SUMIFS('4.3 Global SME Data'!$C$96:$C$107,'4.3 Global SME Data'!$B$96:$B$107,$C$324)*(1+'1.1 Control Panel'!E$55-'1.1 Control Panel'!E$56)*(1+'1.1 Control Panel'!F$55-'1.1 Control Panel'!F$56)*SUMIFS('1.1 Control Panel'!F$118:F$123,'1.1 Control Panel'!C$118:C$123,$C329)*SUMIFS('1.1 Control Panel'!F$203:F$208,'1.1 Control Panel'!C$203:C$208,$C329)*SUMIFS('1.1 Control Panel'!F$288:F$293,'1.1 Control Panel'!C$288:C$293,$C329),0)</f>
        <v>164</v>
      </c>
      <c r="G329" s="376">
        <f>ROUNDUP(SUMIFS('4.3 Global SME Data'!$C$88:$C$93,'4.3 Global SME Data'!$B$88:$B$93,$C329)*SUMIFS('4.3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Panel'!C$118:C$123,$C329)*SUMIFS('1.1 Control Panel'!G$203:G$208,'1.1 Control Panel'!C$203:C$208,$C329)*SUMIFS('1.1 Control Panel'!G$288:G$293,'1.1 Control Panel'!C$288:C$293,$C329),0)</f>
        <v>183</v>
      </c>
      <c r="H329" s="376">
        <f>ROUNDUP(SUMIFS('4.3 Global SME Data'!$C$88:$C$93,'4.3 Global SME Data'!$B$88:$B$93,$C329)*SUMIFS('4.3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Panel'!C$118:C$123,$C329)*SUMIFS('1.1 Control Panel'!H$203:H$208,'1.1 Control Panel'!C$203:C$208,$C329)*SUMIFS('1.1 Control Panel'!H$288:H$293,'1.1 Control Panel'!C$288:C$293,$C329),0)</f>
        <v>203</v>
      </c>
      <c r="J329" s="21"/>
    </row>
    <row r="330" spans="2:10" ht="11.5" customHeight="1" x14ac:dyDescent="0.25">
      <c r="C330" s="21" t="s">
        <v>456</v>
      </c>
      <c r="D330" s="38" t="s">
        <v>162</v>
      </c>
      <c r="E330" s="376">
        <f>ROUNDUP(SUMIFS('4.3 Global SME Data'!$C$88:$C$93,'4.3 Global SME Data'!$B$88:$B$93,$C330)*SUMIFS('4.3 Global SME Data'!$C$96:$C$107,'4.3 Global SME Data'!$B$96:$B$107,$C$324)*(1+'1.1 Control Panel'!E$55-'1.1 Control Panel'!E$56)*SUMIFS('1.1 Control Panel'!E$118:E$123,'1.1 Control Panel'!C$118:C$123,$C330)*SUMIFS('1.1 Control Panel'!E$203:E$208,'1.1 Control Panel'!C$203:C$208,$C330)*SUMIFS('1.1 Control Panel'!E$288:E$293,'1.1 Control Panel'!C$288:C$293,$C330),0)</f>
        <v>13</v>
      </c>
      <c r="F330" s="376">
        <f>ROUNDUP(SUMIFS('4.3 Global SME Data'!$C$88:$C$93,'4.3 Global SME Data'!$B$88:$B$93,$C330)*SUMIFS('4.3 Global SME Data'!$C$96:$C$107,'4.3 Global SME Data'!$B$96:$B$107,$C$324)*(1+'1.1 Control Panel'!E$55-'1.1 Control Panel'!E$56)*(1+'1.1 Control Panel'!F$55-'1.1 Control Panel'!F$56)*SUMIFS('1.1 Control Panel'!F$118:F$123,'1.1 Control Panel'!C$118:C$123,$C330)*SUMIFS('1.1 Control Panel'!F$203:F$208,'1.1 Control Panel'!C$203:C$208,$C330)*SUMIFS('1.1 Control Panel'!F$288:F$293,'1.1 Control Panel'!C$288:C$293,$C330),0)</f>
        <v>13</v>
      </c>
      <c r="G330" s="376">
        <f>ROUNDUP(SUMIFS('4.3 Global SME Data'!$C$88:$C$93,'4.3 Global SME Data'!$B$88:$B$93,$C330)*SUMIFS('4.3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Panel'!C$118:C$123,$C330)*SUMIFS('1.1 Control Panel'!G$203:G$208,'1.1 Control Panel'!C$203:C$208,$C330)*SUMIFS('1.1 Control Panel'!G$288:G$293,'1.1 Control Panel'!C$288:C$293,$C330),0)</f>
        <v>15</v>
      </c>
      <c r="H330" s="376">
        <f>ROUNDUP(SUMIFS('4.3 Global SME Data'!$C$88:$C$93,'4.3 Global SME Data'!$B$88:$B$93,$C330)*SUMIFS('4.3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Panel'!C$118:C$123,$C330)*SUMIFS('1.1 Control Panel'!H$203:H$208,'1.1 Control Panel'!C$203:C$208,$C330)*SUMIFS('1.1 Control Panel'!H$288:H$293,'1.1 Control Panel'!C$288:C$293,$C330),0)</f>
        <v>16</v>
      </c>
      <c r="J330" s="21"/>
    </row>
    <row r="331" spans="2:10" s="74" customFormat="1" ht="11.5" customHeight="1" x14ac:dyDescent="0.25">
      <c r="B331" s="99" t="s">
        <v>9</v>
      </c>
      <c r="C331" s="105" t="str">
        <f>'4.2 Sector Mapping'!$B$14</f>
        <v>Retail and Consumer Goods</v>
      </c>
      <c r="D331" s="106" t="s">
        <v>162</v>
      </c>
      <c r="E331" s="380">
        <f>SUM(E332:E337)</f>
        <v>1490</v>
      </c>
      <c r="F331" s="380">
        <f t="shared" ref="F331" si="103">SUM(F332:F337)</f>
        <v>1583</v>
      </c>
      <c r="G331" s="380">
        <f t="shared" ref="G331" si="104">SUM(G332:G337)</f>
        <v>1745</v>
      </c>
      <c r="H331" s="380">
        <f t="shared" ref="H331" si="105">SUM(H332:H337)</f>
        <v>1912</v>
      </c>
      <c r="J331" s="105"/>
    </row>
    <row r="332" spans="2:10" ht="11.5" customHeight="1" x14ac:dyDescent="0.25">
      <c r="C332" s="20" t="s">
        <v>600</v>
      </c>
      <c r="D332" s="34" t="s">
        <v>162</v>
      </c>
      <c r="E332" s="28">
        <f>ROUNDUP(SUMIFS('4.3 Global SME Data'!$C$88:$C$93,'4.3 Global SME Data'!$B$88:$B$93,$C332)*SUMIFS('4.3 Global SME Data'!$C$96:$C$107,'4.3 Global SME Data'!$B$96:$B$107,$C$331)*(1+'1.1 Control Panel'!E$55-'1.1 Control Panel'!E$56)*SUMIFS('1.1 Control Panel'!E$125:E$130,'1.1 Control Panel'!C$125:C$130,$C332)*SUMIFS('1.1 Control Panel'!E$210:E$215,'1.1 Control Panel'!C$210:C$215,$C332)*SUMIFS('1.1 Control Panel'!E$295:E$300,'1.1 Control Panel'!C$295:C$300,$C332),0)</f>
        <v>1116</v>
      </c>
      <c r="F332" s="28">
        <f>ROUNDUP(SUMIFS('4.3 Global SME Data'!$C$88:$C$93,'4.3 Global SME Data'!$B$88:$B$93,$C332)*SUMIFS('4.3 Global SME Data'!$C$96:$C$107,'4.3 Global SME Data'!$B$96:$B$107,$C$331)*(1+'1.1 Control Panel'!E$55-'1.1 Control Panel'!E$56)*(1+'1.1 Control Panel'!F$55-'1.1 Control Panel'!F$56)*SUMIFS('1.1 Control Panel'!F$125:F$130,'1.1 Control Panel'!C$125:C$130,$C332)*SUMIFS('1.1 Control Panel'!F$210:F$215,'1.1 Control Panel'!C$210:C$215,$C332)*SUMIFS('1.1 Control Panel'!F$295:F$300,'1.1 Control Panel'!C$295:C$300,$C332),0)</f>
        <v>1184</v>
      </c>
      <c r="G332" s="28">
        <f>ROUNDUP(SUMIFS('4.3 Global SME Data'!$C$88:$C$93,'4.3 Global SME Data'!$B$88:$B$93,$C332)*SUMIFS('4.3 Global SME Data'!$C$96:$C$107,'4.3 Global SME Data'!$B$96:$B$107,$C$331)*(1+'1.1 Control Panel'!E$55-'1.1 Control Panel'!E$56)*(1+'1.1 Control Panel'!F$55-'1.1 Control Panel'!F$56)*(1+'1.1 Control Panel'!G$55-'1.1 Control Panel'!G$56)*SUMIFS('1.1 Control Panel'!G$125:G$130,'1.1 Control Panel'!C$125:C$130,$C332)*SUMIFS('1.1 Control Panel'!G$210:G$215,'1.1 Control Panel'!C$210:C$215,$C332)*SUMIFS('1.1 Control Panel'!G$295:G$300,'1.1 Control Panel'!C$295:C$300,$C332),0)</f>
        <v>1300</v>
      </c>
      <c r="H332" s="28">
        <f>ROUNDUP(SUMIFS('4.3 Global SME Data'!$C$88:$C$93,'4.3 Global SME Data'!$B$88:$B$93,$C332)*SUMIFS('4.3 Global SME Data'!$C$96:$C$107,'4.3 Global SME Data'!$B$96:$B$107,$C$331)*(1+'1.1 Control Panel'!E$55-'1.1 Control Panel'!E$56)*(1+'1.1 Control Panel'!F$55-'1.1 Control Panel'!F$56)*(1+'1.1 Control Panel'!G$55-'1.1 Control Panel'!G$56)*(1+'1.1 Control Panel'!H$55-'1.1 Control Panel'!H$56)*SUMIFS('1.1 Control Panel'!H$125:H$130,'1.1 Control Panel'!C$125:C$130,$C332)*SUMIFS('1.1 Control Panel'!H$210:H$215,'1.1 Control Panel'!C$210:C$215,$C332)*SUMIFS('1.1 Control Panel'!H$295:H$300,'1.1 Control Panel'!C$295:C$300,$C332),0)</f>
        <v>1420</v>
      </c>
      <c r="J332" s="20"/>
    </row>
    <row r="333" spans="2:10" ht="11.5" customHeight="1" x14ac:dyDescent="0.25">
      <c r="C333" s="20" t="s">
        <v>392</v>
      </c>
      <c r="D333" s="34" t="s">
        <v>162</v>
      </c>
      <c r="E333" s="28">
        <f>ROUNDUP(SUMIFS('4.3 Global SME Data'!$C$88:$C$93,'4.3 Global SME Data'!$B$88:$B$93,$C333)*SUMIFS('4.3 Global SME Data'!$C$96:$C$107,'4.3 Global SME Data'!$B$96:$B$107,$C$324)*(1+'1.1 Control Panel'!E$55-'1.1 Control Panel'!E$56)*SUMIFS('1.1 Control Panel'!E$118:E$123,'1.1 Control Panel'!C$118:C$123,$C333)*SUMIFS('1.1 Control Panel'!E$203:E$208,'1.1 Control Panel'!C$203:C$208,$C333)*SUMIFS('1.1 Control Panel'!E$288:E$293,'1.1 Control Panel'!C$288:C$293,$C333),0)</f>
        <v>2</v>
      </c>
      <c r="F333" s="28">
        <f>ROUNDUP(SUMIFS('4.3 Global SME Data'!$C$88:$C$93,'4.3 Global SME Data'!$B$88:$B$93,$C333)*SUMIFS('4.3 Global SME Data'!$C$96:$C$107,'4.3 Global SME Data'!$B$96:$B$107,$C$324)*(1+'1.1 Control Panel'!E$55-'1.1 Control Panel'!E$56)*(1+'1.1 Control Panel'!F$55-'1.1 Control Panel'!F$56)*SUMIFS('1.1 Control Panel'!F$118:F$123,'1.1 Control Panel'!C$118:C$123,$C333)*SUMIFS('1.1 Control Panel'!F$203:F$208,'1.1 Control Panel'!C$203:C$208,$C333)*SUMIFS('1.1 Control Panel'!F$288:F$293,'1.1 Control Panel'!C$288:C$293,$C333),0)</f>
        <v>2</v>
      </c>
      <c r="G333" s="28">
        <f>ROUNDUP(SUMIFS('4.3 Global SME Data'!$C$88:$C$93,'4.3 Global SME Data'!$B$88:$B$93,$C333)*SUMIFS('4.3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Panel'!C$118:C$123,$C333)*SUMIFS('1.1 Control Panel'!G$203:G$208,'1.1 Control Panel'!C$203:C$208,$C333)*SUMIFS('1.1 Control Panel'!G$288:G$293,'1.1 Control Panel'!C$288:C$293,$C333),0)</f>
        <v>2</v>
      </c>
      <c r="H333" s="28">
        <f>ROUNDUP(SUMIFS('4.3 Global SME Data'!$C$88:$C$93,'4.3 Global SME Data'!$B$88:$B$93,$C333)*SUMIFS('4.3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Panel'!C$118:C$123,$C333)*SUMIFS('1.1 Control Panel'!H$203:H$208,'1.1 Control Panel'!C$203:C$208,$C333)*SUMIFS('1.1 Control Panel'!H$288:H$293,'1.1 Control Panel'!C$288:C$293,$C333),0)</f>
        <v>2</v>
      </c>
      <c r="J333" s="20"/>
    </row>
    <row r="334" spans="2:10" ht="11.5" customHeight="1" x14ac:dyDescent="0.25">
      <c r="C334" s="20" t="s">
        <v>454</v>
      </c>
      <c r="D334" s="34" t="s">
        <v>162</v>
      </c>
      <c r="E334" s="28">
        <f>ROUNDUP(SUMIFS('4.3 Global SME Data'!$C$88:$C$93,'4.3 Global SME Data'!$B$88:$B$93,$C334)*SUMIFS('4.3 Global SME Data'!$C$96:$C$107,'4.3 Global SME Data'!$B$96:$B$107,$C$324)*(1+'1.1 Control Panel'!E$55-'1.1 Control Panel'!E$56)*SUMIFS('1.1 Control Panel'!E$118:E$123,'1.1 Control Panel'!C$118:C$123,$C334)*SUMIFS('1.1 Control Panel'!E$203:E$208,'1.1 Control Panel'!C$203:C$208,$C334)*SUMIFS('1.1 Control Panel'!E$288:E$293,'1.1 Control Panel'!C$288:C$293,$C334),0)</f>
        <v>19</v>
      </c>
      <c r="F334" s="28">
        <f>ROUNDUP(SUMIFS('4.3 Global SME Data'!$C$88:$C$93,'4.3 Global SME Data'!$B$88:$B$93,$C334)*SUMIFS('4.3 Global SME Data'!$C$96:$C$107,'4.3 Global SME Data'!$B$96:$B$107,$C$324)*(1+'1.1 Control Panel'!E$55-'1.1 Control Panel'!E$56)*(1+'1.1 Control Panel'!F$55-'1.1 Control Panel'!F$56)*SUMIFS('1.1 Control Panel'!F$118:F$123,'1.1 Control Panel'!C$118:C$123,$C334)*SUMIFS('1.1 Control Panel'!F$203:F$208,'1.1 Control Panel'!C$203:C$208,$C334)*SUMIFS('1.1 Control Panel'!F$288:F$293,'1.1 Control Panel'!C$288:C$293,$C334),0)</f>
        <v>19</v>
      </c>
      <c r="G334" s="28">
        <f>ROUNDUP(SUMIFS('4.3 Global SME Data'!$C$88:$C$93,'4.3 Global SME Data'!$B$88:$B$93,$C334)*SUMIFS('4.3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Panel'!C$118:C$123,$C334)*SUMIFS('1.1 Control Panel'!G$203:G$208,'1.1 Control Panel'!C$203:C$208,$C334)*SUMIFS('1.1 Control Panel'!G$288:G$293,'1.1 Control Panel'!C$288:C$293,$C334),0)</f>
        <v>21</v>
      </c>
      <c r="H334" s="28">
        <f>ROUNDUP(SUMIFS('4.3 Global SME Data'!$C$88:$C$93,'4.3 Global SME Data'!$B$88:$B$93,$C334)*SUMIFS('4.3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Panel'!C$118:C$123,$C334)*SUMIFS('1.1 Control Panel'!H$203:H$208,'1.1 Control Panel'!C$203:C$208,$C334)*SUMIFS('1.1 Control Panel'!H$288:H$293,'1.1 Control Panel'!C$288:C$293,$C334),0)</f>
        <v>22</v>
      </c>
      <c r="J334" s="20"/>
    </row>
    <row r="335" spans="2:10" ht="11.5" customHeight="1" x14ac:dyDescent="0.25">
      <c r="C335" s="21" t="s">
        <v>455</v>
      </c>
      <c r="D335" s="38" t="s">
        <v>162</v>
      </c>
      <c r="E335" s="376">
        <f>ROUNDUP(SUMIFS('4.3 Global SME Data'!$C$88:$C$93,'4.3 Global SME Data'!$B$88:$B$93,$C335)*SUMIFS('4.3 Global SME Data'!$C$96:$C$107,'4.3 Global SME Data'!$B$96:$B$107,$C$324)*(1+'1.1 Control Panel'!E$55-'1.1 Control Panel'!E$56)*SUMIFS('1.1 Control Panel'!E$118:E$123,'1.1 Control Panel'!C$118:C$123,$C335)*SUMIFS('1.1 Control Panel'!E$203:E$208,'1.1 Control Panel'!C$203:C$208,$C335)*SUMIFS('1.1 Control Panel'!E$288:E$293,'1.1 Control Panel'!C$288:C$293,$C335),0)</f>
        <v>187</v>
      </c>
      <c r="F335" s="376">
        <f>ROUNDUP(SUMIFS('4.3 Global SME Data'!$C$88:$C$93,'4.3 Global SME Data'!$B$88:$B$93,$C335)*SUMIFS('4.3 Global SME Data'!$C$96:$C$107,'4.3 Global SME Data'!$B$96:$B$107,$C$324)*(1+'1.1 Control Panel'!E$55-'1.1 Control Panel'!E$56)*(1+'1.1 Control Panel'!F$55-'1.1 Control Panel'!F$56)*SUMIFS('1.1 Control Panel'!F$118:F$123,'1.1 Control Panel'!C$118:C$123,$C335)*SUMIFS('1.1 Control Panel'!F$203:F$208,'1.1 Control Panel'!C$203:C$208,$C335)*SUMIFS('1.1 Control Panel'!F$288:F$293,'1.1 Control Panel'!C$288:C$293,$C335),0)</f>
        <v>201</v>
      </c>
      <c r="G335" s="376">
        <f>ROUNDUP(SUMIFS('4.3 Global SME Data'!$C$88:$C$93,'4.3 Global SME Data'!$B$88:$B$93,$C335)*SUMIFS('4.3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Panel'!C$118:C$123,$C335)*SUMIFS('1.1 Control Panel'!G$203:G$208,'1.1 Control Panel'!C$203:C$208,$C335)*SUMIFS('1.1 Control Panel'!G$288:G$293,'1.1 Control Panel'!C$288:C$293,$C335),0)</f>
        <v>224</v>
      </c>
      <c r="H335" s="376">
        <f>ROUNDUP(SUMIFS('4.3 Global SME Data'!$C$88:$C$93,'4.3 Global SME Data'!$B$88:$B$93,$C335)*SUMIFS('4.3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Panel'!C$118:C$123,$C335)*SUMIFS('1.1 Control Panel'!H$203:H$208,'1.1 Control Panel'!C$203:C$208,$C335)*SUMIFS('1.1 Control Panel'!H$288:H$293,'1.1 Control Panel'!C$288:C$293,$C335),0)</f>
        <v>249</v>
      </c>
      <c r="J335" s="21"/>
    </row>
    <row r="336" spans="2:10" ht="11.5" customHeight="1" x14ac:dyDescent="0.25">
      <c r="C336" s="21" t="s">
        <v>393</v>
      </c>
      <c r="D336" s="38" t="s">
        <v>162</v>
      </c>
      <c r="E336" s="376">
        <f>ROUNDUP(SUMIFS('4.3 Global SME Data'!$C$88:$C$93,'4.3 Global SME Data'!$B$88:$B$93,$C336)*SUMIFS('4.3 Global SME Data'!$C$96:$C$107,'4.3 Global SME Data'!$B$96:$B$107,$C$324)*(1+'1.1 Control Panel'!E$55-'1.1 Control Panel'!E$56)*SUMIFS('1.1 Control Panel'!E$118:E$123,'1.1 Control Panel'!C$118:C$123,$C336)*SUMIFS('1.1 Control Panel'!E$203:E$208,'1.1 Control Panel'!C$203:C$208,$C336)*SUMIFS('1.1 Control Panel'!E$288:E$293,'1.1 Control Panel'!C$288:C$293,$C336),0)</f>
        <v>153</v>
      </c>
      <c r="F336" s="376">
        <f>ROUNDUP(SUMIFS('4.3 Global SME Data'!$C$88:$C$93,'4.3 Global SME Data'!$B$88:$B$93,$C336)*SUMIFS('4.3 Global SME Data'!$C$96:$C$107,'4.3 Global SME Data'!$B$96:$B$107,$C$324)*(1+'1.1 Control Panel'!E$55-'1.1 Control Panel'!E$56)*(1+'1.1 Control Panel'!F$55-'1.1 Control Panel'!F$56)*SUMIFS('1.1 Control Panel'!F$118:F$123,'1.1 Control Panel'!C$118:C$123,$C336)*SUMIFS('1.1 Control Panel'!F$203:F$208,'1.1 Control Panel'!C$203:C$208,$C336)*SUMIFS('1.1 Control Panel'!F$288:F$293,'1.1 Control Panel'!C$288:C$293,$C336),0)</f>
        <v>164</v>
      </c>
      <c r="G336" s="376">
        <f>ROUNDUP(SUMIFS('4.3 Global SME Data'!$C$88:$C$93,'4.3 Global SME Data'!$B$88:$B$93,$C336)*SUMIFS('4.3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Panel'!C$118:C$123,$C336)*SUMIFS('1.1 Control Panel'!G$203:G$208,'1.1 Control Panel'!C$203:C$208,$C336)*SUMIFS('1.1 Control Panel'!G$288:G$293,'1.1 Control Panel'!C$288:C$293,$C336),0)</f>
        <v>183</v>
      </c>
      <c r="H336" s="376">
        <f>ROUNDUP(SUMIFS('4.3 Global SME Data'!$C$88:$C$93,'4.3 Global SME Data'!$B$88:$B$93,$C336)*SUMIFS('4.3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Panel'!C$118:C$123,$C336)*SUMIFS('1.1 Control Panel'!H$203:H$208,'1.1 Control Panel'!C$203:C$208,$C336)*SUMIFS('1.1 Control Panel'!H$288:H$293,'1.1 Control Panel'!C$288:C$293,$C336),0)</f>
        <v>203</v>
      </c>
      <c r="J336" s="21"/>
    </row>
    <row r="337" spans="2:10" ht="11.5" customHeight="1" x14ac:dyDescent="0.25">
      <c r="C337" s="21" t="s">
        <v>456</v>
      </c>
      <c r="D337" s="38" t="s">
        <v>162</v>
      </c>
      <c r="E337" s="376">
        <f>ROUNDUP(SUMIFS('4.3 Global SME Data'!$C$88:$C$93,'4.3 Global SME Data'!$B$88:$B$93,$C337)*SUMIFS('4.3 Global SME Data'!$C$96:$C$107,'4.3 Global SME Data'!$B$96:$B$107,$C$324)*(1+'1.1 Control Panel'!E$55-'1.1 Control Panel'!E$56)*SUMIFS('1.1 Control Panel'!E$118:E$123,'1.1 Control Panel'!C$118:C$123,$C337)*SUMIFS('1.1 Control Panel'!E$203:E$208,'1.1 Control Panel'!C$203:C$208,$C337)*SUMIFS('1.1 Control Panel'!E$288:E$293,'1.1 Control Panel'!C$288:C$293,$C337),0)</f>
        <v>13</v>
      </c>
      <c r="F337" s="376">
        <f>ROUNDUP(SUMIFS('4.3 Global SME Data'!$C$88:$C$93,'4.3 Global SME Data'!$B$88:$B$93,$C337)*SUMIFS('4.3 Global SME Data'!$C$96:$C$107,'4.3 Global SME Data'!$B$96:$B$107,$C$324)*(1+'1.1 Control Panel'!E$55-'1.1 Control Panel'!E$56)*(1+'1.1 Control Panel'!F$55-'1.1 Control Panel'!F$56)*SUMIFS('1.1 Control Panel'!F$118:F$123,'1.1 Control Panel'!C$118:C$123,$C337)*SUMIFS('1.1 Control Panel'!F$203:F$208,'1.1 Control Panel'!C$203:C$208,$C337)*SUMIFS('1.1 Control Panel'!F$288:F$293,'1.1 Control Panel'!C$288:C$293,$C337),0)</f>
        <v>13</v>
      </c>
      <c r="G337" s="376">
        <f>ROUNDUP(SUMIFS('4.3 Global SME Data'!$C$88:$C$93,'4.3 Global SME Data'!$B$88:$B$93,$C337)*SUMIFS('4.3 Global SME Data'!$C$96:$C$107,'4.3 Global SME Data'!$B$96:$B$107,$C$324)*(1+'1.1 Control Panel'!E$55-'1.1 Control Panel'!E$56)*(1+'1.1 Control Panel'!F$55-'1.1 Control Panel'!F$56)*(1+'1.1 Control Panel'!G$55-'1.1 Control Panel'!G$56)*SUMIFS('1.1 Control Panel'!G$118:G$123,'1.1 Control Panel'!C$118:C$123,$C337)*SUMIFS('1.1 Control Panel'!G$203:G$208,'1.1 Control Panel'!C$203:C$208,$C337)*SUMIFS('1.1 Control Panel'!G$288:G$293,'1.1 Control Panel'!C$288:C$293,$C337),0)</f>
        <v>15</v>
      </c>
      <c r="H337" s="376">
        <f>ROUNDUP(SUMIFS('4.3 Global SME Data'!$C$88:$C$93,'4.3 Global SME Data'!$B$88:$B$93,$C337)*SUMIFS('4.3 Global SME Data'!$C$96:$C$107,'4.3 Global SME Data'!$B$96:$B$107,$C$324)*(1+'1.1 Control Panel'!E$55-'1.1 Control Panel'!E$56)*(1+'1.1 Control Panel'!F$55-'1.1 Control Panel'!F$56)*(1+'1.1 Control Panel'!G$55-'1.1 Control Panel'!G$56)*(1+'1.1 Control Panel'!H$55-'1.1 Control Panel'!H$56)*SUMIFS('1.1 Control Panel'!H$118:H$123,'1.1 Control Panel'!C$118:C$123,$C337)*SUMIFS('1.1 Control Panel'!H$203:H$208,'1.1 Control Panel'!C$203:C$208,$C337)*SUMIFS('1.1 Control Panel'!H$288:H$293,'1.1 Control Panel'!C$288:C$293,$C337),0)</f>
        <v>16</v>
      </c>
      <c r="J337" s="21"/>
    </row>
    <row r="338" spans="2:10" s="74" customFormat="1" ht="11.5" customHeight="1" x14ac:dyDescent="0.25">
      <c r="B338" s="99" t="s">
        <v>9</v>
      </c>
      <c r="C338" s="105" t="str">
        <f>'4.2 Sector Mapping'!$B$15</f>
        <v>Entertainment and Recreation</v>
      </c>
      <c r="D338" s="106" t="s">
        <v>162</v>
      </c>
      <c r="E338" s="380">
        <f>SUM(E339:E344)</f>
        <v>1145</v>
      </c>
      <c r="F338" s="380">
        <f t="shared" ref="F338" si="106">SUM(F339:F344)</f>
        <v>1194</v>
      </c>
      <c r="G338" s="380">
        <f t="shared" ref="G338" si="107">SUM(G339:G344)</f>
        <v>1274</v>
      </c>
      <c r="H338" s="380">
        <f t="shared" ref="H338" si="108">SUM(H339:H344)</f>
        <v>1358</v>
      </c>
      <c r="J338" s="105"/>
    </row>
    <row r="339" spans="2:10" ht="11.5" customHeight="1" x14ac:dyDescent="0.25">
      <c r="C339" s="20" t="s">
        <v>600</v>
      </c>
      <c r="D339" s="34" t="s">
        <v>162</v>
      </c>
      <c r="E339" s="28">
        <f>ROUNDUP(SUMIFS('4.3 Global SME Data'!$C$88:$C$93,'4.3 Global SME Data'!$B$88:$B$93,$C339)*SUMIFS('4.3 Global SME Data'!$C$96:$C$107,'4.3 Global SME Data'!$B$96:$B$107,$C$338)*(1+'1.1 Control Panel'!E$55-'1.1 Control Panel'!E$56)*SUMIFS('1.1 Control Panel'!E$132:E$137,'1.1 Control Panel'!C$132:C$137,$C339)*SUMIFS('1.1 Control Panel'!E$217:E$222,'1.1 Control Panel'!C$217:C$222,$C339)*SUMIFS('1.1 Control Panel'!E$302:E$307,'1.1 Control Panel'!C$302:C$307,$C339),0)</f>
        <v>625</v>
      </c>
      <c r="F339" s="28">
        <f>ROUNDUP(SUMIFS('4.3 Global SME Data'!$C$88:$C$93,'4.3 Global SME Data'!$B$88:$B$93,$C339)*SUMIFS('4.3 Global SME Data'!$C$96:$C$107,'4.3 Global SME Data'!$B$96:$B$107,$C$338)*(1+'1.1 Control Panel'!E$55-'1.1 Control Panel'!E$56)*(1+'1.1 Control Panel'!F$55-'1.1 Control Panel'!F$56)*SUMIFS('1.1 Control Panel'!F$132:F$137,'1.1 Control Panel'!C$132:C$137,$C339)*SUMIFS('1.1 Control Panel'!F$217:F$222,'1.1 Control Panel'!C$217:C$222,$C339)*SUMIFS('1.1 Control Panel'!F$302:F$307,'1.1 Control Panel'!C$302:C$307,$C339),0)</f>
        <v>653</v>
      </c>
      <c r="G339" s="28">
        <f>ROUNDUP(SUMIFS('4.3 Global SME Data'!$C$88:$C$93,'4.3 Global SME Data'!$B$88:$B$93,$C339)*SUMIFS('4.3 Global SME Data'!$C$96:$C$107,'4.3 Global SME Data'!$B$96:$B$107,$C$338)*(1+'1.1 Control Panel'!E$55-'1.1 Control Panel'!E$56)*(1+'1.1 Control Panel'!F$55-'1.1 Control Panel'!F$56)*(1+'1.1 Control Panel'!G$55-'1.1 Control Panel'!G$56)*SUMIFS('1.1 Control Panel'!G$132:G$137,'1.1 Control Panel'!C$132:C$137,$C339)*SUMIFS('1.1 Control Panel'!G$217:G$222,'1.1 Control Panel'!C$217:C$222,$C339)*SUMIFS('1.1 Control Panel'!G$302:G$307,'1.1 Control Panel'!C$302:C$307,$C339),0)</f>
        <v>699</v>
      </c>
      <c r="H339" s="28">
        <f>ROUNDUP(SUMIFS('4.3 Global SME Data'!$C$88:$C$93,'4.3 Global SME Data'!$B$88:$B$93,$C339)*SUMIFS('4.3 Global SME Data'!$C$96:$C$107,'4.3 Global SME Data'!$B$96:$B$107,$C$338)*(1+'1.1 Control Panel'!E$55-'1.1 Control Panel'!E$56)*(1+'1.1 Control Panel'!F$55-'1.1 Control Panel'!F$56)*(1+'1.1 Control Panel'!G$55-'1.1 Control Panel'!G$56)*(1+'1.1 Control Panel'!H$55-'1.1 Control Panel'!H$56)*SUMIFS('1.1 Control Panel'!H$132:H$137,'1.1 Control Panel'!C$132:C$137,$C339)*SUMIFS('1.1 Control Panel'!H$217:H$222,'1.1 Control Panel'!C$217:C$222,$C339)*SUMIFS('1.1 Control Panel'!H$302:H$307,'1.1 Control Panel'!C$302:C$307,$C339),0)</f>
        <v>747</v>
      </c>
      <c r="J339" s="20"/>
    </row>
    <row r="340" spans="2:10" ht="11.5" customHeight="1" x14ac:dyDescent="0.25">
      <c r="C340" s="20" t="s">
        <v>392</v>
      </c>
      <c r="D340" s="34" t="s">
        <v>162</v>
      </c>
      <c r="E340" s="28">
        <f>ROUNDUP(SUMIFS('4.3 Global SME Data'!$C$88:$C$93,'4.3 Global SME Data'!$B$88:$B$93,$C340)*SUMIFS('4.3 Global SME Data'!$C$96:$C$107,'4.3 Global SME Data'!$B$96:$B$107,$C$338)*(1+'1.1 Control Panel'!E$55-'1.1 Control Panel'!E$56)*SUMIFS('1.1 Control Panel'!E$132:E$137,'1.1 Control Panel'!C$132:C$137,$C340)*SUMIFS('1.1 Control Panel'!E$217:E$222,'1.1 Control Panel'!C$217:C$222,$C340)*SUMIFS('1.1 Control Panel'!E$302:E$307,'1.1 Control Panel'!C$302:C$307,$C340),0)</f>
        <v>3</v>
      </c>
      <c r="F340" s="28">
        <f>ROUNDUP(SUMIFS('4.3 Global SME Data'!$C$88:$C$93,'4.3 Global SME Data'!$B$88:$B$93,$C340)*SUMIFS('4.3 Global SME Data'!$C$96:$C$107,'4.3 Global SME Data'!$B$96:$B$107,$C$338)*(1+'1.1 Control Panel'!E$55-'1.1 Control Panel'!E$56)*(1+'1.1 Control Panel'!F$55-'1.1 Control Panel'!F$56)*SUMIFS('1.1 Control Panel'!F$132:F$137,'1.1 Control Panel'!C$132:C$137,$C340)*SUMIFS('1.1 Control Panel'!F$217:F$222,'1.1 Control Panel'!C$217:C$222,$C340)*SUMIFS('1.1 Control Panel'!F$302:F$307,'1.1 Control Panel'!C$302:C$307,$C340),0)</f>
        <v>3</v>
      </c>
      <c r="G340" s="28">
        <f>ROUNDUP(SUMIFS('4.3 Global SME Data'!$C$88:$C$93,'4.3 Global SME Data'!$B$88:$B$93,$C340)*SUMIFS('4.3 Global SME Data'!$C$96:$C$107,'4.3 Global SME Data'!$B$96:$B$107,$C$338)*(1+'1.1 Control Panel'!E$55-'1.1 Control Panel'!E$56)*(1+'1.1 Control Panel'!F$55-'1.1 Control Panel'!F$56)*(1+'1.1 Control Panel'!G$55-'1.1 Control Panel'!G$56)*SUMIFS('1.1 Control Panel'!G$132:G$137,'1.1 Control Panel'!C$132:C$137,$C340)*SUMIFS('1.1 Control Panel'!G$217:G$222,'1.1 Control Panel'!C$217:C$222,$C340)*SUMIFS('1.1 Control Panel'!G$302:G$307,'1.1 Control Panel'!C$302:C$307,$C340),0)</f>
        <v>3</v>
      </c>
      <c r="H340" s="28">
        <f>ROUNDUP(SUMIFS('4.3 Global SME Data'!$C$88:$C$93,'4.3 Global SME Data'!$B$88:$B$93,$C340)*SUMIFS('4.3 Global SME Data'!$C$96:$C$107,'4.3 Global SME Data'!$B$96:$B$107,$C$338)*(1+'1.1 Control Panel'!E$55-'1.1 Control Panel'!E$56)*(1+'1.1 Control Panel'!F$55-'1.1 Control Panel'!F$56)*(1+'1.1 Control Panel'!G$55-'1.1 Control Panel'!G$56)*(1+'1.1 Control Panel'!H$55-'1.1 Control Panel'!H$56)*SUMIFS('1.1 Control Panel'!H$132:H$137,'1.1 Control Panel'!C$132:C$137,$C340)*SUMIFS('1.1 Control Panel'!H$217:H$222,'1.1 Control Panel'!C$217:C$222,$C340)*SUMIFS('1.1 Control Panel'!H$302:H$307,'1.1 Control Panel'!C$302:C$307,$C340),0)</f>
        <v>3</v>
      </c>
      <c r="J340" s="20"/>
    </row>
    <row r="341" spans="2:10" ht="11.5" customHeight="1" x14ac:dyDescent="0.25">
      <c r="C341" s="20" t="s">
        <v>454</v>
      </c>
      <c r="D341" s="34" t="s">
        <v>162</v>
      </c>
      <c r="E341" s="28">
        <f>ROUNDUP(SUMIFS('4.3 Global SME Data'!$C$88:$C$93,'4.3 Global SME Data'!$B$88:$B$93,$C341)*SUMIFS('4.3 Global SME Data'!$C$96:$C$107,'4.3 Global SME Data'!$B$96:$B$107,$C$338)*(1+'1.1 Control Panel'!E$55-'1.1 Control Panel'!E$56)*SUMIFS('1.1 Control Panel'!E$132:E$137,'1.1 Control Panel'!C$132:C$137,$C341)*SUMIFS('1.1 Control Panel'!E$217:E$222,'1.1 Control Panel'!C$217:C$222,$C341)*SUMIFS('1.1 Control Panel'!E$302:E$307,'1.1 Control Panel'!C$302:C$307,$C341),0)</f>
        <v>34</v>
      </c>
      <c r="F341" s="28">
        <f>ROUNDUP(SUMIFS('4.3 Global SME Data'!$C$88:$C$93,'4.3 Global SME Data'!$B$88:$B$93,$C341)*SUMIFS('4.3 Global SME Data'!$C$96:$C$107,'4.3 Global SME Data'!$B$96:$B$107,$C$338)*(1+'1.1 Control Panel'!E$55-'1.1 Control Panel'!E$56)*(1+'1.1 Control Panel'!F$55-'1.1 Control Panel'!F$56)*SUMIFS('1.1 Control Panel'!F$132:F$137,'1.1 Control Panel'!C$132:C$137,$C341)*SUMIFS('1.1 Control Panel'!F$217:F$222,'1.1 Control Panel'!C$217:C$222,$C341)*SUMIFS('1.1 Control Panel'!F$302:F$307,'1.1 Control Panel'!C$302:C$307,$C341),0)</f>
        <v>35</v>
      </c>
      <c r="G341" s="28">
        <f>ROUNDUP(SUMIFS('4.3 Global SME Data'!$C$88:$C$93,'4.3 Global SME Data'!$B$88:$B$93,$C341)*SUMIFS('4.3 Global SME Data'!$C$96:$C$107,'4.3 Global SME Data'!$B$96:$B$107,$C$338)*(1+'1.1 Control Panel'!E$55-'1.1 Control Panel'!E$56)*(1+'1.1 Control Panel'!F$55-'1.1 Control Panel'!F$56)*(1+'1.1 Control Panel'!G$55-'1.1 Control Panel'!G$56)*SUMIFS('1.1 Control Panel'!G$132:G$137,'1.1 Control Panel'!C$132:C$137,$C341)*SUMIFS('1.1 Control Panel'!G$217:G$222,'1.1 Control Panel'!C$217:C$222,$C341)*SUMIFS('1.1 Control Panel'!G$302:G$307,'1.1 Control Panel'!C$302:C$307,$C341),0)</f>
        <v>36</v>
      </c>
      <c r="H341" s="28">
        <f>ROUNDUP(SUMIFS('4.3 Global SME Data'!$C$88:$C$93,'4.3 Global SME Data'!$B$88:$B$93,$C341)*SUMIFS('4.3 Global SME Data'!$C$96:$C$107,'4.3 Global SME Data'!$B$96:$B$107,$C$338)*(1+'1.1 Control Panel'!E$55-'1.1 Control Panel'!E$56)*(1+'1.1 Control Panel'!F$55-'1.1 Control Panel'!F$56)*(1+'1.1 Control Panel'!G$55-'1.1 Control Panel'!G$56)*(1+'1.1 Control Panel'!H$55-'1.1 Control Panel'!H$56)*SUMIFS('1.1 Control Panel'!H$132:H$137,'1.1 Control Panel'!C$132:C$137,$C341)*SUMIFS('1.1 Control Panel'!H$217:H$222,'1.1 Control Panel'!C$217:C$222,$C341)*SUMIFS('1.1 Control Panel'!H$302:H$307,'1.1 Control Panel'!C$302:C$307,$C341),0)</f>
        <v>38</v>
      </c>
      <c r="J341" s="20"/>
    </row>
    <row r="342" spans="2:10" ht="11.5" customHeight="1" x14ac:dyDescent="0.25">
      <c r="C342" s="21" t="s">
        <v>455</v>
      </c>
      <c r="D342" s="38" t="s">
        <v>162</v>
      </c>
      <c r="E342" s="376">
        <f>ROUNDUP(SUMIFS('4.3 Global SME Data'!$C$88:$C$93,'4.3 Global SME Data'!$B$88:$B$93,$C342)*SUMIFS('4.3 Global SME Data'!$C$96:$C$107,'4.3 Global SME Data'!$B$96:$B$107,$C$338)*(1+'1.1 Control Panel'!E$55-'1.1 Control Panel'!E$56)*SUMIFS('1.1 Control Panel'!E$132:E$137,'1.1 Control Panel'!C$132:C$137,$C342)*SUMIFS('1.1 Control Panel'!E$217:E$222,'1.1 Control Panel'!C$217:C$222,$C342)*SUMIFS('1.1 Control Panel'!E$302:E$307,'1.1 Control Panel'!C$302:C$307,$C342),0)</f>
        <v>287</v>
      </c>
      <c r="F342" s="376">
        <f>ROUNDUP(SUMIFS('4.3 Global SME Data'!$C$88:$C$93,'4.3 Global SME Data'!$B$88:$B$93,$C342)*SUMIFS('4.3 Global SME Data'!$C$96:$C$107,'4.3 Global SME Data'!$B$96:$B$107,$C$338)*(1+'1.1 Control Panel'!E$55-'1.1 Control Panel'!E$56)*(1+'1.1 Control Panel'!F$55-'1.1 Control Panel'!F$56)*SUMIFS('1.1 Control Panel'!F$132:F$137,'1.1 Control Panel'!C$132:C$137,$C342)*SUMIFS('1.1 Control Panel'!F$217:F$222,'1.1 Control Panel'!C$217:C$222,$C342)*SUMIFS('1.1 Control Panel'!F$302:F$307,'1.1 Control Panel'!C$302:C$307,$C342),0)</f>
        <v>298</v>
      </c>
      <c r="G342" s="376">
        <f>ROUNDUP(SUMIFS('4.3 Global SME Data'!$C$88:$C$93,'4.3 Global SME Data'!$B$88:$B$93,$C342)*SUMIFS('4.3 Global SME Data'!$C$96:$C$107,'4.3 Global SME Data'!$B$96:$B$107,$C$338)*(1+'1.1 Control Panel'!E$55-'1.1 Control Panel'!E$56)*(1+'1.1 Control Panel'!F$55-'1.1 Control Panel'!F$56)*(1+'1.1 Control Panel'!G$55-'1.1 Control Panel'!G$56)*SUMIFS('1.1 Control Panel'!G$132:G$137,'1.1 Control Panel'!C$132:C$137,$C342)*SUMIFS('1.1 Control Panel'!G$217:G$222,'1.1 Control Panel'!C$217:C$222,$C342)*SUMIFS('1.1 Control Panel'!G$302:G$307,'1.1 Control Panel'!C$302:C$307,$C342),0)</f>
        <v>317</v>
      </c>
      <c r="H342" s="376">
        <f>ROUNDUP(SUMIFS('4.3 Global SME Data'!$C$88:$C$93,'4.3 Global SME Data'!$B$88:$B$93,$C342)*SUMIFS('4.3 Global SME Data'!$C$96:$C$107,'4.3 Global SME Data'!$B$96:$B$107,$C$338)*(1+'1.1 Control Panel'!E$55-'1.1 Control Panel'!E$56)*(1+'1.1 Control Panel'!F$55-'1.1 Control Panel'!F$56)*(1+'1.1 Control Panel'!G$55-'1.1 Control Panel'!G$56)*(1+'1.1 Control Panel'!H$55-'1.1 Control Panel'!H$56)*SUMIFS('1.1 Control Panel'!H$132:H$137,'1.1 Control Panel'!C$132:C$137,$C342)*SUMIFS('1.1 Control Panel'!H$217:H$222,'1.1 Control Panel'!C$217:C$222,$C342)*SUMIFS('1.1 Control Panel'!H$302:H$307,'1.1 Control Panel'!C$302:C$307,$C342),0)</f>
        <v>337</v>
      </c>
      <c r="J342" s="21"/>
    </row>
    <row r="343" spans="2:10" ht="11.5" customHeight="1" x14ac:dyDescent="0.25">
      <c r="C343" s="21" t="s">
        <v>393</v>
      </c>
      <c r="D343" s="38" t="s">
        <v>162</v>
      </c>
      <c r="E343" s="376">
        <f>ROUNDUP(SUMIFS('4.3 Global SME Data'!$C$88:$C$93,'4.3 Global SME Data'!$B$88:$B$93,$C343)*SUMIFS('4.3 Global SME Data'!$C$96:$C$107,'4.3 Global SME Data'!$B$96:$B$107,$C$338)*(1+'1.1 Control Panel'!E$55-'1.1 Control Panel'!E$56)*SUMIFS('1.1 Control Panel'!E$132:E$137,'1.1 Control Panel'!C$132:C$137,$C343)*SUMIFS('1.1 Control Panel'!E$217:E$222,'1.1 Control Panel'!C$217:C$222,$C343)*SUMIFS('1.1 Control Panel'!E$302:E$307,'1.1 Control Panel'!C$302:C$307,$C343),0)</f>
        <v>168</v>
      </c>
      <c r="F343" s="376">
        <f>ROUNDUP(SUMIFS('4.3 Global SME Data'!$C$88:$C$93,'4.3 Global SME Data'!$B$88:$B$93,$C343)*SUMIFS('4.3 Global SME Data'!$C$96:$C$107,'4.3 Global SME Data'!$B$96:$B$107,$C$338)*(1+'1.1 Control Panel'!E$55-'1.1 Control Panel'!E$56)*(1+'1.1 Control Panel'!F$55-'1.1 Control Panel'!F$56)*SUMIFS('1.1 Control Panel'!F$132:F$137,'1.1 Control Panel'!C$132:C$137,$C343)*SUMIFS('1.1 Control Panel'!F$217:F$222,'1.1 Control Panel'!C$217:C$222,$C343)*SUMIFS('1.1 Control Panel'!F$302:F$307,'1.1 Control Panel'!C$302:C$307,$C343),0)</f>
        <v>176</v>
      </c>
      <c r="G343" s="376">
        <f>ROUNDUP(SUMIFS('4.3 Global SME Data'!$C$88:$C$93,'4.3 Global SME Data'!$B$88:$B$93,$C343)*SUMIFS('4.3 Global SME Data'!$C$96:$C$107,'4.3 Global SME Data'!$B$96:$B$107,$C$338)*(1+'1.1 Control Panel'!E$55-'1.1 Control Panel'!E$56)*(1+'1.1 Control Panel'!F$55-'1.1 Control Panel'!F$56)*(1+'1.1 Control Panel'!G$55-'1.1 Control Panel'!G$56)*SUMIFS('1.1 Control Panel'!G$132:G$137,'1.1 Control Panel'!C$132:C$137,$C343)*SUMIFS('1.1 Control Panel'!G$217:G$222,'1.1 Control Panel'!C$217:C$222,$C343)*SUMIFS('1.1 Control Panel'!G$302:G$307,'1.1 Control Panel'!C$302:C$307,$C343),0)</f>
        <v>189</v>
      </c>
      <c r="H343" s="376">
        <f>ROUNDUP(SUMIFS('4.3 Global SME Data'!$C$88:$C$93,'4.3 Global SME Data'!$B$88:$B$93,$C343)*SUMIFS('4.3 Global SME Data'!$C$96:$C$107,'4.3 Global SME Data'!$B$96:$B$107,$C$338)*(1+'1.1 Control Panel'!E$55-'1.1 Control Panel'!E$56)*(1+'1.1 Control Panel'!F$55-'1.1 Control Panel'!F$56)*(1+'1.1 Control Panel'!G$55-'1.1 Control Panel'!G$56)*(1+'1.1 Control Panel'!H$55-'1.1 Control Panel'!H$56)*SUMIFS('1.1 Control Panel'!H$132:H$137,'1.1 Control Panel'!C$132:C$137,$C343)*SUMIFS('1.1 Control Panel'!H$217:H$222,'1.1 Control Panel'!C$217:C$222,$C343)*SUMIFS('1.1 Control Panel'!H$302:H$307,'1.1 Control Panel'!C$302:C$307,$C343),0)</f>
        <v>202</v>
      </c>
      <c r="J343" s="21"/>
    </row>
    <row r="344" spans="2:10" ht="11.5" customHeight="1" x14ac:dyDescent="0.25">
      <c r="C344" s="21" t="s">
        <v>456</v>
      </c>
      <c r="D344" s="38" t="s">
        <v>162</v>
      </c>
      <c r="E344" s="376">
        <f>ROUNDUP(SUMIFS('4.3 Global SME Data'!$C$88:$C$93,'4.3 Global SME Data'!$B$88:$B$93,$C344)*SUMIFS('4.3 Global SME Data'!$C$96:$C$107,'4.3 Global SME Data'!$B$96:$B$107,$C$338)*(1+'1.1 Control Panel'!E$55-'1.1 Control Panel'!E$56)*SUMIFS('1.1 Control Panel'!E$132:E$137,'1.1 Control Panel'!C$132:C$137,$C344)*SUMIFS('1.1 Control Panel'!E$217:E$222,'1.1 Control Panel'!C$217:C$222,$C344)*SUMIFS('1.1 Control Panel'!E$302:E$307,'1.1 Control Panel'!C$302:C$307,$C344),0)</f>
        <v>28</v>
      </c>
      <c r="F344" s="376">
        <f>ROUNDUP(SUMIFS('4.3 Global SME Data'!$C$88:$C$93,'4.3 Global SME Data'!$B$88:$B$93,$C344)*SUMIFS('4.3 Global SME Data'!$C$96:$C$107,'4.3 Global SME Data'!$B$96:$B$107,$C$338)*(1+'1.1 Control Panel'!E$55-'1.1 Control Panel'!E$56)*(1+'1.1 Control Panel'!F$55-'1.1 Control Panel'!F$56)*SUMIFS('1.1 Control Panel'!F$132:F$137,'1.1 Control Panel'!C$132:C$137,$C344)*SUMIFS('1.1 Control Panel'!F$217:F$222,'1.1 Control Panel'!C$217:C$222,$C344)*SUMIFS('1.1 Control Panel'!F$302:F$307,'1.1 Control Panel'!C$302:C$307,$C344),0)</f>
        <v>29</v>
      </c>
      <c r="G344" s="376">
        <f>ROUNDUP(SUMIFS('4.3 Global SME Data'!$C$88:$C$93,'4.3 Global SME Data'!$B$88:$B$93,$C344)*SUMIFS('4.3 Global SME Data'!$C$96:$C$107,'4.3 Global SME Data'!$B$96:$B$107,$C$338)*(1+'1.1 Control Panel'!E$55-'1.1 Control Panel'!E$56)*(1+'1.1 Control Panel'!F$55-'1.1 Control Panel'!F$56)*(1+'1.1 Control Panel'!G$55-'1.1 Control Panel'!G$56)*SUMIFS('1.1 Control Panel'!G$132:G$137,'1.1 Control Panel'!C$132:C$137,$C344)*SUMIFS('1.1 Control Panel'!G$217:G$222,'1.1 Control Panel'!C$217:C$222,$C344)*SUMIFS('1.1 Control Panel'!G$302:G$307,'1.1 Control Panel'!C$302:C$307,$C344),0)</f>
        <v>30</v>
      </c>
      <c r="H344" s="376">
        <f>ROUNDUP(SUMIFS('4.3 Global SME Data'!$C$88:$C$93,'4.3 Global SME Data'!$B$88:$B$93,$C344)*SUMIFS('4.3 Global SME Data'!$C$96:$C$107,'4.3 Global SME Data'!$B$96:$B$107,$C$338)*(1+'1.1 Control Panel'!E$55-'1.1 Control Panel'!E$56)*(1+'1.1 Control Panel'!F$55-'1.1 Control Panel'!F$56)*(1+'1.1 Control Panel'!G$55-'1.1 Control Panel'!G$56)*(1+'1.1 Control Panel'!H$55-'1.1 Control Panel'!H$56)*SUMIFS('1.1 Control Panel'!H$132:H$137,'1.1 Control Panel'!C$132:C$137,$C344)*SUMIFS('1.1 Control Panel'!H$217:H$222,'1.1 Control Panel'!C$217:C$222,$C344)*SUMIFS('1.1 Control Panel'!H$302:H$307,'1.1 Control Panel'!C$302:C$307,$C344),0)</f>
        <v>31</v>
      </c>
      <c r="J344" s="21"/>
    </row>
    <row r="345" spans="2:10" s="74" customFormat="1" ht="11.5" customHeight="1" x14ac:dyDescent="0.25">
      <c r="B345" s="99" t="s">
        <v>9</v>
      </c>
      <c r="C345" s="105" t="str">
        <f>'4.2 Sector Mapping'!$B$16</f>
        <v>Transportation and Services</v>
      </c>
      <c r="D345" s="106" t="s">
        <v>162</v>
      </c>
      <c r="E345" s="380">
        <f>SUM(E346:E351)</f>
        <v>795</v>
      </c>
      <c r="F345" s="380">
        <f t="shared" ref="F345" si="109">SUM(F346:F351)</f>
        <v>841</v>
      </c>
      <c r="G345" s="380">
        <f t="shared" ref="G345" si="110">SUM(G346:G351)</f>
        <v>920</v>
      </c>
      <c r="H345" s="380">
        <f t="shared" ref="H345" si="111">SUM(H346:H351)</f>
        <v>1004</v>
      </c>
      <c r="J345" s="105"/>
    </row>
    <row r="346" spans="2:10" ht="11.5" customHeight="1" x14ac:dyDescent="0.25">
      <c r="C346" s="20" t="s">
        <v>600</v>
      </c>
      <c r="D346" s="34" t="s">
        <v>162</v>
      </c>
      <c r="E346" s="28">
        <f>ROUNDUP(SUMIFS('4.3 Global SME Data'!$C$88:$C$93,'4.3 Global SME Data'!$B$88:$B$93,$C346)*SUMIFS('4.3 Global SME Data'!$C$96:$C$107,'4.3 Global SME Data'!$B$96:$B$107,$C$345)*(1+'1.1 Control Panel'!E$55-'1.1 Control Panel'!E$56)*SUMIFS('1.1 Control Panel'!E$139:E$144,'1.1 Control Panel'!C$139:C$144,$C346)*SUMIFS('1.1 Control Panel'!E$224:E$229,'1.1 Control Panel'!C$224:C$229,$C346)*SUMIFS('1.1 Control Panel'!E$309:E$314,'1.1 Control Panel'!C$309:C$314,$C346),0)</f>
        <v>358</v>
      </c>
      <c r="F346" s="28">
        <f>ROUNDUP(SUMIFS('4.3 Global SME Data'!$C$88:$C$93,'4.3 Global SME Data'!$B$88:$B$93,$C346)*SUMIFS('4.3 Global SME Data'!$C$96:$C$107,'4.3 Global SME Data'!$B$96:$B$107,$C$345)*(1+'1.1 Control Panel'!E$55-'1.1 Control Panel'!E$56)*(1+'1.1 Control Panel'!F$55-'1.1 Control Panel'!F$56)*SUMIFS('1.1 Control Panel'!F$139:F$144,'1.1 Control Panel'!C$139:C$144,$C346)*SUMIFS('1.1 Control Panel'!F$224:F$229,'1.1 Control Panel'!C$224:C$229,$C346)*SUMIFS('1.1 Control Panel'!F$309:F$314,'1.1 Control Panel'!C$309:C$314,$C346),0)</f>
        <v>382</v>
      </c>
      <c r="G346" s="28">
        <f>ROUNDUP(SUMIFS('4.3 Global SME Data'!$C$88:$C$93,'4.3 Global SME Data'!$B$88:$B$93,$C346)*SUMIFS('4.3 Global SME Data'!$C$96:$C$107,'4.3 Global SME Data'!$B$96:$B$107,$C$345)*(1+'1.1 Control Panel'!E$55-'1.1 Control Panel'!E$56)*(1+'1.1 Control Panel'!F$55-'1.1 Control Panel'!F$56)*(1+'1.1 Control Panel'!G$55-'1.1 Control Panel'!G$56)*SUMIFS('1.1 Control Panel'!G$139:G$144,'1.1 Control Panel'!C$139:C$144,$C346)*SUMIFS('1.1 Control Panel'!G$224:G$229,'1.1 Control Panel'!C$224:C$229,$C346)*SUMIFS('1.1 Control Panel'!G$309:G$314,'1.1 Control Panel'!C$309:C$314,$C346),0)</f>
        <v>424</v>
      </c>
      <c r="H346" s="28">
        <f>ROUNDUP(SUMIFS('4.3 Global SME Data'!$C$88:$C$93,'4.3 Global SME Data'!$B$88:$B$93,$C346)*SUMIFS('4.3 Global SME Data'!$C$96:$C$107,'4.3 Global SME Data'!$B$96:$B$107,$C$345)*(1+'1.1 Control Panel'!E$55-'1.1 Control Panel'!E$56)*(1+'1.1 Control Panel'!F$55-'1.1 Control Panel'!F$56)*(1+'1.1 Control Panel'!G$55-'1.1 Control Panel'!G$56)*(1+'1.1 Control Panel'!H$55-'1.1 Control Panel'!H$56)*SUMIFS('1.1 Control Panel'!H$139:H$144,'1.1 Control Panel'!C$139:C$144,$C346)*SUMIFS('1.1 Control Panel'!H$224:H$229,'1.1 Control Panel'!C$224:C$229,$C346)*SUMIFS('1.1 Control Panel'!H$309:H$314,'1.1 Control Panel'!C$309:C$314,$C346),0)</f>
        <v>468</v>
      </c>
      <c r="J346" s="20"/>
    </row>
    <row r="347" spans="2:10" ht="11.5" customHeight="1" x14ac:dyDescent="0.25">
      <c r="C347" s="20" t="s">
        <v>392</v>
      </c>
      <c r="D347" s="34" t="s">
        <v>162</v>
      </c>
      <c r="E347" s="28">
        <f>ROUNDUP(SUMIFS('4.3 Global SME Data'!$C$88:$C$93,'4.3 Global SME Data'!$B$88:$B$93,$C347)*SUMIFS('4.3 Global SME Data'!$C$96:$C$107,'4.3 Global SME Data'!$B$96:$B$107,$C$345)*(1+'1.1 Control Panel'!E$55-'1.1 Control Panel'!E$56)*SUMIFS('1.1 Control Panel'!E$139:E$144,'1.1 Control Panel'!C$139:C$144,$C347)*SUMIFS('1.1 Control Panel'!E$224:E$229,'1.1 Control Panel'!C$224:C$229,$C347)*SUMIFS('1.1 Control Panel'!E$309:E$314,'1.1 Control Panel'!C$309:C$314,$C347),0)</f>
        <v>2</v>
      </c>
      <c r="F347" s="28">
        <f>ROUNDUP(SUMIFS('4.3 Global SME Data'!$C$88:$C$93,'4.3 Global SME Data'!$B$88:$B$93,$C347)*SUMIFS('4.3 Global SME Data'!$C$96:$C$107,'4.3 Global SME Data'!$B$96:$B$107,$C$345)*(1+'1.1 Control Panel'!E$55-'1.1 Control Panel'!E$56)*(1+'1.1 Control Panel'!F$55-'1.1 Control Panel'!F$56)*SUMIFS('1.1 Control Panel'!F$139:F$144,'1.1 Control Panel'!C$139:C$144,$C347)*SUMIFS('1.1 Control Panel'!F$224:F$229,'1.1 Control Panel'!C$224:C$229,$C347)*SUMIFS('1.1 Control Panel'!F$309:F$314,'1.1 Control Panel'!C$309:C$314,$C347),0)</f>
        <v>3</v>
      </c>
      <c r="G347" s="28">
        <f>ROUNDUP(SUMIFS('4.3 Global SME Data'!$C$88:$C$93,'4.3 Global SME Data'!$B$88:$B$93,$C347)*SUMIFS('4.3 Global SME Data'!$C$96:$C$107,'4.3 Global SME Data'!$B$96:$B$107,$C$345)*(1+'1.1 Control Panel'!E$55-'1.1 Control Panel'!E$56)*(1+'1.1 Control Panel'!F$55-'1.1 Control Panel'!F$56)*(1+'1.1 Control Panel'!G$55-'1.1 Control Panel'!G$56)*SUMIFS('1.1 Control Panel'!G$139:G$144,'1.1 Control Panel'!C$139:C$144,$C347)*SUMIFS('1.1 Control Panel'!G$224:G$229,'1.1 Control Panel'!C$224:C$229,$C347)*SUMIFS('1.1 Control Panel'!G$309:G$314,'1.1 Control Panel'!C$309:C$314,$C347),0)</f>
        <v>3</v>
      </c>
      <c r="H347" s="28">
        <f>ROUNDUP(SUMIFS('4.3 Global SME Data'!$C$88:$C$93,'4.3 Global SME Data'!$B$88:$B$93,$C347)*SUMIFS('4.3 Global SME Data'!$C$96:$C$107,'4.3 Global SME Data'!$B$96:$B$107,$C$345)*(1+'1.1 Control Panel'!E$55-'1.1 Control Panel'!E$56)*(1+'1.1 Control Panel'!F$55-'1.1 Control Panel'!F$56)*(1+'1.1 Control Panel'!G$55-'1.1 Control Panel'!G$56)*(1+'1.1 Control Panel'!H$55-'1.1 Control Panel'!H$56)*SUMIFS('1.1 Control Panel'!H$139:H$144,'1.1 Control Panel'!C$139:C$144,$C347)*SUMIFS('1.1 Control Panel'!H$224:H$229,'1.1 Control Panel'!C$224:C$229,$C347)*SUMIFS('1.1 Control Panel'!H$309:H$314,'1.1 Control Panel'!C$309:C$314,$C347),0)</f>
        <v>3</v>
      </c>
      <c r="J347" s="20"/>
    </row>
    <row r="348" spans="2:10" ht="11.5" customHeight="1" x14ac:dyDescent="0.25">
      <c r="C348" s="20" t="s">
        <v>454</v>
      </c>
      <c r="D348" s="34" t="s">
        <v>162</v>
      </c>
      <c r="E348" s="28">
        <f>ROUNDUP(SUMIFS('4.3 Global SME Data'!$C$88:$C$93,'4.3 Global SME Data'!$B$88:$B$93,$C348)*SUMIFS('4.3 Global SME Data'!$C$96:$C$107,'4.3 Global SME Data'!$B$96:$B$107,$C$345)*(1+'1.1 Control Panel'!E$55-'1.1 Control Panel'!E$56)*SUMIFS('1.1 Control Panel'!E$139:E$144,'1.1 Control Panel'!C$139:C$144,$C348)*SUMIFS('1.1 Control Panel'!E$224:E$229,'1.1 Control Panel'!C$224:C$229,$C348)*SUMIFS('1.1 Control Panel'!E$309:E$314,'1.1 Control Panel'!C$309:C$314,$C348),0)</f>
        <v>22</v>
      </c>
      <c r="F348" s="28">
        <f>ROUNDUP(SUMIFS('4.3 Global SME Data'!$C$88:$C$93,'4.3 Global SME Data'!$B$88:$B$93,$C348)*SUMIFS('4.3 Global SME Data'!$C$96:$C$107,'4.3 Global SME Data'!$B$96:$B$107,$C$345)*(1+'1.1 Control Panel'!E$55-'1.1 Control Panel'!E$56)*(1+'1.1 Control Panel'!F$55-'1.1 Control Panel'!F$56)*SUMIFS('1.1 Control Panel'!F$139:F$144,'1.1 Control Panel'!C$139:C$144,$C348)*SUMIFS('1.1 Control Panel'!F$224:F$229,'1.1 Control Panel'!C$224:C$229,$C348)*SUMIFS('1.1 Control Panel'!F$309:F$314,'1.1 Control Panel'!C$309:C$314,$C348),0)</f>
        <v>22</v>
      </c>
      <c r="G348" s="28">
        <f>ROUNDUP(SUMIFS('4.3 Global SME Data'!$C$88:$C$93,'4.3 Global SME Data'!$B$88:$B$93,$C348)*SUMIFS('4.3 Global SME Data'!$C$96:$C$107,'4.3 Global SME Data'!$B$96:$B$107,$C$345)*(1+'1.1 Control Panel'!E$55-'1.1 Control Panel'!E$56)*(1+'1.1 Control Panel'!F$55-'1.1 Control Panel'!F$56)*(1+'1.1 Control Panel'!G$55-'1.1 Control Panel'!G$56)*SUMIFS('1.1 Control Panel'!G$139:G$144,'1.1 Control Panel'!C$139:C$144,$C348)*SUMIFS('1.1 Control Panel'!G$224:G$229,'1.1 Control Panel'!C$224:C$229,$C348)*SUMIFS('1.1 Control Panel'!G$309:G$314,'1.1 Control Panel'!C$309:C$314,$C348),0)</f>
        <v>23</v>
      </c>
      <c r="H348" s="28">
        <f>ROUNDUP(SUMIFS('4.3 Global SME Data'!$C$88:$C$93,'4.3 Global SME Data'!$B$88:$B$93,$C348)*SUMIFS('4.3 Global SME Data'!$C$96:$C$107,'4.3 Global SME Data'!$B$96:$B$107,$C$345)*(1+'1.1 Control Panel'!E$55-'1.1 Control Panel'!E$56)*(1+'1.1 Control Panel'!F$55-'1.1 Control Panel'!F$56)*(1+'1.1 Control Panel'!G$55-'1.1 Control Panel'!G$56)*(1+'1.1 Control Panel'!H$55-'1.1 Control Panel'!H$56)*SUMIFS('1.1 Control Panel'!H$139:H$144,'1.1 Control Panel'!C$139:C$144,$C348)*SUMIFS('1.1 Control Panel'!H$224:H$229,'1.1 Control Panel'!C$224:C$229,$C348)*SUMIFS('1.1 Control Panel'!H$309:H$314,'1.1 Control Panel'!C$309:C$314,$C348),0)</f>
        <v>25</v>
      </c>
      <c r="J348" s="20"/>
    </row>
    <row r="349" spans="2:10" ht="11.5" customHeight="1" x14ac:dyDescent="0.25">
      <c r="C349" s="21" t="s">
        <v>455</v>
      </c>
      <c r="D349" s="38" t="s">
        <v>162</v>
      </c>
      <c r="E349" s="376">
        <f>ROUNDUP(SUMIFS('4.3 Global SME Data'!$C$88:$C$93,'4.3 Global SME Data'!$B$88:$B$93,$C349)*SUMIFS('4.3 Global SME Data'!$C$96:$C$107,'4.3 Global SME Data'!$B$96:$B$107,$C$345)*(1+'1.1 Control Panel'!E$55-'1.1 Control Panel'!E$56)*SUMIFS('1.1 Control Panel'!E$139:E$144,'1.1 Control Panel'!C$139:C$144,$C349)*SUMIFS('1.1 Control Panel'!E$224:E$229,'1.1 Control Panel'!C$224:C$229,$C349)*SUMIFS('1.1 Control Panel'!E$309:E$314,'1.1 Control Panel'!C$309:C$314,$C349),0)</f>
        <v>204</v>
      </c>
      <c r="F349" s="376">
        <f>ROUNDUP(SUMIFS('4.3 Global SME Data'!$C$88:$C$93,'4.3 Global SME Data'!$B$88:$B$93,$C349)*SUMIFS('4.3 Global SME Data'!$C$96:$C$107,'4.3 Global SME Data'!$B$96:$B$107,$C$345)*(1+'1.1 Control Panel'!E$55-'1.1 Control Panel'!E$56)*(1+'1.1 Control Panel'!F$55-'1.1 Control Panel'!F$56)*SUMIFS('1.1 Control Panel'!F$139:F$144,'1.1 Control Panel'!C$139:C$144,$C349)*SUMIFS('1.1 Control Panel'!F$224:F$229,'1.1 Control Panel'!C$224:C$229,$C349)*SUMIFS('1.1 Control Panel'!F$309:F$314,'1.1 Control Panel'!C$309:C$314,$C349),0)</f>
        <v>215</v>
      </c>
      <c r="G349" s="376">
        <f>ROUNDUP(SUMIFS('4.3 Global SME Data'!$C$88:$C$93,'4.3 Global SME Data'!$B$88:$B$93,$C349)*SUMIFS('4.3 Global SME Data'!$C$96:$C$107,'4.3 Global SME Data'!$B$96:$B$107,$C$345)*(1+'1.1 Control Panel'!E$55-'1.1 Control Panel'!E$56)*(1+'1.1 Control Panel'!F$55-'1.1 Control Panel'!F$56)*(1+'1.1 Control Panel'!G$55-'1.1 Control Panel'!G$56)*SUMIFS('1.1 Control Panel'!G$139:G$144,'1.1 Control Panel'!C$139:C$144,$C349)*SUMIFS('1.1 Control Panel'!G$224:G$229,'1.1 Control Panel'!C$224:C$229,$C349)*SUMIFS('1.1 Control Panel'!G$309:G$314,'1.1 Control Panel'!C$309:C$314,$C349),0)</f>
        <v>234</v>
      </c>
      <c r="H349" s="376">
        <f>ROUNDUP(SUMIFS('4.3 Global SME Data'!$C$88:$C$93,'4.3 Global SME Data'!$B$88:$B$93,$C349)*SUMIFS('4.3 Global SME Data'!$C$96:$C$107,'4.3 Global SME Data'!$B$96:$B$107,$C$345)*(1+'1.1 Control Panel'!E$55-'1.1 Control Panel'!E$56)*(1+'1.1 Control Panel'!F$55-'1.1 Control Panel'!F$56)*(1+'1.1 Control Panel'!G$55-'1.1 Control Panel'!G$56)*(1+'1.1 Control Panel'!H$55-'1.1 Control Panel'!H$56)*SUMIFS('1.1 Control Panel'!H$139:H$144,'1.1 Control Panel'!C$139:C$144,$C349)*SUMIFS('1.1 Control Panel'!H$224:H$229,'1.1 Control Panel'!C$224:C$229,$C349)*SUMIFS('1.1 Control Panel'!H$309:H$314,'1.1 Control Panel'!C$309:C$314,$C349),0)</f>
        <v>254</v>
      </c>
      <c r="J349" s="21"/>
    </row>
    <row r="350" spans="2:10" ht="11.5" customHeight="1" x14ac:dyDescent="0.25">
      <c r="C350" s="21" t="s">
        <v>393</v>
      </c>
      <c r="D350" s="38" t="s">
        <v>162</v>
      </c>
      <c r="E350" s="376">
        <f>ROUNDUP(SUMIFS('4.3 Global SME Data'!$C$88:$C$93,'4.3 Global SME Data'!$B$88:$B$93,$C350)*SUMIFS('4.3 Global SME Data'!$C$96:$C$107,'4.3 Global SME Data'!$B$96:$B$107,$C$345)*(1+'1.1 Control Panel'!E$55-'1.1 Control Panel'!E$56)*SUMIFS('1.1 Control Panel'!E$139:E$144,'1.1 Control Panel'!C$139:C$144,$C350)*SUMIFS('1.1 Control Panel'!E$224:E$229,'1.1 Control Panel'!C$224:C$229,$C350)*SUMIFS('1.1 Control Panel'!E$309:E$314,'1.1 Control Panel'!C$309:C$314,$C350),0)</f>
        <v>190</v>
      </c>
      <c r="F350" s="376">
        <f>ROUNDUP(SUMIFS('4.3 Global SME Data'!$C$88:$C$93,'4.3 Global SME Data'!$B$88:$B$93,$C350)*SUMIFS('4.3 Global SME Data'!$C$96:$C$107,'4.3 Global SME Data'!$B$96:$B$107,$C$345)*(1+'1.1 Control Panel'!E$55-'1.1 Control Panel'!E$56)*(1+'1.1 Control Panel'!F$55-'1.1 Control Panel'!F$56)*SUMIFS('1.1 Control Panel'!F$139:F$144,'1.1 Control Panel'!C$139:C$144,$C350)*SUMIFS('1.1 Control Panel'!F$224:F$229,'1.1 Control Panel'!C$224:C$229,$C350)*SUMIFS('1.1 Control Panel'!F$309:F$314,'1.1 Control Panel'!C$309:C$314,$C350),0)</f>
        <v>200</v>
      </c>
      <c r="G350" s="376">
        <f>ROUNDUP(SUMIFS('4.3 Global SME Data'!$C$88:$C$93,'4.3 Global SME Data'!$B$88:$B$93,$C350)*SUMIFS('4.3 Global SME Data'!$C$96:$C$107,'4.3 Global SME Data'!$B$96:$B$107,$C$345)*(1+'1.1 Control Panel'!E$55-'1.1 Control Panel'!E$56)*(1+'1.1 Control Panel'!F$55-'1.1 Control Panel'!F$56)*(1+'1.1 Control Panel'!G$55-'1.1 Control Panel'!G$56)*SUMIFS('1.1 Control Panel'!G$139:G$144,'1.1 Control Panel'!C$139:C$144,$C350)*SUMIFS('1.1 Control Panel'!G$224:G$229,'1.1 Control Panel'!C$224:C$229,$C350)*SUMIFS('1.1 Control Panel'!G$309:G$314,'1.1 Control Panel'!C$309:C$314,$C350),0)</f>
        <v>216</v>
      </c>
      <c r="H350" s="376">
        <f>ROUNDUP(SUMIFS('4.3 Global SME Data'!$C$88:$C$93,'4.3 Global SME Data'!$B$88:$B$93,$C350)*SUMIFS('4.3 Global SME Data'!$C$96:$C$107,'4.3 Global SME Data'!$B$96:$B$107,$C$345)*(1+'1.1 Control Panel'!E$55-'1.1 Control Panel'!E$56)*(1+'1.1 Control Panel'!F$55-'1.1 Control Panel'!F$56)*(1+'1.1 Control Panel'!G$55-'1.1 Control Panel'!G$56)*(1+'1.1 Control Panel'!H$55-'1.1 Control Panel'!H$56)*SUMIFS('1.1 Control Panel'!H$139:H$144,'1.1 Control Panel'!C$139:C$144,$C350)*SUMIFS('1.1 Control Panel'!H$224:H$229,'1.1 Control Panel'!C$224:C$229,$C350)*SUMIFS('1.1 Control Panel'!H$309:H$314,'1.1 Control Panel'!C$309:C$314,$C350),0)</f>
        <v>233</v>
      </c>
      <c r="J350" s="21"/>
    </row>
    <row r="351" spans="2:10" ht="11.5" customHeight="1" x14ac:dyDescent="0.25">
      <c r="C351" s="27" t="s">
        <v>456</v>
      </c>
      <c r="D351" s="40" t="s">
        <v>162</v>
      </c>
      <c r="E351" s="377">
        <f>ROUNDUP(SUMIFS('4.3 Global SME Data'!$C$88:$C$93,'4.3 Global SME Data'!$B$88:$B$93,$C351)*SUMIFS('4.3 Global SME Data'!$C$96:$C$107,'4.3 Global SME Data'!$B$96:$B$107,$C$345)*(1+'1.1 Control Panel'!E$55-'1.1 Control Panel'!E$56)*SUMIFS('1.1 Control Panel'!E$139:E$144,'1.1 Control Panel'!C$139:C$144,$C351)*SUMIFS('1.1 Control Panel'!E$224:E$229,'1.1 Control Panel'!C$224:C$229,$C351)*SUMIFS('1.1 Control Panel'!E$309:E$314,'1.1 Control Panel'!C$309:C$314,$C351),0)</f>
        <v>19</v>
      </c>
      <c r="F351" s="377">
        <f>ROUNDUP(SUMIFS('4.3 Global SME Data'!$C$88:$C$93,'4.3 Global SME Data'!$B$88:$B$93,$C351)*SUMIFS('4.3 Global SME Data'!$C$96:$C$107,'4.3 Global SME Data'!$B$96:$B$107,$C$345)*(1+'1.1 Control Panel'!E$55-'1.1 Control Panel'!E$56)*(1+'1.1 Control Panel'!F$55-'1.1 Control Panel'!F$56)*SUMIFS('1.1 Control Panel'!F$139:F$144,'1.1 Control Panel'!C$139:C$144,$C351)*SUMIFS('1.1 Control Panel'!F$224:F$229,'1.1 Control Panel'!C$224:C$229,$C351)*SUMIFS('1.1 Control Panel'!F$309:F$314,'1.1 Control Panel'!C$309:C$314,$C351),0)</f>
        <v>19</v>
      </c>
      <c r="G351" s="377">
        <f>ROUNDUP(SUMIFS('4.3 Global SME Data'!$C$88:$C$93,'4.3 Global SME Data'!$B$88:$B$93,$C351)*SUMIFS('4.3 Global SME Data'!$C$96:$C$107,'4.3 Global SME Data'!$B$96:$B$107,$C$345)*(1+'1.1 Control Panel'!E$55-'1.1 Control Panel'!E$56)*(1+'1.1 Control Panel'!F$55-'1.1 Control Panel'!F$56)*(1+'1.1 Control Panel'!G$55-'1.1 Control Panel'!G$56)*SUMIFS('1.1 Control Panel'!G$139:G$144,'1.1 Control Panel'!C$139:C$144,$C351)*SUMIFS('1.1 Control Panel'!G$224:G$229,'1.1 Control Panel'!C$224:C$229,$C351)*SUMIFS('1.1 Control Panel'!G$309:G$314,'1.1 Control Panel'!C$309:C$314,$C351),0)</f>
        <v>20</v>
      </c>
      <c r="H351" s="377">
        <f>ROUNDUP(SUMIFS('4.3 Global SME Data'!$C$88:$C$93,'4.3 Global SME Data'!$B$88:$B$93,$C351)*SUMIFS('4.3 Global SME Data'!$C$96:$C$107,'4.3 Global SME Data'!$B$96:$B$107,$C$345)*(1+'1.1 Control Panel'!E$55-'1.1 Control Panel'!E$56)*(1+'1.1 Control Panel'!F$55-'1.1 Control Panel'!F$56)*(1+'1.1 Control Panel'!G$55-'1.1 Control Panel'!G$56)*(1+'1.1 Control Panel'!H$55-'1.1 Control Panel'!H$56)*SUMIFS('1.1 Control Panel'!H$139:H$144,'1.1 Control Panel'!C$139:C$144,$C351)*SUMIFS('1.1 Control Panel'!H$224:H$229,'1.1 Control Panel'!C$224:C$229,$C351)*SUMIFS('1.1 Control Panel'!H$309:H$314,'1.1 Control Panel'!C$309:C$314,$C351),0)</f>
        <v>21</v>
      </c>
      <c r="J351" s="27"/>
    </row>
    <row r="352" spans="2:10" ht="11.5" customHeight="1" x14ac:dyDescent="0.25"/>
    <row r="355" spans="3:3" ht="11.5" hidden="1" customHeight="1" x14ac:dyDescent="0.25">
      <c r="C355" s="117"/>
    </row>
    <row r="356" spans="3:3" ht="11.5" hidden="1" customHeight="1" x14ac:dyDescent="0.25">
      <c r="C356" s="117"/>
    </row>
    <row r="357" spans="3:3" ht="11.5" hidden="1" customHeight="1" x14ac:dyDescent="0.25">
      <c r="C357" s="117"/>
    </row>
    <row r="358" spans="3:3" ht="11.5" hidden="1" customHeight="1" x14ac:dyDescent="0.25">
      <c r="C358" s="117"/>
    </row>
    <row r="359" spans="3:3" ht="11.5" hidden="1" customHeight="1" x14ac:dyDescent="0.25">
      <c r="C359" s="117"/>
    </row>
    <row r="360" spans="3:3" ht="11.5" hidden="1" customHeight="1" x14ac:dyDescent="0.25">
      <c r="C360" s="117"/>
    </row>
  </sheetData>
  <pageMargins left="0.7" right="0.7" top="0.75" bottom="0.75" header="0.3" footer="0.3"/>
  <ignoredErrors>
    <ignoredError sqref="E62:H62 E296:H296" formula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4AC4B-918A-41B8-8A02-6F70BE064D22}">
  <dimension ref="B2:AO29"/>
  <sheetViews>
    <sheetView showGridLines="0" zoomScale="53" workbookViewId="0"/>
  </sheetViews>
  <sheetFormatPr defaultRowHeight="14.5" x14ac:dyDescent="0.35"/>
  <cols>
    <col min="1" max="1" width="3.6328125" customWidth="1"/>
    <col min="2" max="2" width="53.54296875" bestFit="1" customWidth="1"/>
  </cols>
  <sheetData>
    <row r="2" spans="2:41" x14ac:dyDescent="0.35">
      <c r="C2" s="737" t="s">
        <v>975</v>
      </c>
      <c r="D2" s="737" t="s">
        <v>977</v>
      </c>
      <c r="E2" s="737" t="s">
        <v>976</v>
      </c>
      <c r="G2" s="737" t="s">
        <v>979</v>
      </c>
      <c r="H2" s="737" t="s">
        <v>980</v>
      </c>
      <c r="I2" s="737" t="s">
        <v>981</v>
      </c>
      <c r="L2">
        <f>SUM(L3:L14)</f>
        <v>21</v>
      </c>
      <c r="M2">
        <f t="shared" ref="M2:N2" si="0">SUM(M3:M14)</f>
        <v>50</v>
      </c>
      <c r="N2">
        <f t="shared" si="0"/>
        <v>150</v>
      </c>
    </row>
    <row r="3" spans="2:41" x14ac:dyDescent="0.35">
      <c r="B3" s="137" t="s">
        <v>157</v>
      </c>
      <c r="C3" s="757">
        <v>0</v>
      </c>
      <c r="D3" s="757">
        <f>ROUND(SUMIFS('4.3 Global SME Data'!$C$21:$C$41,'4.3 Global SME Data'!$E$21:$E$41,B3)*'1.1 Control Panel'!$E$318,0)</f>
        <v>1</v>
      </c>
      <c r="E3" s="757">
        <f>ROUND(SUMIFS('4.3 Global SME Data'!$C$21:$C$41,'4.3 Global SME Data'!$E$21:$E$41,B3)*'1.1 Control Panel'!$E$319,0)</f>
        <v>3</v>
      </c>
      <c r="G3">
        <f>C3</f>
        <v>0</v>
      </c>
      <c r="H3">
        <f>D3-C3</f>
        <v>1</v>
      </c>
      <c r="I3">
        <f>E3-D3</f>
        <v>2</v>
      </c>
      <c r="L3">
        <f>ROUND(SUMIFS('4.3 Global SME Data'!$C$21:$C$41,'4.3 Global SME Data'!$E$21:$E$41,B3)*'1.1 Control Panel'!$E$317,0)</f>
        <v>0</v>
      </c>
      <c r="M3">
        <f>ROUND(SUMIFS('4.3 Global SME Data'!$C$21:$C$41,'4.3 Global SME Data'!$E$21:$E$41,B3)*'1.1 Control Panel'!$E$318,0)</f>
        <v>1</v>
      </c>
      <c r="N3">
        <f>ROUND(SUMIFS('4.3 Global SME Data'!$C$21:$C$41,'4.3 Global SME Data'!$E$21:$E$41,B3)*'1.1 Control Panel'!$E$319,0)</f>
        <v>3</v>
      </c>
    </row>
    <row r="4" spans="2:41" x14ac:dyDescent="0.35">
      <c r="B4" s="21" t="s">
        <v>604</v>
      </c>
      <c r="C4" s="758">
        <f>L4+1</f>
        <v>2</v>
      </c>
      <c r="D4" s="758">
        <f>ROUND(SUMIFS('4.3 Global SME Data'!$C$21:$C$41,'4.3 Global SME Data'!$E$21:$E$41,B4)*'1.1 Control Panel'!$E$318,0)+3</f>
        <v>5</v>
      </c>
      <c r="E4" s="758">
        <f>ROUND(SUMIFS('4.3 Global SME Data'!$C$21:$C$41,'4.3 Global SME Data'!$E$21:$E$41,B4)*'1.1 Control Panel'!$E$319,0)+10</f>
        <v>17</v>
      </c>
      <c r="G4">
        <f t="shared" ref="G4:G14" si="1">C4</f>
        <v>2</v>
      </c>
      <c r="H4">
        <f t="shared" ref="H4:H14" si="2">D4-C4</f>
        <v>3</v>
      </c>
      <c r="I4">
        <f t="shared" ref="I4:I14" si="3">E4-D4</f>
        <v>12</v>
      </c>
      <c r="L4">
        <f>ROUND(SUMIFS('4.3 Global SME Data'!$C$21:$C$41,'4.3 Global SME Data'!$E$21:$E$41,B4)*'1.1 Control Panel'!$E$317,0)</f>
        <v>1</v>
      </c>
      <c r="M4">
        <f>ROUND(SUMIFS('4.3 Global SME Data'!$C$21:$C$41,'4.3 Global SME Data'!$E$21:$E$41,B4)*'1.1 Control Panel'!$E$318,0)</f>
        <v>2</v>
      </c>
      <c r="N4">
        <f>ROUND(SUMIFS('4.3 Global SME Data'!$C$21:$C$41,'4.3 Global SME Data'!$E$21:$E$41,B4)*'1.1 Control Panel'!$E$319,0)</f>
        <v>7</v>
      </c>
    </row>
    <row r="5" spans="2:41" x14ac:dyDescent="0.35">
      <c r="B5" s="21" t="s">
        <v>601</v>
      </c>
      <c r="C5" s="758">
        <f>IF(ROUND(SUMIFS('4.3 Global SME Data'!$C$21:$C$41,'4.3 Global SME Data'!$E$21:$E$41,B5)*'1.1 Control Panel'!$E$317,0)-2&lt;0,0,ROUND(SUMIFS('4.3 Global SME Data'!$C$21:$C$41,'4.3 Global SME Data'!$E$21:$E$41,B5)*'1.1 Control Panel'!$E$317,0)-2)</f>
        <v>0</v>
      </c>
      <c r="D5" s="758">
        <f>ROUND(SUMIFS('4.3 Global SME Data'!$C$21:$C$41,'4.3 Global SME Data'!$E$21:$E$41,B5)*'1.1 Control Panel'!$E$318,0)-1</f>
        <v>2</v>
      </c>
      <c r="E5" s="758">
        <f>ROUND(SUMIFS('4.3 Global SME Data'!$C$21:$C$41,'4.3 Global SME Data'!$E$21:$E$41,B5)*'1.1 Control Panel'!$E$319,0)-4</f>
        <v>5</v>
      </c>
      <c r="G5">
        <f t="shared" si="1"/>
        <v>0</v>
      </c>
      <c r="H5">
        <f t="shared" si="2"/>
        <v>2</v>
      </c>
      <c r="I5">
        <f t="shared" si="3"/>
        <v>3</v>
      </c>
      <c r="L5">
        <f>ROUND(SUMIFS('4.3 Global SME Data'!$C$21:$C$41,'4.3 Global SME Data'!$E$21:$E$41,B5)*'1.1 Control Panel'!$E$317,0)</f>
        <v>1</v>
      </c>
      <c r="M5">
        <f>ROUND(SUMIFS('4.3 Global SME Data'!$C$21:$C$41,'4.3 Global SME Data'!$E$21:$E$41,B5)*'1.1 Control Panel'!$E$318,0)</f>
        <v>3</v>
      </c>
      <c r="N5">
        <f>ROUND(SUMIFS('4.3 Global SME Data'!$C$21:$C$41,'4.3 Global SME Data'!$E$21:$E$41,B5)*'1.1 Control Panel'!$E$319,0)</f>
        <v>9</v>
      </c>
    </row>
    <row r="6" spans="2:41" x14ac:dyDescent="0.35">
      <c r="B6" s="21" t="s">
        <v>154</v>
      </c>
      <c r="C6" s="758">
        <f>IF(ROUND(SUMIFS('4.3 Global SME Data'!$C$21:$C$41,'4.3 Global SME Data'!$E$21:$E$41,B6)*'1.1 Control Panel'!$E$317,0)&lt;0,0,ROUND(SUMIFS('4.3 Global SME Data'!$C$21:$C$41,'4.3 Global SME Data'!$E$21:$E$41,B6)*'1.1 Control Panel'!$E$317,0))</f>
        <v>2</v>
      </c>
      <c r="D6" s="758">
        <f>ROUND(SUMIFS('4.3 Global SME Data'!$C$21:$C$41,'4.3 Global SME Data'!$E$21:$E$41,B6)*'1.1 Control Panel'!$E$318,0)</f>
        <v>4</v>
      </c>
      <c r="E6" s="758">
        <f>ROUND(SUMIFS('4.3 Global SME Data'!$C$21:$C$41,'4.3 Global SME Data'!$E$21:$E$41,B6)*'1.1 Control Panel'!$E$319,0)+5</f>
        <v>16</v>
      </c>
      <c r="G6">
        <f t="shared" si="1"/>
        <v>2</v>
      </c>
      <c r="H6">
        <f t="shared" si="2"/>
        <v>2</v>
      </c>
      <c r="I6">
        <f t="shared" si="3"/>
        <v>12</v>
      </c>
      <c r="L6">
        <f>ROUND(SUMIFS('4.3 Global SME Data'!$C$21:$C$41,'4.3 Global SME Data'!$E$21:$E$41,B6)*'1.1 Control Panel'!$E$317,0)</f>
        <v>2</v>
      </c>
      <c r="M6">
        <f>ROUND(SUMIFS('4.3 Global SME Data'!$C$21:$C$41,'4.3 Global SME Data'!$E$21:$E$41,B6)*'1.1 Control Panel'!$E$318,0)</f>
        <v>4</v>
      </c>
      <c r="N6">
        <f>ROUND(SUMIFS('4.3 Global SME Data'!$C$21:$C$41,'4.3 Global SME Data'!$E$21:$E$41,B6)*'1.1 Control Panel'!$E$319,0)</f>
        <v>11</v>
      </c>
    </row>
    <row r="7" spans="2:41" x14ac:dyDescent="0.35">
      <c r="B7" s="21" t="s">
        <v>153</v>
      </c>
      <c r="C7" s="758">
        <f>ROUND(SUMIFS('4.3 Global SME Data'!$C$21:$C$41,'4.3 Global SME Data'!$E$21:$E$41,B7)*'1.1 Control Panel'!$E$317,0)</f>
        <v>1</v>
      </c>
      <c r="D7" s="758">
        <f>ROUND(SUMIFS('4.3 Global SME Data'!$C$21:$C$41,'4.3 Global SME Data'!$E$21:$E$41,B7)*'1.1 Control Panel'!$E$318,0)+1</f>
        <v>3</v>
      </c>
      <c r="E7" s="758">
        <f>ROUND(SUMIFS('4.3 Global SME Data'!$C$21:$C$41,'4.3 Global SME Data'!$E$21:$E$41,B7)*'1.1 Control Panel'!$E$319,0)+3</f>
        <v>8</v>
      </c>
      <c r="G7">
        <f t="shared" si="1"/>
        <v>1</v>
      </c>
      <c r="H7">
        <f t="shared" si="2"/>
        <v>2</v>
      </c>
      <c r="I7">
        <f t="shared" si="3"/>
        <v>5</v>
      </c>
      <c r="L7">
        <f>ROUND(SUMIFS('4.3 Global SME Data'!$C$21:$C$41,'4.3 Global SME Data'!$E$21:$E$41,B7)*'1.1 Control Panel'!$E$317,0)</f>
        <v>1</v>
      </c>
      <c r="M7">
        <f>ROUND(SUMIFS('4.3 Global SME Data'!$C$21:$C$41,'4.3 Global SME Data'!$E$21:$E$41,B7)*'1.1 Control Panel'!$E$318,0)</f>
        <v>2</v>
      </c>
      <c r="N7">
        <f>ROUND(SUMIFS('4.3 Global SME Data'!$C$21:$C$41,'4.3 Global SME Data'!$E$21:$E$41,B7)*'1.1 Control Panel'!$E$319,0)</f>
        <v>5</v>
      </c>
    </row>
    <row r="8" spans="2:41" x14ac:dyDescent="0.35">
      <c r="B8" s="21" t="s">
        <v>607</v>
      </c>
      <c r="C8" s="758">
        <v>0</v>
      </c>
      <c r="D8" s="758">
        <f>IF(ROUND(SUMIFS('4.3 Global SME Data'!$C$21:$C$41,'4.3 Global SME Data'!$E$21:$E$41,B8)*'1.1 Control Panel'!$E$318,0)-2&lt;0,0,ROUND(SUMIFS('4.3 Global SME Data'!$C$21:$C$41,'4.3 Global SME Data'!$E$21:$E$41,B8)*'1.1 Control Panel'!$E$318,0)-2)</f>
        <v>2</v>
      </c>
      <c r="E8" s="758">
        <f>IF(ROUND(SUMIFS('4.3 Global SME Data'!$C$21:$C$41,'4.3 Global SME Data'!$E$21:$E$41,B8)*'1.1 Control Panel'!$E$319,0)&lt;0,0,ROUND(SUMIFS('4.3 Global SME Data'!$C$21:$C$41,'4.3 Global SME Data'!$E$21:$E$41,B8)*'1.1 Control Panel'!$E$319,0))</f>
        <v>13</v>
      </c>
      <c r="G8">
        <f t="shared" si="1"/>
        <v>0</v>
      </c>
      <c r="H8">
        <f t="shared" si="2"/>
        <v>2</v>
      </c>
      <c r="I8">
        <f t="shared" si="3"/>
        <v>11</v>
      </c>
      <c r="L8">
        <f>ROUND(SUMIFS('4.3 Global SME Data'!$C$21:$C$41,'4.3 Global SME Data'!$E$21:$E$41,B8)*'1.1 Control Panel'!$E$317,0)</f>
        <v>2</v>
      </c>
      <c r="M8">
        <f>ROUND(SUMIFS('4.3 Global SME Data'!$C$21:$C$41,'4.3 Global SME Data'!$E$21:$E$41,B8)*'1.1 Control Panel'!$E$318,0)</f>
        <v>4</v>
      </c>
      <c r="N8">
        <f>ROUND(SUMIFS('4.3 Global SME Data'!$C$21:$C$41,'4.3 Global SME Data'!$E$21:$E$41,B8)*'1.1 Control Panel'!$E$319,0)</f>
        <v>13</v>
      </c>
    </row>
    <row r="9" spans="2:41" x14ac:dyDescent="0.35">
      <c r="B9" s="21" t="s">
        <v>616</v>
      </c>
      <c r="C9" s="758">
        <f>L2-SUM(C3:C8,C10:C14)</f>
        <v>7</v>
      </c>
      <c r="D9" s="758">
        <f>M2-SUM(D3:D8,D10:D14)</f>
        <v>10</v>
      </c>
      <c r="E9" s="758">
        <f>N2-SUM(E3:E8,E10:E14)</f>
        <v>26</v>
      </c>
      <c r="G9">
        <f t="shared" si="1"/>
        <v>7</v>
      </c>
      <c r="H9">
        <f t="shared" si="2"/>
        <v>3</v>
      </c>
      <c r="I9">
        <f t="shared" si="3"/>
        <v>16</v>
      </c>
      <c r="L9">
        <f>ROUND(SUMIFS('4.3 Global SME Data'!$C$21:$C$41,'4.3 Global SME Data'!$E$21:$E$41,B9)*'1.1 Control Panel'!$E$317,0)</f>
        <v>1</v>
      </c>
      <c r="M9">
        <f>ROUND(SUMIFS('4.3 Global SME Data'!$C$21:$C$41,'4.3 Global SME Data'!$E$21:$E$41,B9)*'1.1 Control Panel'!$E$318,0)</f>
        <v>3</v>
      </c>
      <c r="N9">
        <f>ROUND(SUMIFS('4.3 Global SME Data'!$C$21:$C$41,'4.3 Global SME Data'!$E$21:$E$41,B9)*'1.1 Control Panel'!$E$319,0)</f>
        <v>8</v>
      </c>
    </row>
    <row r="10" spans="2:41" x14ac:dyDescent="0.35">
      <c r="B10" s="21" t="s">
        <v>605</v>
      </c>
      <c r="C10" s="758">
        <f>IF(ROUND(SUMIFS('4.3 Global SME Data'!$C$21:$C$41,'4.3 Global SME Data'!$E$21:$E$41,B10)*'1.1 Control Panel'!$E$317,0)-1&lt;0,0,ROUND(SUMIFS('4.3 Global SME Data'!$C$21:$C$41,'4.3 Global SME Data'!$E$21:$E$41,B10)*'1.1 Control Panel'!$E$317,0)-1)</f>
        <v>1</v>
      </c>
      <c r="D10" s="758">
        <f>ROUND(SUMIFS('4.3 Global SME Data'!$C$21:$C$41,'4.3 Global SME Data'!$E$21:$E$41,B10)*'1.1 Control Panel'!$E$318,0)-1</f>
        <v>3</v>
      </c>
      <c r="E10" s="758">
        <f>ROUND(SUMIFS('4.3 Global SME Data'!$C$21:$C$41,'4.3 Global SME Data'!$E$21:$E$41,B10)*'1.1 Control Panel'!$E$319,0)-4</f>
        <v>7</v>
      </c>
      <c r="G10">
        <f t="shared" si="1"/>
        <v>1</v>
      </c>
      <c r="H10">
        <f t="shared" si="2"/>
        <v>2</v>
      </c>
      <c r="I10">
        <f t="shared" si="3"/>
        <v>4</v>
      </c>
      <c r="L10">
        <f>ROUND(SUMIFS('4.3 Global SME Data'!$C$21:$C$41,'4.3 Global SME Data'!$E$21:$E$41,B10)*'1.1 Control Panel'!$E$317,0)</f>
        <v>2</v>
      </c>
      <c r="M10">
        <f>ROUND(SUMIFS('4.3 Global SME Data'!$C$21:$C$41,'4.3 Global SME Data'!$E$21:$E$41,B10)*'1.1 Control Panel'!$E$318,0)</f>
        <v>4</v>
      </c>
      <c r="N10">
        <f>ROUND(SUMIFS('4.3 Global SME Data'!$C$21:$C$41,'4.3 Global SME Data'!$E$21:$E$41,B10)*'1.1 Control Panel'!$E$319,0)</f>
        <v>11</v>
      </c>
    </row>
    <row r="11" spans="2:41" x14ac:dyDescent="0.35">
      <c r="B11" s="21" t="s">
        <v>608</v>
      </c>
      <c r="C11" s="758">
        <f>IF(ROUND(SUMIFS('4.3 Global SME Data'!$C$21:$C$41,'4.3 Global SME Data'!$E$21:$E$41,B11)*'1.1 Control Panel'!$E$317,0)-3&lt;0,0,ROUND(SUMIFS('4.3 Global SME Data'!$C$21:$C$41,'4.3 Global SME Data'!$E$21:$E$41,B11)*'1.1 Control Panel'!$E$317,0)-3)</f>
        <v>0</v>
      </c>
      <c r="D11" s="758">
        <f>ROUND(SUMIFS('4.3 Global SME Data'!$C$21:$C$41,'4.3 Global SME Data'!$E$21:$E$41,B11)*'1.1 Control Panel'!$E$318,0)-3</f>
        <v>4</v>
      </c>
      <c r="E11" s="758">
        <f>ROUND(SUMIFS('4.3 Global SME Data'!$C$21:$C$41,'4.3 Global SME Data'!$E$21:$E$41,B11)*'1.1 Control Panel'!$E$319,0)-10</f>
        <v>12</v>
      </c>
      <c r="G11">
        <f t="shared" si="1"/>
        <v>0</v>
      </c>
      <c r="H11">
        <f t="shared" si="2"/>
        <v>4</v>
      </c>
      <c r="I11">
        <f t="shared" si="3"/>
        <v>8</v>
      </c>
      <c r="L11">
        <f>ROUND(SUMIFS('4.3 Global SME Data'!$C$21:$C$41,'4.3 Global SME Data'!$E$21:$E$41,B11)*'1.1 Control Panel'!$E$317,0)</f>
        <v>3</v>
      </c>
      <c r="M11">
        <f>ROUND(SUMIFS('4.3 Global SME Data'!$C$21:$C$41,'4.3 Global SME Data'!$E$21:$E$41,B11)*'1.1 Control Panel'!$E$318,0)</f>
        <v>7</v>
      </c>
      <c r="N11">
        <f>ROUND(SUMIFS('4.3 Global SME Data'!$C$21:$C$41,'4.3 Global SME Data'!$E$21:$E$41,B11)*'1.1 Control Panel'!$E$319,0)</f>
        <v>22</v>
      </c>
    </row>
    <row r="12" spans="2:41" x14ac:dyDescent="0.35">
      <c r="B12" s="21" t="s">
        <v>606</v>
      </c>
      <c r="C12" s="758">
        <f>ROUND(SUMIFS('4.3 Global SME Data'!$C$21:$C$41,'4.3 Global SME Data'!$E$21:$E$41,B12)*'1.1 Control Panel'!$E$317,0)</f>
        <v>7</v>
      </c>
      <c r="D12" s="758">
        <f>ROUND(SUMIFS('4.3 Global SME Data'!$C$21:$C$41,'4.3 Global SME Data'!$E$21:$E$41,B12)*'1.1 Control Panel'!$E$318,0)-6</f>
        <v>11</v>
      </c>
      <c r="E12" s="758">
        <f>ROUND(SUMIFS('4.3 Global SME Data'!$C$21:$C$41,'4.3 Global SME Data'!$E$21:$E$41,B12)*'1.1 Control Panel'!$E$319,0)-26</f>
        <v>26</v>
      </c>
      <c r="G12">
        <f t="shared" si="1"/>
        <v>7</v>
      </c>
      <c r="H12">
        <f t="shared" si="2"/>
        <v>4</v>
      </c>
      <c r="I12">
        <f t="shared" si="3"/>
        <v>15</v>
      </c>
      <c r="L12">
        <f>ROUND(SUMIFS('4.3 Global SME Data'!$C$21:$C$41,'4.3 Global SME Data'!$E$21:$E$41,B12)*'1.1 Control Panel'!$E$317,0)</f>
        <v>7</v>
      </c>
      <c r="M12">
        <f>ROUND(SUMIFS('4.3 Global SME Data'!$C$21:$C$41,'4.3 Global SME Data'!$E$21:$E$41,B12)*'1.1 Control Panel'!$E$318,0)</f>
        <v>17</v>
      </c>
      <c r="N12">
        <f>ROUND(SUMIFS('4.3 Global SME Data'!$C$21:$C$41,'4.3 Global SME Data'!$E$21:$E$41,B12)*'1.1 Control Panel'!$E$319,0)</f>
        <v>52</v>
      </c>
    </row>
    <row r="13" spans="2:41" x14ac:dyDescent="0.35">
      <c r="B13" s="21" t="s">
        <v>617</v>
      </c>
      <c r="C13" s="758">
        <f>ROUND(SUMIFS('4.3 Global SME Data'!$C$21:$C$41,'4.3 Global SME Data'!$E$21:$E$41,B13)*'1.1 Control Panel'!$E$317,0)+1</f>
        <v>1</v>
      </c>
      <c r="D13" s="758">
        <f>ROUND(SUMIFS('4.3 Global SME Data'!$C$21:$C$41,'4.3 Global SME Data'!$E$21:$E$41,B13)*'1.1 Control Panel'!$E$318,0)+3</f>
        <v>3</v>
      </c>
      <c r="E13" s="758">
        <f>ROUND(SUMIFS('4.3 Global SME Data'!$C$21:$C$41,'4.3 Global SME Data'!$E$21:$E$41,B13)*'1.1 Control Panel'!$E$319,0)+9</f>
        <v>10</v>
      </c>
      <c r="G13">
        <f t="shared" si="1"/>
        <v>1</v>
      </c>
      <c r="H13">
        <f t="shared" si="2"/>
        <v>2</v>
      </c>
      <c r="I13">
        <f t="shared" si="3"/>
        <v>7</v>
      </c>
      <c r="L13">
        <f>ROUND(SUMIFS('4.3 Global SME Data'!$C$21:$C$41,'4.3 Global SME Data'!$E$21:$E$41,B13)*'1.1 Control Panel'!$E$317,0)</f>
        <v>0</v>
      </c>
      <c r="M13">
        <f>ROUND(SUMIFS('4.3 Global SME Data'!$C$21:$C$41,'4.3 Global SME Data'!$E$21:$E$41,B13)*'1.1 Control Panel'!$E$318,0)</f>
        <v>0</v>
      </c>
      <c r="N13">
        <f>ROUND(SUMIFS('4.3 Global SME Data'!$C$21:$C$41,'4.3 Global SME Data'!$E$21:$E$41,B13)*'1.1 Control Panel'!$E$319,0)</f>
        <v>1</v>
      </c>
    </row>
    <row r="14" spans="2:41" x14ac:dyDescent="0.35">
      <c r="B14" s="22" t="s">
        <v>609</v>
      </c>
      <c r="C14" s="759">
        <f>IF(ROUND(SUMIFS('4.3 Global SME Data'!$C$21:$C$41,'4.3 Global SME Data'!$E$21:$E$41,B14)*'1.1 Control Panel'!$E$317,0)-2&lt;0,0,ROUND(SUMIFS('4.3 Global SME Data'!$C$21:$C$41,'4.3 Global SME Data'!$E$21:$E$41,B14)*'1.1 Control Panel'!$E$317,0)-2)</f>
        <v>0</v>
      </c>
      <c r="D14" s="759">
        <f>IF(ROUND(SUMIFS('4.3 Global SME Data'!$C$21:$C$41,'4.3 Global SME Data'!$E$21:$E$41,B14)*'1.1 Control Panel'!$E$318,0)-1&lt;0,0,ROUND(SUMIFS('4.3 Global SME Data'!$C$21:$C$41,'4.3 Global SME Data'!$E$21:$E$41,B14)*'1.1 Control Panel'!$E$318,0)-1)</f>
        <v>2</v>
      </c>
      <c r="E14" s="759">
        <f>IF(ROUND(SUMIFS('4.3 Global SME Data'!$C$21:$C$41,'4.3 Global SME Data'!$E$21:$E$41,B14)*'1.1 Control Panel'!$E$319,0)-1&lt;0,0,ROUND(SUMIFS('4.3 Global SME Data'!$C$21:$C$41,'4.3 Global SME Data'!$E$21:$E$41,B14)*'1.1 Control Panel'!$E$319,0)-1)</f>
        <v>7</v>
      </c>
      <c r="G14">
        <f t="shared" si="1"/>
        <v>0</v>
      </c>
      <c r="H14">
        <f t="shared" si="2"/>
        <v>2</v>
      </c>
      <c r="I14">
        <f t="shared" si="3"/>
        <v>5</v>
      </c>
      <c r="L14">
        <f>ROUND(SUMIFS('4.3 Global SME Data'!$C$21:$C$41,'4.3 Global SME Data'!$E$21:$E$41,B14)*'1.1 Control Panel'!$E$317,0)</f>
        <v>1</v>
      </c>
      <c r="M14">
        <f>ROUND(SUMIFS('4.3 Global SME Data'!$C$21:$C$41,'4.3 Global SME Data'!$E$21:$E$41,B14)*'1.1 Control Panel'!$E$318,0)</f>
        <v>3</v>
      </c>
      <c r="N14">
        <f>ROUND(SUMIFS('4.3 Global SME Data'!$C$21:$C$41,'4.3 Global SME Data'!$E$21:$E$41,B14)*'1.1 Control Panel'!$E$319,0)</f>
        <v>8</v>
      </c>
    </row>
    <row r="15" spans="2:41" x14ac:dyDescent="0.35">
      <c r="B15" s="3"/>
    </row>
    <row r="16" spans="2:41" x14ac:dyDescent="0.35">
      <c r="C16" s="412">
        <v>45688</v>
      </c>
      <c r="D16" s="412">
        <v>45716</v>
      </c>
      <c r="E16" s="412">
        <v>45747</v>
      </c>
      <c r="F16" s="412">
        <v>45777</v>
      </c>
      <c r="G16" s="412">
        <v>45808</v>
      </c>
      <c r="H16" s="412">
        <v>45838</v>
      </c>
      <c r="I16" s="412">
        <v>45869</v>
      </c>
      <c r="J16" s="412">
        <v>45900</v>
      </c>
      <c r="K16" s="412">
        <v>45930</v>
      </c>
      <c r="L16" s="412">
        <v>45961</v>
      </c>
      <c r="M16" s="412">
        <v>45991</v>
      </c>
      <c r="N16" s="412">
        <v>46022</v>
      </c>
      <c r="O16" s="737" t="s">
        <v>975</v>
      </c>
      <c r="P16" s="412">
        <f t="shared" ref="P16:AA16" si="4">C16+365.25</f>
        <v>46053.25</v>
      </c>
      <c r="Q16" s="412">
        <f t="shared" si="4"/>
        <v>46081.25</v>
      </c>
      <c r="R16" s="412">
        <f t="shared" si="4"/>
        <v>46112.25</v>
      </c>
      <c r="S16" s="412">
        <f t="shared" si="4"/>
        <v>46142.25</v>
      </c>
      <c r="T16" s="412">
        <f t="shared" si="4"/>
        <v>46173.25</v>
      </c>
      <c r="U16" s="412">
        <f t="shared" si="4"/>
        <v>46203.25</v>
      </c>
      <c r="V16" s="412">
        <f t="shared" si="4"/>
        <v>46234.25</v>
      </c>
      <c r="W16" s="412">
        <f t="shared" si="4"/>
        <v>46265.25</v>
      </c>
      <c r="X16" s="412">
        <f t="shared" si="4"/>
        <v>46295.25</v>
      </c>
      <c r="Y16" s="412">
        <f t="shared" si="4"/>
        <v>46326.25</v>
      </c>
      <c r="Z16" s="412">
        <f t="shared" si="4"/>
        <v>46356.25</v>
      </c>
      <c r="AA16" s="412">
        <f t="shared" si="4"/>
        <v>46387.25</v>
      </c>
      <c r="AB16" s="737" t="s">
        <v>977</v>
      </c>
      <c r="AC16" s="412">
        <f t="shared" ref="AC16:AN16" si="5">P16+365.25</f>
        <v>46418.5</v>
      </c>
      <c r="AD16" s="412">
        <f t="shared" si="5"/>
        <v>46446.5</v>
      </c>
      <c r="AE16" s="412">
        <f t="shared" si="5"/>
        <v>46477.5</v>
      </c>
      <c r="AF16" s="412">
        <f t="shared" si="5"/>
        <v>46507.5</v>
      </c>
      <c r="AG16" s="412">
        <f t="shared" si="5"/>
        <v>46538.5</v>
      </c>
      <c r="AH16" s="412">
        <f t="shared" si="5"/>
        <v>46568.5</v>
      </c>
      <c r="AI16" s="412">
        <f t="shared" si="5"/>
        <v>46599.5</v>
      </c>
      <c r="AJ16" s="412">
        <f t="shared" si="5"/>
        <v>46630.5</v>
      </c>
      <c r="AK16" s="412">
        <f t="shared" si="5"/>
        <v>46660.5</v>
      </c>
      <c r="AL16" s="412">
        <f t="shared" si="5"/>
        <v>46691.5</v>
      </c>
      <c r="AM16" s="412">
        <f t="shared" si="5"/>
        <v>46721.5</v>
      </c>
      <c r="AN16" s="412">
        <f t="shared" si="5"/>
        <v>46752.5</v>
      </c>
      <c r="AO16" s="737" t="s">
        <v>976</v>
      </c>
    </row>
    <row r="17" spans="2:41" x14ac:dyDescent="0.35">
      <c r="B17" s="137" t="s">
        <v>157</v>
      </c>
      <c r="C17">
        <f>'1.1 Control Panel'!E321</f>
        <v>0</v>
      </c>
      <c r="D17">
        <f>'1.1 Control Panel'!F321</f>
        <v>0</v>
      </c>
      <c r="E17">
        <f>'1.1 Control Panel'!G321</f>
        <v>0</v>
      </c>
      <c r="F17">
        <f>'1.1 Control Panel'!H321</f>
        <v>0</v>
      </c>
      <c r="G17">
        <f>'1.1 Control Panel'!I321</f>
        <v>0</v>
      </c>
      <c r="H17">
        <f>'1.1 Control Panel'!J321</f>
        <v>0</v>
      </c>
      <c r="I17">
        <f>'1.1 Control Panel'!K321</f>
        <v>0</v>
      </c>
      <c r="J17">
        <f>'1.1 Control Panel'!L321</f>
        <v>0</v>
      </c>
      <c r="K17">
        <f>'1.1 Control Panel'!M321</f>
        <v>0</v>
      </c>
      <c r="L17">
        <f>'1.1 Control Panel'!N321</f>
        <v>0</v>
      </c>
      <c r="M17">
        <f>'1.1 Control Panel'!O321</f>
        <v>0</v>
      </c>
      <c r="N17">
        <f>'1.1 Control Panel'!P321</f>
        <v>0</v>
      </c>
      <c r="O17" s="736">
        <f>MAX(C17:N17)</f>
        <v>0</v>
      </c>
      <c r="P17">
        <f>'1.1 Control Panel'!Q321</f>
        <v>0</v>
      </c>
      <c r="Q17">
        <f>'1.1 Control Panel'!R321</f>
        <v>0</v>
      </c>
      <c r="R17">
        <f>'1.1 Control Panel'!S321</f>
        <v>0</v>
      </c>
      <c r="S17">
        <f>'1.1 Control Panel'!T321</f>
        <v>0</v>
      </c>
      <c r="T17">
        <f>'1.1 Control Panel'!U321</f>
        <v>1</v>
      </c>
      <c r="U17">
        <f>'1.1 Control Panel'!V321</f>
        <v>1</v>
      </c>
      <c r="V17">
        <f>'1.1 Control Panel'!W321</f>
        <v>1</v>
      </c>
      <c r="W17">
        <f>'1.1 Control Panel'!X321</f>
        <v>1</v>
      </c>
      <c r="X17">
        <f>'1.1 Control Panel'!Y321</f>
        <v>1</v>
      </c>
      <c r="Y17">
        <f>'1.1 Control Panel'!Z321</f>
        <v>1</v>
      </c>
      <c r="Z17">
        <f>'1.1 Control Panel'!AA321</f>
        <v>1</v>
      </c>
      <c r="AA17">
        <f>'1.1 Control Panel'!AB321</f>
        <v>1</v>
      </c>
      <c r="AB17" s="736">
        <f>MAX(P17:AA17)</f>
        <v>1</v>
      </c>
      <c r="AC17">
        <f>'1.1 Control Panel'!AC321</f>
        <v>2</v>
      </c>
      <c r="AD17">
        <f>'1.1 Control Panel'!AD321</f>
        <v>2</v>
      </c>
      <c r="AE17">
        <f>'1.1 Control Panel'!AE321</f>
        <v>2</v>
      </c>
      <c r="AF17">
        <f>'1.1 Control Panel'!AF321</f>
        <v>2</v>
      </c>
      <c r="AG17">
        <f>'1.1 Control Panel'!AG321</f>
        <v>3</v>
      </c>
      <c r="AH17">
        <f>'1.1 Control Panel'!AH321</f>
        <v>3</v>
      </c>
      <c r="AI17">
        <f>'1.1 Control Panel'!AI321</f>
        <v>3</v>
      </c>
      <c r="AJ17">
        <f>'1.1 Control Panel'!AJ321</f>
        <v>3</v>
      </c>
      <c r="AK17">
        <f>'1.1 Control Panel'!AK321</f>
        <v>3</v>
      </c>
      <c r="AL17">
        <f>'1.1 Control Panel'!AL321</f>
        <v>3</v>
      </c>
      <c r="AM17">
        <f>'1.1 Control Panel'!AM321</f>
        <v>3</v>
      </c>
      <c r="AN17">
        <f>'1.1 Control Panel'!AN321</f>
        <v>3</v>
      </c>
      <c r="AO17" s="736">
        <f>MAX(AC17:AN17)</f>
        <v>3</v>
      </c>
    </row>
    <row r="18" spans="2:41" x14ac:dyDescent="0.35">
      <c r="B18" s="21" t="s">
        <v>604</v>
      </c>
      <c r="C18">
        <f>'1.1 Control Panel'!E352</f>
        <v>1</v>
      </c>
      <c r="D18">
        <f>'1.1 Control Panel'!F352</f>
        <v>1</v>
      </c>
      <c r="E18">
        <f>'1.1 Control Panel'!G352</f>
        <v>1</v>
      </c>
      <c r="F18">
        <f>'1.1 Control Panel'!H352</f>
        <v>1</v>
      </c>
      <c r="G18">
        <f>'1.1 Control Panel'!I352</f>
        <v>1</v>
      </c>
      <c r="H18">
        <f>'1.1 Control Panel'!J352</f>
        <v>2</v>
      </c>
      <c r="I18">
        <f>'1.1 Control Panel'!K352</f>
        <v>2</v>
      </c>
      <c r="J18">
        <f>'1.1 Control Panel'!L352</f>
        <v>2</v>
      </c>
      <c r="K18">
        <f>'1.1 Control Panel'!M352</f>
        <v>2</v>
      </c>
      <c r="L18">
        <f>'1.1 Control Panel'!N352</f>
        <v>2</v>
      </c>
      <c r="M18">
        <f>'1.1 Control Panel'!O352</f>
        <v>2</v>
      </c>
      <c r="N18">
        <f>'1.1 Control Panel'!P352</f>
        <v>2</v>
      </c>
      <c r="O18" s="736">
        <f t="shared" ref="O18:O28" si="6">MAX(C18:N18)</f>
        <v>2</v>
      </c>
      <c r="P18">
        <f>'1.1 Control Panel'!Q352</f>
        <v>3</v>
      </c>
      <c r="Q18">
        <f>'1.1 Control Panel'!R352</f>
        <v>3</v>
      </c>
      <c r="R18">
        <f>'1.1 Control Panel'!S352</f>
        <v>3</v>
      </c>
      <c r="S18">
        <f>'1.1 Control Panel'!T352</f>
        <v>3</v>
      </c>
      <c r="T18">
        <f>'1.1 Control Panel'!U352</f>
        <v>4</v>
      </c>
      <c r="U18">
        <f>'1.1 Control Panel'!V352</f>
        <v>4</v>
      </c>
      <c r="V18">
        <f>'1.1 Control Panel'!W352</f>
        <v>4</v>
      </c>
      <c r="W18">
        <f>'1.1 Control Panel'!X352</f>
        <v>4</v>
      </c>
      <c r="X18">
        <f>'1.1 Control Panel'!Y352</f>
        <v>5</v>
      </c>
      <c r="Y18">
        <f>'1.1 Control Panel'!Z352</f>
        <v>5</v>
      </c>
      <c r="Z18">
        <f>'1.1 Control Panel'!AA352</f>
        <v>5</v>
      </c>
      <c r="AA18">
        <f>'1.1 Control Panel'!AB352</f>
        <v>5</v>
      </c>
      <c r="AB18" s="736">
        <f t="shared" ref="AB18:AB28" si="7">MAX(P18:AA18)</f>
        <v>5</v>
      </c>
      <c r="AC18">
        <f>'1.1 Control Panel'!AC352</f>
        <v>9</v>
      </c>
      <c r="AD18">
        <f>'1.1 Control Panel'!AD352</f>
        <v>9</v>
      </c>
      <c r="AE18">
        <f>'1.1 Control Panel'!AE352</f>
        <v>9</v>
      </c>
      <c r="AF18">
        <f>'1.1 Control Panel'!AF352</f>
        <v>9</v>
      </c>
      <c r="AG18">
        <f>'1.1 Control Panel'!AG352</f>
        <v>13</v>
      </c>
      <c r="AH18">
        <f>'1.1 Control Panel'!AH352</f>
        <v>13</v>
      </c>
      <c r="AI18">
        <f>'1.1 Control Panel'!AI352</f>
        <v>13</v>
      </c>
      <c r="AJ18">
        <f>'1.1 Control Panel'!AJ352</f>
        <v>13</v>
      </c>
      <c r="AK18">
        <f>'1.1 Control Panel'!AK352</f>
        <v>17</v>
      </c>
      <c r="AL18">
        <f>'1.1 Control Panel'!AL352</f>
        <v>17</v>
      </c>
      <c r="AM18">
        <f>'1.1 Control Panel'!AM352</f>
        <v>17</v>
      </c>
      <c r="AN18">
        <f>'1.1 Control Panel'!AN352</f>
        <v>17</v>
      </c>
      <c r="AO18" s="736">
        <f t="shared" ref="AO18:AO28" si="8">MAX(AC18:AN18)</f>
        <v>17</v>
      </c>
    </row>
    <row r="19" spans="2:41" x14ac:dyDescent="0.35">
      <c r="B19" s="21" t="s">
        <v>601</v>
      </c>
      <c r="C19">
        <f>'1.1 Control Panel'!E383</f>
        <v>0</v>
      </c>
      <c r="D19">
        <f>'1.1 Control Panel'!F383</f>
        <v>0</v>
      </c>
      <c r="E19">
        <f>'1.1 Control Panel'!G383</f>
        <v>0</v>
      </c>
      <c r="F19">
        <f>'1.1 Control Panel'!H383</f>
        <v>0</v>
      </c>
      <c r="G19">
        <f>'1.1 Control Panel'!I383</f>
        <v>0</v>
      </c>
      <c r="H19">
        <f>'1.1 Control Panel'!J383</f>
        <v>0</v>
      </c>
      <c r="I19">
        <f>'1.1 Control Panel'!K383</f>
        <v>0</v>
      </c>
      <c r="J19">
        <f>'1.1 Control Panel'!L383</f>
        <v>0</v>
      </c>
      <c r="K19">
        <f>'1.1 Control Panel'!M383</f>
        <v>0</v>
      </c>
      <c r="L19">
        <f>'1.1 Control Panel'!N383</f>
        <v>0</v>
      </c>
      <c r="M19">
        <f>'1.1 Control Panel'!O383</f>
        <v>0</v>
      </c>
      <c r="N19">
        <f>'1.1 Control Panel'!P383</f>
        <v>0</v>
      </c>
      <c r="O19" s="736">
        <f t="shared" si="6"/>
        <v>0</v>
      </c>
      <c r="P19">
        <f>'1.1 Control Panel'!Q383</f>
        <v>1</v>
      </c>
      <c r="Q19">
        <f>'1.1 Control Panel'!R383</f>
        <v>1</v>
      </c>
      <c r="R19">
        <f>'1.1 Control Panel'!S383</f>
        <v>1</v>
      </c>
      <c r="S19">
        <f>'1.1 Control Panel'!T383</f>
        <v>1</v>
      </c>
      <c r="T19">
        <f>'1.1 Control Panel'!U383</f>
        <v>2</v>
      </c>
      <c r="U19">
        <f>'1.1 Control Panel'!V383</f>
        <v>2</v>
      </c>
      <c r="V19">
        <f>'1.1 Control Panel'!W383</f>
        <v>2</v>
      </c>
      <c r="W19">
        <f>'1.1 Control Panel'!X383</f>
        <v>2</v>
      </c>
      <c r="X19">
        <f>'1.1 Control Panel'!Y383</f>
        <v>2</v>
      </c>
      <c r="Y19">
        <f>'1.1 Control Panel'!Z383</f>
        <v>2</v>
      </c>
      <c r="Z19">
        <f>'1.1 Control Panel'!AA383</f>
        <v>2</v>
      </c>
      <c r="AA19">
        <f>'1.1 Control Panel'!AB383</f>
        <v>2</v>
      </c>
      <c r="AB19" s="736">
        <f t="shared" si="7"/>
        <v>2</v>
      </c>
      <c r="AC19">
        <f>'1.1 Control Panel'!AC383</f>
        <v>3</v>
      </c>
      <c r="AD19">
        <f>'1.1 Control Panel'!AD383</f>
        <v>3</v>
      </c>
      <c r="AE19">
        <f>'1.1 Control Panel'!AE383</f>
        <v>3</v>
      </c>
      <c r="AF19">
        <f>'1.1 Control Panel'!AF383</f>
        <v>3</v>
      </c>
      <c r="AG19">
        <f>'1.1 Control Panel'!AG383</f>
        <v>4</v>
      </c>
      <c r="AH19">
        <f>'1.1 Control Panel'!AH383</f>
        <v>4</v>
      </c>
      <c r="AI19">
        <f>'1.1 Control Panel'!AI383</f>
        <v>4</v>
      </c>
      <c r="AJ19">
        <f>'1.1 Control Panel'!AJ383</f>
        <v>4</v>
      </c>
      <c r="AK19">
        <f>'1.1 Control Panel'!AK383</f>
        <v>5</v>
      </c>
      <c r="AL19">
        <f>'1.1 Control Panel'!AL383</f>
        <v>5</v>
      </c>
      <c r="AM19">
        <f>'1.1 Control Panel'!AM383</f>
        <v>5</v>
      </c>
      <c r="AN19">
        <f>'1.1 Control Panel'!AN383</f>
        <v>5</v>
      </c>
      <c r="AO19" s="736">
        <f t="shared" si="8"/>
        <v>5</v>
      </c>
    </row>
    <row r="20" spans="2:41" x14ac:dyDescent="0.35">
      <c r="B20" s="21" t="s">
        <v>154</v>
      </c>
      <c r="C20">
        <f>'1.1 Control Panel'!E414</f>
        <v>1</v>
      </c>
      <c r="D20">
        <f>'1.1 Control Panel'!F414</f>
        <v>1</v>
      </c>
      <c r="E20">
        <f>'1.1 Control Panel'!G414</f>
        <v>1</v>
      </c>
      <c r="F20">
        <f>'1.1 Control Panel'!H414</f>
        <v>1</v>
      </c>
      <c r="G20">
        <f>'1.1 Control Panel'!I414</f>
        <v>1</v>
      </c>
      <c r="H20">
        <f>'1.1 Control Panel'!J414</f>
        <v>2</v>
      </c>
      <c r="I20">
        <f>'1.1 Control Panel'!K414</f>
        <v>2</v>
      </c>
      <c r="J20">
        <f>'1.1 Control Panel'!L414</f>
        <v>2</v>
      </c>
      <c r="K20">
        <f>'1.1 Control Panel'!M414</f>
        <v>2</v>
      </c>
      <c r="L20">
        <f>'1.1 Control Panel'!N414</f>
        <v>2</v>
      </c>
      <c r="M20">
        <f>'1.1 Control Panel'!O414</f>
        <v>2</v>
      </c>
      <c r="N20">
        <f>'1.1 Control Panel'!P414</f>
        <v>2</v>
      </c>
      <c r="O20" s="736">
        <f t="shared" si="6"/>
        <v>2</v>
      </c>
      <c r="P20">
        <f>'1.1 Control Panel'!Q414</f>
        <v>3</v>
      </c>
      <c r="Q20">
        <f>'1.1 Control Panel'!R414</f>
        <v>3</v>
      </c>
      <c r="R20">
        <f>'1.1 Control Panel'!S414</f>
        <v>3</v>
      </c>
      <c r="S20">
        <f>'1.1 Control Panel'!T414</f>
        <v>3</v>
      </c>
      <c r="T20">
        <f>'1.1 Control Panel'!U414</f>
        <v>4</v>
      </c>
      <c r="U20">
        <f>'1.1 Control Panel'!V414</f>
        <v>4</v>
      </c>
      <c r="V20">
        <f>'1.1 Control Panel'!W414</f>
        <v>4</v>
      </c>
      <c r="W20">
        <f>'1.1 Control Panel'!X414</f>
        <v>4</v>
      </c>
      <c r="X20">
        <f>'1.1 Control Panel'!Y414</f>
        <v>4</v>
      </c>
      <c r="Y20">
        <f>'1.1 Control Panel'!Z414</f>
        <v>4</v>
      </c>
      <c r="Z20">
        <f>'1.1 Control Panel'!AA414</f>
        <v>4</v>
      </c>
      <c r="AA20">
        <f>'1.1 Control Panel'!AB414</f>
        <v>4</v>
      </c>
      <c r="AB20" s="736">
        <f t="shared" si="7"/>
        <v>4</v>
      </c>
      <c r="AC20">
        <f>'1.1 Control Panel'!AC414</f>
        <v>8</v>
      </c>
      <c r="AD20">
        <f>'1.1 Control Panel'!AD414</f>
        <v>8</v>
      </c>
      <c r="AE20">
        <f>'1.1 Control Panel'!AE414</f>
        <v>8</v>
      </c>
      <c r="AF20">
        <f>'1.1 Control Panel'!AF414</f>
        <v>8</v>
      </c>
      <c r="AG20">
        <f>'1.1 Control Panel'!AG414</f>
        <v>12</v>
      </c>
      <c r="AH20">
        <f>'1.1 Control Panel'!AH414</f>
        <v>12</v>
      </c>
      <c r="AI20">
        <f>'1.1 Control Panel'!AI414</f>
        <v>12</v>
      </c>
      <c r="AJ20">
        <f>'1.1 Control Panel'!AJ414</f>
        <v>12</v>
      </c>
      <c r="AK20">
        <f>'1.1 Control Panel'!AK414</f>
        <v>16</v>
      </c>
      <c r="AL20">
        <f>'1.1 Control Panel'!AL414</f>
        <v>16</v>
      </c>
      <c r="AM20">
        <f>'1.1 Control Panel'!AM414</f>
        <v>16</v>
      </c>
      <c r="AN20">
        <f>'1.1 Control Panel'!AN414</f>
        <v>16</v>
      </c>
      <c r="AO20" s="736">
        <f t="shared" si="8"/>
        <v>16</v>
      </c>
    </row>
    <row r="21" spans="2:41" x14ac:dyDescent="0.35">
      <c r="B21" s="21" t="s">
        <v>153</v>
      </c>
      <c r="C21">
        <f>'1.1 Control Panel'!E445</f>
        <v>0</v>
      </c>
      <c r="D21">
        <f>'1.1 Control Panel'!F445</f>
        <v>0</v>
      </c>
      <c r="E21">
        <f>'1.1 Control Panel'!G445</f>
        <v>1</v>
      </c>
      <c r="F21">
        <f>'1.1 Control Panel'!H445</f>
        <v>1</v>
      </c>
      <c r="G21">
        <f>'1.1 Control Panel'!I445</f>
        <v>1</v>
      </c>
      <c r="H21">
        <f>'1.1 Control Panel'!J445</f>
        <v>1</v>
      </c>
      <c r="I21">
        <f>'1.1 Control Panel'!K445</f>
        <v>1</v>
      </c>
      <c r="J21">
        <f>'1.1 Control Panel'!L445</f>
        <v>1</v>
      </c>
      <c r="K21">
        <f>'1.1 Control Panel'!M445</f>
        <v>1</v>
      </c>
      <c r="L21">
        <f>'1.1 Control Panel'!N445</f>
        <v>1</v>
      </c>
      <c r="M21">
        <f>'1.1 Control Panel'!O445</f>
        <v>1</v>
      </c>
      <c r="N21">
        <f>'1.1 Control Panel'!P445</f>
        <v>1</v>
      </c>
      <c r="O21" s="736">
        <f t="shared" si="6"/>
        <v>1</v>
      </c>
      <c r="P21">
        <f>'1.1 Control Panel'!Q445</f>
        <v>2</v>
      </c>
      <c r="Q21">
        <f>'1.1 Control Panel'!R445</f>
        <v>2</v>
      </c>
      <c r="R21">
        <f>'1.1 Control Panel'!S445</f>
        <v>2</v>
      </c>
      <c r="S21">
        <f>'1.1 Control Panel'!T445</f>
        <v>2</v>
      </c>
      <c r="T21">
        <f>'1.1 Control Panel'!U445</f>
        <v>3</v>
      </c>
      <c r="U21">
        <f>'1.1 Control Panel'!V445</f>
        <v>3</v>
      </c>
      <c r="V21">
        <f>'1.1 Control Panel'!W445</f>
        <v>3</v>
      </c>
      <c r="W21">
        <f>'1.1 Control Panel'!X445</f>
        <v>3</v>
      </c>
      <c r="X21">
        <f>'1.1 Control Panel'!Y445</f>
        <v>3</v>
      </c>
      <c r="Y21">
        <f>'1.1 Control Panel'!Z445</f>
        <v>3</v>
      </c>
      <c r="Z21">
        <f>'1.1 Control Panel'!AA445</f>
        <v>3</v>
      </c>
      <c r="AA21">
        <f>'1.1 Control Panel'!AB445</f>
        <v>3</v>
      </c>
      <c r="AB21" s="736">
        <f t="shared" si="7"/>
        <v>3</v>
      </c>
      <c r="AC21">
        <f>'1.1 Control Panel'!AC445</f>
        <v>5</v>
      </c>
      <c r="AD21">
        <f>'1.1 Control Panel'!AD445</f>
        <v>5</v>
      </c>
      <c r="AE21">
        <f>'1.1 Control Panel'!AE445</f>
        <v>5</v>
      </c>
      <c r="AF21">
        <f>'1.1 Control Panel'!AF445</f>
        <v>5</v>
      </c>
      <c r="AG21">
        <f>'1.1 Control Panel'!AG445</f>
        <v>7</v>
      </c>
      <c r="AH21">
        <f>'1.1 Control Panel'!AH445</f>
        <v>7</v>
      </c>
      <c r="AI21">
        <f>'1.1 Control Panel'!AI445</f>
        <v>7</v>
      </c>
      <c r="AJ21">
        <f>'1.1 Control Panel'!AJ445</f>
        <v>7</v>
      </c>
      <c r="AK21">
        <f>'1.1 Control Panel'!AK445</f>
        <v>8</v>
      </c>
      <c r="AL21">
        <f>'1.1 Control Panel'!AL445</f>
        <v>8</v>
      </c>
      <c r="AM21">
        <f>'1.1 Control Panel'!AM445</f>
        <v>8</v>
      </c>
      <c r="AN21">
        <f>'1.1 Control Panel'!AN445</f>
        <v>8</v>
      </c>
      <c r="AO21" s="736">
        <f t="shared" si="8"/>
        <v>8</v>
      </c>
    </row>
    <row r="22" spans="2:41" x14ac:dyDescent="0.35">
      <c r="B22" s="21" t="s">
        <v>607</v>
      </c>
      <c r="C22">
        <f>'1.1 Control Panel'!E476</f>
        <v>0</v>
      </c>
      <c r="D22">
        <f>'1.1 Control Panel'!F476</f>
        <v>0</v>
      </c>
      <c r="E22">
        <f>'1.1 Control Panel'!G476</f>
        <v>0</v>
      </c>
      <c r="F22">
        <f>'1.1 Control Panel'!H476</f>
        <v>0</v>
      </c>
      <c r="G22">
        <f>'1.1 Control Panel'!I476</f>
        <v>0</v>
      </c>
      <c r="H22">
        <f>'1.1 Control Panel'!J476</f>
        <v>0</v>
      </c>
      <c r="I22">
        <f>'1.1 Control Panel'!K476</f>
        <v>0</v>
      </c>
      <c r="J22">
        <f>'1.1 Control Panel'!L476</f>
        <v>0</v>
      </c>
      <c r="K22">
        <f>'1.1 Control Panel'!M476</f>
        <v>0</v>
      </c>
      <c r="L22">
        <f>'1.1 Control Panel'!N476</f>
        <v>0</v>
      </c>
      <c r="M22">
        <f>'1.1 Control Panel'!O476</f>
        <v>0</v>
      </c>
      <c r="N22">
        <f>'1.1 Control Panel'!P476</f>
        <v>0</v>
      </c>
      <c r="O22" s="736">
        <f t="shared" si="6"/>
        <v>0</v>
      </c>
      <c r="P22">
        <f>'1.1 Control Panel'!Q476</f>
        <v>1</v>
      </c>
      <c r="Q22">
        <f>'1.1 Control Panel'!R476</f>
        <v>1</v>
      </c>
      <c r="R22">
        <f>'1.1 Control Panel'!S476</f>
        <v>1</v>
      </c>
      <c r="S22">
        <f>'1.1 Control Panel'!T476</f>
        <v>1</v>
      </c>
      <c r="T22">
        <f>'1.1 Control Panel'!U476</f>
        <v>2</v>
      </c>
      <c r="U22">
        <f>'1.1 Control Panel'!V476</f>
        <v>2</v>
      </c>
      <c r="V22">
        <f>'1.1 Control Panel'!W476</f>
        <v>2</v>
      </c>
      <c r="W22">
        <f>'1.1 Control Panel'!X476</f>
        <v>2</v>
      </c>
      <c r="X22">
        <f>'1.1 Control Panel'!Y476</f>
        <v>2</v>
      </c>
      <c r="Y22">
        <f>'1.1 Control Panel'!Z476</f>
        <v>2</v>
      </c>
      <c r="Z22">
        <f>'1.1 Control Panel'!AA476</f>
        <v>2</v>
      </c>
      <c r="AA22">
        <f>'1.1 Control Panel'!AB476</f>
        <v>2</v>
      </c>
      <c r="AB22" s="736">
        <f t="shared" si="7"/>
        <v>2</v>
      </c>
      <c r="AC22">
        <f>'1.1 Control Panel'!AC476</f>
        <v>6</v>
      </c>
      <c r="AD22">
        <f>'1.1 Control Panel'!AD476</f>
        <v>6</v>
      </c>
      <c r="AE22">
        <f>'1.1 Control Panel'!AE476</f>
        <v>6</v>
      </c>
      <c r="AF22">
        <f>'1.1 Control Panel'!AF476</f>
        <v>6</v>
      </c>
      <c r="AG22">
        <f>'1.1 Control Panel'!AG476</f>
        <v>10</v>
      </c>
      <c r="AH22">
        <f>'1.1 Control Panel'!AH476</f>
        <v>10</v>
      </c>
      <c r="AI22">
        <f>'1.1 Control Panel'!AI476</f>
        <v>10</v>
      </c>
      <c r="AJ22">
        <f>'1.1 Control Panel'!AJ476</f>
        <v>10</v>
      </c>
      <c r="AK22">
        <f>'1.1 Control Panel'!AK476</f>
        <v>13</v>
      </c>
      <c r="AL22">
        <f>'1.1 Control Panel'!AL476</f>
        <v>13</v>
      </c>
      <c r="AM22">
        <f>'1.1 Control Panel'!AM476</f>
        <v>13</v>
      </c>
      <c r="AN22">
        <f>'1.1 Control Panel'!AN476</f>
        <v>13</v>
      </c>
      <c r="AO22" s="736">
        <f t="shared" si="8"/>
        <v>13</v>
      </c>
    </row>
    <row r="23" spans="2:41" x14ac:dyDescent="0.35">
      <c r="B23" s="21" t="s">
        <v>616</v>
      </c>
      <c r="C23">
        <f>'1.1 Control Panel'!E507</f>
        <v>1</v>
      </c>
      <c r="D23">
        <f>'1.1 Control Panel'!F507</f>
        <v>1</v>
      </c>
      <c r="E23">
        <f>'1.1 Control Panel'!G507</f>
        <v>4</v>
      </c>
      <c r="F23">
        <f>'1.1 Control Panel'!H507</f>
        <v>4</v>
      </c>
      <c r="G23">
        <f>'1.1 Control Panel'!I507</f>
        <v>4</v>
      </c>
      <c r="H23">
        <f>'1.1 Control Panel'!J507</f>
        <v>6</v>
      </c>
      <c r="I23">
        <f>'1.1 Control Panel'!K507</f>
        <v>6</v>
      </c>
      <c r="J23">
        <f>'1.1 Control Panel'!L507</f>
        <v>6</v>
      </c>
      <c r="K23">
        <f>'1.1 Control Panel'!M507</f>
        <v>7</v>
      </c>
      <c r="L23">
        <f>'1.1 Control Panel'!N507</f>
        <v>7</v>
      </c>
      <c r="M23">
        <f>'1.1 Control Panel'!O507</f>
        <v>7</v>
      </c>
      <c r="N23">
        <f>'1.1 Control Panel'!P507</f>
        <v>7</v>
      </c>
      <c r="O23" s="736">
        <f t="shared" si="6"/>
        <v>7</v>
      </c>
      <c r="P23">
        <f>'1.1 Control Panel'!Q507</f>
        <v>8</v>
      </c>
      <c r="Q23">
        <f>'1.1 Control Panel'!R507</f>
        <v>8</v>
      </c>
      <c r="R23">
        <f>'1.1 Control Panel'!S507</f>
        <v>8</v>
      </c>
      <c r="S23">
        <f>'1.1 Control Panel'!T507</f>
        <v>8</v>
      </c>
      <c r="T23">
        <f>'1.1 Control Panel'!U507</f>
        <v>9</v>
      </c>
      <c r="U23">
        <f>'1.1 Control Panel'!V507</f>
        <v>9</v>
      </c>
      <c r="V23">
        <f>'1.1 Control Panel'!W507</f>
        <v>9</v>
      </c>
      <c r="W23">
        <f>'1.1 Control Panel'!X507</f>
        <v>9</v>
      </c>
      <c r="X23">
        <f>'1.1 Control Panel'!Y507</f>
        <v>10</v>
      </c>
      <c r="Y23">
        <f>'1.1 Control Panel'!Z507</f>
        <v>10</v>
      </c>
      <c r="Z23">
        <f>'1.1 Control Panel'!AA507</f>
        <v>10</v>
      </c>
      <c r="AA23">
        <f>'1.1 Control Panel'!AB507</f>
        <v>10</v>
      </c>
      <c r="AB23" s="736">
        <f t="shared" si="7"/>
        <v>10</v>
      </c>
      <c r="AC23">
        <f>'1.1 Control Panel'!AC507</f>
        <v>15</v>
      </c>
      <c r="AD23">
        <f>'1.1 Control Panel'!AD507</f>
        <v>15</v>
      </c>
      <c r="AE23">
        <f>'1.1 Control Panel'!AE507</f>
        <v>15</v>
      </c>
      <c r="AF23">
        <f>'1.1 Control Panel'!AF507</f>
        <v>15</v>
      </c>
      <c r="AG23">
        <f>'1.1 Control Panel'!AG507</f>
        <v>21</v>
      </c>
      <c r="AH23">
        <f>'1.1 Control Panel'!AH507</f>
        <v>21</v>
      </c>
      <c r="AI23">
        <f>'1.1 Control Panel'!AI507</f>
        <v>21</v>
      </c>
      <c r="AJ23">
        <f>'1.1 Control Panel'!AJ507</f>
        <v>21</v>
      </c>
      <c r="AK23">
        <f>'1.1 Control Panel'!AK507</f>
        <v>26</v>
      </c>
      <c r="AL23">
        <f>'1.1 Control Panel'!AL507</f>
        <v>26</v>
      </c>
      <c r="AM23">
        <f>'1.1 Control Panel'!AM507</f>
        <v>26</v>
      </c>
      <c r="AN23">
        <f>'1.1 Control Panel'!AN507</f>
        <v>26</v>
      </c>
      <c r="AO23" s="736">
        <f t="shared" si="8"/>
        <v>26</v>
      </c>
    </row>
    <row r="24" spans="2:41" x14ac:dyDescent="0.35">
      <c r="B24" s="21" t="s">
        <v>605</v>
      </c>
      <c r="C24">
        <f>'1.1 Control Panel'!E538</f>
        <v>0</v>
      </c>
      <c r="D24">
        <f>'1.1 Control Panel'!F538</f>
        <v>0</v>
      </c>
      <c r="E24">
        <f>'1.1 Control Panel'!G538</f>
        <v>0</v>
      </c>
      <c r="F24">
        <f>'1.1 Control Panel'!H538</f>
        <v>0</v>
      </c>
      <c r="G24">
        <f>'1.1 Control Panel'!I538</f>
        <v>1</v>
      </c>
      <c r="H24">
        <f>'1.1 Control Panel'!J538</f>
        <v>1</v>
      </c>
      <c r="I24">
        <f>'1.1 Control Panel'!K538</f>
        <v>1</v>
      </c>
      <c r="J24">
        <f>'1.1 Control Panel'!L538</f>
        <v>1</v>
      </c>
      <c r="K24">
        <f>'1.1 Control Panel'!M538</f>
        <v>1</v>
      </c>
      <c r="L24">
        <f>'1.1 Control Panel'!N538</f>
        <v>1</v>
      </c>
      <c r="M24">
        <f>'1.1 Control Panel'!O538</f>
        <v>1</v>
      </c>
      <c r="N24">
        <f>'1.1 Control Panel'!P538</f>
        <v>1</v>
      </c>
      <c r="O24" s="736">
        <f t="shared" si="6"/>
        <v>1</v>
      </c>
      <c r="P24">
        <f>'1.1 Control Panel'!Q538</f>
        <v>2</v>
      </c>
      <c r="Q24">
        <f>'1.1 Control Panel'!R538</f>
        <v>2</v>
      </c>
      <c r="R24">
        <f>'1.1 Control Panel'!S538</f>
        <v>2</v>
      </c>
      <c r="S24">
        <f>'1.1 Control Panel'!T538</f>
        <v>2</v>
      </c>
      <c r="T24">
        <f>'1.1 Control Panel'!U538</f>
        <v>3</v>
      </c>
      <c r="U24">
        <f>'1.1 Control Panel'!V538</f>
        <v>3</v>
      </c>
      <c r="V24">
        <f>'1.1 Control Panel'!W538</f>
        <v>3</v>
      </c>
      <c r="W24">
        <f>'1.1 Control Panel'!X538</f>
        <v>3</v>
      </c>
      <c r="X24">
        <f>'1.1 Control Panel'!Y538</f>
        <v>3</v>
      </c>
      <c r="Y24">
        <f>'1.1 Control Panel'!Z538</f>
        <v>3</v>
      </c>
      <c r="Z24">
        <f>'1.1 Control Panel'!AA538</f>
        <v>3</v>
      </c>
      <c r="AA24">
        <f>'1.1 Control Panel'!AB538</f>
        <v>3</v>
      </c>
      <c r="AB24" s="736">
        <f t="shared" si="7"/>
        <v>3</v>
      </c>
      <c r="AC24">
        <f>'1.1 Control Panel'!AC538</f>
        <v>4</v>
      </c>
      <c r="AD24">
        <f>'1.1 Control Panel'!AD538</f>
        <v>4</v>
      </c>
      <c r="AE24">
        <f>'1.1 Control Panel'!AE538</f>
        <v>4</v>
      </c>
      <c r="AF24">
        <f>'1.1 Control Panel'!AF538</f>
        <v>4</v>
      </c>
      <c r="AG24">
        <f>'1.1 Control Panel'!AG538</f>
        <v>6</v>
      </c>
      <c r="AH24">
        <f>'1.1 Control Panel'!AH538</f>
        <v>6</v>
      </c>
      <c r="AI24">
        <f>'1.1 Control Panel'!AI538</f>
        <v>6</v>
      </c>
      <c r="AJ24">
        <f>'1.1 Control Panel'!AJ538</f>
        <v>6</v>
      </c>
      <c r="AK24">
        <f>'1.1 Control Panel'!AK538</f>
        <v>7</v>
      </c>
      <c r="AL24">
        <f>'1.1 Control Panel'!AL538</f>
        <v>7</v>
      </c>
      <c r="AM24">
        <f>'1.1 Control Panel'!AM538</f>
        <v>7</v>
      </c>
      <c r="AN24">
        <f>'1.1 Control Panel'!AN538</f>
        <v>7</v>
      </c>
      <c r="AO24" s="736">
        <f t="shared" si="8"/>
        <v>7</v>
      </c>
    </row>
    <row r="25" spans="2:41" x14ac:dyDescent="0.35">
      <c r="B25" s="21" t="s">
        <v>608</v>
      </c>
      <c r="C25">
        <f>'1.1 Control Panel'!E569</f>
        <v>3</v>
      </c>
      <c r="D25">
        <f>'1.1 Control Panel'!F569</f>
        <v>3</v>
      </c>
      <c r="E25">
        <f>'1.1 Control Panel'!G569</f>
        <v>0</v>
      </c>
      <c r="F25">
        <f>'1.1 Control Panel'!H569</f>
        <v>0</v>
      </c>
      <c r="G25">
        <f>'1.1 Control Panel'!I569</f>
        <v>0</v>
      </c>
      <c r="H25">
        <f>'1.1 Control Panel'!J569</f>
        <v>0</v>
      </c>
      <c r="I25">
        <f>'1.1 Control Panel'!K569</f>
        <v>0</v>
      </c>
      <c r="J25">
        <f>'1.1 Control Panel'!L569</f>
        <v>0</v>
      </c>
      <c r="K25">
        <f>'1.1 Control Panel'!M569</f>
        <v>0</v>
      </c>
      <c r="L25">
        <f>'1.1 Control Panel'!N569</f>
        <v>0</v>
      </c>
      <c r="M25">
        <f>'1.1 Control Panel'!O569</f>
        <v>0</v>
      </c>
      <c r="N25">
        <f>'1.1 Control Panel'!P569</f>
        <v>0</v>
      </c>
      <c r="O25" s="736">
        <f t="shared" si="6"/>
        <v>3</v>
      </c>
      <c r="P25">
        <f>'1.1 Control Panel'!Q569</f>
        <v>1</v>
      </c>
      <c r="Q25">
        <f>'1.1 Control Panel'!R569</f>
        <v>1</v>
      </c>
      <c r="R25">
        <f>'1.1 Control Panel'!S569</f>
        <v>1</v>
      </c>
      <c r="S25">
        <f>'1.1 Control Panel'!T569</f>
        <v>1</v>
      </c>
      <c r="T25">
        <f>'1.1 Control Panel'!U569</f>
        <v>3</v>
      </c>
      <c r="U25">
        <f>'1.1 Control Panel'!V569</f>
        <v>3</v>
      </c>
      <c r="V25">
        <f>'1.1 Control Panel'!W569</f>
        <v>3</v>
      </c>
      <c r="W25">
        <f>'1.1 Control Panel'!X569</f>
        <v>3</v>
      </c>
      <c r="X25">
        <f>'1.1 Control Panel'!Y569</f>
        <v>4</v>
      </c>
      <c r="Y25">
        <f>'1.1 Control Panel'!Z569</f>
        <v>4</v>
      </c>
      <c r="Z25">
        <f>'1.1 Control Panel'!AA569</f>
        <v>4</v>
      </c>
      <c r="AA25">
        <f>'1.1 Control Panel'!AB569</f>
        <v>4</v>
      </c>
      <c r="AB25" s="736">
        <f t="shared" si="7"/>
        <v>4</v>
      </c>
      <c r="AC25">
        <f>'1.1 Control Panel'!AC569</f>
        <v>7</v>
      </c>
      <c r="AD25">
        <f>'1.1 Control Panel'!AD569</f>
        <v>7</v>
      </c>
      <c r="AE25">
        <f>'1.1 Control Panel'!AE569</f>
        <v>7</v>
      </c>
      <c r="AF25">
        <f>'1.1 Control Panel'!AF569</f>
        <v>7</v>
      </c>
      <c r="AG25">
        <f>'1.1 Control Panel'!AG569</f>
        <v>10</v>
      </c>
      <c r="AH25">
        <f>'1.1 Control Panel'!AH569</f>
        <v>10</v>
      </c>
      <c r="AI25">
        <f>'1.1 Control Panel'!AI569</f>
        <v>10</v>
      </c>
      <c r="AJ25">
        <f>'1.1 Control Panel'!AJ569</f>
        <v>10</v>
      </c>
      <c r="AK25">
        <f>'1.1 Control Panel'!AK569</f>
        <v>12</v>
      </c>
      <c r="AL25">
        <f>'1.1 Control Panel'!AL569</f>
        <v>12</v>
      </c>
      <c r="AM25">
        <f>'1.1 Control Panel'!AM569</f>
        <v>12</v>
      </c>
      <c r="AN25">
        <f>'1.1 Control Panel'!AN569</f>
        <v>12</v>
      </c>
      <c r="AO25" s="736">
        <f t="shared" si="8"/>
        <v>12</v>
      </c>
    </row>
    <row r="26" spans="2:41" x14ac:dyDescent="0.35">
      <c r="B26" s="21" t="s">
        <v>606</v>
      </c>
      <c r="C26">
        <f>'1.1 Control Panel'!E600</f>
        <v>2</v>
      </c>
      <c r="D26">
        <f>'1.1 Control Panel'!F600</f>
        <v>2</v>
      </c>
      <c r="E26">
        <f>'1.1 Control Panel'!G600</f>
        <v>1</v>
      </c>
      <c r="F26">
        <f>'1.1 Control Panel'!H600</f>
        <v>1</v>
      </c>
      <c r="G26">
        <f>'1.1 Control Panel'!I600</f>
        <v>2</v>
      </c>
      <c r="H26">
        <f>'1.1 Control Panel'!J600</f>
        <v>2</v>
      </c>
      <c r="I26">
        <f>'1.1 Control Panel'!K600</f>
        <v>2</v>
      </c>
      <c r="J26">
        <f>'1.1 Control Panel'!L600</f>
        <v>2</v>
      </c>
      <c r="K26">
        <f>'1.1 Control Panel'!M600</f>
        <v>4</v>
      </c>
      <c r="L26">
        <f>'1.1 Control Panel'!N600</f>
        <v>5</v>
      </c>
      <c r="M26">
        <f>'1.1 Control Panel'!O600</f>
        <v>6</v>
      </c>
      <c r="N26">
        <f>'1.1 Control Panel'!P600</f>
        <v>7</v>
      </c>
      <c r="O26" s="736">
        <f t="shared" si="6"/>
        <v>7</v>
      </c>
      <c r="P26">
        <f>'1.1 Control Panel'!Q600</f>
        <v>8</v>
      </c>
      <c r="Q26">
        <f>'1.1 Control Panel'!R600</f>
        <v>8</v>
      </c>
      <c r="R26">
        <f>'1.1 Control Panel'!S600</f>
        <v>8</v>
      </c>
      <c r="S26">
        <f>'1.1 Control Panel'!T600</f>
        <v>8</v>
      </c>
      <c r="T26">
        <f>'1.1 Control Panel'!U600</f>
        <v>10</v>
      </c>
      <c r="U26">
        <f>'1.1 Control Panel'!V600</f>
        <v>10</v>
      </c>
      <c r="V26">
        <f>'1.1 Control Panel'!W600</f>
        <v>10</v>
      </c>
      <c r="W26">
        <f>'1.1 Control Panel'!X600</f>
        <v>10</v>
      </c>
      <c r="X26">
        <f>'1.1 Control Panel'!Y600</f>
        <v>11</v>
      </c>
      <c r="Y26">
        <f>'1.1 Control Panel'!Z600</f>
        <v>11</v>
      </c>
      <c r="Z26">
        <f>'1.1 Control Panel'!AA600</f>
        <v>11</v>
      </c>
      <c r="AA26">
        <f>'1.1 Control Panel'!AB600</f>
        <v>11</v>
      </c>
      <c r="AB26" s="736">
        <f t="shared" si="7"/>
        <v>11</v>
      </c>
      <c r="AC26">
        <f>'1.1 Control Panel'!AC600</f>
        <v>16</v>
      </c>
      <c r="AD26">
        <f>'1.1 Control Panel'!AD600</f>
        <v>16</v>
      </c>
      <c r="AE26">
        <f>'1.1 Control Panel'!AE600</f>
        <v>16</v>
      </c>
      <c r="AF26">
        <f>'1.1 Control Panel'!AF600</f>
        <v>16</v>
      </c>
      <c r="AG26">
        <f>'1.1 Control Panel'!AG600</f>
        <v>21</v>
      </c>
      <c r="AH26">
        <f>'1.1 Control Panel'!AH600</f>
        <v>21</v>
      </c>
      <c r="AI26">
        <f>'1.1 Control Panel'!AI600</f>
        <v>21</v>
      </c>
      <c r="AJ26">
        <f>'1.1 Control Panel'!AJ600</f>
        <v>21</v>
      </c>
      <c r="AK26">
        <f>'1.1 Control Panel'!AK600</f>
        <v>26</v>
      </c>
      <c r="AL26">
        <f>'1.1 Control Panel'!AL600</f>
        <v>26</v>
      </c>
      <c r="AM26">
        <f>'1.1 Control Panel'!AM600</f>
        <v>26</v>
      </c>
      <c r="AN26">
        <f>'1.1 Control Panel'!AN600</f>
        <v>26</v>
      </c>
      <c r="AO26" s="736">
        <f t="shared" si="8"/>
        <v>26</v>
      </c>
    </row>
    <row r="27" spans="2:41" x14ac:dyDescent="0.35">
      <c r="B27" s="21" t="s">
        <v>617</v>
      </c>
      <c r="C27">
        <f>'1.1 Control Panel'!E631</f>
        <v>0</v>
      </c>
      <c r="D27">
        <f>'1.1 Control Panel'!F631</f>
        <v>0</v>
      </c>
      <c r="E27">
        <f>'1.1 Control Panel'!G631</f>
        <v>0</v>
      </c>
      <c r="F27">
        <f>'1.1 Control Panel'!H631</f>
        <v>0</v>
      </c>
      <c r="G27">
        <f>'1.1 Control Panel'!I631</f>
        <v>1</v>
      </c>
      <c r="H27">
        <f>'1.1 Control Panel'!J631</f>
        <v>1</v>
      </c>
      <c r="I27">
        <f>'1.1 Control Panel'!K631</f>
        <v>1</v>
      </c>
      <c r="J27">
        <f>'1.1 Control Panel'!L631</f>
        <v>1</v>
      </c>
      <c r="K27">
        <f>'1.1 Control Panel'!M631</f>
        <v>1</v>
      </c>
      <c r="L27">
        <f>'1.1 Control Panel'!N631</f>
        <v>1</v>
      </c>
      <c r="M27">
        <f>'1.1 Control Panel'!O631</f>
        <v>1</v>
      </c>
      <c r="N27">
        <f>'1.1 Control Panel'!P631</f>
        <v>1</v>
      </c>
      <c r="O27" s="736">
        <f t="shared" si="6"/>
        <v>1</v>
      </c>
      <c r="P27">
        <f>'1.1 Control Panel'!Q631</f>
        <v>2</v>
      </c>
      <c r="Q27">
        <f>'1.1 Control Panel'!R631</f>
        <v>2</v>
      </c>
      <c r="R27">
        <f>'1.1 Control Panel'!S631</f>
        <v>2</v>
      </c>
      <c r="S27">
        <f>'1.1 Control Panel'!T631</f>
        <v>2</v>
      </c>
      <c r="T27">
        <f>'1.1 Control Panel'!U631</f>
        <v>3</v>
      </c>
      <c r="U27">
        <f>'1.1 Control Panel'!V631</f>
        <v>3</v>
      </c>
      <c r="V27">
        <f>'1.1 Control Panel'!W631</f>
        <v>3</v>
      </c>
      <c r="W27">
        <f>'1.1 Control Panel'!X631</f>
        <v>3</v>
      </c>
      <c r="X27">
        <f>'1.1 Control Panel'!Y631</f>
        <v>3</v>
      </c>
      <c r="Y27">
        <f>'1.1 Control Panel'!Z631</f>
        <v>3</v>
      </c>
      <c r="Z27">
        <f>'1.1 Control Panel'!AA631</f>
        <v>3</v>
      </c>
      <c r="AA27">
        <f>'1.1 Control Panel'!AB631</f>
        <v>3</v>
      </c>
      <c r="AB27" s="736">
        <f t="shared" si="7"/>
        <v>3</v>
      </c>
      <c r="AC27">
        <f>'1.1 Control Panel'!AC631</f>
        <v>5</v>
      </c>
      <c r="AD27">
        <f>'1.1 Control Panel'!AD631</f>
        <v>5</v>
      </c>
      <c r="AE27">
        <f>'1.1 Control Panel'!AE631</f>
        <v>5</v>
      </c>
      <c r="AF27">
        <f>'1.1 Control Panel'!AF631</f>
        <v>5</v>
      </c>
      <c r="AG27">
        <f>'1.1 Control Panel'!AG631</f>
        <v>8</v>
      </c>
      <c r="AH27">
        <f>'1.1 Control Panel'!AH631</f>
        <v>8</v>
      </c>
      <c r="AI27">
        <f>'1.1 Control Panel'!AI631</f>
        <v>8</v>
      </c>
      <c r="AJ27">
        <f>'1.1 Control Panel'!AJ631</f>
        <v>8</v>
      </c>
      <c r="AK27">
        <f>'1.1 Control Panel'!AK631</f>
        <v>10</v>
      </c>
      <c r="AL27">
        <f>'1.1 Control Panel'!AL631</f>
        <v>10</v>
      </c>
      <c r="AM27">
        <f>'1.1 Control Panel'!AM631</f>
        <v>10</v>
      </c>
      <c r="AN27">
        <f>'1.1 Control Panel'!AN631</f>
        <v>10</v>
      </c>
      <c r="AO27" s="736">
        <f t="shared" si="8"/>
        <v>10</v>
      </c>
    </row>
    <row r="28" spans="2:41" x14ac:dyDescent="0.35">
      <c r="B28" s="22" t="s">
        <v>609</v>
      </c>
      <c r="C28">
        <f>'1.1 Control Panel'!E662</f>
        <v>0</v>
      </c>
      <c r="D28">
        <f>'1.1 Control Panel'!F662</f>
        <v>0</v>
      </c>
      <c r="E28">
        <f>'1.1 Control Panel'!G662</f>
        <v>0</v>
      </c>
      <c r="F28">
        <f>'1.1 Control Panel'!H662</f>
        <v>0</v>
      </c>
      <c r="G28">
        <f>'1.1 Control Panel'!I662</f>
        <v>0</v>
      </c>
      <c r="H28">
        <f>'1.1 Control Panel'!J662</f>
        <v>0</v>
      </c>
      <c r="I28">
        <f>'1.1 Control Panel'!K662</f>
        <v>0</v>
      </c>
      <c r="J28">
        <f>'1.1 Control Panel'!L662</f>
        <v>0</v>
      </c>
      <c r="K28">
        <f>'1.1 Control Panel'!M662</f>
        <v>0</v>
      </c>
      <c r="L28">
        <f>'1.1 Control Panel'!N662</f>
        <v>0</v>
      </c>
      <c r="M28">
        <f>'1.1 Control Panel'!O662</f>
        <v>0</v>
      </c>
      <c r="N28">
        <f>'1.1 Control Panel'!P662</f>
        <v>0</v>
      </c>
      <c r="O28" s="736">
        <f t="shared" si="6"/>
        <v>0</v>
      </c>
      <c r="P28">
        <f>'1.1 Control Panel'!Q662</f>
        <v>1</v>
      </c>
      <c r="Q28">
        <f>'1.1 Control Panel'!R662</f>
        <v>1</v>
      </c>
      <c r="R28">
        <f>'1.1 Control Panel'!S662</f>
        <v>1</v>
      </c>
      <c r="S28">
        <f>'1.1 Control Panel'!T662</f>
        <v>1</v>
      </c>
      <c r="T28">
        <f>'1.1 Control Panel'!U662</f>
        <v>2</v>
      </c>
      <c r="U28">
        <f>'1.1 Control Panel'!V662</f>
        <v>2</v>
      </c>
      <c r="V28">
        <f>'1.1 Control Panel'!W662</f>
        <v>2</v>
      </c>
      <c r="W28">
        <f>'1.1 Control Panel'!X662</f>
        <v>2</v>
      </c>
      <c r="X28">
        <f>'1.1 Control Panel'!Y662</f>
        <v>2</v>
      </c>
      <c r="Y28">
        <f>'1.1 Control Panel'!Z662</f>
        <v>2</v>
      </c>
      <c r="Z28">
        <f>'1.1 Control Panel'!AA662</f>
        <v>2</v>
      </c>
      <c r="AA28">
        <f>'1.1 Control Panel'!AB662</f>
        <v>2</v>
      </c>
      <c r="AB28" s="736">
        <f t="shared" si="7"/>
        <v>2</v>
      </c>
      <c r="AC28">
        <f>'1.1 Control Panel'!AC662</f>
        <v>4</v>
      </c>
      <c r="AD28">
        <f>'1.1 Control Panel'!AD662</f>
        <v>4</v>
      </c>
      <c r="AE28">
        <f>'1.1 Control Panel'!AE662</f>
        <v>4</v>
      </c>
      <c r="AF28">
        <f>'1.1 Control Panel'!AF662</f>
        <v>4</v>
      </c>
      <c r="AG28">
        <f>'1.1 Control Panel'!AG662</f>
        <v>6</v>
      </c>
      <c r="AH28">
        <f>'1.1 Control Panel'!AH662</f>
        <v>6</v>
      </c>
      <c r="AI28">
        <f>'1.1 Control Panel'!AI662</f>
        <v>6</v>
      </c>
      <c r="AJ28">
        <f>'1.1 Control Panel'!AJ662</f>
        <v>6</v>
      </c>
      <c r="AK28">
        <f>'1.1 Control Panel'!AK662</f>
        <v>7</v>
      </c>
      <c r="AL28">
        <f>'1.1 Control Panel'!AL662</f>
        <v>7</v>
      </c>
      <c r="AM28">
        <f>'1.1 Control Panel'!AM662</f>
        <v>7</v>
      </c>
      <c r="AN28">
        <f>'1.1 Control Panel'!AN662</f>
        <v>7</v>
      </c>
      <c r="AO28" s="736">
        <f t="shared" si="8"/>
        <v>7</v>
      </c>
    </row>
    <row r="29" spans="2:41" x14ac:dyDescent="0.35">
      <c r="O29" s="736">
        <f>SUM(O17:O28)</f>
        <v>24</v>
      </c>
      <c r="AB29" s="736">
        <f>SUM(AB17:AB28)</f>
        <v>50</v>
      </c>
      <c r="AO29" s="736">
        <f>SUM(AO17:AO28)</f>
        <v>150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C9499-3BD3-43CF-9979-8348EC34E325}">
  <dimension ref="A1:BC362"/>
  <sheetViews>
    <sheetView showGridLines="0" zoomScale="70" zoomScaleNormal="70" workbookViewId="0"/>
  </sheetViews>
  <sheetFormatPr defaultColWidth="0" defaultRowHeight="11.5" zeroHeight="1" outlineLevelRow="1" x14ac:dyDescent="0.25"/>
  <cols>
    <col min="1" max="2" width="3.6328125" style="3" customWidth="1"/>
    <col min="3" max="3" width="47.7265625" style="3" customWidth="1"/>
    <col min="4" max="4" width="8.6328125" style="3" customWidth="1"/>
    <col min="5" max="40" width="12.6328125" style="136" customWidth="1"/>
    <col min="41" max="41" width="0.453125" style="3" customWidth="1"/>
    <col min="42" max="42" width="50.6328125" style="3" customWidth="1"/>
    <col min="43" max="43" width="3.6328125" style="3" customWidth="1"/>
    <col min="44" max="55" width="0" style="3" hidden="1" customWidth="1"/>
    <col min="56" max="16384" width="8.7265625" style="3" hidden="1"/>
  </cols>
  <sheetData>
    <row r="1" spans="1:42" s="4" customFormat="1" ht="14" x14ac:dyDescent="0.3">
      <c r="A1" s="103" t="str">
        <f ca="1">MID(CELL("filename",A1),FIND("]",CELL("filename",A1))+1,255)</f>
        <v>3.2 Doojo Base</v>
      </c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5"/>
    </row>
    <row r="2" spans="1:42" s="5" customFormat="1" x14ac:dyDescent="0.25">
      <c r="A2" s="7" t="s">
        <v>970</v>
      </c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</row>
    <row r="3" spans="1:42" ht="11.5" customHeight="1" x14ac:dyDescent="0.25">
      <c r="C3" s="129"/>
      <c r="D3" s="136"/>
    </row>
    <row r="4" spans="1:42" x14ac:dyDescent="0.25">
      <c r="B4" s="6" t="s">
        <v>0</v>
      </c>
      <c r="C4" s="130" t="s">
        <v>623</v>
      </c>
      <c r="D4" s="139" t="s">
        <v>14</v>
      </c>
      <c r="E4" s="252">
        <v>45688</v>
      </c>
      <c r="F4" s="252">
        <v>45716</v>
      </c>
      <c r="G4" s="252">
        <v>45747</v>
      </c>
      <c r="H4" s="252">
        <v>45777</v>
      </c>
      <c r="I4" s="252">
        <v>45808</v>
      </c>
      <c r="J4" s="252">
        <v>45838</v>
      </c>
      <c r="K4" s="252">
        <v>45869</v>
      </c>
      <c r="L4" s="252">
        <v>45900</v>
      </c>
      <c r="M4" s="252">
        <v>45930</v>
      </c>
      <c r="N4" s="252">
        <v>45961</v>
      </c>
      <c r="O4" s="252">
        <v>45991</v>
      </c>
      <c r="P4" s="252">
        <v>46022</v>
      </c>
      <c r="Q4" s="252">
        <f>E4+365.25</f>
        <v>46053.25</v>
      </c>
      <c r="R4" s="252">
        <f t="shared" ref="R4:AN4" si="0">F4+365.25</f>
        <v>46081.25</v>
      </c>
      <c r="S4" s="252">
        <f t="shared" si="0"/>
        <v>46112.25</v>
      </c>
      <c r="T4" s="252">
        <f t="shared" si="0"/>
        <v>46142.25</v>
      </c>
      <c r="U4" s="252">
        <f t="shared" si="0"/>
        <v>46173.25</v>
      </c>
      <c r="V4" s="252">
        <f t="shared" si="0"/>
        <v>46203.25</v>
      </c>
      <c r="W4" s="252">
        <f t="shared" si="0"/>
        <v>46234.25</v>
      </c>
      <c r="X4" s="252">
        <f t="shared" si="0"/>
        <v>46265.25</v>
      </c>
      <c r="Y4" s="252">
        <f t="shared" si="0"/>
        <v>46295.25</v>
      </c>
      <c r="Z4" s="252">
        <f t="shared" si="0"/>
        <v>46326.25</v>
      </c>
      <c r="AA4" s="252">
        <f t="shared" si="0"/>
        <v>46356.25</v>
      </c>
      <c r="AB4" s="252">
        <f t="shared" si="0"/>
        <v>46387.25</v>
      </c>
      <c r="AC4" s="252">
        <f t="shared" si="0"/>
        <v>46418.5</v>
      </c>
      <c r="AD4" s="252">
        <f t="shared" si="0"/>
        <v>46446.5</v>
      </c>
      <c r="AE4" s="252">
        <f t="shared" si="0"/>
        <v>46477.5</v>
      </c>
      <c r="AF4" s="252">
        <f t="shared" si="0"/>
        <v>46507.5</v>
      </c>
      <c r="AG4" s="252">
        <f t="shared" si="0"/>
        <v>46538.5</v>
      </c>
      <c r="AH4" s="252">
        <f t="shared" si="0"/>
        <v>46568.5</v>
      </c>
      <c r="AI4" s="252">
        <f t="shared" si="0"/>
        <v>46599.5</v>
      </c>
      <c r="AJ4" s="252">
        <f t="shared" si="0"/>
        <v>46630.5</v>
      </c>
      <c r="AK4" s="252">
        <f t="shared" si="0"/>
        <v>46660.5</v>
      </c>
      <c r="AL4" s="252">
        <f t="shared" si="0"/>
        <v>46691.5</v>
      </c>
      <c r="AM4" s="252">
        <f t="shared" si="0"/>
        <v>46721.5</v>
      </c>
      <c r="AN4" s="252">
        <f t="shared" si="0"/>
        <v>46752.5</v>
      </c>
      <c r="AO4" s="74"/>
      <c r="AP4" s="100" t="s">
        <v>45</v>
      </c>
    </row>
    <row r="5" spans="1:42" x14ac:dyDescent="0.25">
      <c r="C5" s="28" t="s">
        <v>648</v>
      </c>
      <c r="D5" s="270" t="s">
        <v>162</v>
      </c>
      <c r="E5" s="137">
        <f>ROUND(SUM(E6:E9)*'1.1 Control Panel'!E701,0)</f>
        <v>106</v>
      </c>
      <c r="F5" s="137">
        <f>ROUND(SUM(F6:F9)*'1.1 Control Panel'!F701,0)</f>
        <v>126</v>
      </c>
      <c r="G5" s="137">
        <f>ROUND(SUM(G6:G9)*'1.1 Control Panel'!G701,0)</f>
        <v>142</v>
      </c>
      <c r="H5" s="137">
        <f>ROUND(SUM(H6:H9)*'1.1 Control Panel'!H701,0)</f>
        <v>155</v>
      </c>
      <c r="I5" s="137">
        <f>ROUND(SUM(I6:I9)*'1.1 Control Panel'!I701,0)</f>
        <v>228</v>
      </c>
      <c r="J5" s="137">
        <f>ROUND(SUM(J6:J9)*'1.1 Control Panel'!J701,0)</f>
        <v>321</v>
      </c>
      <c r="K5" s="137">
        <f>ROUND(SUM(K6:K9)*'1.1 Control Panel'!K701,0)</f>
        <v>333</v>
      </c>
      <c r="L5" s="137">
        <f>ROUND(SUM(L6:L9)*'1.1 Control Panel'!L701,0)</f>
        <v>343</v>
      </c>
      <c r="M5" s="137">
        <f>ROUND(SUM(M6:M9)*'1.1 Control Panel'!M701,0)</f>
        <v>420</v>
      </c>
      <c r="N5" s="137">
        <f>ROUND(SUM(N6:N9)*'1.1 Control Panel'!N701,0)</f>
        <v>447</v>
      </c>
      <c r="O5" s="137">
        <f>ROUND(SUM(O6:O9)*'1.1 Control Panel'!O701,0)</f>
        <v>472</v>
      </c>
      <c r="P5" s="137">
        <f>ROUND(SUM(P6:P9)*'1.1 Control Panel'!P701,0)</f>
        <v>497</v>
      </c>
      <c r="Q5" s="137">
        <f>ROUND(SUM(Q6:Q9)*'1.1 Control Panel'!Q701,0)</f>
        <v>771</v>
      </c>
      <c r="R5" s="137">
        <f>ROUND(SUM(R6:R9)*'1.1 Control Panel'!R701,0)</f>
        <v>776</v>
      </c>
      <c r="S5" s="137">
        <f>ROUND(SUM(S6:S9)*'1.1 Control Panel'!S701,0)</f>
        <v>780</v>
      </c>
      <c r="T5" s="137">
        <f>ROUND(SUM(T6:T9)*'1.1 Control Panel'!T701,0)</f>
        <v>783</v>
      </c>
      <c r="U5" s="137">
        <f>ROUND(SUM(U6:U9)*'1.1 Control Panel'!U701,0)</f>
        <v>1118</v>
      </c>
      <c r="V5" s="137">
        <f>ROUND(SUM(V6:V9)*'1.1 Control Panel'!V701,0)</f>
        <v>1121</v>
      </c>
      <c r="W5" s="137">
        <f>ROUND(SUM(W6:W9)*'1.1 Control Panel'!W701,0)</f>
        <v>1123</v>
      </c>
      <c r="X5" s="137">
        <f>ROUND(SUM(X6:X9)*'1.1 Control Panel'!X701,0)</f>
        <v>1125</v>
      </c>
      <c r="Y5" s="137">
        <f>ROUND(SUM(Y6:Y9)*'1.1 Control Panel'!Y701,0)</f>
        <v>1205</v>
      </c>
      <c r="Z5" s="137">
        <f>ROUND(SUM(Z6:Z9)*'1.1 Control Panel'!Z701,0)</f>
        <v>1206</v>
      </c>
      <c r="AA5" s="137">
        <f>ROUND(SUM(AA6:AA9)*'1.1 Control Panel'!AA701,0)</f>
        <v>1207</v>
      </c>
      <c r="AB5" s="137">
        <f>ROUND(SUM(AB6:AB9)*'1.1 Control Panel'!AB701,0)</f>
        <v>1208</v>
      </c>
      <c r="AC5" s="137">
        <f>ROUND(SUM(AC6:AC9)*'1.1 Control Panel'!AC701,0)</f>
        <v>1975</v>
      </c>
      <c r="AD5" s="137">
        <f>ROUND(SUM(AD6:AD9)*'1.1 Control Panel'!AD701,0)</f>
        <v>1976</v>
      </c>
      <c r="AE5" s="137">
        <f>ROUND(SUM(AE6:AE9)*'1.1 Control Panel'!AE701,0)</f>
        <v>1976</v>
      </c>
      <c r="AF5" s="137">
        <f>ROUND(SUM(AF6:AF9)*'1.1 Control Panel'!AF701,0)</f>
        <v>1977</v>
      </c>
      <c r="AG5" s="137">
        <f>ROUND(SUM(AG6:AG9)*'1.1 Control Panel'!AG701,0)</f>
        <v>2795</v>
      </c>
      <c r="AH5" s="137">
        <f>ROUND(SUM(AH6:AH9)*'1.1 Control Panel'!AH701,0)</f>
        <v>2795</v>
      </c>
      <c r="AI5" s="137">
        <f>ROUND(SUM(AI6:AI9)*'1.1 Control Panel'!AI701,0)</f>
        <v>2795</v>
      </c>
      <c r="AJ5" s="137">
        <f>ROUND(SUM(AJ6:AJ9)*'1.1 Control Panel'!AJ701,0)</f>
        <v>2796</v>
      </c>
      <c r="AK5" s="137">
        <f>ROUND(SUM(AK6:AK9)*'1.1 Control Panel'!AK701,0)</f>
        <v>3413</v>
      </c>
      <c r="AL5" s="137">
        <f>ROUND(SUM(AL6:AL9)*'1.1 Control Panel'!AL701,0)</f>
        <v>3413</v>
      </c>
      <c r="AM5" s="137">
        <f>ROUND(SUM(AM6:AM9)*'1.1 Control Panel'!AM701,0)</f>
        <v>3413</v>
      </c>
      <c r="AN5" s="137">
        <f>ROUND(SUM(AN6:AN9)*'1.1 Control Panel'!AN701,0)</f>
        <v>3413</v>
      </c>
      <c r="AP5" s="20"/>
    </row>
    <row r="6" spans="1:42" x14ac:dyDescent="0.25">
      <c r="C6" s="28" t="s">
        <v>649</v>
      </c>
      <c r="D6" s="270" t="s">
        <v>162</v>
      </c>
      <c r="E6" s="406">
        <f>E14*'1.1 Control Panel'!$E$693*'1.1 Control Panel'!E694</f>
        <v>120</v>
      </c>
      <c r="F6" s="406">
        <f>F14*'1.1 Control Panel'!$E$693*'1.1 Control Panel'!F694</f>
        <v>144</v>
      </c>
      <c r="G6" s="406">
        <f>G14*'1.1 Control Panel'!$E$693*'1.1 Control Panel'!G694</f>
        <v>163.20000000000002</v>
      </c>
      <c r="H6" s="406">
        <f>H14*'1.1 Control Panel'!$E$693*'1.1 Control Panel'!H694</f>
        <v>178.56</v>
      </c>
      <c r="I6" s="406">
        <f>I14*'1.1 Control Panel'!$E$693*'1.1 Control Panel'!I694</f>
        <v>262.416</v>
      </c>
      <c r="J6" s="406">
        <f>J14*'1.1 Control Panel'!$E$693*'1.1 Control Panel'!J694</f>
        <v>376.27200000000005</v>
      </c>
      <c r="K6" s="406">
        <f>K14*'1.1 Control Panel'!$E$693*'1.1 Control Panel'!K694</f>
        <v>391.01760000000007</v>
      </c>
      <c r="L6" s="406">
        <f>L14*'1.1 Control Panel'!$E$693*'1.1 Control Panel'!L694</f>
        <v>402.81408000000005</v>
      </c>
      <c r="M6" s="406">
        <f>M14*'1.1 Control Panel'!$E$693*'1.1 Control Panel'!M694</f>
        <v>494.70151680000009</v>
      </c>
      <c r="N6" s="406">
        <f>N14*'1.1 Control Panel'!$E$693*'1.1 Control Panel'!N694</f>
        <v>531.74794752000014</v>
      </c>
      <c r="O6" s="406">
        <f>O14*'1.1 Control Panel'!$E$693*'1.1 Control Panel'!O694</f>
        <v>567.78774528000008</v>
      </c>
      <c r="P6" s="376">
        <f>P14*'1.1 Control Panel'!$E$693*'1.1 Control Panel'!P694</f>
        <v>602.94170603520013</v>
      </c>
      <c r="Q6" s="376">
        <f>Q14*'1.1 Control Panel'!$E$693*'1.1 Control Panel'!Q694</f>
        <v>927.01465116672023</v>
      </c>
      <c r="R6" s="376">
        <f>R14*'1.1 Control Panel'!$E$693*'1.1 Control Panel'!R694</f>
        <v>933.6117209333762</v>
      </c>
      <c r="S6" s="376">
        <f>S14*'1.1 Control Panel'!$E$693*'1.1 Control Panel'!S694</f>
        <v>938.88937674670115</v>
      </c>
      <c r="T6" s="376">
        <f>T14*'1.1 Control Panel'!$E$693*'1.1 Control Panel'!T694</f>
        <v>943.11150139736094</v>
      </c>
      <c r="U6" s="376">
        <f>U14*'1.1 Control Panel'!$E$693*'1.1 Control Panel'!U694</f>
        <v>1360.578226606965</v>
      </c>
      <c r="V6" s="376">
        <f>V14*'1.1 Control Panel'!$E$693*'1.1 Control Panel'!V694</f>
        <v>1364.4625812855722</v>
      </c>
      <c r="W6" s="376">
        <f>W14*'1.1 Control Panel'!$E$693*'1.1 Control Panel'!W694</f>
        <v>1367.5700650284575</v>
      </c>
      <c r="X6" s="376">
        <f>X14*'1.1 Control Panel'!$E$693*'1.1 Control Panel'!X694</f>
        <v>1370.0560520227664</v>
      </c>
      <c r="Y6" s="376">
        <f>Y14*'1.1 Control Panel'!$E$693*'1.1 Control Panel'!Y694</f>
        <v>1491.3530887154488</v>
      </c>
      <c r="Z6" s="376">
        <f>Z14*'1.1 Control Panel'!$E$693*'1.1 Control Panel'!Z694</f>
        <v>1493.0824709723593</v>
      </c>
      <c r="AA6" s="376">
        <f>AA14*'1.1 Control Panel'!$E$693*'1.1 Control Panel'!AA694</f>
        <v>1494.4659767778874</v>
      </c>
      <c r="AB6" s="376">
        <f>AB14*'1.1 Control Panel'!$E$693*'1.1 Control Panel'!AB694</f>
        <v>1495.5727814223101</v>
      </c>
      <c r="AC6" s="376">
        <f>AC14*'1.1 Control Panel'!$E$693*'1.1 Control Panel'!AC694</f>
        <v>2514.049818231585</v>
      </c>
      <c r="AD6" s="376">
        <f>AD14*'1.1 Control Panel'!$E$693*'1.1 Control Panel'!AD694</f>
        <v>2515.2398545852679</v>
      </c>
      <c r="AE6" s="376">
        <f>AE14*'1.1 Control Panel'!$E$693*'1.1 Control Panel'!AE694</f>
        <v>2516.1918836682148</v>
      </c>
      <c r="AF6" s="376">
        <f>AF14*'1.1 Control Panel'!$E$693*'1.1 Control Panel'!AF694</f>
        <v>2516.953506934572</v>
      </c>
      <c r="AG6" s="376">
        <f>AG14*'1.1 Control Panel'!$E$693*'1.1 Control Panel'!AG694</f>
        <v>3626.4892794198399</v>
      </c>
      <c r="AH6" s="376">
        <f>AH14*'1.1 Control Panel'!$E$693*'1.1 Control Panel'!AH694</f>
        <v>3627.1914235358718</v>
      </c>
      <c r="AI6" s="376">
        <f>AI14*'1.1 Control Panel'!$E$693*'1.1 Control Panel'!AI694</f>
        <v>3627.7531388286975</v>
      </c>
      <c r="AJ6" s="376">
        <f>AJ14*'1.1 Control Panel'!$E$693*'1.1 Control Panel'!AJ694</f>
        <v>3628.2025110629588</v>
      </c>
      <c r="AK6" s="376">
        <f>AK14*'1.1 Control Panel'!$E$693*'1.1 Control Panel'!AK694</f>
        <v>4498.2173663434296</v>
      </c>
      <c r="AL6" s="376">
        <f>AL14*'1.1 Control Panel'!$E$693*'1.1 Control Panel'!AL694</f>
        <v>4498.5738930747439</v>
      </c>
      <c r="AM6" s="376">
        <f>AM14*'1.1 Control Panel'!$E$693*'1.1 Control Panel'!AM694</f>
        <v>4498.8591144597958</v>
      </c>
      <c r="AN6" s="376">
        <f>AN14*'1.1 Control Panel'!$E$693*'1.1 Control Panel'!AN694</f>
        <v>4499.0872915678356</v>
      </c>
      <c r="AP6" s="20"/>
    </row>
    <row r="7" spans="1:42" x14ac:dyDescent="0.25">
      <c r="C7" s="21" t="s">
        <v>650</v>
      </c>
      <c r="D7" s="38" t="s">
        <v>162</v>
      </c>
      <c r="E7" s="406">
        <f>E15*'1.1 Control Panel'!$E$695*'1.1 Control Panel'!E696</f>
        <v>360</v>
      </c>
      <c r="F7" s="406">
        <f>F15*'1.1 Control Panel'!$E$695*'1.1 Control Panel'!F696</f>
        <v>423</v>
      </c>
      <c r="G7" s="406">
        <f>G15*'1.1 Control Panel'!$E$695*'1.1 Control Panel'!G696</f>
        <v>473.40000000000009</v>
      </c>
      <c r="H7" s="406">
        <f>H15*'1.1 Control Panel'!$E$695*'1.1 Control Panel'!H696</f>
        <v>513.72</v>
      </c>
      <c r="I7" s="406">
        <f>I15*'1.1 Control Panel'!$E$695*'1.1 Control Panel'!I696</f>
        <v>760.68</v>
      </c>
      <c r="J7" s="406">
        <f>J15*'1.1 Control Panel'!$E$695*'1.1 Control Panel'!J696</f>
        <v>1068.3072000000004</v>
      </c>
      <c r="K7" s="406">
        <f>K15*'1.1 Control Panel'!$E$695*'1.1 Control Panel'!K696</f>
        <v>1106.6457599999999</v>
      </c>
      <c r="L7" s="406">
        <f>L15*'1.1 Control Panel'!$E$695*'1.1 Control Panel'!L696</f>
        <v>1137.3166080000001</v>
      </c>
      <c r="M7" s="406">
        <f>M15*'1.1 Control Panel'!$E$695*'1.1 Control Panel'!M696</f>
        <v>1409.2040448000002</v>
      </c>
      <c r="N7" s="406">
        <f>N15*'1.1 Control Panel'!$E$695*'1.1 Control Panel'!N696</f>
        <v>1517.3234380800004</v>
      </c>
      <c r="O7" s="406">
        <f>O15*'1.1 Control Panel'!$E$695*'1.1 Control Panel'!O696</f>
        <v>1623.0269122560003</v>
      </c>
      <c r="P7" s="376">
        <f>P15*'1.1 Control Panel'!$E$695*'1.1 Control Panel'!P696</f>
        <v>1726.5560592384002</v>
      </c>
      <c r="Q7" s="376">
        <f>Q15*'1.1 Control Panel'!$E$695*'1.1 Control Panel'!Q696</f>
        <v>2655.3210828595202</v>
      </c>
      <c r="R7" s="376">
        <f>R15*'1.1 Control Panel'!$E$695*'1.1 Control Panel'!R696</f>
        <v>2673.2568662876165</v>
      </c>
      <c r="S7" s="376">
        <f>S15*'1.1 Control Panel'!$E$695*'1.1 Control Panel'!S696</f>
        <v>2687.6054930300934</v>
      </c>
      <c r="T7" s="376">
        <f>T15*'1.1 Control Panel'!$E$695*'1.1 Control Panel'!T696</f>
        <v>2699.0843944240751</v>
      </c>
      <c r="U7" s="376">
        <f>U15*'1.1 Control Panel'!$E$695*'1.1 Control Panel'!U696</f>
        <v>3906.8012294016867</v>
      </c>
      <c r="V7" s="376">
        <f>V15*'1.1 Control Panel'!$E$695*'1.1 Control Panel'!V696</f>
        <v>3917.4409835213501</v>
      </c>
      <c r="W7" s="376">
        <f>W15*'1.1 Control Panel'!$E$695*'1.1 Control Panel'!W696</f>
        <v>3925.9527868170794</v>
      </c>
      <c r="X7" s="376">
        <f>X15*'1.1 Control Panel'!$E$695*'1.1 Control Panel'!X696</f>
        <v>3932.7622294536636</v>
      </c>
      <c r="Y7" s="376">
        <f>Y15*'1.1 Control Panel'!$E$695*'1.1 Control Panel'!Y696</f>
        <v>4251.6533395317119</v>
      </c>
      <c r="Z7" s="376">
        <f>Z15*'1.1 Control Panel'!$E$695*'1.1 Control Panel'!Z696</f>
        <v>4256.3226716253685</v>
      </c>
      <c r="AA7" s="376">
        <f>AA15*'1.1 Control Panel'!$E$695*'1.1 Control Panel'!AA696</f>
        <v>4260.058137300296</v>
      </c>
      <c r="AB7" s="376">
        <f>AB15*'1.1 Control Panel'!$E$695*'1.1 Control Panel'!AB696</f>
        <v>4263.0465098402365</v>
      </c>
      <c r="AC7" s="376">
        <f>AC15*'1.1 Control Panel'!$E$695*'1.1 Control Panel'!AC696</f>
        <v>7139.0620131203168</v>
      </c>
      <c r="AD7" s="376">
        <f>AD15*'1.1 Control Panel'!$E$695*'1.1 Control Panel'!AD696</f>
        <v>7142.2496104962529</v>
      </c>
      <c r="AE7" s="376">
        <f>AE15*'1.1 Control Panel'!$E$695*'1.1 Control Panel'!AE696</f>
        <v>7144.7996883970027</v>
      </c>
      <c r="AF7" s="376">
        <f>AF15*'1.1 Control Panel'!$E$695*'1.1 Control Panel'!AF696</f>
        <v>7146.8397507176041</v>
      </c>
      <c r="AG7" s="376">
        <f>AG15*'1.1 Control Panel'!$E$695*'1.1 Control Panel'!AG696</f>
        <v>10295.599392826678</v>
      </c>
      <c r="AH7" s="376">
        <f>AH15*'1.1 Control Panel'!$E$695*'1.1 Control Panel'!AH696</f>
        <v>10297.479514261342</v>
      </c>
      <c r="AI7" s="376">
        <f>AI15*'1.1 Control Panel'!$E$695*'1.1 Control Panel'!AI696</f>
        <v>10298.983611409074</v>
      </c>
      <c r="AJ7" s="376">
        <f>AJ15*'1.1 Control Panel'!$E$695*'1.1 Control Panel'!AJ696</f>
        <v>10300.186889127262</v>
      </c>
      <c r="AK7" s="376">
        <f>AK15*'1.1 Control Panel'!$E$695*'1.1 Control Panel'!AK696</f>
        <v>12730.258194473523</v>
      </c>
      <c r="AL7" s="376">
        <f>AL15*'1.1 Control Panel'!$E$695*'1.1 Control Panel'!AL696</f>
        <v>12731.206555578819</v>
      </c>
      <c r="AM7" s="376">
        <f>AM15*'1.1 Control Panel'!$E$695*'1.1 Control Panel'!AM696</f>
        <v>12731.965244463054</v>
      </c>
      <c r="AN7" s="376">
        <f>AN15*'1.1 Control Panel'!$E$695*'1.1 Control Panel'!AN696</f>
        <v>12732.572195570445</v>
      </c>
      <c r="AP7" s="21"/>
    </row>
    <row r="8" spans="1:42" x14ac:dyDescent="0.25">
      <c r="C8" s="35" t="s">
        <v>651</v>
      </c>
      <c r="D8" s="98" t="s">
        <v>162</v>
      </c>
      <c r="E8" s="407">
        <f>E16*'1.1 Control Panel'!$E$697*'1.1 Control Panel'!E698</f>
        <v>600</v>
      </c>
      <c r="F8" s="407">
        <f>F16*'1.1 Control Panel'!$E$697*'1.1 Control Panel'!F698</f>
        <v>705</v>
      </c>
      <c r="G8" s="407">
        <f>G16*'1.1 Control Panel'!$E$697*'1.1 Control Panel'!G698</f>
        <v>789.00000000000011</v>
      </c>
      <c r="H8" s="407">
        <f>H16*'1.1 Control Panel'!$E$697*'1.1 Control Panel'!H698</f>
        <v>856.2</v>
      </c>
      <c r="I8" s="407">
        <f>I16*'1.1 Control Panel'!$E$697*'1.1 Control Panel'!I698</f>
        <v>1267.8</v>
      </c>
      <c r="J8" s="407">
        <f>J16*'1.1 Control Panel'!$E$697*'1.1 Control Panel'!J698</f>
        <v>1780.5120000000006</v>
      </c>
      <c r="K8" s="407">
        <f>K16*'1.1 Control Panel'!$E$697*'1.1 Control Panel'!K698</f>
        <v>1844.4096</v>
      </c>
      <c r="L8" s="407">
        <f>L16*'1.1 Control Panel'!$E$697*'1.1 Control Panel'!L698</f>
        <v>1895.5276800000004</v>
      </c>
      <c r="M8" s="407">
        <f>M16*'1.1 Control Panel'!$E$697*'1.1 Control Panel'!M698</f>
        <v>2348.6734080000006</v>
      </c>
      <c r="N8" s="407">
        <f>N16*'1.1 Control Panel'!$E$697*'1.1 Control Panel'!N698</f>
        <v>2528.8723968000004</v>
      </c>
      <c r="O8" s="407">
        <f>O16*'1.1 Control Panel'!$E$697*'1.1 Control Panel'!O698</f>
        <v>2705.0448537600005</v>
      </c>
      <c r="P8" s="407">
        <f>P16*'1.1 Control Panel'!$E$697*'1.1 Control Panel'!P698</f>
        <v>2877.5934320639999</v>
      </c>
      <c r="Q8" s="407">
        <f>Q16*'1.1 Control Panel'!$E$697*'1.1 Control Panel'!Q698</f>
        <v>4425.5351380991997</v>
      </c>
      <c r="R8" s="407">
        <f>R16*'1.1 Control Panel'!$E$697*'1.1 Control Panel'!R698</f>
        <v>4455.4281104793608</v>
      </c>
      <c r="S8" s="407">
        <f>S16*'1.1 Control Panel'!$E$697*'1.1 Control Panel'!S698</f>
        <v>4479.3424883834887</v>
      </c>
      <c r="T8" s="407">
        <f>T16*'1.1 Control Panel'!$E$697*'1.1 Control Panel'!T698</f>
        <v>4498.4739907067915</v>
      </c>
      <c r="U8" s="407">
        <f>U16*'1.1 Control Panel'!$E$697*'1.1 Control Panel'!U698</f>
        <v>6511.335382336144</v>
      </c>
      <c r="V8" s="407">
        <f>V16*'1.1 Control Panel'!$E$697*'1.1 Control Panel'!V698</f>
        <v>6529.0683058689174</v>
      </c>
      <c r="W8" s="407">
        <f>W16*'1.1 Control Panel'!$E$697*'1.1 Control Panel'!W698</f>
        <v>6543.2546446951319</v>
      </c>
      <c r="X8" s="407">
        <f>X16*'1.1 Control Panel'!$E$697*'1.1 Control Panel'!X698</f>
        <v>6554.6037157561059</v>
      </c>
      <c r="Y8" s="407">
        <f>Y16*'1.1 Control Panel'!$E$697*'1.1 Control Panel'!Y698</f>
        <v>7086.0888992195196</v>
      </c>
      <c r="Z8" s="407">
        <f>Z16*'1.1 Control Panel'!$E$697*'1.1 Control Panel'!Z698</f>
        <v>7093.8711193756144</v>
      </c>
      <c r="AA8" s="407">
        <f>AA16*'1.1 Control Panel'!$E$697*'1.1 Control Panel'!AA698</f>
        <v>7100.0968955004919</v>
      </c>
      <c r="AB8" s="407">
        <f>AB16*'1.1 Control Panel'!$E$697*'1.1 Control Panel'!AB698</f>
        <v>7105.0775164003944</v>
      </c>
      <c r="AC8" s="407">
        <f>AC16*'1.1 Control Panel'!$E$697*'1.1 Control Panel'!AC698</f>
        <v>11898.43668853386</v>
      </c>
      <c r="AD8" s="407">
        <f>AD16*'1.1 Control Panel'!$E$697*'1.1 Control Panel'!AD698</f>
        <v>11903.749350827087</v>
      </c>
      <c r="AE8" s="407">
        <f>AE16*'1.1 Control Panel'!$E$697*'1.1 Control Panel'!AE698</f>
        <v>11907.999480661671</v>
      </c>
      <c r="AF8" s="407">
        <f>AF16*'1.1 Control Panel'!$E$697*'1.1 Control Panel'!AF698</f>
        <v>11911.399584529339</v>
      </c>
      <c r="AG8" s="407">
        <f>AG16*'1.1 Control Panel'!$E$697*'1.1 Control Panel'!AG698</f>
        <v>17159.332321377795</v>
      </c>
      <c r="AH8" s="407">
        <f>AH16*'1.1 Control Panel'!$E$697*'1.1 Control Panel'!AH698</f>
        <v>17162.465857102234</v>
      </c>
      <c r="AI8" s="407">
        <f>AI16*'1.1 Control Panel'!$E$697*'1.1 Control Panel'!AI698</f>
        <v>17164.972685681787</v>
      </c>
      <c r="AJ8" s="407">
        <f>AJ16*'1.1 Control Panel'!$E$697*'1.1 Control Panel'!AJ698</f>
        <v>17166.978148545437</v>
      </c>
      <c r="AK8" s="407">
        <f>AK16*'1.1 Control Panel'!$E$697*'1.1 Control Panel'!AK698</f>
        <v>21217.096990789203</v>
      </c>
      <c r="AL8" s="407">
        <f>AL16*'1.1 Control Panel'!$E$697*'1.1 Control Panel'!AL698</f>
        <v>21218.677592631364</v>
      </c>
      <c r="AM8" s="407">
        <f>AM16*'1.1 Control Panel'!$E$697*'1.1 Control Panel'!AM698</f>
        <v>21219.942074105093</v>
      </c>
      <c r="AN8" s="407">
        <f>AN16*'1.1 Control Panel'!$E$697*'1.1 Control Panel'!AN698</f>
        <v>21220.953659284074</v>
      </c>
      <c r="AP8" s="35"/>
    </row>
    <row r="9" spans="1:42" x14ac:dyDescent="0.25">
      <c r="B9" s="33"/>
      <c r="C9" s="327" t="s">
        <v>652</v>
      </c>
      <c r="D9" s="328" t="s">
        <v>162</v>
      </c>
      <c r="E9" s="408">
        <f>E17*'1.1 Control Panel'!$E$699*'1.1 Control Panel'!E700</f>
        <v>1040</v>
      </c>
      <c r="F9" s="408">
        <f>F17*'1.1 Control Panel'!$E$699*'1.1 Control Panel'!F700</f>
        <v>1237.9999999999998</v>
      </c>
      <c r="G9" s="408">
        <f>G17*'1.1 Control Panel'!$E$699*'1.1 Control Panel'!G700</f>
        <v>1420.0000000000002</v>
      </c>
      <c r="H9" s="408">
        <f>H17*'1.1 Control Panel'!$E$699*'1.1 Control Panel'!H700</f>
        <v>1548</v>
      </c>
      <c r="I9" s="408">
        <f>I17*'1.1 Control Panel'!$E$699*'1.1 Control Panel'!I700</f>
        <v>2278.3680000000004</v>
      </c>
      <c r="J9" s="408">
        <f>J17*'1.1 Control Panel'!$E$699*'1.1 Control Panel'!J700</f>
        <v>3203.7920000000004</v>
      </c>
      <c r="K9" s="408">
        <f>K17*'1.1 Control Panel'!$E$699*'1.1 Control Panel'!K700</f>
        <v>3325.0336000000007</v>
      </c>
      <c r="L9" s="408">
        <f>L17*'1.1 Control Panel'!$E$699*'1.1 Control Panel'!L700</f>
        <v>3422.0268800000008</v>
      </c>
      <c r="M9" s="408">
        <f>M17*'1.1 Control Panel'!$E$699*'1.1 Control Panel'!M700</f>
        <v>4142.7116288000007</v>
      </c>
      <c r="N9" s="408">
        <f>N17*'1.1 Control Panel'!$E$699*'1.1 Control Panel'!N700</f>
        <v>4353.5114803200004</v>
      </c>
      <c r="O9" s="408">
        <f>O17*'1.1 Control Panel'!$E$699*'1.1 Control Panel'!O700</f>
        <v>4551.2929914880006</v>
      </c>
      <c r="P9" s="408">
        <f>P17*'1.1 Control Panel'!$E$699*'1.1 Control Panel'!P700</f>
        <v>4741.0214389760004</v>
      </c>
      <c r="Q9" s="408">
        <f>Q17*'1.1 Control Panel'!$E$699*'1.1 Control Panel'!Q700</f>
        <v>7409.102558167041</v>
      </c>
      <c r="R9" s="408">
        <f>R17*'1.1 Control Panel'!$E$699*'1.1 Control Panel'!R700</f>
        <v>7455.2820465336326</v>
      </c>
      <c r="S9" s="408">
        <f>S17*'1.1 Control Panel'!$E$699*'1.1 Control Panel'!S700</f>
        <v>7492.2256372269067</v>
      </c>
      <c r="T9" s="408">
        <f>T17*'1.1 Control Panel'!$E$699*'1.1 Control Panel'!T700</f>
        <v>7521.7805097815253</v>
      </c>
      <c r="U9" s="408">
        <f>U17*'1.1 Control Panel'!$E$699*'1.1 Control Panel'!U700</f>
        <v>10583.899210433627</v>
      </c>
      <c r="V9" s="408">
        <f>V17*'1.1 Control Panel'!$E$699*'1.1 Control Panel'!V700</f>
        <v>10609.119368346901</v>
      </c>
      <c r="W9" s="408">
        <f>W17*'1.1 Control Panel'!$E$699*'1.1 Control Panel'!W700</f>
        <v>10629.295494677523</v>
      </c>
      <c r="X9" s="408">
        <f>X17*'1.1 Control Panel'!$E$699*'1.1 Control Panel'!X700</f>
        <v>10645.436395742017</v>
      </c>
      <c r="Y9" s="408">
        <f>Y17*'1.1 Control Panel'!$E$699*'1.1 Control Panel'!Y700</f>
        <v>11267.426779389929</v>
      </c>
      <c r="Z9" s="408">
        <f>Z17*'1.1 Control Panel'!$E$699*'1.1 Control Panel'!Z700</f>
        <v>11277.941423511944</v>
      </c>
      <c r="AA9" s="408">
        <f>AA17*'1.1 Control Panel'!$E$699*'1.1 Control Panel'!AA700</f>
        <v>11286.353138809554</v>
      </c>
      <c r="AB9" s="408">
        <f>AB17*'1.1 Control Panel'!$E$699*'1.1 Control Panel'!AB700</f>
        <v>11293.082511047643</v>
      </c>
      <c r="AC9" s="408">
        <f>AC17*'1.1 Control Panel'!$E$699*'1.1 Control Panel'!AC700</f>
        <v>17943.637778081902</v>
      </c>
      <c r="AD9" s="408">
        <f>AD17*'1.1 Control Panel'!$E$699*'1.1 Control Panel'!AD700</f>
        <v>17950.910222465525</v>
      </c>
      <c r="AE9" s="408">
        <f>AE17*'1.1 Control Panel'!$E$699*'1.1 Control Panel'!AE700</f>
        <v>17956.728177972422</v>
      </c>
      <c r="AF9" s="408">
        <f>AF17*'1.1 Control Panel'!$E$699*'1.1 Control Panel'!AF700</f>
        <v>17961.382542377938</v>
      </c>
      <c r="AG9" s="408">
        <f>AG17*'1.1 Control Panel'!$E$699*'1.1 Control Panel'!AG700</f>
        <v>24810.908643456652</v>
      </c>
      <c r="AH9" s="408">
        <f>AH17*'1.1 Control Panel'!$E$699*'1.1 Control Panel'!AH700</f>
        <v>24814.726914765313</v>
      </c>
      <c r="AI9" s="408">
        <f>AI17*'1.1 Control Panel'!$E$699*'1.1 Control Panel'!AI700</f>
        <v>24817.781531812252</v>
      </c>
      <c r="AJ9" s="408">
        <f>AJ17*'1.1 Control Panel'!$E$699*'1.1 Control Panel'!AJ700</f>
        <v>24820.225225449809</v>
      </c>
      <c r="AK9" s="408">
        <f>AK17*'1.1 Control Panel'!$E$699*'1.1 Control Panel'!AK700</f>
        <v>29811.134368614661</v>
      </c>
      <c r="AL9" s="408">
        <f>AL17*'1.1 Control Panel'!$E$699*'1.1 Control Panel'!AL700</f>
        <v>29812.907494891733</v>
      </c>
      <c r="AM9" s="408">
        <f>AM17*'1.1 Control Panel'!$E$699*'1.1 Control Panel'!AM700</f>
        <v>29814.325995913383</v>
      </c>
      <c r="AN9" s="408">
        <f>AN17*'1.1 Control Panel'!$E$699*'1.1 Control Panel'!AN700</f>
        <v>29815.460796730709</v>
      </c>
      <c r="AO9" s="44"/>
      <c r="AP9" s="329"/>
    </row>
    <row r="10" spans="1:42" x14ac:dyDescent="0.25">
      <c r="B10" s="33" t="s">
        <v>9</v>
      </c>
      <c r="C10" s="11" t="s">
        <v>623</v>
      </c>
      <c r="D10" s="104" t="s">
        <v>162</v>
      </c>
      <c r="E10" s="448">
        <f>SUM(E5:E9)</f>
        <v>2226</v>
      </c>
      <c r="F10" s="409">
        <f t="shared" ref="F10:AN10" si="1">SUM(F5:F9)</f>
        <v>2636</v>
      </c>
      <c r="G10" s="409">
        <f t="shared" si="1"/>
        <v>2987.6000000000004</v>
      </c>
      <c r="H10" s="409">
        <f t="shared" si="1"/>
        <v>3251.48</v>
      </c>
      <c r="I10" s="409">
        <f t="shared" si="1"/>
        <v>4797.2640000000001</v>
      </c>
      <c r="J10" s="409">
        <f t="shared" si="1"/>
        <v>6749.883200000002</v>
      </c>
      <c r="K10" s="409">
        <f t="shared" si="1"/>
        <v>7000.1065600000002</v>
      </c>
      <c r="L10" s="409">
        <f t="shared" si="1"/>
        <v>7200.6852480000016</v>
      </c>
      <c r="M10" s="409">
        <f t="shared" si="1"/>
        <v>8815.2905984000026</v>
      </c>
      <c r="N10" s="409">
        <f t="shared" si="1"/>
        <v>9378.4552627200028</v>
      </c>
      <c r="O10" s="409">
        <f t="shared" si="1"/>
        <v>9919.1525027840016</v>
      </c>
      <c r="P10" s="409">
        <f t="shared" si="1"/>
        <v>10445.112636313601</v>
      </c>
      <c r="Q10" s="409">
        <f t="shared" si="1"/>
        <v>16187.973430292481</v>
      </c>
      <c r="R10" s="409">
        <f t="shared" si="1"/>
        <v>16293.578744233986</v>
      </c>
      <c r="S10" s="409">
        <f t="shared" si="1"/>
        <v>16378.06299538719</v>
      </c>
      <c r="T10" s="409">
        <f t="shared" si="1"/>
        <v>16445.450396309752</v>
      </c>
      <c r="U10" s="409">
        <f t="shared" si="1"/>
        <v>23480.614048778421</v>
      </c>
      <c r="V10" s="409">
        <f t="shared" si="1"/>
        <v>23541.091239022739</v>
      </c>
      <c r="W10" s="409">
        <f t="shared" si="1"/>
        <v>23589.072991218192</v>
      </c>
      <c r="X10" s="409">
        <f t="shared" si="1"/>
        <v>23627.858392974551</v>
      </c>
      <c r="Y10" s="409">
        <f t="shared" si="1"/>
        <v>25301.52210685661</v>
      </c>
      <c r="Z10" s="409">
        <f t="shared" si="1"/>
        <v>25327.217685485288</v>
      </c>
      <c r="AA10" s="409">
        <f t="shared" si="1"/>
        <v>25347.974148388232</v>
      </c>
      <c r="AB10" s="409">
        <f t="shared" si="1"/>
        <v>25364.779318710585</v>
      </c>
      <c r="AC10" s="409">
        <f t="shared" si="1"/>
        <v>41470.186297967666</v>
      </c>
      <c r="AD10" s="409">
        <f t="shared" si="1"/>
        <v>41488.149038374133</v>
      </c>
      <c r="AE10" s="409">
        <f t="shared" si="1"/>
        <v>41501.719230699309</v>
      </c>
      <c r="AF10" s="409">
        <f t="shared" si="1"/>
        <v>41513.575384559459</v>
      </c>
      <c r="AG10" s="409">
        <f t="shared" si="1"/>
        <v>58687.329637080969</v>
      </c>
      <c r="AH10" s="409">
        <f t="shared" si="1"/>
        <v>58696.863709664758</v>
      </c>
      <c r="AI10" s="409">
        <f t="shared" si="1"/>
        <v>58704.490967731814</v>
      </c>
      <c r="AJ10" s="409">
        <f t="shared" si="1"/>
        <v>58711.592774185468</v>
      </c>
      <c r="AK10" s="409">
        <f t="shared" si="1"/>
        <v>71669.706920220808</v>
      </c>
      <c r="AL10" s="409">
        <f t="shared" si="1"/>
        <v>71674.365536176658</v>
      </c>
      <c r="AM10" s="409">
        <f t="shared" si="1"/>
        <v>71678.092428941323</v>
      </c>
      <c r="AN10" s="409">
        <f t="shared" si="1"/>
        <v>71681.073943153067</v>
      </c>
      <c r="AP10" s="135"/>
    </row>
    <row r="11" spans="1:42" ht="3" customHeight="1" x14ac:dyDescent="0.25"/>
    <row r="12" spans="1:42" s="74" customFormat="1" ht="11.5" customHeight="1" outlineLevel="1" x14ac:dyDescent="0.25">
      <c r="B12" s="45" t="s">
        <v>0</v>
      </c>
      <c r="C12" s="411" t="s">
        <v>653</v>
      </c>
      <c r="D12" s="165" t="s">
        <v>14</v>
      </c>
      <c r="E12" s="412">
        <v>45688</v>
      </c>
      <c r="F12" s="412">
        <v>45716</v>
      </c>
      <c r="G12" s="412">
        <v>45747</v>
      </c>
      <c r="H12" s="412">
        <v>45777</v>
      </c>
      <c r="I12" s="412">
        <v>45808</v>
      </c>
      <c r="J12" s="412">
        <v>45838</v>
      </c>
      <c r="K12" s="412">
        <v>45869</v>
      </c>
      <c r="L12" s="412">
        <v>45900</v>
      </c>
      <c r="M12" s="412">
        <v>45930</v>
      </c>
      <c r="N12" s="412">
        <v>45961</v>
      </c>
      <c r="O12" s="412">
        <v>45991</v>
      </c>
      <c r="P12" s="412">
        <v>46022</v>
      </c>
      <c r="Q12" s="412">
        <f>E12+365.25</f>
        <v>46053.25</v>
      </c>
      <c r="R12" s="412">
        <f t="shared" ref="R12" si="2">F12+365.25</f>
        <v>46081.25</v>
      </c>
      <c r="S12" s="412">
        <f t="shared" ref="S12" si="3">G12+365.25</f>
        <v>46112.25</v>
      </c>
      <c r="T12" s="412">
        <f t="shared" ref="T12" si="4">H12+365.25</f>
        <v>46142.25</v>
      </c>
      <c r="U12" s="412">
        <f t="shared" ref="U12" si="5">I12+365.25</f>
        <v>46173.25</v>
      </c>
      <c r="V12" s="412">
        <f t="shared" ref="V12" si="6">J12+365.25</f>
        <v>46203.25</v>
      </c>
      <c r="W12" s="412">
        <f t="shared" ref="W12" si="7">K12+365.25</f>
        <v>46234.25</v>
      </c>
      <c r="X12" s="412">
        <f t="shared" ref="X12" si="8">L12+365.25</f>
        <v>46265.25</v>
      </c>
      <c r="Y12" s="412">
        <f t="shared" ref="Y12" si="9">M12+365.25</f>
        <v>46295.25</v>
      </c>
      <c r="Z12" s="412">
        <f t="shared" ref="Z12" si="10">N12+365.25</f>
        <v>46326.25</v>
      </c>
      <c r="AA12" s="412">
        <f t="shared" ref="AA12" si="11">O12+365.25</f>
        <v>46356.25</v>
      </c>
      <c r="AB12" s="412">
        <f t="shared" ref="AB12" si="12">P12+365.25</f>
        <v>46387.25</v>
      </c>
      <c r="AC12" s="412">
        <f t="shared" ref="AC12" si="13">Q12+365.25</f>
        <v>46418.5</v>
      </c>
      <c r="AD12" s="412">
        <f t="shared" ref="AD12" si="14">R12+365.25</f>
        <v>46446.5</v>
      </c>
      <c r="AE12" s="412">
        <f t="shared" ref="AE12" si="15">S12+365.25</f>
        <v>46477.5</v>
      </c>
      <c r="AF12" s="412">
        <f t="shared" ref="AF12" si="16">T12+365.25</f>
        <v>46507.5</v>
      </c>
      <c r="AG12" s="412">
        <f t="shared" ref="AG12" si="17">U12+365.25</f>
        <v>46538.5</v>
      </c>
      <c r="AH12" s="412">
        <f t="shared" ref="AH12" si="18">V12+365.25</f>
        <v>46568.5</v>
      </c>
      <c r="AI12" s="412">
        <f t="shared" ref="AI12" si="19">W12+365.25</f>
        <v>46599.5</v>
      </c>
      <c r="AJ12" s="412">
        <f t="shared" ref="AJ12" si="20">X12+365.25</f>
        <v>46630.5</v>
      </c>
      <c r="AK12" s="412">
        <f t="shared" ref="AK12" si="21">Y12+365.25</f>
        <v>46660.5</v>
      </c>
      <c r="AL12" s="412">
        <f t="shared" ref="AL12" si="22">Z12+365.25</f>
        <v>46691.5</v>
      </c>
      <c r="AM12" s="412">
        <f t="shared" ref="AM12" si="23">AA12+365.25</f>
        <v>46721.5</v>
      </c>
      <c r="AN12" s="412">
        <f t="shared" ref="AN12" si="24">AB12+365.25</f>
        <v>46752.5</v>
      </c>
      <c r="AP12" s="413" t="s">
        <v>45</v>
      </c>
    </row>
    <row r="13" spans="1:42" ht="11.5" customHeight="1" outlineLevel="1" x14ac:dyDescent="0.25">
      <c r="C13" s="28" t="s">
        <v>648</v>
      </c>
      <c r="D13" s="270" t="s">
        <v>162</v>
      </c>
      <c r="E13" s="410">
        <v>0</v>
      </c>
      <c r="F13" s="410">
        <v>0</v>
      </c>
      <c r="G13" s="410">
        <v>0</v>
      </c>
      <c r="H13" s="410">
        <v>0</v>
      </c>
      <c r="I13" s="410">
        <v>0</v>
      </c>
      <c r="J13" s="410">
        <v>0</v>
      </c>
      <c r="K13" s="410">
        <v>0</v>
      </c>
      <c r="L13" s="410">
        <v>0</v>
      </c>
      <c r="M13" s="410">
        <v>0</v>
      </c>
      <c r="N13" s="410">
        <v>0</v>
      </c>
      <c r="O13" s="410">
        <v>0</v>
      </c>
      <c r="P13" s="410">
        <v>0</v>
      </c>
      <c r="Q13" s="410">
        <v>0</v>
      </c>
      <c r="R13" s="410">
        <v>0</v>
      </c>
      <c r="S13" s="410">
        <v>0</v>
      </c>
      <c r="T13" s="410">
        <v>0</v>
      </c>
      <c r="U13" s="410">
        <v>0</v>
      </c>
      <c r="V13" s="410">
        <v>0</v>
      </c>
      <c r="W13" s="410">
        <v>0</v>
      </c>
      <c r="X13" s="410">
        <v>0</v>
      </c>
      <c r="Y13" s="410">
        <v>0</v>
      </c>
      <c r="Z13" s="410">
        <v>0</v>
      </c>
      <c r="AA13" s="410">
        <v>0</v>
      </c>
      <c r="AB13" s="410">
        <v>0</v>
      </c>
      <c r="AC13" s="410">
        <v>0</v>
      </c>
      <c r="AD13" s="410">
        <v>0</v>
      </c>
      <c r="AE13" s="410">
        <v>0</v>
      </c>
      <c r="AF13" s="410">
        <v>0</v>
      </c>
      <c r="AG13" s="410">
        <v>0</v>
      </c>
      <c r="AH13" s="410">
        <v>0</v>
      </c>
      <c r="AI13" s="410">
        <v>0</v>
      </c>
      <c r="AJ13" s="410">
        <v>0</v>
      </c>
      <c r="AK13" s="410">
        <v>0</v>
      </c>
      <c r="AL13" s="410">
        <v>0</v>
      </c>
      <c r="AM13" s="410">
        <v>0</v>
      </c>
      <c r="AN13" s="410">
        <v>0</v>
      </c>
      <c r="AP13" s="20"/>
    </row>
    <row r="14" spans="1:42" ht="11.5" customHeight="1" outlineLevel="1" x14ac:dyDescent="0.25">
      <c r="C14" s="28" t="s">
        <v>654</v>
      </c>
      <c r="D14" s="270" t="s">
        <v>162</v>
      </c>
      <c r="E14" s="406">
        <f>E21</f>
        <v>120</v>
      </c>
      <c r="F14" s="406">
        <f t="shared" ref="F14:AN14" si="25">F21</f>
        <v>144</v>
      </c>
      <c r="G14" s="406">
        <f t="shared" si="25"/>
        <v>163.20000000000002</v>
      </c>
      <c r="H14" s="406">
        <f t="shared" si="25"/>
        <v>178.56</v>
      </c>
      <c r="I14" s="406">
        <f t="shared" si="25"/>
        <v>262.416</v>
      </c>
      <c r="J14" s="406">
        <f t="shared" si="25"/>
        <v>376.27200000000005</v>
      </c>
      <c r="K14" s="406">
        <f t="shared" si="25"/>
        <v>391.01760000000007</v>
      </c>
      <c r="L14" s="406">
        <f t="shared" si="25"/>
        <v>402.81408000000005</v>
      </c>
      <c r="M14" s="406">
        <f t="shared" si="25"/>
        <v>494.70151680000009</v>
      </c>
      <c r="N14" s="406">
        <f t="shared" si="25"/>
        <v>531.74794752000014</v>
      </c>
      <c r="O14" s="406">
        <f t="shared" si="25"/>
        <v>567.78774528000008</v>
      </c>
      <c r="P14" s="406">
        <f t="shared" si="25"/>
        <v>602.94170603520013</v>
      </c>
      <c r="Q14" s="406">
        <f t="shared" si="25"/>
        <v>927.01465116672023</v>
      </c>
      <c r="R14" s="406">
        <f t="shared" si="25"/>
        <v>933.6117209333762</v>
      </c>
      <c r="S14" s="406">
        <f t="shared" si="25"/>
        <v>938.88937674670115</v>
      </c>
      <c r="T14" s="406">
        <f t="shared" si="25"/>
        <v>943.11150139736094</v>
      </c>
      <c r="U14" s="406">
        <f t="shared" si="25"/>
        <v>1360.578226606965</v>
      </c>
      <c r="V14" s="406">
        <f t="shared" si="25"/>
        <v>1364.4625812855722</v>
      </c>
      <c r="W14" s="406">
        <f t="shared" si="25"/>
        <v>1367.5700650284575</v>
      </c>
      <c r="X14" s="406">
        <f t="shared" si="25"/>
        <v>1370.0560520227664</v>
      </c>
      <c r="Y14" s="406">
        <f t="shared" si="25"/>
        <v>1491.3530887154488</v>
      </c>
      <c r="Z14" s="406">
        <f t="shared" si="25"/>
        <v>1493.0824709723593</v>
      </c>
      <c r="AA14" s="406">
        <f t="shared" si="25"/>
        <v>1494.4659767778874</v>
      </c>
      <c r="AB14" s="406">
        <f t="shared" si="25"/>
        <v>1495.5727814223101</v>
      </c>
      <c r="AC14" s="406">
        <f t="shared" si="25"/>
        <v>2514.049818231585</v>
      </c>
      <c r="AD14" s="406">
        <f t="shared" si="25"/>
        <v>2515.2398545852679</v>
      </c>
      <c r="AE14" s="406">
        <f t="shared" si="25"/>
        <v>2516.1918836682148</v>
      </c>
      <c r="AF14" s="406">
        <f t="shared" si="25"/>
        <v>2516.953506934572</v>
      </c>
      <c r="AG14" s="406">
        <f t="shared" si="25"/>
        <v>3626.4892794198399</v>
      </c>
      <c r="AH14" s="406">
        <f t="shared" si="25"/>
        <v>3627.1914235358718</v>
      </c>
      <c r="AI14" s="406">
        <f t="shared" si="25"/>
        <v>3627.7531388286975</v>
      </c>
      <c r="AJ14" s="406">
        <f t="shared" si="25"/>
        <v>3628.2025110629588</v>
      </c>
      <c r="AK14" s="406">
        <f t="shared" si="25"/>
        <v>4498.2173663434296</v>
      </c>
      <c r="AL14" s="406">
        <f t="shared" si="25"/>
        <v>4498.5738930747439</v>
      </c>
      <c r="AM14" s="406">
        <f t="shared" si="25"/>
        <v>4498.8591144597958</v>
      </c>
      <c r="AN14" s="406">
        <f t="shared" si="25"/>
        <v>4499.0872915678356</v>
      </c>
      <c r="AP14" s="20"/>
    </row>
    <row r="15" spans="1:42" ht="11.5" customHeight="1" outlineLevel="1" x14ac:dyDescent="0.25">
      <c r="C15" s="21" t="s">
        <v>655</v>
      </c>
      <c r="D15" s="38" t="s">
        <v>162</v>
      </c>
      <c r="E15" s="406">
        <f>E106</f>
        <v>120</v>
      </c>
      <c r="F15" s="406">
        <f t="shared" ref="F15:AN15" si="26">F106</f>
        <v>141</v>
      </c>
      <c r="G15" s="406">
        <f t="shared" si="26"/>
        <v>157.80000000000004</v>
      </c>
      <c r="H15" s="406">
        <f t="shared" si="26"/>
        <v>171.24</v>
      </c>
      <c r="I15" s="406">
        <f t="shared" si="26"/>
        <v>253.56</v>
      </c>
      <c r="J15" s="406">
        <f t="shared" si="26"/>
        <v>356.1024000000001</v>
      </c>
      <c r="K15" s="406">
        <f t="shared" si="26"/>
        <v>368.88191999999998</v>
      </c>
      <c r="L15" s="406">
        <f t="shared" si="26"/>
        <v>379.10553600000009</v>
      </c>
      <c r="M15" s="406">
        <f t="shared" si="26"/>
        <v>469.7346816000001</v>
      </c>
      <c r="N15" s="406">
        <f t="shared" si="26"/>
        <v>505.77447936000016</v>
      </c>
      <c r="O15" s="406">
        <f t="shared" si="26"/>
        <v>541.0089707520001</v>
      </c>
      <c r="P15" s="406">
        <f t="shared" si="26"/>
        <v>575.51868641280009</v>
      </c>
      <c r="Q15" s="406">
        <f t="shared" si="26"/>
        <v>885.1070276198401</v>
      </c>
      <c r="R15" s="406">
        <f t="shared" si="26"/>
        <v>891.08562209587217</v>
      </c>
      <c r="S15" s="406">
        <f t="shared" si="26"/>
        <v>895.86849767669787</v>
      </c>
      <c r="T15" s="406">
        <f t="shared" si="26"/>
        <v>899.69479814135832</v>
      </c>
      <c r="U15" s="406">
        <f t="shared" si="26"/>
        <v>1302.2670764672289</v>
      </c>
      <c r="V15" s="406">
        <f t="shared" si="26"/>
        <v>1305.8136611737834</v>
      </c>
      <c r="W15" s="406">
        <f t="shared" si="26"/>
        <v>1308.6509289390265</v>
      </c>
      <c r="X15" s="406">
        <f t="shared" si="26"/>
        <v>1310.9207431512214</v>
      </c>
      <c r="Y15" s="406">
        <f t="shared" si="26"/>
        <v>1417.2177798439041</v>
      </c>
      <c r="Z15" s="406">
        <f t="shared" si="26"/>
        <v>1418.774223875123</v>
      </c>
      <c r="AA15" s="406">
        <f t="shared" si="26"/>
        <v>1420.0193791000986</v>
      </c>
      <c r="AB15" s="406">
        <f t="shared" si="26"/>
        <v>1421.015503280079</v>
      </c>
      <c r="AC15" s="406">
        <f t="shared" si="26"/>
        <v>2379.6873377067723</v>
      </c>
      <c r="AD15" s="406">
        <f t="shared" si="26"/>
        <v>2380.7498701654176</v>
      </c>
      <c r="AE15" s="406">
        <f t="shared" si="26"/>
        <v>2381.5998961323344</v>
      </c>
      <c r="AF15" s="406">
        <f t="shared" si="26"/>
        <v>2382.279916905868</v>
      </c>
      <c r="AG15" s="406">
        <f t="shared" si="26"/>
        <v>3431.8664642755593</v>
      </c>
      <c r="AH15" s="406">
        <f t="shared" si="26"/>
        <v>3432.4931714204472</v>
      </c>
      <c r="AI15" s="406">
        <f t="shared" si="26"/>
        <v>3432.9945371363578</v>
      </c>
      <c r="AJ15" s="406">
        <f t="shared" si="26"/>
        <v>3433.3956297090876</v>
      </c>
      <c r="AK15" s="406">
        <f t="shared" si="26"/>
        <v>4243.419398157841</v>
      </c>
      <c r="AL15" s="406">
        <f t="shared" si="26"/>
        <v>4243.7355185262732</v>
      </c>
      <c r="AM15" s="406">
        <f t="shared" si="26"/>
        <v>4243.9884148210185</v>
      </c>
      <c r="AN15" s="406">
        <f t="shared" si="26"/>
        <v>4244.1907318568146</v>
      </c>
      <c r="AP15" s="21"/>
    </row>
    <row r="16" spans="1:42" ht="11.5" customHeight="1" outlineLevel="1" x14ac:dyDescent="0.25">
      <c r="C16" s="35" t="s">
        <v>656</v>
      </c>
      <c r="D16" s="98" t="s">
        <v>162</v>
      </c>
      <c r="E16" s="407">
        <f>E191</f>
        <v>120</v>
      </c>
      <c r="F16" s="407">
        <f t="shared" ref="F16:AN16" si="27">F191</f>
        <v>141</v>
      </c>
      <c r="G16" s="407">
        <f t="shared" si="27"/>
        <v>157.80000000000004</v>
      </c>
      <c r="H16" s="407">
        <f t="shared" si="27"/>
        <v>171.24</v>
      </c>
      <c r="I16" s="407">
        <f t="shared" si="27"/>
        <v>253.56</v>
      </c>
      <c r="J16" s="407">
        <f t="shared" si="27"/>
        <v>356.1024000000001</v>
      </c>
      <c r="K16" s="407">
        <f t="shared" si="27"/>
        <v>368.88191999999998</v>
      </c>
      <c r="L16" s="407">
        <f t="shared" si="27"/>
        <v>379.10553600000009</v>
      </c>
      <c r="M16" s="407">
        <f t="shared" si="27"/>
        <v>469.7346816000001</v>
      </c>
      <c r="N16" s="407">
        <f t="shared" si="27"/>
        <v>505.77447936000016</v>
      </c>
      <c r="O16" s="407">
        <f t="shared" si="27"/>
        <v>541.0089707520001</v>
      </c>
      <c r="P16" s="407">
        <f t="shared" si="27"/>
        <v>575.51868641280009</v>
      </c>
      <c r="Q16" s="407">
        <f t="shared" si="27"/>
        <v>885.1070276198401</v>
      </c>
      <c r="R16" s="407">
        <f t="shared" si="27"/>
        <v>891.08562209587217</v>
      </c>
      <c r="S16" s="407">
        <f t="shared" si="27"/>
        <v>895.86849767669787</v>
      </c>
      <c r="T16" s="407">
        <f t="shared" si="27"/>
        <v>899.69479814135832</v>
      </c>
      <c r="U16" s="407">
        <f t="shared" si="27"/>
        <v>1302.2670764672289</v>
      </c>
      <c r="V16" s="407">
        <f t="shared" si="27"/>
        <v>1305.8136611737834</v>
      </c>
      <c r="W16" s="407">
        <f t="shared" si="27"/>
        <v>1308.6509289390265</v>
      </c>
      <c r="X16" s="407">
        <f t="shared" si="27"/>
        <v>1310.9207431512214</v>
      </c>
      <c r="Y16" s="407">
        <f t="shared" si="27"/>
        <v>1417.2177798439041</v>
      </c>
      <c r="Z16" s="407">
        <f t="shared" si="27"/>
        <v>1418.774223875123</v>
      </c>
      <c r="AA16" s="407">
        <f t="shared" si="27"/>
        <v>1420.0193791000986</v>
      </c>
      <c r="AB16" s="407">
        <f t="shared" si="27"/>
        <v>1421.015503280079</v>
      </c>
      <c r="AC16" s="407">
        <f t="shared" si="27"/>
        <v>2379.6873377067723</v>
      </c>
      <c r="AD16" s="407">
        <f t="shared" si="27"/>
        <v>2380.7498701654176</v>
      </c>
      <c r="AE16" s="407">
        <f t="shared" si="27"/>
        <v>2381.5998961323344</v>
      </c>
      <c r="AF16" s="407">
        <f t="shared" si="27"/>
        <v>2382.279916905868</v>
      </c>
      <c r="AG16" s="407">
        <f t="shared" si="27"/>
        <v>3431.8664642755593</v>
      </c>
      <c r="AH16" s="407">
        <f t="shared" si="27"/>
        <v>3432.4931714204472</v>
      </c>
      <c r="AI16" s="407">
        <f t="shared" si="27"/>
        <v>3432.9945371363578</v>
      </c>
      <c r="AJ16" s="407">
        <f t="shared" si="27"/>
        <v>3433.3956297090876</v>
      </c>
      <c r="AK16" s="407">
        <f t="shared" si="27"/>
        <v>4243.419398157841</v>
      </c>
      <c r="AL16" s="407">
        <f t="shared" si="27"/>
        <v>4243.7355185262732</v>
      </c>
      <c r="AM16" s="407">
        <f t="shared" si="27"/>
        <v>4243.9884148210185</v>
      </c>
      <c r="AN16" s="407">
        <f t="shared" si="27"/>
        <v>4244.1907318568146</v>
      </c>
      <c r="AP16" s="35"/>
    </row>
    <row r="17" spans="2:42" ht="11.5" customHeight="1" outlineLevel="1" x14ac:dyDescent="0.25">
      <c r="B17" s="33"/>
      <c r="C17" s="327" t="s">
        <v>657</v>
      </c>
      <c r="D17" s="328" t="s">
        <v>162</v>
      </c>
      <c r="E17" s="408">
        <f>E276</f>
        <v>104</v>
      </c>
      <c r="F17" s="408">
        <f t="shared" ref="F17:AN17" si="28">F276</f>
        <v>123.79999999999998</v>
      </c>
      <c r="G17" s="408">
        <f t="shared" si="28"/>
        <v>142.00000000000003</v>
      </c>
      <c r="H17" s="408">
        <f t="shared" si="28"/>
        <v>154.80000000000001</v>
      </c>
      <c r="I17" s="408">
        <f t="shared" si="28"/>
        <v>227.83680000000004</v>
      </c>
      <c r="J17" s="408">
        <f t="shared" si="28"/>
        <v>320.37920000000003</v>
      </c>
      <c r="K17" s="408">
        <f t="shared" si="28"/>
        <v>332.50336000000004</v>
      </c>
      <c r="L17" s="408">
        <f t="shared" si="28"/>
        <v>342.20268800000008</v>
      </c>
      <c r="M17" s="408">
        <f t="shared" si="28"/>
        <v>414.27116288000008</v>
      </c>
      <c r="N17" s="408">
        <f t="shared" si="28"/>
        <v>435.35114803200008</v>
      </c>
      <c r="O17" s="408">
        <f t="shared" si="28"/>
        <v>455.12929914880004</v>
      </c>
      <c r="P17" s="408">
        <f t="shared" si="28"/>
        <v>474.1021438976</v>
      </c>
      <c r="Q17" s="408">
        <f t="shared" si="28"/>
        <v>740.91025581670408</v>
      </c>
      <c r="R17" s="408">
        <f t="shared" si="28"/>
        <v>745.52820465336322</v>
      </c>
      <c r="S17" s="408">
        <f t="shared" si="28"/>
        <v>749.22256372269067</v>
      </c>
      <c r="T17" s="408">
        <f t="shared" si="28"/>
        <v>752.17805097815256</v>
      </c>
      <c r="U17" s="408">
        <f t="shared" si="28"/>
        <v>1058.3899210433626</v>
      </c>
      <c r="V17" s="408">
        <f t="shared" si="28"/>
        <v>1060.9119368346901</v>
      </c>
      <c r="W17" s="408">
        <f t="shared" si="28"/>
        <v>1062.9295494677522</v>
      </c>
      <c r="X17" s="408">
        <f t="shared" si="28"/>
        <v>1064.5436395742017</v>
      </c>
      <c r="Y17" s="408">
        <f t="shared" si="28"/>
        <v>1126.7426779389928</v>
      </c>
      <c r="Z17" s="408">
        <f t="shared" si="28"/>
        <v>1127.7941423511943</v>
      </c>
      <c r="AA17" s="408">
        <f t="shared" si="28"/>
        <v>1128.6353138809554</v>
      </c>
      <c r="AB17" s="408">
        <f t="shared" si="28"/>
        <v>1129.3082511047644</v>
      </c>
      <c r="AC17" s="408">
        <f t="shared" si="28"/>
        <v>1794.3637778081902</v>
      </c>
      <c r="AD17" s="408">
        <f t="shared" si="28"/>
        <v>1795.0910222465525</v>
      </c>
      <c r="AE17" s="408">
        <f t="shared" si="28"/>
        <v>1795.6728177972423</v>
      </c>
      <c r="AF17" s="408">
        <f t="shared" si="28"/>
        <v>1796.1382542377937</v>
      </c>
      <c r="AG17" s="408">
        <f t="shared" si="28"/>
        <v>2481.0908643456651</v>
      </c>
      <c r="AH17" s="408">
        <f t="shared" si="28"/>
        <v>2481.4726914765315</v>
      </c>
      <c r="AI17" s="408">
        <f t="shared" si="28"/>
        <v>2481.7781531812252</v>
      </c>
      <c r="AJ17" s="408">
        <f t="shared" si="28"/>
        <v>2482.0225225449808</v>
      </c>
      <c r="AK17" s="408">
        <f t="shared" si="28"/>
        <v>2981.1134368614662</v>
      </c>
      <c r="AL17" s="408">
        <f t="shared" si="28"/>
        <v>2981.2907494891733</v>
      </c>
      <c r="AM17" s="408">
        <f t="shared" si="28"/>
        <v>2981.4325995913382</v>
      </c>
      <c r="AN17" s="408">
        <f t="shared" si="28"/>
        <v>2981.5460796730708</v>
      </c>
      <c r="AO17" s="44"/>
      <c r="AP17" s="329"/>
    </row>
    <row r="18" spans="2:42" ht="11.5" customHeight="1" outlineLevel="1" x14ac:dyDescent="0.25">
      <c r="B18" s="33" t="s">
        <v>9</v>
      </c>
      <c r="C18" s="11" t="s">
        <v>653</v>
      </c>
      <c r="D18" s="104" t="s">
        <v>162</v>
      </c>
      <c r="E18" s="448">
        <f>SUM(E13:E17)</f>
        <v>464</v>
      </c>
      <c r="F18" s="409">
        <f t="shared" ref="F18" si="29">SUM(F13:F17)</f>
        <v>549.79999999999995</v>
      </c>
      <c r="G18" s="409">
        <f t="shared" ref="G18" si="30">SUM(G13:G17)</f>
        <v>620.80000000000007</v>
      </c>
      <c r="H18" s="409">
        <f t="shared" ref="H18" si="31">SUM(H13:H17)</f>
        <v>675.83999999999992</v>
      </c>
      <c r="I18" s="409">
        <f t="shared" ref="I18" si="32">SUM(I13:I17)</f>
        <v>997.3728000000001</v>
      </c>
      <c r="J18" s="409">
        <f t="shared" ref="J18" si="33">SUM(J13:J17)</f>
        <v>1408.8560000000004</v>
      </c>
      <c r="K18" s="409">
        <f t="shared" ref="K18" si="34">SUM(K13:K17)</f>
        <v>1461.2847999999999</v>
      </c>
      <c r="L18" s="409">
        <f t="shared" ref="L18" si="35">SUM(L13:L17)</f>
        <v>1503.2278400000002</v>
      </c>
      <c r="M18" s="409">
        <f t="shared" ref="M18" si="36">SUM(M13:M17)</f>
        <v>1848.4420428800004</v>
      </c>
      <c r="N18" s="409">
        <f t="shared" ref="N18" si="37">SUM(N13:N17)</f>
        <v>1978.6480542720005</v>
      </c>
      <c r="O18" s="409">
        <f t="shared" ref="O18" si="38">SUM(O13:O17)</f>
        <v>2104.9349859328004</v>
      </c>
      <c r="P18" s="409">
        <f t="shared" ref="P18" si="39">SUM(P13:P17)</f>
        <v>2228.0812227584001</v>
      </c>
      <c r="Q18" s="409">
        <f t="shared" ref="Q18" si="40">SUM(Q13:Q17)</f>
        <v>3438.1389622231045</v>
      </c>
      <c r="R18" s="409">
        <f t="shared" ref="R18" si="41">SUM(R13:R17)</f>
        <v>3461.3111697784834</v>
      </c>
      <c r="S18" s="409">
        <f t="shared" ref="S18" si="42">SUM(S13:S17)</f>
        <v>3479.8489358227876</v>
      </c>
      <c r="T18" s="409">
        <f t="shared" ref="T18" si="43">SUM(T13:T17)</f>
        <v>3494.6791486582301</v>
      </c>
      <c r="U18" s="409">
        <f t="shared" ref="U18" si="44">SUM(U13:U17)</f>
        <v>5023.5023005847852</v>
      </c>
      <c r="V18" s="409">
        <f t="shared" ref="V18" si="45">SUM(V13:V17)</f>
        <v>5037.0018404678294</v>
      </c>
      <c r="W18" s="409">
        <f t="shared" ref="W18" si="46">SUM(W13:W17)</f>
        <v>5047.8014723742626</v>
      </c>
      <c r="X18" s="409">
        <f t="shared" ref="X18" si="47">SUM(X13:X17)</f>
        <v>5056.4411778994108</v>
      </c>
      <c r="Y18" s="409">
        <f t="shared" ref="Y18" si="48">SUM(Y13:Y17)</f>
        <v>5452.5313263422495</v>
      </c>
      <c r="Z18" s="409">
        <f t="shared" ref="Z18" si="49">SUM(Z13:Z17)</f>
        <v>5458.4250610738</v>
      </c>
      <c r="AA18" s="409">
        <f t="shared" ref="AA18" si="50">SUM(AA13:AA17)</f>
        <v>5463.1400488590398</v>
      </c>
      <c r="AB18" s="409">
        <f t="shared" ref="AB18" si="51">SUM(AB13:AB17)</f>
        <v>5466.9120390872322</v>
      </c>
      <c r="AC18" s="409">
        <f t="shared" ref="AC18" si="52">SUM(AC13:AC17)</f>
        <v>9067.7882714533189</v>
      </c>
      <c r="AD18" s="409">
        <f t="shared" ref="AD18" si="53">SUM(AD13:AD17)</f>
        <v>9071.8306171626555</v>
      </c>
      <c r="AE18" s="409">
        <f t="shared" ref="AE18" si="54">SUM(AE13:AE17)</f>
        <v>9075.0644937301258</v>
      </c>
      <c r="AF18" s="409">
        <f t="shared" ref="AF18" si="55">SUM(AF13:AF17)</f>
        <v>9077.6515949841014</v>
      </c>
      <c r="AG18" s="409">
        <f t="shared" ref="AG18" si="56">SUM(AG13:AG17)</f>
        <v>12971.313072316625</v>
      </c>
      <c r="AH18" s="409">
        <f t="shared" ref="AH18" si="57">SUM(AH13:AH17)</f>
        <v>12973.650457853299</v>
      </c>
      <c r="AI18" s="409">
        <f t="shared" ref="AI18" si="58">SUM(AI13:AI17)</f>
        <v>12975.520366282639</v>
      </c>
      <c r="AJ18" s="409">
        <f t="shared" ref="AJ18" si="59">SUM(AJ13:AJ17)</f>
        <v>12977.016293026116</v>
      </c>
      <c r="AK18" s="409">
        <f t="shared" ref="AK18" si="60">SUM(AK13:AK17)</f>
        <v>15966.169599520577</v>
      </c>
      <c r="AL18" s="409">
        <f t="shared" ref="AL18" si="61">SUM(AL13:AL17)</f>
        <v>15967.335679616464</v>
      </c>
      <c r="AM18" s="409">
        <f t="shared" ref="AM18" si="62">SUM(AM13:AM17)</f>
        <v>15968.268543693172</v>
      </c>
      <c r="AN18" s="409">
        <f t="shared" ref="AN18" si="63">SUM(AN13:AN17)</f>
        <v>15969.014834954536</v>
      </c>
      <c r="AP18" s="135"/>
    </row>
    <row r="19" spans="2:42" ht="3" customHeight="1" x14ac:dyDescent="0.25"/>
    <row r="20" spans="2:42" x14ac:dyDescent="0.25">
      <c r="B20" s="6" t="s">
        <v>0</v>
      </c>
      <c r="C20" s="250" t="s">
        <v>623</v>
      </c>
      <c r="D20" s="248" t="s">
        <v>14</v>
      </c>
      <c r="E20" s="254">
        <v>45688</v>
      </c>
      <c r="F20" s="254">
        <v>45716</v>
      </c>
      <c r="G20" s="254">
        <v>45747</v>
      </c>
      <c r="H20" s="254">
        <v>45777</v>
      </c>
      <c r="I20" s="254">
        <v>45808</v>
      </c>
      <c r="J20" s="254">
        <v>45838</v>
      </c>
      <c r="K20" s="254">
        <v>45869</v>
      </c>
      <c r="L20" s="254">
        <v>45900</v>
      </c>
      <c r="M20" s="254">
        <v>45930</v>
      </c>
      <c r="N20" s="254">
        <v>45961</v>
      </c>
      <c r="O20" s="254">
        <v>45991</v>
      </c>
      <c r="P20" s="254">
        <v>46022</v>
      </c>
      <c r="Q20" s="254">
        <f>E20+365.25</f>
        <v>46053.25</v>
      </c>
      <c r="R20" s="254">
        <f t="shared" ref="R20:AN20" si="64">F20+365.25</f>
        <v>46081.25</v>
      </c>
      <c r="S20" s="254">
        <f t="shared" si="64"/>
        <v>46112.25</v>
      </c>
      <c r="T20" s="254">
        <f t="shared" si="64"/>
        <v>46142.25</v>
      </c>
      <c r="U20" s="254">
        <f t="shared" si="64"/>
        <v>46173.25</v>
      </c>
      <c r="V20" s="254">
        <f t="shared" si="64"/>
        <v>46203.25</v>
      </c>
      <c r="W20" s="254">
        <f t="shared" si="64"/>
        <v>46234.25</v>
      </c>
      <c r="X20" s="254">
        <f t="shared" si="64"/>
        <v>46265.25</v>
      </c>
      <c r="Y20" s="254">
        <f t="shared" si="64"/>
        <v>46295.25</v>
      </c>
      <c r="Z20" s="254">
        <f t="shared" si="64"/>
        <v>46326.25</v>
      </c>
      <c r="AA20" s="254">
        <f t="shared" si="64"/>
        <v>46356.25</v>
      </c>
      <c r="AB20" s="254">
        <f t="shared" si="64"/>
        <v>46387.25</v>
      </c>
      <c r="AC20" s="254">
        <f t="shared" si="64"/>
        <v>46418.5</v>
      </c>
      <c r="AD20" s="254">
        <f t="shared" si="64"/>
        <v>46446.5</v>
      </c>
      <c r="AE20" s="254">
        <f t="shared" si="64"/>
        <v>46477.5</v>
      </c>
      <c r="AF20" s="254">
        <f t="shared" si="64"/>
        <v>46507.5</v>
      </c>
      <c r="AG20" s="254">
        <f t="shared" si="64"/>
        <v>46538.5</v>
      </c>
      <c r="AH20" s="254">
        <f t="shared" si="64"/>
        <v>46568.5</v>
      </c>
      <c r="AI20" s="254">
        <f t="shared" si="64"/>
        <v>46599.5</v>
      </c>
      <c r="AJ20" s="254">
        <f t="shared" si="64"/>
        <v>46630.5</v>
      </c>
      <c r="AK20" s="254">
        <f t="shared" si="64"/>
        <v>46660.5</v>
      </c>
      <c r="AL20" s="254">
        <f t="shared" si="64"/>
        <v>46691.5</v>
      </c>
      <c r="AM20" s="254">
        <f t="shared" si="64"/>
        <v>46721.5</v>
      </c>
      <c r="AN20" s="254">
        <f t="shared" si="64"/>
        <v>46752.5</v>
      </c>
      <c r="AP20" s="100" t="s">
        <v>45</v>
      </c>
    </row>
    <row r="21" spans="2:42" x14ac:dyDescent="0.25">
      <c r="B21" s="19" t="s">
        <v>10</v>
      </c>
      <c r="C21" s="267" t="s">
        <v>429</v>
      </c>
      <c r="D21" s="271" t="s">
        <v>162</v>
      </c>
      <c r="E21" s="379">
        <f>E22+E29+E36+E43+E50+E57+E64+E71+E78+E85+E92+E99</f>
        <v>120</v>
      </c>
      <c r="F21" s="379">
        <f t="shared" ref="F21:H21" si="65">F22+F29+F36+F43+F50+F57+F64+F71+F78+F85+F92+F99</f>
        <v>144</v>
      </c>
      <c r="G21" s="379">
        <f t="shared" si="65"/>
        <v>163.20000000000002</v>
      </c>
      <c r="H21" s="379">
        <f t="shared" si="65"/>
        <v>178.56</v>
      </c>
      <c r="I21" s="379">
        <f t="shared" ref="I21:AN21" si="66">I22+I29+I36+I43+I50+I57+I64+I71+I78+I85+I92+I99</f>
        <v>262.416</v>
      </c>
      <c r="J21" s="379">
        <f t="shared" si="66"/>
        <v>376.27200000000005</v>
      </c>
      <c r="K21" s="379">
        <f t="shared" si="66"/>
        <v>391.01760000000007</v>
      </c>
      <c r="L21" s="379">
        <f t="shared" si="66"/>
        <v>402.81408000000005</v>
      </c>
      <c r="M21" s="379">
        <f t="shared" si="66"/>
        <v>494.70151680000009</v>
      </c>
      <c r="N21" s="379">
        <f t="shared" si="66"/>
        <v>531.74794752000014</v>
      </c>
      <c r="O21" s="379">
        <f t="shared" si="66"/>
        <v>567.78774528000008</v>
      </c>
      <c r="P21" s="379">
        <f t="shared" si="66"/>
        <v>602.94170603520013</v>
      </c>
      <c r="Q21" s="379">
        <f t="shared" si="66"/>
        <v>927.01465116672023</v>
      </c>
      <c r="R21" s="379">
        <f t="shared" si="66"/>
        <v>933.6117209333762</v>
      </c>
      <c r="S21" s="379">
        <f t="shared" si="66"/>
        <v>938.88937674670115</v>
      </c>
      <c r="T21" s="379">
        <f t="shared" si="66"/>
        <v>943.11150139736094</v>
      </c>
      <c r="U21" s="379">
        <f t="shared" si="66"/>
        <v>1360.578226606965</v>
      </c>
      <c r="V21" s="379">
        <f t="shared" si="66"/>
        <v>1364.4625812855722</v>
      </c>
      <c r="W21" s="379">
        <f t="shared" si="66"/>
        <v>1367.5700650284575</v>
      </c>
      <c r="X21" s="379">
        <f t="shared" si="66"/>
        <v>1370.0560520227664</v>
      </c>
      <c r="Y21" s="379">
        <f t="shared" si="66"/>
        <v>1491.3530887154488</v>
      </c>
      <c r="Z21" s="379">
        <f t="shared" si="66"/>
        <v>1493.0824709723593</v>
      </c>
      <c r="AA21" s="379">
        <f t="shared" si="66"/>
        <v>1494.4659767778874</v>
      </c>
      <c r="AB21" s="379">
        <f t="shared" si="66"/>
        <v>1495.5727814223101</v>
      </c>
      <c r="AC21" s="379">
        <f t="shared" si="66"/>
        <v>2514.049818231585</v>
      </c>
      <c r="AD21" s="379">
        <f t="shared" si="66"/>
        <v>2515.2398545852679</v>
      </c>
      <c r="AE21" s="379">
        <f t="shared" si="66"/>
        <v>2516.1918836682148</v>
      </c>
      <c r="AF21" s="379">
        <f t="shared" si="66"/>
        <v>2516.953506934572</v>
      </c>
      <c r="AG21" s="379">
        <f t="shared" si="66"/>
        <v>3626.4892794198399</v>
      </c>
      <c r="AH21" s="379">
        <f t="shared" si="66"/>
        <v>3627.1914235358718</v>
      </c>
      <c r="AI21" s="379">
        <f t="shared" si="66"/>
        <v>3627.7531388286975</v>
      </c>
      <c r="AJ21" s="379">
        <f t="shared" si="66"/>
        <v>3628.2025110629588</v>
      </c>
      <c r="AK21" s="379">
        <f t="shared" si="66"/>
        <v>4498.2173663434296</v>
      </c>
      <c r="AL21" s="379">
        <f t="shared" si="66"/>
        <v>4498.5738930747439</v>
      </c>
      <c r="AM21" s="379">
        <f t="shared" si="66"/>
        <v>4498.8591144597958</v>
      </c>
      <c r="AN21" s="379">
        <f t="shared" si="66"/>
        <v>4499.0872915678356</v>
      </c>
      <c r="AP21" s="267"/>
    </row>
    <row r="22" spans="2:42" x14ac:dyDescent="0.25">
      <c r="B22" s="99" t="s">
        <v>9</v>
      </c>
      <c r="C22" s="105" t="str">
        <f>'4.2 Sector Mapping'!$B$5</f>
        <v>Agriculture</v>
      </c>
      <c r="D22" s="106" t="s">
        <v>162</v>
      </c>
      <c r="E22" s="380">
        <f>SUM(E23:E28)</f>
        <v>0</v>
      </c>
      <c r="F22" s="380">
        <f t="shared" ref="F22:H22" si="67">SUM(F23:F28)</f>
        <v>0</v>
      </c>
      <c r="G22" s="380">
        <f t="shared" si="67"/>
        <v>0</v>
      </c>
      <c r="H22" s="380">
        <f t="shared" si="67"/>
        <v>0</v>
      </c>
      <c r="I22" s="380">
        <f t="shared" ref="I22:AN22" si="68">SUM(I23:I28)</f>
        <v>0</v>
      </c>
      <c r="J22" s="380">
        <f t="shared" si="68"/>
        <v>0</v>
      </c>
      <c r="K22" s="380">
        <f t="shared" si="68"/>
        <v>0</v>
      </c>
      <c r="L22" s="380">
        <f t="shared" si="68"/>
        <v>0</v>
      </c>
      <c r="M22" s="380">
        <f t="shared" si="68"/>
        <v>0</v>
      </c>
      <c r="N22" s="380">
        <f t="shared" si="68"/>
        <v>0</v>
      </c>
      <c r="O22" s="380">
        <f t="shared" si="68"/>
        <v>0</v>
      </c>
      <c r="P22" s="380">
        <f t="shared" si="68"/>
        <v>0</v>
      </c>
      <c r="Q22" s="380">
        <f t="shared" si="68"/>
        <v>0</v>
      </c>
      <c r="R22" s="380">
        <f t="shared" si="68"/>
        <v>0</v>
      </c>
      <c r="S22" s="380">
        <f t="shared" si="68"/>
        <v>0</v>
      </c>
      <c r="T22" s="380">
        <f t="shared" si="68"/>
        <v>0</v>
      </c>
      <c r="U22" s="380">
        <f t="shared" si="68"/>
        <v>29.577787534934018</v>
      </c>
      <c r="V22" s="380">
        <f t="shared" si="68"/>
        <v>29.662230027947217</v>
      </c>
      <c r="W22" s="380">
        <f t="shared" si="68"/>
        <v>29.729784022357777</v>
      </c>
      <c r="X22" s="380">
        <f t="shared" si="68"/>
        <v>29.78382721788622</v>
      </c>
      <c r="Y22" s="380">
        <f t="shared" si="68"/>
        <v>29.827061774308977</v>
      </c>
      <c r="Z22" s="380">
        <f t="shared" si="68"/>
        <v>29.861649419447179</v>
      </c>
      <c r="AA22" s="380">
        <f t="shared" si="68"/>
        <v>29.889319535557746</v>
      </c>
      <c r="AB22" s="380">
        <f t="shared" si="68"/>
        <v>29.911455628446198</v>
      </c>
      <c r="AC22" s="380">
        <f t="shared" si="68"/>
        <v>59.858329005513923</v>
      </c>
      <c r="AD22" s="380">
        <f t="shared" si="68"/>
        <v>59.886663204411136</v>
      </c>
      <c r="AE22" s="380">
        <f t="shared" si="68"/>
        <v>59.909330563528911</v>
      </c>
      <c r="AF22" s="380">
        <f t="shared" si="68"/>
        <v>59.927464450823138</v>
      </c>
      <c r="AG22" s="380">
        <f t="shared" si="68"/>
        <v>89.912957340987759</v>
      </c>
      <c r="AH22" s="380">
        <f t="shared" si="68"/>
        <v>89.930365872790219</v>
      </c>
      <c r="AI22" s="380">
        <f t="shared" si="68"/>
        <v>89.944292698232175</v>
      </c>
      <c r="AJ22" s="380">
        <f t="shared" si="68"/>
        <v>89.955434158585746</v>
      </c>
      <c r="AK22" s="380">
        <f t="shared" si="68"/>
        <v>89.964347326868619</v>
      </c>
      <c r="AL22" s="380">
        <f t="shared" si="68"/>
        <v>89.97147786149489</v>
      </c>
      <c r="AM22" s="380">
        <f t="shared" si="68"/>
        <v>89.977182289195909</v>
      </c>
      <c r="AN22" s="380">
        <f t="shared" si="68"/>
        <v>89.981745831356733</v>
      </c>
      <c r="AP22" s="105"/>
    </row>
    <row r="23" spans="2:42" x14ac:dyDescent="0.25">
      <c r="C23" s="20" t="s">
        <v>600</v>
      </c>
      <c r="D23" s="34" t="s">
        <v>162</v>
      </c>
      <c r="E23" s="28">
        <f>MIN('3.1 Market'!$F14,'1.1 Control Panel'!E324*'1.1 Control Panel'!E$321)</f>
        <v>0</v>
      </c>
      <c r="F23" s="28">
        <f>MIN('3.1 Market'!$F14,'1.1 Control Panel'!F324*'1.1 Control Panel'!F$321)</f>
        <v>0</v>
      </c>
      <c r="G23" s="28">
        <f>MIN('3.1 Market'!$F14,'1.1 Control Panel'!G324*'1.1 Control Panel'!G$321)</f>
        <v>0</v>
      </c>
      <c r="H23" s="28">
        <f>MIN('3.1 Market'!$F14,'1.1 Control Panel'!H324*'1.1 Control Panel'!H$321)</f>
        <v>0</v>
      </c>
      <c r="I23" s="28">
        <f>MIN('3.1 Market'!$F14,'1.1 Control Panel'!I324*'1.1 Control Panel'!I$321)</f>
        <v>0</v>
      </c>
      <c r="J23" s="28">
        <f>MIN('3.1 Market'!$F14,'1.1 Control Panel'!J324*'1.1 Control Panel'!J$321)</f>
        <v>0</v>
      </c>
      <c r="K23" s="28">
        <f>MIN('3.1 Market'!$F14,'1.1 Control Panel'!K324*'1.1 Control Panel'!K$321)</f>
        <v>0</v>
      </c>
      <c r="L23" s="28">
        <f>MIN('3.1 Market'!$F14,'1.1 Control Panel'!L324*'1.1 Control Panel'!L$321)</f>
        <v>0</v>
      </c>
      <c r="M23" s="28">
        <f>MIN('3.1 Market'!$F14,'1.1 Control Panel'!M324*'1.1 Control Panel'!M$321)</f>
        <v>0</v>
      </c>
      <c r="N23" s="28">
        <f>MIN('3.1 Market'!$F14,'1.1 Control Panel'!N324*'1.1 Control Panel'!N$321)</f>
        <v>0</v>
      </c>
      <c r="O23" s="28">
        <f>MIN('3.1 Market'!$F14,'1.1 Control Panel'!O324*'1.1 Control Panel'!O$321)</f>
        <v>0</v>
      </c>
      <c r="P23" s="28">
        <f>MIN('3.1 Market'!$F14,'1.1 Control Panel'!P324*'1.1 Control Panel'!P$321)</f>
        <v>0</v>
      </c>
      <c r="Q23" s="28">
        <f>MIN('3.1 Market'!$G14,'1.1 Control Panel'!Q324*'1.1 Control Panel'!Q$321)</f>
        <v>0</v>
      </c>
      <c r="R23" s="28">
        <f>MIN('3.1 Market'!$G14,'1.1 Control Panel'!R324*'1.1 Control Panel'!R$321)</f>
        <v>0</v>
      </c>
      <c r="S23" s="28">
        <f>MIN('3.1 Market'!$G14,'1.1 Control Panel'!S324*'1.1 Control Panel'!S$321)</f>
        <v>0</v>
      </c>
      <c r="T23" s="28">
        <f>MIN('3.1 Market'!$G14,'1.1 Control Panel'!T324*'1.1 Control Panel'!T$321)</f>
        <v>0</v>
      </c>
      <c r="U23" s="28">
        <f>MIN('3.1 Market'!$G14,'1.1 Control Panel'!U324*'1.1 Control Panel'!U$321)</f>
        <v>5</v>
      </c>
      <c r="V23" s="28">
        <f>MIN('3.1 Market'!$G14,'1.1 Control Panel'!V324*'1.1 Control Panel'!V$321)</f>
        <v>5</v>
      </c>
      <c r="W23" s="28">
        <f>MIN('3.1 Market'!$G14,'1.1 Control Panel'!W324*'1.1 Control Panel'!W$321)</f>
        <v>5</v>
      </c>
      <c r="X23" s="28">
        <f>MIN('3.1 Market'!$G14,'1.1 Control Panel'!X324*'1.1 Control Panel'!X$321)</f>
        <v>5</v>
      </c>
      <c r="Y23" s="28">
        <f>MIN('3.1 Market'!$G14,'1.1 Control Panel'!Y324*'1.1 Control Panel'!Y$321)</f>
        <v>5</v>
      </c>
      <c r="Z23" s="28">
        <f>MIN('3.1 Market'!$G14,'1.1 Control Panel'!Z324*'1.1 Control Panel'!Z$321)</f>
        <v>5</v>
      </c>
      <c r="AA23" s="28">
        <f>MIN('3.1 Market'!$G14,'1.1 Control Panel'!AA324*'1.1 Control Panel'!AA$321)</f>
        <v>5</v>
      </c>
      <c r="AB23" s="28">
        <f>MIN('3.1 Market'!$G14,'1.1 Control Panel'!AB324*'1.1 Control Panel'!AB$321)</f>
        <v>5</v>
      </c>
      <c r="AC23" s="28">
        <f>MIN('3.1 Market'!$H14,'1.1 Control Panel'!AC324*'1.1 Control Panel'!AC$321)</f>
        <v>10</v>
      </c>
      <c r="AD23" s="28">
        <f>MIN('3.1 Market'!$H14,'1.1 Control Panel'!AD324*'1.1 Control Panel'!AD$321)</f>
        <v>10</v>
      </c>
      <c r="AE23" s="28">
        <f>MIN('3.1 Market'!$H14,'1.1 Control Panel'!AE324*'1.1 Control Panel'!AE$321)</f>
        <v>10</v>
      </c>
      <c r="AF23" s="28">
        <f>MIN('3.1 Market'!$H14,'1.1 Control Panel'!AF324*'1.1 Control Panel'!AF$321)</f>
        <v>10</v>
      </c>
      <c r="AG23" s="28">
        <f>MIN('3.1 Market'!$H14,'1.1 Control Panel'!AG324*'1.1 Control Panel'!AG$321)</f>
        <v>15</v>
      </c>
      <c r="AH23" s="28">
        <f>MIN('3.1 Market'!$H14,'1.1 Control Panel'!AH324*'1.1 Control Panel'!AH$321)</f>
        <v>15</v>
      </c>
      <c r="AI23" s="28">
        <f>MIN('3.1 Market'!$H14,'1.1 Control Panel'!AI324*'1.1 Control Panel'!AI$321)</f>
        <v>15</v>
      </c>
      <c r="AJ23" s="28">
        <f>MIN('3.1 Market'!$H14,'1.1 Control Panel'!AJ324*'1.1 Control Panel'!AJ$321)</f>
        <v>15</v>
      </c>
      <c r="AK23" s="28">
        <f>MIN('3.1 Market'!$H14,'1.1 Control Panel'!AK324*'1.1 Control Panel'!AK$321)</f>
        <v>15</v>
      </c>
      <c r="AL23" s="28">
        <f>MIN('3.1 Market'!$H14,'1.1 Control Panel'!AL324*'1.1 Control Panel'!AL$321)</f>
        <v>15</v>
      </c>
      <c r="AM23" s="28">
        <f>MIN('3.1 Market'!$H14,'1.1 Control Panel'!AM324*'1.1 Control Panel'!AM$321)</f>
        <v>15</v>
      </c>
      <c r="AN23" s="28">
        <f>MIN('3.1 Market'!$H14,'1.1 Control Panel'!AN324*'1.1 Control Panel'!AN$321)</f>
        <v>15</v>
      </c>
      <c r="AP23" s="20"/>
    </row>
    <row r="24" spans="2:42" x14ac:dyDescent="0.25">
      <c r="C24" s="20" t="s">
        <v>392</v>
      </c>
      <c r="D24" s="34" t="s">
        <v>162</v>
      </c>
      <c r="E24" s="28">
        <f>MIN('3.1 Market'!$F15,'1.1 Control Panel'!E325*'1.1 Control Panel'!E$321)</f>
        <v>0</v>
      </c>
      <c r="F24" s="28">
        <f>MIN('3.1 Market'!$F15,'1.1 Control Panel'!F325*'1.1 Control Panel'!F$321)</f>
        <v>0</v>
      </c>
      <c r="G24" s="28">
        <f>MIN('3.1 Market'!$F15,'1.1 Control Panel'!G325*'1.1 Control Panel'!G$321)</f>
        <v>0</v>
      </c>
      <c r="H24" s="28">
        <f>MIN('3.1 Market'!$F15,'1.1 Control Panel'!H325*'1.1 Control Panel'!H$321)</f>
        <v>0</v>
      </c>
      <c r="I24" s="28">
        <f>MIN('3.1 Market'!$F15,'1.1 Control Panel'!I325*'1.1 Control Panel'!I$321)</f>
        <v>0</v>
      </c>
      <c r="J24" s="28">
        <f>MIN('3.1 Market'!$F15,'1.1 Control Panel'!J325*'1.1 Control Panel'!J$321)</f>
        <v>0</v>
      </c>
      <c r="K24" s="28">
        <f>MIN('3.1 Market'!$F15,'1.1 Control Panel'!K325*'1.1 Control Panel'!K$321)</f>
        <v>0</v>
      </c>
      <c r="L24" s="28">
        <f>MIN('3.1 Market'!$F15,'1.1 Control Panel'!L325*'1.1 Control Panel'!L$321)</f>
        <v>0</v>
      </c>
      <c r="M24" s="28">
        <f>MIN('3.1 Market'!$F15,'1.1 Control Panel'!M325*'1.1 Control Panel'!M$321)</f>
        <v>0</v>
      </c>
      <c r="N24" s="28">
        <f>MIN('3.1 Market'!$F15,'1.1 Control Panel'!N325*'1.1 Control Panel'!N$321)</f>
        <v>0</v>
      </c>
      <c r="O24" s="28">
        <f>MIN('3.1 Market'!$F15,'1.1 Control Panel'!O325*'1.1 Control Panel'!O$321)</f>
        <v>0</v>
      </c>
      <c r="P24" s="28">
        <f>MIN('3.1 Market'!$F15,'1.1 Control Panel'!P325*'1.1 Control Panel'!P$321)</f>
        <v>0</v>
      </c>
      <c r="Q24" s="28">
        <f>MIN('3.1 Market'!$G15,'1.1 Control Panel'!Q325*'1.1 Control Panel'!Q$321)</f>
        <v>0</v>
      </c>
      <c r="R24" s="28">
        <f>MIN('3.1 Market'!$G15,'1.1 Control Panel'!R325*'1.1 Control Panel'!R$321)</f>
        <v>0</v>
      </c>
      <c r="S24" s="28">
        <f>MIN('3.1 Market'!$G15,'1.1 Control Panel'!S325*'1.1 Control Panel'!S$321)</f>
        <v>0</v>
      </c>
      <c r="T24" s="28">
        <f>MIN('3.1 Market'!$G15,'1.1 Control Panel'!T325*'1.1 Control Panel'!T$321)</f>
        <v>0</v>
      </c>
      <c r="U24" s="28">
        <f>MIN('3.1 Market'!$G15,'1.1 Control Panel'!U325*'1.1 Control Panel'!U$321)</f>
        <v>4.9718525023289359</v>
      </c>
      <c r="V24" s="28">
        <f>MIN('3.1 Market'!$G15,'1.1 Control Panel'!V325*'1.1 Control Panel'!V$321)</f>
        <v>4.9774820018631489</v>
      </c>
      <c r="W24" s="28">
        <f>MIN('3.1 Market'!$G15,'1.1 Control Panel'!W325*'1.1 Control Panel'!W$321)</f>
        <v>4.9819856014905195</v>
      </c>
      <c r="X24" s="28">
        <f>MIN('3.1 Market'!$G15,'1.1 Control Panel'!X325*'1.1 Control Panel'!X$321)</f>
        <v>4.9855884811924156</v>
      </c>
      <c r="Y24" s="28">
        <f>MIN('3.1 Market'!$G15,'1.1 Control Panel'!Y325*'1.1 Control Panel'!Y$321)</f>
        <v>4.9884707849539325</v>
      </c>
      <c r="Z24" s="28">
        <f>MIN('3.1 Market'!$G15,'1.1 Control Panel'!Z325*'1.1 Control Panel'!Z$321)</f>
        <v>4.9907766279631467</v>
      </c>
      <c r="AA24" s="28">
        <f>MIN('3.1 Market'!$G15,'1.1 Control Panel'!AA325*'1.1 Control Panel'!AA$321)</f>
        <v>4.9926213023705177</v>
      </c>
      <c r="AB24" s="28">
        <f>MIN('3.1 Market'!$G15,'1.1 Control Panel'!AB325*'1.1 Control Panel'!AB$321)</f>
        <v>4.9940970418964143</v>
      </c>
      <c r="AC24" s="28">
        <f>MIN('3.1 Market'!$H15,'1.1 Control Panel'!AC325*'1.1 Control Panel'!AC$321)</f>
        <v>9.9905552670342637</v>
      </c>
      <c r="AD24" s="28">
        <f>MIN('3.1 Market'!$H15,'1.1 Control Panel'!AD325*'1.1 Control Panel'!AD$321)</f>
        <v>9.9924442136274116</v>
      </c>
      <c r="AE24" s="28">
        <f>MIN('3.1 Market'!$H15,'1.1 Control Panel'!AE325*'1.1 Control Panel'!AE$321)</f>
        <v>9.9939553709019293</v>
      </c>
      <c r="AF24" s="28">
        <f>MIN('3.1 Market'!$H15,'1.1 Control Panel'!AF325*'1.1 Control Panel'!AF$321)</f>
        <v>9.9951642967215442</v>
      </c>
      <c r="AG24" s="28">
        <f>MIN('3.1 Market'!$H15,'1.1 Control Panel'!AG325*'1.1 Control Panel'!AG$321)</f>
        <v>14.994197156065855</v>
      </c>
      <c r="AH24" s="28">
        <f>MIN('3.1 Market'!$H15,'1.1 Control Panel'!AH325*'1.1 Control Panel'!AH$321)</f>
        <v>14.995357724852683</v>
      </c>
      <c r="AI24" s="28">
        <f>MIN('3.1 Market'!$H15,'1.1 Control Panel'!AI325*'1.1 Control Panel'!AI$321)</f>
        <v>14.996286179882148</v>
      </c>
      <c r="AJ24" s="28">
        <f>MIN('3.1 Market'!$H15,'1.1 Control Panel'!AJ325*'1.1 Control Panel'!AJ$321)</f>
        <v>14.997028943905717</v>
      </c>
      <c r="AK24" s="28">
        <f>MIN('3.1 Market'!$H15,'1.1 Control Panel'!AK325*'1.1 Control Panel'!AK$321)</f>
        <v>14.997623155124575</v>
      </c>
      <c r="AL24" s="28">
        <f>MIN('3.1 Market'!$H15,'1.1 Control Panel'!AL325*'1.1 Control Panel'!AL$321)</f>
        <v>14.99809852409966</v>
      </c>
      <c r="AM24" s="28">
        <f>MIN('3.1 Market'!$H15,'1.1 Control Panel'!AM325*'1.1 Control Panel'!AM$321)</f>
        <v>14.998478819279727</v>
      </c>
      <c r="AN24" s="28">
        <f>MIN('3.1 Market'!$H15,'1.1 Control Panel'!AN325*'1.1 Control Panel'!AN$321)</f>
        <v>14.998783055423781</v>
      </c>
      <c r="AP24" s="20"/>
    </row>
    <row r="25" spans="2:42" x14ac:dyDescent="0.25">
      <c r="C25" s="20" t="s">
        <v>454</v>
      </c>
      <c r="D25" s="34" t="s">
        <v>162</v>
      </c>
      <c r="E25" s="28">
        <f>MIN('3.1 Market'!$F16,'1.1 Control Panel'!E326*'1.1 Control Panel'!E$321)</f>
        <v>0</v>
      </c>
      <c r="F25" s="28">
        <f>MIN('3.1 Market'!$F16,'1.1 Control Panel'!F326*'1.1 Control Panel'!F$321)</f>
        <v>0</v>
      </c>
      <c r="G25" s="28">
        <f>MIN('3.1 Market'!$F16,'1.1 Control Panel'!G326*'1.1 Control Panel'!G$321)</f>
        <v>0</v>
      </c>
      <c r="H25" s="28">
        <f>MIN('3.1 Market'!$F16,'1.1 Control Panel'!H326*'1.1 Control Panel'!H$321)</f>
        <v>0</v>
      </c>
      <c r="I25" s="28">
        <f>MIN('3.1 Market'!$F16,'1.1 Control Panel'!I326*'1.1 Control Panel'!I$321)</f>
        <v>0</v>
      </c>
      <c r="J25" s="28">
        <f>MIN('3.1 Market'!$F16,'1.1 Control Panel'!J326*'1.1 Control Panel'!J$321)</f>
        <v>0</v>
      </c>
      <c r="K25" s="28">
        <f>MIN('3.1 Market'!$F16,'1.1 Control Panel'!K326*'1.1 Control Panel'!K$321)</f>
        <v>0</v>
      </c>
      <c r="L25" s="28">
        <f>MIN('3.1 Market'!$F16,'1.1 Control Panel'!L326*'1.1 Control Panel'!L$321)</f>
        <v>0</v>
      </c>
      <c r="M25" s="28">
        <f>MIN('3.1 Market'!$F16,'1.1 Control Panel'!M326*'1.1 Control Panel'!M$321)</f>
        <v>0</v>
      </c>
      <c r="N25" s="28">
        <f>MIN('3.1 Market'!$F16,'1.1 Control Panel'!N326*'1.1 Control Panel'!N$321)</f>
        <v>0</v>
      </c>
      <c r="O25" s="28">
        <f>MIN('3.1 Market'!$F16,'1.1 Control Panel'!O326*'1.1 Control Panel'!O$321)</f>
        <v>0</v>
      </c>
      <c r="P25" s="28">
        <f>MIN('3.1 Market'!$F16,'1.1 Control Panel'!P326*'1.1 Control Panel'!P$321)</f>
        <v>0</v>
      </c>
      <c r="Q25" s="28">
        <f>MIN('3.1 Market'!$G16,'1.1 Control Panel'!Q326*'1.1 Control Panel'!Q$321)</f>
        <v>0</v>
      </c>
      <c r="R25" s="28">
        <f>MIN('3.1 Market'!$G16,'1.1 Control Panel'!R326*'1.1 Control Panel'!R$321)</f>
        <v>0</v>
      </c>
      <c r="S25" s="28">
        <f>MIN('3.1 Market'!$G16,'1.1 Control Panel'!S326*'1.1 Control Panel'!S$321)</f>
        <v>0</v>
      </c>
      <c r="T25" s="28">
        <f>MIN('3.1 Market'!$G16,'1.1 Control Panel'!T326*'1.1 Control Panel'!T$321)</f>
        <v>0</v>
      </c>
      <c r="U25" s="28">
        <f>MIN('3.1 Market'!$G16,'1.1 Control Panel'!U326*'1.1 Control Panel'!U$321)</f>
        <v>4.9437050046578701</v>
      </c>
      <c r="V25" s="28">
        <f>MIN('3.1 Market'!$G16,'1.1 Control Panel'!V326*'1.1 Control Panel'!V$321)</f>
        <v>4.9549640037262961</v>
      </c>
      <c r="W25" s="28">
        <f>MIN('3.1 Market'!$G16,'1.1 Control Panel'!W326*'1.1 Control Panel'!W$321)</f>
        <v>4.9639712029810372</v>
      </c>
      <c r="X25" s="28">
        <f>MIN('3.1 Market'!$G16,'1.1 Control Panel'!X326*'1.1 Control Panel'!X$321)</f>
        <v>4.9711769623848294</v>
      </c>
      <c r="Y25" s="28">
        <f>MIN('3.1 Market'!$G16,'1.1 Control Panel'!Y326*'1.1 Control Panel'!Y$321)</f>
        <v>4.9769415699078632</v>
      </c>
      <c r="Z25" s="28">
        <f>MIN('3.1 Market'!$G16,'1.1 Control Panel'!Z326*'1.1 Control Panel'!Z$321)</f>
        <v>4.9815532559262907</v>
      </c>
      <c r="AA25" s="28">
        <f>MIN('3.1 Market'!$G16,'1.1 Control Panel'!AA326*'1.1 Control Panel'!AA$321)</f>
        <v>4.9852426047410328</v>
      </c>
      <c r="AB25" s="28">
        <f>MIN('3.1 Market'!$G16,'1.1 Control Panel'!AB326*'1.1 Control Panel'!AB$321)</f>
        <v>4.9881940837928269</v>
      </c>
      <c r="AC25" s="28">
        <f>MIN('3.1 Market'!$H16,'1.1 Control Panel'!AC326*'1.1 Control Panel'!AC$321)</f>
        <v>9.9811105340685238</v>
      </c>
      <c r="AD25" s="28">
        <f>MIN('3.1 Market'!$H16,'1.1 Control Panel'!AD326*'1.1 Control Panel'!AD$321)</f>
        <v>9.9848884272548197</v>
      </c>
      <c r="AE25" s="28">
        <f>MIN('3.1 Market'!$H16,'1.1 Control Panel'!AE326*'1.1 Control Panel'!AE$321)</f>
        <v>9.9879107418038551</v>
      </c>
      <c r="AF25" s="28">
        <f>MIN('3.1 Market'!$H16,'1.1 Control Panel'!AF326*'1.1 Control Panel'!AF$321)</f>
        <v>9.9903285934430848</v>
      </c>
      <c r="AG25" s="28">
        <f>MIN('3.1 Market'!$H16,'1.1 Control Panel'!AG326*'1.1 Control Panel'!AG$321)</f>
        <v>14.988394312131703</v>
      </c>
      <c r="AH25" s="28">
        <f>MIN('3.1 Market'!$H16,'1.1 Control Panel'!AH326*'1.1 Control Panel'!AH$321)</f>
        <v>14.990715449705361</v>
      </c>
      <c r="AI25" s="28">
        <f>MIN('3.1 Market'!$H16,'1.1 Control Panel'!AI326*'1.1 Control Panel'!AI$321)</f>
        <v>14.992572359764289</v>
      </c>
      <c r="AJ25" s="28">
        <f>MIN('3.1 Market'!$H16,'1.1 Control Panel'!AJ326*'1.1 Control Panel'!AJ$321)</f>
        <v>14.994057887811433</v>
      </c>
      <c r="AK25" s="28">
        <f>MIN('3.1 Market'!$H16,'1.1 Control Panel'!AK326*'1.1 Control Panel'!AK$321)</f>
        <v>14.995246310249145</v>
      </c>
      <c r="AL25" s="28">
        <f>MIN('3.1 Market'!$H16,'1.1 Control Panel'!AL326*'1.1 Control Panel'!AL$321)</f>
        <v>14.996197048199315</v>
      </c>
      <c r="AM25" s="28">
        <f>MIN('3.1 Market'!$H16,'1.1 Control Panel'!AM326*'1.1 Control Panel'!AM$321)</f>
        <v>14.996957638559454</v>
      </c>
      <c r="AN25" s="28">
        <f>MIN('3.1 Market'!$H16,'1.1 Control Panel'!AN326*'1.1 Control Panel'!AN$321)</f>
        <v>14.997566110847565</v>
      </c>
      <c r="AP25" s="20"/>
    </row>
    <row r="26" spans="2:42" x14ac:dyDescent="0.25">
      <c r="C26" s="21" t="s">
        <v>455</v>
      </c>
      <c r="D26" s="38" t="s">
        <v>162</v>
      </c>
      <c r="E26" s="376">
        <f>MIN('3.1 Market'!$F17,'1.1 Control Panel'!E327*'1.1 Control Panel'!E$321)</f>
        <v>0</v>
      </c>
      <c r="F26" s="376">
        <f>MIN('3.1 Market'!$F17,'1.1 Control Panel'!F327*'1.1 Control Panel'!F$321)</f>
        <v>0</v>
      </c>
      <c r="G26" s="376">
        <f>MIN('3.1 Market'!$F17,'1.1 Control Panel'!G327*'1.1 Control Panel'!G$321)</f>
        <v>0</v>
      </c>
      <c r="H26" s="376">
        <f>MIN('3.1 Market'!$F17,'1.1 Control Panel'!H327*'1.1 Control Panel'!H$321)</f>
        <v>0</v>
      </c>
      <c r="I26" s="376">
        <f>MIN('3.1 Market'!$F17,'1.1 Control Panel'!I327*'1.1 Control Panel'!I$321)</f>
        <v>0</v>
      </c>
      <c r="J26" s="376">
        <f>MIN('3.1 Market'!$F17,'1.1 Control Panel'!J327*'1.1 Control Panel'!J$321)</f>
        <v>0</v>
      </c>
      <c r="K26" s="376">
        <f>MIN('3.1 Market'!$F17,'1.1 Control Panel'!K327*'1.1 Control Panel'!K$321)</f>
        <v>0</v>
      </c>
      <c r="L26" s="376">
        <f>MIN('3.1 Market'!$F17,'1.1 Control Panel'!L327*'1.1 Control Panel'!L$321)</f>
        <v>0</v>
      </c>
      <c r="M26" s="376">
        <f>MIN('3.1 Market'!$F17,'1.1 Control Panel'!M327*'1.1 Control Panel'!M$321)</f>
        <v>0</v>
      </c>
      <c r="N26" s="376">
        <f>MIN('3.1 Market'!$F17,'1.1 Control Panel'!N327*'1.1 Control Panel'!N$321)</f>
        <v>0</v>
      </c>
      <c r="O26" s="376">
        <f>MIN('3.1 Market'!$F17,'1.1 Control Panel'!O327*'1.1 Control Panel'!O$321)</f>
        <v>0</v>
      </c>
      <c r="P26" s="376">
        <f>MIN('3.1 Market'!$F17,'1.1 Control Panel'!P327*'1.1 Control Panel'!P$321)</f>
        <v>0</v>
      </c>
      <c r="Q26" s="376">
        <f>MIN('3.1 Market'!$G17,'1.1 Control Panel'!Q327*'1.1 Control Panel'!Q$321)</f>
        <v>0</v>
      </c>
      <c r="R26" s="376">
        <f>MIN('3.1 Market'!$G17,'1.1 Control Panel'!R327*'1.1 Control Panel'!R$321)</f>
        <v>0</v>
      </c>
      <c r="S26" s="376">
        <f>MIN('3.1 Market'!$G17,'1.1 Control Panel'!S327*'1.1 Control Panel'!S$321)</f>
        <v>0</v>
      </c>
      <c r="T26" s="376">
        <f>MIN('3.1 Market'!$G17,'1.1 Control Panel'!T327*'1.1 Control Panel'!T$321)</f>
        <v>0</v>
      </c>
      <c r="U26" s="376">
        <f>MIN('3.1 Market'!$G17,'1.1 Control Panel'!U327*'1.1 Control Panel'!U$321)</f>
        <v>4.9155575069868043</v>
      </c>
      <c r="V26" s="376">
        <f>MIN('3.1 Market'!$G17,'1.1 Control Panel'!V327*'1.1 Control Panel'!V$321)</f>
        <v>4.9324460055894441</v>
      </c>
      <c r="W26" s="376">
        <f>MIN('3.1 Market'!$G17,'1.1 Control Panel'!W327*'1.1 Control Panel'!W$321)</f>
        <v>4.9459568044715549</v>
      </c>
      <c r="X26" s="376">
        <f>MIN('3.1 Market'!$G17,'1.1 Control Panel'!X327*'1.1 Control Panel'!X$321)</f>
        <v>4.9567654435772441</v>
      </c>
      <c r="Y26" s="376">
        <f>MIN('3.1 Market'!$G17,'1.1 Control Panel'!Y327*'1.1 Control Panel'!Y$321)</f>
        <v>4.9654123548617957</v>
      </c>
      <c r="Z26" s="376">
        <f>MIN('3.1 Market'!$G17,'1.1 Control Panel'!Z327*'1.1 Control Panel'!Z$321)</f>
        <v>4.9723298838894365</v>
      </c>
      <c r="AA26" s="376">
        <f>MIN('3.1 Market'!$G17,'1.1 Control Panel'!AA327*'1.1 Control Panel'!AA$321)</f>
        <v>4.9778639071115496</v>
      </c>
      <c r="AB26" s="376">
        <f>MIN('3.1 Market'!$G17,'1.1 Control Panel'!AB327*'1.1 Control Panel'!AB$321)</f>
        <v>4.9822911256892404</v>
      </c>
      <c r="AC26" s="376">
        <f>MIN('3.1 Market'!$H17,'1.1 Control Panel'!AC327*'1.1 Control Panel'!AC$321)</f>
        <v>9.9716658011027839</v>
      </c>
      <c r="AD26" s="376">
        <f>MIN('3.1 Market'!$H17,'1.1 Control Panel'!AD327*'1.1 Control Panel'!AD$321)</f>
        <v>9.9773326408822278</v>
      </c>
      <c r="AE26" s="376">
        <f>MIN('3.1 Market'!$H17,'1.1 Control Panel'!AE327*'1.1 Control Panel'!AE$321)</f>
        <v>9.9818661127057826</v>
      </c>
      <c r="AF26" s="376">
        <f>MIN('3.1 Market'!$H17,'1.1 Control Panel'!AF327*'1.1 Control Panel'!AF$321)</f>
        <v>9.9854928901646254</v>
      </c>
      <c r="AG26" s="376">
        <f>MIN('3.1 Market'!$H17,'1.1 Control Panel'!AG327*'1.1 Control Panel'!AG$321)</f>
        <v>14.982591468197549</v>
      </c>
      <c r="AH26" s="376">
        <f>MIN('3.1 Market'!$H17,'1.1 Control Panel'!AH327*'1.1 Control Panel'!AH$321)</f>
        <v>14.986073174558038</v>
      </c>
      <c r="AI26" s="376">
        <f>MIN('3.1 Market'!$H17,'1.1 Control Panel'!AI327*'1.1 Control Panel'!AI$321)</f>
        <v>14.988858539646433</v>
      </c>
      <c r="AJ26" s="376">
        <f>MIN('3.1 Market'!$H17,'1.1 Control Panel'!AJ327*'1.1 Control Panel'!AJ$321)</f>
        <v>14.991086831717148</v>
      </c>
      <c r="AK26" s="376">
        <f>MIN('3.1 Market'!$H17,'1.1 Control Panel'!AK327*'1.1 Control Panel'!AK$321)</f>
        <v>14.992869465373719</v>
      </c>
      <c r="AL26" s="376">
        <f>MIN('3.1 Market'!$H17,'1.1 Control Panel'!AL327*'1.1 Control Panel'!AL$321)</f>
        <v>14.994295572298975</v>
      </c>
      <c r="AM26" s="376">
        <f>MIN('3.1 Market'!$H17,'1.1 Control Panel'!AM327*'1.1 Control Panel'!AM$321)</f>
        <v>14.995436457839181</v>
      </c>
      <c r="AN26" s="376">
        <f>MIN('3.1 Market'!$H17,'1.1 Control Panel'!AN327*'1.1 Control Panel'!AN$321)</f>
        <v>14.996349166271347</v>
      </c>
      <c r="AP26" s="21"/>
    </row>
    <row r="27" spans="2:42" x14ac:dyDescent="0.25">
      <c r="C27" s="21" t="s">
        <v>393</v>
      </c>
      <c r="D27" s="38" t="s">
        <v>162</v>
      </c>
      <c r="E27" s="376">
        <f>MIN('3.1 Market'!$F18,'1.1 Control Panel'!E328*'1.1 Control Panel'!E$321)</f>
        <v>0</v>
      </c>
      <c r="F27" s="376">
        <f>MIN('3.1 Market'!$F18,'1.1 Control Panel'!F328*'1.1 Control Panel'!F$321)</f>
        <v>0</v>
      </c>
      <c r="G27" s="376">
        <f>MIN('3.1 Market'!$F18,'1.1 Control Panel'!G328*'1.1 Control Panel'!G$321)</f>
        <v>0</v>
      </c>
      <c r="H27" s="376">
        <f>MIN('3.1 Market'!$F18,'1.1 Control Panel'!H328*'1.1 Control Panel'!H$321)</f>
        <v>0</v>
      </c>
      <c r="I27" s="376">
        <f>MIN('3.1 Market'!$F18,'1.1 Control Panel'!I328*'1.1 Control Panel'!I$321)</f>
        <v>0</v>
      </c>
      <c r="J27" s="376">
        <f>MIN('3.1 Market'!$F18,'1.1 Control Panel'!J328*'1.1 Control Panel'!J$321)</f>
        <v>0</v>
      </c>
      <c r="K27" s="376">
        <f>MIN('3.1 Market'!$F18,'1.1 Control Panel'!K328*'1.1 Control Panel'!K$321)</f>
        <v>0</v>
      </c>
      <c r="L27" s="376">
        <f>MIN('3.1 Market'!$F18,'1.1 Control Panel'!L328*'1.1 Control Panel'!L$321)</f>
        <v>0</v>
      </c>
      <c r="M27" s="376">
        <f>MIN('3.1 Market'!$F18,'1.1 Control Panel'!M328*'1.1 Control Panel'!M$321)</f>
        <v>0</v>
      </c>
      <c r="N27" s="376">
        <f>MIN('3.1 Market'!$F18,'1.1 Control Panel'!N328*'1.1 Control Panel'!N$321)</f>
        <v>0</v>
      </c>
      <c r="O27" s="376">
        <f>MIN('3.1 Market'!$F18,'1.1 Control Panel'!O328*'1.1 Control Panel'!O$321)</f>
        <v>0</v>
      </c>
      <c r="P27" s="376">
        <f>MIN('3.1 Market'!$F18,'1.1 Control Panel'!P328*'1.1 Control Panel'!P$321)</f>
        <v>0</v>
      </c>
      <c r="Q27" s="376">
        <f>MIN('3.1 Market'!$G18,'1.1 Control Panel'!Q328*'1.1 Control Panel'!Q$321)</f>
        <v>0</v>
      </c>
      <c r="R27" s="376">
        <f>MIN('3.1 Market'!$G18,'1.1 Control Panel'!R328*'1.1 Control Panel'!R$321)</f>
        <v>0</v>
      </c>
      <c r="S27" s="376">
        <f>MIN('3.1 Market'!$G18,'1.1 Control Panel'!S328*'1.1 Control Panel'!S$321)</f>
        <v>0</v>
      </c>
      <c r="T27" s="376">
        <f>MIN('3.1 Market'!$G18,'1.1 Control Panel'!T328*'1.1 Control Panel'!T$321)</f>
        <v>0</v>
      </c>
      <c r="U27" s="376">
        <f>MIN('3.1 Market'!$G18,'1.1 Control Panel'!U328*'1.1 Control Panel'!U$321)</f>
        <v>4.8874100093157384</v>
      </c>
      <c r="V27" s="376">
        <f>MIN('3.1 Market'!$G18,'1.1 Control Panel'!V328*'1.1 Control Panel'!V$321)</f>
        <v>4.9099280074525904</v>
      </c>
      <c r="W27" s="376">
        <f>MIN('3.1 Market'!$G18,'1.1 Control Panel'!W328*'1.1 Control Panel'!W$321)</f>
        <v>4.9279424059620727</v>
      </c>
      <c r="X27" s="376">
        <f>MIN('3.1 Market'!$G18,'1.1 Control Panel'!X328*'1.1 Control Panel'!X$321)</f>
        <v>4.9423539247696588</v>
      </c>
      <c r="Y27" s="376">
        <f>MIN('3.1 Market'!$G18,'1.1 Control Panel'!Y328*'1.1 Control Panel'!Y$321)</f>
        <v>4.9538831398157273</v>
      </c>
      <c r="Z27" s="376">
        <f>MIN('3.1 Market'!$G18,'1.1 Control Panel'!Z328*'1.1 Control Panel'!Z$321)</f>
        <v>4.9631065118525814</v>
      </c>
      <c r="AA27" s="376">
        <f>MIN('3.1 Market'!$G18,'1.1 Control Panel'!AA328*'1.1 Control Panel'!AA$321)</f>
        <v>4.9704852094820655</v>
      </c>
      <c r="AB27" s="376">
        <f>MIN('3.1 Market'!$G18,'1.1 Control Panel'!AB328*'1.1 Control Panel'!AB$321)</f>
        <v>4.9763881675856521</v>
      </c>
      <c r="AC27" s="376">
        <f>MIN('3.1 Market'!$H18,'1.1 Control Panel'!AC328*'1.1 Control Panel'!AC$321)</f>
        <v>9.962221068137044</v>
      </c>
      <c r="AD27" s="376">
        <f>MIN('3.1 Market'!$H18,'1.1 Control Panel'!AD328*'1.1 Control Panel'!AD$321)</f>
        <v>9.9697768545096359</v>
      </c>
      <c r="AE27" s="376">
        <f>MIN('3.1 Market'!$H18,'1.1 Control Panel'!AE328*'1.1 Control Panel'!AE$321)</f>
        <v>9.9758214836077101</v>
      </c>
      <c r="AF27" s="376">
        <f>MIN('3.1 Market'!$H18,'1.1 Control Panel'!AF328*'1.1 Control Panel'!AF$321)</f>
        <v>9.9806571868861695</v>
      </c>
      <c r="AG27" s="376">
        <f>MIN('3.1 Market'!$H18,'1.1 Control Panel'!AG328*'1.1 Control Panel'!AG$321)</f>
        <v>14.976788624263405</v>
      </c>
      <c r="AH27" s="376">
        <f>MIN('3.1 Market'!$H18,'1.1 Control Panel'!AH328*'1.1 Control Panel'!AH$321)</f>
        <v>14.981430899410725</v>
      </c>
      <c r="AI27" s="376">
        <f>MIN('3.1 Market'!$H18,'1.1 Control Panel'!AI328*'1.1 Control Panel'!AI$321)</f>
        <v>14.985144719528581</v>
      </c>
      <c r="AJ27" s="376">
        <f>MIN('3.1 Market'!$H18,'1.1 Control Panel'!AJ328*'1.1 Control Panel'!AJ$321)</f>
        <v>14.988115775622866</v>
      </c>
      <c r="AK27" s="376">
        <f>MIN('3.1 Market'!$H18,'1.1 Control Panel'!AK328*'1.1 Control Panel'!AK$321)</f>
        <v>14.990492620498294</v>
      </c>
      <c r="AL27" s="376">
        <f>MIN('3.1 Market'!$H18,'1.1 Control Panel'!AL328*'1.1 Control Panel'!AL$321)</f>
        <v>14.992394096398636</v>
      </c>
      <c r="AM27" s="376">
        <f>MIN('3.1 Market'!$H18,'1.1 Control Panel'!AM328*'1.1 Control Panel'!AM$321)</f>
        <v>14.993915277118909</v>
      </c>
      <c r="AN27" s="376">
        <f>MIN('3.1 Market'!$H18,'1.1 Control Panel'!AN328*'1.1 Control Panel'!AN$321)</f>
        <v>14.995132221695128</v>
      </c>
      <c r="AP27" s="21"/>
    </row>
    <row r="28" spans="2:42" x14ac:dyDescent="0.25">
      <c r="C28" s="21" t="s">
        <v>456</v>
      </c>
      <c r="D28" s="38" t="s">
        <v>162</v>
      </c>
      <c r="E28" s="376">
        <f>MIN('3.1 Market'!$F19,'1.1 Control Panel'!E329*'1.1 Control Panel'!E$321)</f>
        <v>0</v>
      </c>
      <c r="F28" s="376">
        <f>MIN('3.1 Market'!$F19,'1.1 Control Panel'!F329*'1.1 Control Panel'!F$321)</f>
        <v>0</v>
      </c>
      <c r="G28" s="376">
        <f>MIN('3.1 Market'!$F19,'1.1 Control Panel'!G329*'1.1 Control Panel'!G$321)</f>
        <v>0</v>
      </c>
      <c r="H28" s="376">
        <f>MIN('3.1 Market'!$F19,'1.1 Control Panel'!H329*'1.1 Control Panel'!H$321)</f>
        <v>0</v>
      </c>
      <c r="I28" s="376">
        <f>MIN('3.1 Market'!$F19,'1.1 Control Panel'!I329*'1.1 Control Panel'!I$321)</f>
        <v>0</v>
      </c>
      <c r="J28" s="376">
        <f>MIN('3.1 Market'!$F19,'1.1 Control Panel'!J329*'1.1 Control Panel'!J$321)</f>
        <v>0</v>
      </c>
      <c r="K28" s="376">
        <f>MIN('3.1 Market'!$F19,'1.1 Control Panel'!K329*'1.1 Control Panel'!K$321)</f>
        <v>0</v>
      </c>
      <c r="L28" s="376">
        <f>MIN('3.1 Market'!$F19,'1.1 Control Panel'!L329*'1.1 Control Panel'!L$321)</f>
        <v>0</v>
      </c>
      <c r="M28" s="376">
        <f>MIN('3.1 Market'!$F19,'1.1 Control Panel'!M329*'1.1 Control Panel'!M$321)</f>
        <v>0</v>
      </c>
      <c r="N28" s="376">
        <f>MIN('3.1 Market'!$F19,'1.1 Control Panel'!N329*'1.1 Control Panel'!N$321)</f>
        <v>0</v>
      </c>
      <c r="O28" s="376">
        <f>MIN('3.1 Market'!$F19,'1.1 Control Panel'!O329*'1.1 Control Panel'!O$321)</f>
        <v>0</v>
      </c>
      <c r="P28" s="376">
        <f>MIN('3.1 Market'!$F19,'1.1 Control Panel'!P329*'1.1 Control Panel'!P$321)</f>
        <v>0</v>
      </c>
      <c r="Q28" s="376">
        <f>MIN('3.1 Market'!$G19,'1.1 Control Panel'!Q329*'1.1 Control Panel'!Q$321)</f>
        <v>0</v>
      </c>
      <c r="R28" s="376">
        <f>MIN('3.1 Market'!$G19,'1.1 Control Panel'!R329*'1.1 Control Panel'!R$321)</f>
        <v>0</v>
      </c>
      <c r="S28" s="376">
        <f>MIN('3.1 Market'!$G19,'1.1 Control Panel'!S329*'1.1 Control Panel'!S$321)</f>
        <v>0</v>
      </c>
      <c r="T28" s="376">
        <f>MIN('3.1 Market'!$G19,'1.1 Control Panel'!T329*'1.1 Control Panel'!T$321)</f>
        <v>0</v>
      </c>
      <c r="U28" s="376">
        <f>MIN('3.1 Market'!$G19,'1.1 Control Panel'!U329*'1.1 Control Panel'!U$321)</f>
        <v>4.8592625116446726</v>
      </c>
      <c r="V28" s="376">
        <f>MIN('3.1 Market'!$G19,'1.1 Control Panel'!V329*'1.1 Control Panel'!V$321)</f>
        <v>4.8874100093157384</v>
      </c>
      <c r="W28" s="376">
        <f>MIN('3.1 Market'!$G19,'1.1 Control Panel'!W329*'1.1 Control Panel'!W$321)</f>
        <v>4.9099280074525904</v>
      </c>
      <c r="X28" s="376">
        <f>MIN('3.1 Market'!$G19,'1.1 Control Panel'!X329*'1.1 Control Panel'!X$321)</f>
        <v>4.9279424059620727</v>
      </c>
      <c r="Y28" s="376">
        <f>MIN('3.1 Market'!$G19,'1.1 Control Panel'!Y329*'1.1 Control Panel'!Y$321)</f>
        <v>4.9423539247696588</v>
      </c>
      <c r="Z28" s="376">
        <f>MIN('3.1 Market'!$G19,'1.1 Control Panel'!Z329*'1.1 Control Panel'!Z$321)</f>
        <v>4.9538831398157273</v>
      </c>
      <c r="AA28" s="376">
        <f>MIN('3.1 Market'!$G19,'1.1 Control Panel'!AA329*'1.1 Control Panel'!AA$321)</f>
        <v>4.9631065118525814</v>
      </c>
      <c r="AB28" s="376">
        <f>MIN('3.1 Market'!$G19,'1.1 Control Panel'!AB329*'1.1 Control Panel'!AB$321)</f>
        <v>4.9704852094820655</v>
      </c>
      <c r="AC28" s="376">
        <f>MIN('3.1 Market'!$H19,'1.1 Control Panel'!AC329*'1.1 Control Panel'!AC$321)</f>
        <v>9.9527763351713041</v>
      </c>
      <c r="AD28" s="376">
        <f>MIN('3.1 Market'!$H19,'1.1 Control Panel'!AD329*'1.1 Control Panel'!AD$321)</f>
        <v>9.962221068137044</v>
      </c>
      <c r="AE28" s="376">
        <f>MIN('3.1 Market'!$H19,'1.1 Control Panel'!AE329*'1.1 Control Panel'!AE$321)</f>
        <v>9.9697768545096359</v>
      </c>
      <c r="AF28" s="376">
        <f>MIN('3.1 Market'!$H19,'1.1 Control Panel'!AF329*'1.1 Control Panel'!AF$321)</f>
        <v>9.9758214836077101</v>
      </c>
      <c r="AG28" s="376">
        <f>MIN('3.1 Market'!$H19,'1.1 Control Panel'!AG329*'1.1 Control Panel'!AG$321)</f>
        <v>14.970985780329254</v>
      </c>
      <c r="AH28" s="376">
        <f>MIN('3.1 Market'!$H19,'1.1 Control Panel'!AH329*'1.1 Control Panel'!AH$321)</f>
        <v>14.976788624263405</v>
      </c>
      <c r="AI28" s="376">
        <f>MIN('3.1 Market'!$H19,'1.1 Control Panel'!AI329*'1.1 Control Panel'!AI$321)</f>
        <v>14.981430899410725</v>
      </c>
      <c r="AJ28" s="376">
        <f>MIN('3.1 Market'!$H19,'1.1 Control Panel'!AJ329*'1.1 Control Panel'!AJ$321)</f>
        <v>14.985144719528581</v>
      </c>
      <c r="AK28" s="376">
        <f>MIN('3.1 Market'!$H19,'1.1 Control Panel'!AK329*'1.1 Control Panel'!AK$321)</f>
        <v>14.988115775622866</v>
      </c>
      <c r="AL28" s="376">
        <f>MIN('3.1 Market'!$H19,'1.1 Control Panel'!AL329*'1.1 Control Panel'!AL$321)</f>
        <v>14.990492620498294</v>
      </c>
      <c r="AM28" s="376">
        <f>MIN('3.1 Market'!$H19,'1.1 Control Panel'!AM329*'1.1 Control Panel'!AM$321)</f>
        <v>14.992394096398636</v>
      </c>
      <c r="AN28" s="376">
        <f>MIN('3.1 Market'!$H19,'1.1 Control Panel'!AN329*'1.1 Control Panel'!AN$321)</f>
        <v>14.993915277118909</v>
      </c>
      <c r="AP28" s="21"/>
    </row>
    <row r="29" spans="2:42" x14ac:dyDescent="0.25">
      <c r="B29" s="99" t="s">
        <v>9</v>
      </c>
      <c r="C29" s="105" t="str">
        <f>'4.2 Sector Mapping'!$B$6</f>
        <v>Communication, Media and Technology</v>
      </c>
      <c r="D29" s="106" t="s">
        <v>162</v>
      </c>
      <c r="E29" s="380">
        <f>SUM(E30:E35)</f>
        <v>15</v>
      </c>
      <c r="F29" s="380">
        <f t="shared" ref="F29:H29" si="69">SUM(F30:F35)</f>
        <v>18</v>
      </c>
      <c r="G29" s="380">
        <f t="shared" si="69"/>
        <v>20.400000000000002</v>
      </c>
      <c r="H29" s="380">
        <f t="shared" si="69"/>
        <v>22.320000000000004</v>
      </c>
      <c r="I29" s="380">
        <f t="shared" ref="I29:AN29" si="70">SUM(I30:I35)</f>
        <v>23.856000000000002</v>
      </c>
      <c r="J29" s="380">
        <f t="shared" si="70"/>
        <v>50.169600000000003</v>
      </c>
      <c r="K29" s="380">
        <f t="shared" si="70"/>
        <v>52.135680000000008</v>
      </c>
      <c r="L29" s="380">
        <f t="shared" si="70"/>
        <v>53.70854400000001</v>
      </c>
      <c r="M29" s="380">
        <f t="shared" si="70"/>
        <v>54.966835200000006</v>
      </c>
      <c r="N29" s="380">
        <f t="shared" si="70"/>
        <v>55.97346816000001</v>
      </c>
      <c r="O29" s="380">
        <f t="shared" si="70"/>
        <v>56.778774528000014</v>
      </c>
      <c r="P29" s="380">
        <f t="shared" si="70"/>
        <v>57.423019622400012</v>
      </c>
      <c r="Q29" s="380">
        <f t="shared" si="70"/>
        <v>86.907623546880018</v>
      </c>
      <c r="R29" s="380">
        <f t="shared" si="70"/>
        <v>87.526098837504009</v>
      </c>
      <c r="S29" s="380">
        <f t="shared" si="70"/>
        <v>88.020879070003218</v>
      </c>
      <c r="T29" s="380">
        <f t="shared" si="70"/>
        <v>88.416703256002577</v>
      </c>
      <c r="U29" s="380">
        <f t="shared" si="70"/>
        <v>118.31115013973607</v>
      </c>
      <c r="V29" s="380">
        <f t="shared" si="70"/>
        <v>118.64892011178887</v>
      </c>
      <c r="W29" s="380">
        <f t="shared" si="70"/>
        <v>118.91913608943111</v>
      </c>
      <c r="X29" s="380">
        <f t="shared" si="70"/>
        <v>119.13530887154488</v>
      </c>
      <c r="Y29" s="380">
        <f t="shared" si="70"/>
        <v>149.13530887154491</v>
      </c>
      <c r="Z29" s="380">
        <f t="shared" si="70"/>
        <v>149.30824709723592</v>
      </c>
      <c r="AA29" s="380">
        <f t="shared" si="70"/>
        <v>149.4465976777887</v>
      </c>
      <c r="AB29" s="380">
        <f t="shared" si="70"/>
        <v>149.55727814223098</v>
      </c>
      <c r="AC29" s="380">
        <f t="shared" si="70"/>
        <v>269.36248052481267</v>
      </c>
      <c r="AD29" s="380">
        <f t="shared" si="70"/>
        <v>269.48998441985015</v>
      </c>
      <c r="AE29" s="380">
        <f t="shared" si="70"/>
        <v>269.59198753588009</v>
      </c>
      <c r="AF29" s="380">
        <f t="shared" si="70"/>
        <v>269.6735900287041</v>
      </c>
      <c r="AG29" s="380">
        <f t="shared" si="70"/>
        <v>389.62281514428025</v>
      </c>
      <c r="AH29" s="380">
        <f t="shared" si="70"/>
        <v>389.69825211542422</v>
      </c>
      <c r="AI29" s="380">
        <f t="shared" si="70"/>
        <v>389.75860169233937</v>
      </c>
      <c r="AJ29" s="380">
        <f t="shared" si="70"/>
        <v>389.80688135387152</v>
      </c>
      <c r="AK29" s="380">
        <f t="shared" si="70"/>
        <v>509.79796818558873</v>
      </c>
      <c r="AL29" s="380">
        <f t="shared" si="70"/>
        <v>509.83837454847099</v>
      </c>
      <c r="AM29" s="380">
        <f t="shared" si="70"/>
        <v>509.87069963877673</v>
      </c>
      <c r="AN29" s="380">
        <f t="shared" si="70"/>
        <v>509.89655971102138</v>
      </c>
      <c r="AP29" s="105"/>
    </row>
    <row r="30" spans="2:42" x14ac:dyDescent="0.25">
      <c r="C30" s="20" t="s">
        <v>600</v>
      </c>
      <c r="D30" s="34" t="s">
        <v>162</v>
      </c>
      <c r="E30" s="28">
        <f>MIN('3.1 Market'!$F21,'1.1 Control Panel'!E$352*'1.1 Control Panel'!E355)</f>
        <v>5</v>
      </c>
      <c r="F30" s="28">
        <f>MIN('3.1 Market'!$F21,'1.1 Control Panel'!F$352*'1.1 Control Panel'!F355)</f>
        <v>5</v>
      </c>
      <c r="G30" s="28">
        <f>MIN('3.1 Market'!$F21,'1.1 Control Panel'!G$352*'1.1 Control Panel'!G355)</f>
        <v>5</v>
      </c>
      <c r="H30" s="28">
        <f>MIN('3.1 Market'!$F21,'1.1 Control Panel'!H$352*'1.1 Control Panel'!H355)</f>
        <v>5</v>
      </c>
      <c r="I30" s="28">
        <f>MIN('3.1 Market'!$F21,'1.1 Control Panel'!I$352*'1.1 Control Panel'!I355)</f>
        <v>5</v>
      </c>
      <c r="J30" s="28">
        <f>MIN('3.1 Market'!$F21,'1.1 Control Panel'!J$352*'1.1 Control Panel'!J355)</f>
        <v>10</v>
      </c>
      <c r="K30" s="28">
        <f>MIN('3.1 Market'!$F21,'1.1 Control Panel'!K$352*'1.1 Control Panel'!K355)</f>
        <v>10</v>
      </c>
      <c r="L30" s="28">
        <f>MIN('3.1 Market'!$F21,'1.1 Control Panel'!L$352*'1.1 Control Panel'!L355)</f>
        <v>10</v>
      </c>
      <c r="M30" s="28">
        <f>MIN('3.1 Market'!$F21,'1.1 Control Panel'!M$352*'1.1 Control Panel'!M355)</f>
        <v>10</v>
      </c>
      <c r="N30" s="28">
        <f>MIN('3.1 Market'!$F21,'1.1 Control Panel'!N$352*'1.1 Control Panel'!N355)</f>
        <v>10</v>
      </c>
      <c r="O30" s="28">
        <f>MIN('3.1 Market'!$F21,'1.1 Control Panel'!O$352*'1.1 Control Panel'!O355)</f>
        <v>10</v>
      </c>
      <c r="P30" s="28">
        <f>MIN('3.1 Market'!$F21,'1.1 Control Panel'!P$352*'1.1 Control Panel'!P355)</f>
        <v>10</v>
      </c>
      <c r="Q30" s="28">
        <f>MIN('3.1 Market'!$G21,'1.1 Control Panel'!Q$352*'1.1 Control Panel'!Q355)</f>
        <v>15</v>
      </c>
      <c r="R30" s="28">
        <f>MIN('3.1 Market'!$G21,'1.1 Control Panel'!R$352*'1.1 Control Panel'!R355)</f>
        <v>15</v>
      </c>
      <c r="S30" s="28">
        <f>MIN('3.1 Market'!$G21,'1.1 Control Panel'!S$352*'1.1 Control Panel'!S355)</f>
        <v>15</v>
      </c>
      <c r="T30" s="28">
        <f>MIN('3.1 Market'!$G21,'1.1 Control Panel'!T$352*'1.1 Control Panel'!T355)</f>
        <v>15</v>
      </c>
      <c r="U30" s="28">
        <f>MIN('3.1 Market'!$G21,'1.1 Control Panel'!U$352*'1.1 Control Panel'!U355)</f>
        <v>20</v>
      </c>
      <c r="V30" s="28">
        <f>MIN('3.1 Market'!$G21,'1.1 Control Panel'!V$352*'1.1 Control Panel'!V355)</f>
        <v>20</v>
      </c>
      <c r="W30" s="28">
        <f>MIN('3.1 Market'!$G21,'1.1 Control Panel'!W$352*'1.1 Control Panel'!W355)</f>
        <v>20</v>
      </c>
      <c r="X30" s="28">
        <f>MIN('3.1 Market'!$G21,'1.1 Control Panel'!X$352*'1.1 Control Panel'!X355)</f>
        <v>20</v>
      </c>
      <c r="Y30" s="28">
        <f>MIN('3.1 Market'!$G21,'1.1 Control Panel'!Y$352*'1.1 Control Panel'!Y355)</f>
        <v>25</v>
      </c>
      <c r="Z30" s="28">
        <f>MIN('3.1 Market'!$G21,'1.1 Control Panel'!Z$352*'1.1 Control Panel'!Z355)</f>
        <v>25</v>
      </c>
      <c r="AA30" s="28">
        <f>MIN('3.1 Market'!$G21,'1.1 Control Panel'!AA$352*'1.1 Control Panel'!AA355)</f>
        <v>25</v>
      </c>
      <c r="AB30" s="28">
        <f>MIN('3.1 Market'!$G21,'1.1 Control Panel'!AB$352*'1.1 Control Panel'!AB355)</f>
        <v>25</v>
      </c>
      <c r="AC30" s="28">
        <f>MIN('3.1 Market'!$H21,'1.1 Control Panel'!AC$352*'1.1 Control Panel'!AC355)</f>
        <v>45</v>
      </c>
      <c r="AD30" s="28">
        <f>MIN('3.1 Market'!$H21,'1.1 Control Panel'!AD$352*'1.1 Control Panel'!AD355)</f>
        <v>45</v>
      </c>
      <c r="AE30" s="28">
        <f>MIN('3.1 Market'!$H21,'1.1 Control Panel'!AE$352*'1.1 Control Panel'!AE355)</f>
        <v>45</v>
      </c>
      <c r="AF30" s="28">
        <f>MIN('3.1 Market'!$H21,'1.1 Control Panel'!AF$352*'1.1 Control Panel'!AF355)</f>
        <v>45</v>
      </c>
      <c r="AG30" s="28">
        <f>MIN('3.1 Market'!$H21,'1.1 Control Panel'!AG$352*'1.1 Control Panel'!AG355)</f>
        <v>65</v>
      </c>
      <c r="AH30" s="28">
        <f>MIN('3.1 Market'!$H21,'1.1 Control Panel'!AH$352*'1.1 Control Panel'!AH355)</f>
        <v>65</v>
      </c>
      <c r="AI30" s="28">
        <f>MIN('3.1 Market'!$H21,'1.1 Control Panel'!AI$352*'1.1 Control Panel'!AI355)</f>
        <v>65</v>
      </c>
      <c r="AJ30" s="28">
        <f>MIN('3.1 Market'!$H21,'1.1 Control Panel'!AJ$352*'1.1 Control Panel'!AJ355)</f>
        <v>65</v>
      </c>
      <c r="AK30" s="28">
        <f>MIN('3.1 Market'!$H21,'1.1 Control Panel'!AK$352*'1.1 Control Panel'!AK355)</f>
        <v>85</v>
      </c>
      <c r="AL30" s="28">
        <f>MIN('3.1 Market'!$H21,'1.1 Control Panel'!AL$352*'1.1 Control Panel'!AL355)</f>
        <v>85</v>
      </c>
      <c r="AM30" s="28">
        <f>MIN('3.1 Market'!$H21,'1.1 Control Panel'!AM$352*'1.1 Control Panel'!AM355)</f>
        <v>85</v>
      </c>
      <c r="AN30" s="28">
        <f>MIN('3.1 Market'!$H21,'1.1 Control Panel'!AN$352*'1.1 Control Panel'!AN355)</f>
        <v>85</v>
      </c>
      <c r="AP30" s="20"/>
    </row>
    <row r="31" spans="2:42" x14ac:dyDescent="0.25">
      <c r="C31" s="20" t="s">
        <v>392</v>
      </c>
      <c r="D31" s="34" t="s">
        <v>162</v>
      </c>
      <c r="E31" s="28">
        <f>MIN('3.1 Market'!$F22,'1.1 Control Panel'!E$352*'1.1 Control Panel'!E356)</f>
        <v>4</v>
      </c>
      <c r="F31" s="28">
        <f>MIN('3.1 Market'!$F22,'1.1 Control Panel'!F$352*'1.1 Control Panel'!F356)</f>
        <v>4.2</v>
      </c>
      <c r="G31" s="28">
        <f>MIN('3.1 Market'!$F22,'1.1 Control Panel'!G$352*'1.1 Control Panel'!G356)</f>
        <v>4.3600000000000003</v>
      </c>
      <c r="H31" s="28">
        <f>MIN('3.1 Market'!$F22,'1.1 Control Panel'!H$352*'1.1 Control Panel'!H356)</f>
        <v>4.4880000000000004</v>
      </c>
      <c r="I31" s="28">
        <f>MIN('3.1 Market'!$F22,'1.1 Control Panel'!I$352*'1.1 Control Panel'!I356)</f>
        <v>4.5904000000000007</v>
      </c>
      <c r="J31" s="28">
        <f>MIN('3.1 Market'!$F22,'1.1 Control Panel'!J$352*'1.1 Control Panel'!J356)</f>
        <v>9.3446400000000018</v>
      </c>
      <c r="K31" s="28">
        <f>MIN('3.1 Market'!$F22,'1.1 Control Panel'!K$352*'1.1 Control Panel'!K356)</f>
        <v>9.4757120000000015</v>
      </c>
      <c r="L31" s="28">
        <f>MIN('3.1 Market'!$F22,'1.1 Control Panel'!L$352*'1.1 Control Panel'!L356)</f>
        <v>9.5805696000000005</v>
      </c>
      <c r="M31" s="28">
        <f>MIN('3.1 Market'!$F22,'1.1 Control Panel'!M$352*'1.1 Control Panel'!M356)</f>
        <v>9.6644556799999997</v>
      </c>
      <c r="N31" s="28">
        <f>MIN('3.1 Market'!$F22,'1.1 Control Panel'!N$352*'1.1 Control Panel'!N356)</f>
        <v>9.7315645440000011</v>
      </c>
      <c r="O31" s="28">
        <f>MIN('3.1 Market'!$F22,'1.1 Control Panel'!O$352*'1.1 Control Panel'!O356)</f>
        <v>9.7852516352000016</v>
      </c>
      <c r="P31" s="28">
        <f>MIN('3.1 Market'!$F22,'1.1 Control Panel'!P$352*'1.1 Control Panel'!P356)</f>
        <v>9.8282013081600006</v>
      </c>
      <c r="Q31" s="28">
        <f>MIN('3.1 Market'!$G22,'1.1 Control Panel'!Q$352*'1.1 Control Panel'!Q356)</f>
        <v>14.793841569792001</v>
      </c>
      <c r="R31" s="28">
        <f>MIN('3.1 Market'!$G22,'1.1 Control Panel'!R$352*'1.1 Control Panel'!R356)</f>
        <v>14.835073255833603</v>
      </c>
      <c r="S31" s="28">
        <f>MIN('3.1 Market'!$G22,'1.1 Control Panel'!S$352*'1.1 Control Panel'!S356)</f>
        <v>14.868058604666883</v>
      </c>
      <c r="T31" s="28">
        <f>MIN('3.1 Market'!$G22,'1.1 Control Panel'!T$352*'1.1 Control Panel'!T356)</f>
        <v>14.894446883733508</v>
      </c>
      <c r="U31" s="28">
        <f>MIN('3.1 Market'!$G22,'1.1 Control Panel'!U$352*'1.1 Control Panel'!U356)</f>
        <v>19.887410009315744</v>
      </c>
      <c r="V31" s="28">
        <f>MIN('3.1 Market'!$G22,'1.1 Control Panel'!V$352*'1.1 Control Panel'!V356)</f>
        <v>19.909928007452596</v>
      </c>
      <c r="W31" s="28">
        <f>MIN('3.1 Market'!$G22,'1.1 Control Panel'!W$352*'1.1 Control Panel'!W356)</f>
        <v>19.927942405962078</v>
      </c>
      <c r="X31" s="28">
        <f>MIN('3.1 Market'!$G22,'1.1 Control Panel'!X$352*'1.1 Control Panel'!X356)</f>
        <v>19.942353924769662</v>
      </c>
      <c r="Y31" s="28">
        <f>MIN('3.1 Market'!$G22,'1.1 Control Panel'!Y$352*'1.1 Control Panel'!Y356)</f>
        <v>24.942353924769662</v>
      </c>
      <c r="Z31" s="28">
        <f>MIN('3.1 Market'!$G22,'1.1 Control Panel'!Z$352*'1.1 Control Panel'!Z356)</f>
        <v>24.953883139815733</v>
      </c>
      <c r="AA31" s="28">
        <f>MIN('3.1 Market'!$G22,'1.1 Control Panel'!AA$352*'1.1 Control Panel'!AA356)</f>
        <v>24.963106511852587</v>
      </c>
      <c r="AB31" s="28">
        <f>MIN('3.1 Market'!$G22,'1.1 Control Panel'!AB$352*'1.1 Control Panel'!AB356)</f>
        <v>24.970485209482071</v>
      </c>
      <c r="AC31" s="28">
        <f>MIN('3.1 Market'!$H22,'1.1 Control Panel'!AC$352*'1.1 Control Panel'!AC356)</f>
        <v>44.957498701654188</v>
      </c>
      <c r="AD31" s="28">
        <f>MIN('3.1 Market'!$H22,'1.1 Control Panel'!AD$352*'1.1 Control Panel'!AD356)</f>
        <v>44.965998961323351</v>
      </c>
      <c r="AE31" s="28">
        <f>MIN('3.1 Market'!$H22,'1.1 Control Panel'!AE$352*'1.1 Control Panel'!AE356)</f>
        <v>44.972799169058682</v>
      </c>
      <c r="AF31" s="28">
        <f>MIN('3.1 Market'!$H22,'1.1 Control Panel'!AF$352*'1.1 Control Panel'!AF356)</f>
        <v>44.978239335246947</v>
      </c>
      <c r="AG31" s="28">
        <f>MIN('3.1 Market'!$H22,'1.1 Control Panel'!AG$352*'1.1 Control Panel'!AG356)</f>
        <v>64.974854342952042</v>
      </c>
      <c r="AH31" s="28">
        <f>MIN('3.1 Market'!$H22,'1.1 Control Panel'!AH$352*'1.1 Control Panel'!AH356)</f>
        <v>64.979883474361628</v>
      </c>
      <c r="AI31" s="28">
        <f>MIN('3.1 Market'!$H22,'1.1 Control Panel'!AI$352*'1.1 Control Panel'!AI356)</f>
        <v>64.983906779489303</v>
      </c>
      <c r="AJ31" s="28">
        <f>MIN('3.1 Market'!$H22,'1.1 Control Panel'!AJ$352*'1.1 Control Panel'!AJ356)</f>
        <v>64.987125423591436</v>
      </c>
      <c r="AK31" s="28">
        <f>MIN('3.1 Market'!$H22,'1.1 Control Panel'!AK$352*'1.1 Control Panel'!AK356)</f>
        <v>84.986531212372597</v>
      </c>
      <c r="AL31" s="28">
        <f>MIN('3.1 Market'!$H22,'1.1 Control Panel'!AL$352*'1.1 Control Panel'!AL356)</f>
        <v>84.989224969898075</v>
      </c>
      <c r="AM31" s="28">
        <f>MIN('3.1 Market'!$H22,'1.1 Control Panel'!AM$352*'1.1 Control Panel'!AM356)</f>
        <v>84.991379975918449</v>
      </c>
      <c r="AN31" s="28">
        <f>MIN('3.1 Market'!$H22,'1.1 Control Panel'!AN$352*'1.1 Control Panel'!AN356)</f>
        <v>84.993103980734759</v>
      </c>
      <c r="AP31" s="20"/>
    </row>
    <row r="32" spans="2:42" x14ac:dyDescent="0.25">
      <c r="C32" s="20" t="s">
        <v>454</v>
      </c>
      <c r="D32" s="34" t="s">
        <v>162</v>
      </c>
      <c r="E32" s="28">
        <f>MIN('3.1 Market'!$F23,'1.1 Control Panel'!E$352*'1.1 Control Panel'!E357)</f>
        <v>3</v>
      </c>
      <c r="F32" s="28">
        <f>MIN('3.1 Market'!$F23,'1.1 Control Panel'!F$352*'1.1 Control Panel'!F357)</f>
        <v>3.4000000000000004</v>
      </c>
      <c r="G32" s="28">
        <f>MIN('3.1 Market'!$F23,'1.1 Control Panel'!G$352*'1.1 Control Panel'!G357)</f>
        <v>3.7200000000000006</v>
      </c>
      <c r="H32" s="28">
        <f>MIN('3.1 Market'!$F23,'1.1 Control Panel'!H$352*'1.1 Control Panel'!H357)</f>
        <v>3.9760000000000009</v>
      </c>
      <c r="I32" s="28">
        <f>MIN('3.1 Market'!$F23,'1.1 Control Panel'!I$352*'1.1 Control Panel'!I357)</f>
        <v>4.1808000000000014</v>
      </c>
      <c r="J32" s="28">
        <f>MIN('3.1 Market'!$F23,'1.1 Control Panel'!J$352*'1.1 Control Panel'!J357)</f>
        <v>8.6892800000000037</v>
      </c>
      <c r="K32" s="28">
        <f>MIN('3.1 Market'!$F23,'1.1 Control Panel'!K$352*'1.1 Control Panel'!K357)</f>
        <v>8.9514240000000029</v>
      </c>
      <c r="L32" s="28">
        <f>MIN('3.1 Market'!$F23,'1.1 Control Panel'!L$352*'1.1 Control Panel'!L357)</f>
        <v>9.1611392000000027</v>
      </c>
      <c r="M32" s="28">
        <f>MIN('3.1 Market'!$F23,'1.1 Control Panel'!M$352*'1.1 Control Panel'!M357)</f>
        <v>9.3289113600000029</v>
      </c>
      <c r="N32" s="28">
        <f>MIN('3.1 Market'!$F23,'1.1 Control Panel'!N$352*'1.1 Control Panel'!N357)</f>
        <v>9.4631290880000023</v>
      </c>
      <c r="O32" s="28">
        <f>MIN('3.1 Market'!$F23,'1.1 Control Panel'!O$352*'1.1 Control Panel'!O357)</f>
        <v>9.5705032704000033</v>
      </c>
      <c r="P32" s="28">
        <f>MIN('3.1 Market'!$F23,'1.1 Control Panel'!P$352*'1.1 Control Panel'!P357)</f>
        <v>9.656402616320003</v>
      </c>
      <c r="Q32" s="28">
        <f>MIN('3.1 Market'!$G23,'1.1 Control Panel'!Q$352*'1.1 Control Panel'!Q357)</f>
        <v>14.587683139584005</v>
      </c>
      <c r="R32" s="28">
        <f>MIN('3.1 Market'!$G23,'1.1 Control Panel'!R$352*'1.1 Control Panel'!R357)</f>
        <v>14.670146511667205</v>
      </c>
      <c r="S32" s="28">
        <f>MIN('3.1 Market'!$G23,'1.1 Control Panel'!S$352*'1.1 Control Panel'!S357)</f>
        <v>14.736117209333766</v>
      </c>
      <c r="T32" s="28">
        <f>MIN('3.1 Market'!$G23,'1.1 Control Panel'!T$352*'1.1 Control Panel'!T357)</f>
        <v>14.788893767467014</v>
      </c>
      <c r="U32" s="28">
        <f>MIN('3.1 Market'!$G23,'1.1 Control Panel'!U$352*'1.1 Control Panel'!U357)</f>
        <v>19.77482001863148</v>
      </c>
      <c r="V32" s="28">
        <f>MIN('3.1 Market'!$G23,'1.1 Control Panel'!V$352*'1.1 Control Panel'!V357)</f>
        <v>19.819856014905184</v>
      </c>
      <c r="W32" s="28">
        <f>MIN('3.1 Market'!$G23,'1.1 Control Panel'!W$352*'1.1 Control Panel'!W357)</f>
        <v>19.855884811924149</v>
      </c>
      <c r="X32" s="28">
        <f>MIN('3.1 Market'!$G23,'1.1 Control Panel'!X$352*'1.1 Control Panel'!X357)</f>
        <v>19.884707849539318</v>
      </c>
      <c r="Y32" s="28">
        <f>MIN('3.1 Market'!$G23,'1.1 Control Panel'!Y$352*'1.1 Control Panel'!Y357)</f>
        <v>24.884707849539318</v>
      </c>
      <c r="Z32" s="28">
        <f>MIN('3.1 Market'!$G23,'1.1 Control Panel'!Z$352*'1.1 Control Panel'!Z357)</f>
        <v>24.907766279631453</v>
      </c>
      <c r="AA32" s="28">
        <f>MIN('3.1 Market'!$G23,'1.1 Control Panel'!AA$352*'1.1 Control Panel'!AA357)</f>
        <v>24.926213023705163</v>
      </c>
      <c r="AB32" s="28">
        <f>MIN('3.1 Market'!$G23,'1.1 Control Panel'!AB$352*'1.1 Control Panel'!AB357)</f>
        <v>24.940970418964135</v>
      </c>
      <c r="AC32" s="28">
        <f>MIN('3.1 Market'!$H23,'1.1 Control Panel'!AC$352*'1.1 Control Panel'!AC357)</f>
        <v>44.914997403308355</v>
      </c>
      <c r="AD32" s="28">
        <f>MIN('3.1 Market'!$H23,'1.1 Control Panel'!AD$352*'1.1 Control Panel'!AD357)</f>
        <v>44.931997922646687</v>
      </c>
      <c r="AE32" s="28">
        <f>MIN('3.1 Market'!$H23,'1.1 Control Panel'!AE$352*'1.1 Control Panel'!AE357)</f>
        <v>44.94559833811735</v>
      </c>
      <c r="AF32" s="28">
        <f>MIN('3.1 Market'!$H23,'1.1 Control Panel'!AF$352*'1.1 Control Panel'!AF357)</f>
        <v>44.95647867049388</v>
      </c>
      <c r="AG32" s="28">
        <f>MIN('3.1 Market'!$H23,'1.1 Control Panel'!AG$352*'1.1 Control Panel'!AG357)</f>
        <v>64.949708685904042</v>
      </c>
      <c r="AH32" s="28">
        <f>MIN('3.1 Market'!$H23,'1.1 Control Panel'!AH$352*'1.1 Control Panel'!AH357)</f>
        <v>64.959766948723228</v>
      </c>
      <c r="AI32" s="28">
        <f>MIN('3.1 Market'!$H23,'1.1 Control Panel'!AI$352*'1.1 Control Panel'!AI357)</f>
        <v>64.967813558978577</v>
      </c>
      <c r="AJ32" s="28">
        <f>MIN('3.1 Market'!$H23,'1.1 Control Panel'!AJ$352*'1.1 Control Panel'!AJ357)</f>
        <v>64.974250847182873</v>
      </c>
      <c r="AK32" s="28">
        <f>MIN('3.1 Market'!$H23,'1.1 Control Panel'!AK$352*'1.1 Control Panel'!AK357)</f>
        <v>84.973062424745152</v>
      </c>
      <c r="AL32" s="28">
        <f>MIN('3.1 Market'!$H23,'1.1 Control Panel'!AL$352*'1.1 Control Panel'!AL357)</f>
        <v>84.978449939796121</v>
      </c>
      <c r="AM32" s="28">
        <f>MIN('3.1 Market'!$H23,'1.1 Control Panel'!AM$352*'1.1 Control Panel'!AM357)</f>
        <v>84.982759951836911</v>
      </c>
      <c r="AN32" s="28">
        <f>MIN('3.1 Market'!$H23,'1.1 Control Panel'!AN$352*'1.1 Control Panel'!AN357)</f>
        <v>84.986207961469532</v>
      </c>
      <c r="AP32" s="20"/>
    </row>
    <row r="33" spans="2:42" x14ac:dyDescent="0.25">
      <c r="C33" s="21" t="s">
        <v>455</v>
      </c>
      <c r="D33" s="38" t="s">
        <v>162</v>
      </c>
      <c r="E33" s="376">
        <f>MIN('3.1 Market'!$F24,'1.1 Control Panel'!E$352*'1.1 Control Panel'!E358)</f>
        <v>2</v>
      </c>
      <c r="F33" s="376">
        <f>MIN('3.1 Market'!$F24,'1.1 Control Panel'!F$352*'1.1 Control Panel'!F358)</f>
        <v>2.6</v>
      </c>
      <c r="G33" s="376">
        <f>MIN('3.1 Market'!$F24,'1.1 Control Panel'!G$352*'1.1 Control Panel'!G358)</f>
        <v>3.08</v>
      </c>
      <c r="H33" s="376">
        <f>MIN('3.1 Market'!$F24,'1.1 Control Panel'!H$352*'1.1 Control Panel'!H358)</f>
        <v>3.4640000000000004</v>
      </c>
      <c r="I33" s="376">
        <f>MIN('3.1 Market'!$F24,'1.1 Control Panel'!I$352*'1.1 Control Panel'!I358)</f>
        <v>3.7712000000000003</v>
      </c>
      <c r="J33" s="376">
        <f>MIN('3.1 Market'!$F24,'1.1 Control Panel'!J$352*'1.1 Control Panel'!J358)</f>
        <v>8.0339200000000019</v>
      </c>
      <c r="K33" s="376">
        <f>MIN('3.1 Market'!$F24,'1.1 Control Panel'!K$352*'1.1 Control Panel'!K358)</f>
        <v>8.4271360000000008</v>
      </c>
      <c r="L33" s="376">
        <f>MIN('3.1 Market'!$F24,'1.1 Control Panel'!L$352*'1.1 Control Panel'!L358)</f>
        <v>8.7417088000000014</v>
      </c>
      <c r="M33" s="376">
        <f>MIN('3.1 Market'!$F24,'1.1 Control Panel'!M$352*'1.1 Control Panel'!M358)</f>
        <v>8.9933670400000025</v>
      </c>
      <c r="N33" s="376">
        <f>MIN('3.1 Market'!$F24,'1.1 Control Panel'!N$352*'1.1 Control Panel'!N358)</f>
        <v>9.1946936320000034</v>
      </c>
      <c r="O33" s="376">
        <f>MIN('3.1 Market'!$F24,'1.1 Control Panel'!O$352*'1.1 Control Panel'!O358)</f>
        <v>9.3557549056000031</v>
      </c>
      <c r="P33" s="376">
        <f>MIN('3.1 Market'!$F24,'1.1 Control Panel'!P$352*'1.1 Control Panel'!P358)</f>
        <v>9.4846039244800018</v>
      </c>
      <c r="Q33" s="376">
        <f>MIN('3.1 Market'!$G24,'1.1 Control Panel'!Q$352*'1.1 Control Panel'!Q358)</f>
        <v>14.381524709376002</v>
      </c>
      <c r="R33" s="376">
        <f>MIN('3.1 Market'!$G24,'1.1 Control Panel'!R$352*'1.1 Control Panel'!R358)</f>
        <v>14.505219767500803</v>
      </c>
      <c r="S33" s="376">
        <f>MIN('3.1 Market'!$G24,'1.1 Control Panel'!S$352*'1.1 Control Panel'!S358)</f>
        <v>14.604175814000644</v>
      </c>
      <c r="T33" s="376">
        <f>MIN('3.1 Market'!$G24,'1.1 Control Panel'!T$352*'1.1 Control Panel'!T358)</f>
        <v>14.683340651200517</v>
      </c>
      <c r="U33" s="376">
        <f>MIN('3.1 Market'!$G24,'1.1 Control Panel'!U$352*'1.1 Control Panel'!U358)</f>
        <v>19.662230027947217</v>
      </c>
      <c r="V33" s="376">
        <f>MIN('3.1 Market'!$G24,'1.1 Control Panel'!V$352*'1.1 Control Panel'!V358)</f>
        <v>19.729784022357777</v>
      </c>
      <c r="W33" s="376">
        <f>MIN('3.1 Market'!$G24,'1.1 Control Panel'!W$352*'1.1 Control Panel'!W358)</f>
        <v>19.78382721788622</v>
      </c>
      <c r="X33" s="376">
        <f>MIN('3.1 Market'!$G24,'1.1 Control Panel'!X$352*'1.1 Control Panel'!X358)</f>
        <v>19.827061774308977</v>
      </c>
      <c r="Y33" s="376">
        <f>MIN('3.1 Market'!$G24,'1.1 Control Panel'!Y$352*'1.1 Control Panel'!Y358)</f>
        <v>24.82706177430898</v>
      </c>
      <c r="Z33" s="376">
        <f>MIN('3.1 Market'!$G24,'1.1 Control Panel'!Z$352*'1.1 Control Panel'!Z358)</f>
        <v>24.861649419447183</v>
      </c>
      <c r="AA33" s="376">
        <f>MIN('3.1 Market'!$G24,'1.1 Control Panel'!AA$352*'1.1 Control Panel'!AA358)</f>
        <v>24.889319535557746</v>
      </c>
      <c r="AB33" s="376">
        <f>MIN('3.1 Market'!$G24,'1.1 Control Panel'!AB$352*'1.1 Control Panel'!AB358)</f>
        <v>24.911455628446202</v>
      </c>
      <c r="AC33" s="376">
        <f>MIN('3.1 Market'!$H24,'1.1 Control Panel'!AC$352*'1.1 Control Panel'!AC358)</f>
        <v>44.872496104962529</v>
      </c>
      <c r="AD33" s="376">
        <f>MIN('3.1 Market'!$H24,'1.1 Control Panel'!AD$352*'1.1 Control Panel'!AD358)</f>
        <v>44.897996883970023</v>
      </c>
      <c r="AE33" s="376">
        <f>MIN('3.1 Market'!$H24,'1.1 Control Panel'!AE$352*'1.1 Control Panel'!AE358)</f>
        <v>44.918397507176024</v>
      </c>
      <c r="AF33" s="376">
        <f>MIN('3.1 Market'!$H24,'1.1 Control Panel'!AF$352*'1.1 Control Panel'!AF358)</f>
        <v>44.934718005740812</v>
      </c>
      <c r="AG33" s="376">
        <f>MIN('3.1 Market'!$H24,'1.1 Control Panel'!AG$352*'1.1 Control Panel'!AG358)</f>
        <v>64.924563028856042</v>
      </c>
      <c r="AH33" s="376">
        <f>MIN('3.1 Market'!$H24,'1.1 Control Panel'!AH$352*'1.1 Control Panel'!AH358)</f>
        <v>64.939650423084828</v>
      </c>
      <c r="AI33" s="376">
        <f>MIN('3.1 Market'!$H24,'1.1 Control Panel'!AI$352*'1.1 Control Panel'!AI358)</f>
        <v>64.951720338467879</v>
      </c>
      <c r="AJ33" s="376">
        <f>MIN('3.1 Market'!$H24,'1.1 Control Panel'!AJ$352*'1.1 Control Panel'!AJ358)</f>
        <v>64.961376270774309</v>
      </c>
      <c r="AK33" s="376">
        <f>MIN('3.1 Market'!$H24,'1.1 Control Panel'!AK$352*'1.1 Control Panel'!AK358)</f>
        <v>84.959593637117734</v>
      </c>
      <c r="AL33" s="376">
        <f>MIN('3.1 Market'!$H24,'1.1 Control Panel'!AL$352*'1.1 Control Panel'!AL358)</f>
        <v>84.967674909694196</v>
      </c>
      <c r="AM33" s="376">
        <f>MIN('3.1 Market'!$H24,'1.1 Control Panel'!AM$352*'1.1 Control Panel'!AM358)</f>
        <v>84.97413992775536</v>
      </c>
      <c r="AN33" s="376">
        <f>MIN('3.1 Market'!$H24,'1.1 Control Panel'!AN$352*'1.1 Control Panel'!AN358)</f>
        <v>84.979311942204305</v>
      </c>
      <c r="AP33" s="21"/>
    </row>
    <row r="34" spans="2:42" x14ac:dyDescent="0.25">
      <c r="C34" s="21" t="s">
        <v>393</v>
      </c>
      <c r="D34" s="38" t="s">
        <v>162</v>
      </c>
      <c r="E34" s="376">
        <f>MIN('3.1 Market'!$F25,'1.1 Control Panel'!E$352*'1.1 Control Panel'!E359)</f>
        <v>1</v>
      </c>
      <c r="F34" s="376">
        <f>MIN('3.1 Market'!$F25,'1.1 Control Panel'!F$352*'1.1 Control Panel'!F359)</f>
        <v>1.8</v>
      </c>
      <c r="G34" s="376">
        <f>MIN('3.1 Market'!$F25,'1.1 Control Panel'!G$352*'1.1 Control Panel'!G359)</f>
        <v>2.4400000000000004</v>
      </c>
      <c r="H34" s="376">
        <f>MIN('3.1 Market'!$F25,'1.1 Control Panel'!H$352*'1.1 Control Panel'!H359)</f>
        <v>2.9520000000000004</v>
      </c>
      <c r="I34" s="376">
        <f>MIN('3.1 Market'!$F25,'1.1 Control Panel'!I$352*'1.1 Control Panel'!I359)</f>
        <v>3.3616000000000006</v>
      </c>
      <c r="J34" s="376">
        <f>MIN('3.1 Market'!$F25,'1.1 Control Panel'!J$352*'1.1 Control Panel'!J359)</f>
        <v>7.3785600000000011</v>
      </c>
      <c r="K34" s="376">
        <f>MIN('3.1 Market'!$F25,'1.1 Control Panel'!K$352*'1.1 Control Panel'!K359)</f>
        <v>7.9028480000000014</v>
      </c>
      <c r="L34" s="376">
        <f>MIN('3.1 Market'!$F25,'1.1 Control Panel'!L$352*'1.1 Control Panel'!L359)</f>
        <v>8.3222784000000019</v>
      </c>
      <c r="M34" s="376">
        <f>MIN('3.1 Market'!$F25,'1.1 Control Panel'!M$352*'1.1 Control Panel'!M359)</f>
        <v>8.6578227200000022</v>
      </c>
      <c r="N34" s="376">
        <f>MIN('3.1 Market'!$F25,'1.1 Control Panel'!N$352*'1.1 Control Panel'!N359)</f>
        <v>8.926258176000001</v>
      </c>
      <c r="O34" s="376">
        <f>MIN('3.1 Market'!$F25,'1.1 Control Panel'!O$352*'1.1 Control Panel'!O359)</f>
        <v>9.1410065408000012</v>
      </c>
      <c r="P34" s="376">
        <f>MIN('3.1 Market'!$F25,'1.1 Control Panel'!P$352*'1.1 Control Panel'!P359)</f>
        <v>9.3128052326400024</v>
      </c>
      <c r="Q34" s="376">
        <f>MIN('3.1 Market'!$G25,'1.1 Control Panel'!Q$352*'1.1 Control Panel'!Q359)</f>
        <v>14.175366279168003</v>
      </c>
      <c r="R34" s="376">
        <f>MIN('3.1 Market'!$G25,'1.1 Control Panel'!R$352*'1.1 Control Panel'!R359)</f>
        <v>14.340293023334404</v>
      </c>
      <c r="S34" s="376">
        <f>MIN('3.1 Market'!$G25,'1.1 Control Panel'!S$352*'1.1 Control Panel'!S359)</f>
        <v>14.472234418667522</v>
      </c>
      <c r="T34" s="376">
        <f>MIN('3.1 Market'!$G25,'1.1 Control Panel'!T$352*'1.1 Control Panel'!T359)</f>
        <v>14.577787534934018</v>
      </c>
      <c r="U34" s="376">
        <f>MIN('3.1 Market'!$G25,'1.1 Control Panel'!U$352*'1.1 Control Panel'!U359)</f>
        <v>19.549640037262954</v>
      </c>
      <c r="V34" s="376">
        <f>MIN('3.1 Market'!$G25,'1.1 Control Panel'!V$352*'1.1 Control Panel'!V359)</f>
        <v>19.639712029810362</v>
      </c>
      <c r="W34" s="376">
        <f>MIN('3.1 Market'!$G25,'1.1 Control Panel'!W$352*'1.1 Control Panel'!W359)</f>
        <v>19.711769623848291</v>
      </c>
      <c r="X34" s="376">
        <f>MIN('3.1 Market'!$G25,'1.1 Control Panel'!X$352*'1.1 Control Panel'!X359)</f>
        <v>19.769415699078635</v>
      </c>
      <c r="Y34" s="376">
        <f>MIN('3.1 Market'!$G25,'1.1 Control Panel'!Y$352*'1.1 Control Panel'!Y359)</f>
        <v>24.769415699078635</v>
      </c>
      <c r="Z34" s="376">
        <f>MIN('3.1 Market'!$G25,'1.1 Control Panel'!Z$352*'1.1 Control Panel'!Z359)</f>
        <v>24.815532559262905</v>
      </c>
      <c r="AA34" s="376">
        <f>MIN('3.1 Market'!$G25,'1.1 Control Panel'!AA$352*'1.1 Control Panel'!AA359)</f>
        <v>24.852426047410326</v>
      </c>
      <c r="AB34" s="376">
        <f>MIN('3.1 Market'!$G25,'1.1 Control Panel'!AB$352*'1.1 Control Panel'!AB359)</f>
        <v>24.881940837928262</v>
      </c>
      <c r="AC34" s="376">
        <f>MIN('3.1 Market'!$H25,'1.1 Control Panel'!AC$352*'1.1 Control Panel'!AC359)</f>
        <v>44.829994806616696</v>
      </c>
      <c r="AD34" s="376">
        <f>MIN('3.1 Market'!$H25,'1.1 Control Panel'!AD$352*'1.1 Control Panel'!AD359)</f>
        <v>44.86399584529336</v>
      </c>
      <c r="AE34" s="376">
        <f>MIN('3.1 Market'!$H25,'1.1 Control Panel'!AE$352*'1.1 Control Panel'!AE359)</f>
        <v>44.891196676234699</v>
      </c>
      <c r="AF34" s="376">
        <f>MIN('3.1 Market'!$H25,'1.1 Control Panel'!AF$352*'1.1 Control Panel'!AF359)</f>
        <v>44.912957340987759</v>
      </c>
      <c r="AG34" s="376">
        <f>MIN('3.1 Market'!$H25,'1.1 Control Panel'!AG$352*'1.1 Control Panel'!AG359)</f>
        <v>64.899417371808084</v>
      </c>
      <c r="AH34" s="376">
        <f>MIN('3.1 Market'!$H25,'1.1 Control Panel'!AH$352*'1.1 Control Panel'!AH359)</f>
        <v>64.91953389744647</v>
      </c>
      <c r="AI34" s="376">
        <f>MIN('3.1 Market'!$H25,'1.1 Control Panel'!AI$352*'1.1 Control Panel'!AI359)</f>
        <v>64.935627117957182</v>
      </c>
      <c r="AJ34" s="376">
        <f>MIN('3.1 Market'!$H25,'1.1 Control Panel'!AJ$352*'1.1 Control Panel'!AJ359)</f>
        <v>64.948501694365746</v>
      </c>
      <c r="AK34" s="376">
        <f>MIN('3.1 Market'!$H25,'1.1 Control Panel'!AK$352*'1.1 Control Panel'!AK359)</f>
        <v>84.946124849490332</v>
      </c>
      <c r="AL34" s="376">
        <f>MIN('3.1 Market'!$H25,'1.1 Control Panel'!AL$352*'1.1 Control Panel'!AL359)</f>
        <v>84.956899879592271</v>
      </c>
      <c r="AM34" s="376">
        <f>MIN('3.1 Market'!$H25,'1.1 Control Panel'!AM$352*'1.1 Control Panel'!AM359)</f>
        <v>84.965519903673822</v>
      </c>
      <c r="AN34" s="376">
        <f>MIN('3.1 Market'!$H25,'1.1 Control Panel'!AN$352*'1.1 Control Panel'!AN359)</f>
        <v>84.972415922939064</v>
      </c>
      <c r="AP34" s="21"/>
    </row>
    <row r="35" spans="2:42" x14ac:dyDescent="0.25">
      <c r="C35" s="21" t="s">
        <v>456</v>
      </c>
      <c r="D35" s="38" t="s">
        <v>162</v>
      </c>
      <c r="E35" s="376">
        <f>MIN('3.1 Market'!$F26,'1.1 Control Panel'!E$352*'1.1 Control Panel'!E360)</f>
        <v>0</v>
      </c>
      <c r="F35" s="376">
        <f>MIN('3.1 Market'!$F26,'1.1 Control Panel'!F$352*'1.1 Control Panel'!F360)</f>
        <v>1</v>
      </c>
      <c r="G35" s="376">
        <f>MIN('3.1 Market'!$F26,'1.1 Control Panel'!G$352*'1.1 Control Panel'!G360)</f>
        <v>1.8</v>
      </c>
      <c r="H35" s="376">
        <f>MIN('3.1 Market'!$F26,'1.1 Control Panel'!H$352*'1.1 Control Panel'!H360)</f>
        <v>2.4400000000000004</v>
      </c>
      <c r="I35" s="376">
        <f>MIN('3.1 Market'!$F26,'1.1 Control Panel'!I$352*'1.1 Control Panel'!I360)</f>
        <v>2.9520000000000004</v>
      </c>
      <c r="J35" s="376">
        <f>MIN('3.1 Market'!$F26,'1.1 Control Panel'!J$352*'1.1 Control Panel'!J360)</f>
        <v>6.7232000000000012</v>
      </c>
      <c r="K35" s="376">
        <f>MIN('3.1 Market'!$F26,'1.1 Control Panel'!K$352*'1.1 Control Panel'!K360)</f>
        <v>7.3785600000000011</v>
      </c>
      <c r="L35" s="376">
        <f>MIN('3.1 Market'!$F26,'1.1 Control Panel'!L$352*'1.1 Control Panel'!L360)</f>
        <v>7.9028480000000014</v>
      </c>
      <c r="M35" s="376">
        <f>MIN('3.1 Market'!$F26,'1.1 Control Panel'!M$352*'1.1 Control Panel'!M360)</f>
        <v>8.3222784000000019</v>
      </c>
      <c r="N35" s="376">
        <f>MIN('3.1 Market'!$F26,'1.1 Control Panel'!N$352*'1.1 Control Panel'!N360)</f>
        <v>8.6578227200000022</v>
      </c>
      <c r="O35" s="376">
        <f>MIN('3.1 Market'!$F26,'1.1 Control Panel'!O$352*'1.1 Control Panel'!O360)</f>
        <v>8.926258176000001</v>
      </c>
      <c r="P35" s="376">
        <f>MIN('3.1 Market'!$F26,'1.1 Control Panel'!P$352*'1.1 Control Panel'!P360)</f>
        <v>9.1410065408000012</v>
      </c>
      <c r="Q35" s="376">
        <f>MIN('3.1 Market'!$G26,'1.1 Control Panel'!Q$352*'1.1 Control Panel'!Q360)</f>
        <v>13.969207848960004</v>
      </c>
      <c r="R35" s="376">
        <f>MIN('3.1 Market'!$G26,'1.1 Control Panel'!R$352*'1.1 Control Panel'!R360)</f>
        <v>14.175366279168003</v>
      </c>
      <c r="S35" s="376">
        <f>MIN('3.1 Market'!$G26,'1.1 Control Panel'!S$352*'1.1 Control Panel'!S360)</f>
        <v>14.340293023334404</v>
      </c>
      <c r="T35" s="376">
        <f>MIN('3.1 Market'!$G26,'1.1 Control Panel'!T$352*'1.1 Control Panel'!T360)</f>
        <v>14.472234418667522</v>
      </c>
      <c r="U35" s="376">
        <f>MIN('3.1 Market'!$G26,'1.1 Control Panel'!U$352*'1.1 Control Panel'!U360)</f>
        <v>19.43705004657869</v>
      </c>
      <c r="V35" s="376">
        <f>MIN('3.1 Market'!$G26,'1.1 Control Panel'!V$352*'1.1 Control Panel'!V360)</f>
        <v>19.549640037262954</v>
      </c>
      <c r="W35" s="376">
        <f>MIN('3.1 Market'!$G26,'1.1 Control Panel'!W$352*'1.1 Control Panel'!W360)</f>
        <v>19.639712029810362</v>
      </c>
      <c r="X35" s="376">
        <f>MIN('3.1 Market'!$G26,'1.1 Control Panel'!X$352*'1.1 Control Panel'!X360)</f>
        <v>19.711769623848291</v>
      </c>
      <c r="Y35" s="376">
        <f>MIN('3.1 Market'!$G26,'1.1 Control Panel'!Y$352*'1.1 Control Panel'!Y360)</f>
        <v>24.711769623848294</v>
      </c>
      <c r="Z35" s="376">
        <f>MIN('3.1 Market'!$G26,'1.1 Control Panel'!Z$352*'1.1 Control Panel'!Z360)</f>
        <v>24.769415699078635</v>
      </c>
      <c r="AA35" s="376">
        <f>MIN('3.1 Market'!$G26,'1.1 Control Panel'!AA$352*'1.1 Control Panel'!AA360)</f>
        <v>24.815532559262905</v>
      </c>
      <c r="AB35" s="376">
        <f>MIN('3.1 Market'!$G26,'1.1 Control Panel'!AB$352*'1.1 Control Panel'!AB360)</f>
        <v>24.852426047410326</v>
      </c>
      <c r="AC35" s="376">
        <f>MIN('3.1 Market'!$H26,'1.1 Control Panel'!AC$352*'1.1 Control Panel'!AC360)</f>
        <v>44.78749350827087</v>
      </c>
      <c r="AD35" s="376">
        <f>MIN('3.1 Market'!$H26,'1.1 Control Panel'!AD$352*'1.1 Control Panel'!AD360)</f>
        <v>44.829994806616696</v>
      </c>
      <c r="AE35" s="376">
        <f>MIN('3.1 Market'!$H26,'1.1 Control Panel'!AE$352*'1.1 Control Panel'!AE360)</f>
        <v>44.86399584529336</v>
      </c>
      <c r="AF35" s="376">
        <f>MIN('3.1 Market'!$H26,'1.1 Control Panel'!AF$352*'1.1 Control Panel'!AF360)</f>
        <v>44.891196676234699</v>
      </c>
      <c r="AG35" s="376">
        <f>MIN('3.1 Market'!$H26,'1.1 Control Panel'!AG$352*'1.1 Control Panel'!AG360)</f>
        <v>64.874271714760098</v>
      </c>
      <c r="AH35" s="376">
        <f>MIN('3.1 Market'!$H26,'1.1 Control Panel'!AH$352*'1.1 Control Panel'!AH360)</f>
        <v>64.899417371808084</v>
      </c>
      <c r="AI35" s="376">
        <f>MIN('3.1 Market'!$H26,'1.1 Control Panel'!AI$352*'1.1 Control Panel'!AI360)</f>
        <v>64.91953389744647</v>
      </c>
      <c r="AJ35" s="376">
        <f>MIN('3.1 Market'!$H26,'1.1 Control Panel'!AJ$352*'1.1 Control Panel'!AJ360)</f>
        <v>64.935627117957182</v>
      </c>
      <c r="AK35" s="376">
        <f>MIN('3.1 Market'!$H26,'1.1 Control Panel'!AK$352*'1.1 Control Panel'!AK360)</f>
        <v>84.9326560618629</v>
      </c>
      <c r="AL35" s="376">
        <f>MIN('3.1 Market'!$H26,'1.1 Control Panel'!AL$352*'1.1 Control Panel'!AL360)</f>
        <v>84.946124849490332</v>
      </c>
      <c r="AM35" s="376">
        <f>MIN('3.1 Market'!$H26,'1.1 Control Panel'!AM$352*'1.1 Control Panel'!AM360)</f>
        <v>84.956899879592271</v>
      </c>
      <c r="AN35" s="376">
        <f>MIN('3.1 Market'!$H26,'1.1 Control Panel'!AN$352*'1.1 Control Panel'!AN360)</f>
        <v>84.965519903673822</v>
      </c>
      <c r="AP35" s="21"/>
    </row>
    <row r="36" spans="2:42" x14ac:dyDescent="0.25">
      <c r="B36" s="99" t="s">
        <v>9</v>
      </c>
      <c r="C36" s="105" t="str">
        <f>'4.2 Sector Mapping'!$B$7</f>
        <v>Energy and Environment</v>
      </c>
      <c r="D36" s="106" t="s">
        <v>162</v>
      </c>
      <c r="E36" s="380">
        <f>SUM(E37:E42)</f>
        <v>0</v>
      </c>
      <c r="F36" s="380">
        <f t="shared" ref="F36:H36" si="71">SUM(F37:F42)</f>
        <v>0</v>
      </c>
      <c r="G36" s="380">
        <f t="shared" si="71"/>
        <v>0</v>
      </c>
      <c r="H36" s="380">
        <f t="shared" si="71"/>
        <v>0</v>
      </c>
      <c r="I36" s="380">
        <f t="shared" ref="I36:AN36" si="72">SUM(I37:I42)</f>
        <v>0</v>
      </c>
      <c r="J36" s="380">
        <f t="shared" si="72"/>
        <v>0</v>
      </c>
      <c r="K36" s="380">
        <f t="shared" si="72"/>
        <v>0</v>
      </c>
      <c r="L36" s="380">
        <f t="shared" si="72"/>
        <v>0</v>
      </c>
      <c r="M36" s="380">
        <f t="shared" si="72"/>
        <v>0</v>
      </c>
      <c r="N36" s="380">
        <f t="shared" si="72"/>
        <v>0</v>
      </c>
      <c r="O36" s="380">
        <f t="shared" si="72"/>
        <v>0</v>
      </c>
      <c r="P36" s="380">
        <f t="shared" si="72"/>
        <v>0</v>
      </c>
      <c r="Q36" s="380">
        <f t="shared" si="72"/>
        <v>28.969207848960004</v>
      </c>
      <c r="R36" s="380">
        <f t="shared" si="72"/>
        <v>29.175366279168006</v>
      </c>
      <c r="S36" s="380">
        <f t="shared" si="72"/>
        <v>29.340293023334404</v>
      </c>
      <c r="T36" s="380">
        <f t="shared" si="72"/>
        <v>29.472234418667526</v>
      </c>
      <c r="U36" s="380">
        <f t="shared" si="72"/>
        <v>59.155575069868036</v>
      </c>
      <c r="V36" s="380">
        <f t="shared" si="72"/>
        <v>59.324460055894434</v>
      </c>
      <c r="W36" s="380">
        <f t="shared" si="72"/>
        <v>59.459568044715553</v>
      </c>
      <c r="X36" s="380">
        <f t="shared" si="72"/>
        <v>59.56765443577244</v>
      </c>
      <c r="Y36" s="380">
        <f t="shared" si="72"/>
        <v>59.654123548617953</v>
      </c>
      <c r="Z36" s="380">
        <f t="shared" si="72"/>
        <v>59.723298838894358</v>
      </c>
      <c r="AA36" s="380">
        <f t="shared" si="72"/>
        <v>59.778639071115492</v>
      </c>
      <c r="AB36" s="380">
        <f t="shared" si="72"/>
        <v>59.822911256892397</v>
      </c>
      <c r="AC36" s="380">
        <f t="shared" si="72"/>
        <v>89.787493508270884</v>
      </c>
      <c r="AD36" s="380">
        <f t="shared" si="72"/>
        <v>89.82999480661671</v>
      </c>
      <c r="AE36" s="380">
        <f t="shared" si="72"/>
        <v>89.86399584529336</v>
      </c>
      <c r="AF36" s="380">
        <f t="shared" si="72"/>
        <v>89.891196676234699</v>
      </c>
      <c r="AG36" s="380">
        <f t="shared" si="72"/>
        <v>119.88394312131702</v>
      </c>
      <c r="AH36" s="380">
        <f t="shared" si="72"/>
        <v>119.90715449705363</v>
      </c>
      <c r="AI36" s="380">
        <f t="shared" si="72"/>
        <v>119.92572359764289</v>
      </c>
      <c r="AJ36" s="380">
        <f t="shared" si="72"/>
        <v>119.94057887811432</v>
      </c>
      <c r="AK36" s="380">
        <f t="shared" si="72"/>
        <v>149.94057887811434</v>
      </c>
      <c r="AL36" s="380">
        <f t="shared" si="72"/>
        <v>149.95246310249146</v>
      </c>
      <c r="AM36" s="380">
        <f t="shared" si="72"/>
        <v>149.96197048199321</v>
      </c>
      <c r="AN36" s="380">
        <f t="shared" si="72"/>
        <v>149.96957638559454</v>
      </c>
      <c r="AP36" s="105"/>
    </row>
    <row r="37" spans="2:42" x14ac:dyDescent="0.25">
      <c r="C37" s="20" t="s">
        <v>600</v>
      </c>
      <c r="D37" s="34" t="s">
        <v>162</v>
      </c>
      <c r="E37" s="28">
        <f>MIN('3.1 Market'!$F28,'1.1 Control Panel'!E$383*'1.1 Control Panel'!E386)</f>
        <v>0</v>
      </c>
      <c r="F37" s="28">
        <f>MIN('3.1 Market'!$F28,'1.1 Control Panel'!F$383*'1.1 Control Panel'!F386)</f>
        <v>0</v>
      </c>
      <c r="G37" s="28">
        <f>MIN('3.1 Market'!$F28,'1.1 Control Panel'!G$383*'1.1 Control Panel'!G386)</f>
        <v>0</v>
      </c>
      <c r="H37" s="28">
        <f>MIN('3.1 Market'!$F28,'1.1 Control Panel'!H$383*'1.1 Control Panel'!H386)</f>
        <v>0</v>
      </c>
      <c r="I37" s="28">
        <f>MIN('3.1 Market'!$F28,'1.1 Control Panel'!I$383*'1.1 Control Panel'!I386)</f>
        <v>0</v>
      </c>
      <c r="J37" s="28">
        <f>MIN('3.1 Market'!$F28,'1.1 Control Panel'!J$383*'1.1 Control Panel'!J386)</f>
        <v>0</v>
      </c>
      <c r="K37" s="28">
        <f>MIN('3.1 Market'!$F28,'1.1 Control Panel'!K$383*'1.1 Control Panel'!K386)</f>
        <v>0</v>
      </c>
      <c r="L37" s="28">
        <f>MIN('3.1 Market'!$F28,'1.1 Control Panel'!L$383*'1.1 Control Panel'!L386)</f>
        <v>0</v>
      </c>
      <c r="M37" s="28">
        <f>MIN('3.1 Market'!$F28,'1.1 Control Panel'!M$383*'1.1 Control Panel'!M386)</f>
        <v>0</v>
      </c>
      <c r="N37" s="28">
        <f>MIN('3.1 Market'!$F28,'1.1 Control Panel'!N$383*'1.1 Control Panel'!N386)</f>
        <v>0</v>
      </c>
      <c r="O37" s="28">
        <f>MIN('3.1 Market'!$F28,'1.1 Control Panel'!O$383*'1.1 Control Panel'!O386)</f>
        <v>0</v>
      </c>
      <c r="P37" s="28">
        <f>MIN('3.1 Market'!$F28,'1.1 Control Panel'!P$383*'1.1 Control Panel'!P386)</f>
        <v>0</v>
      </c>
      <c r="Q37" s="28">
        <f>MIN('3.1 Market'!$G28,'1.1 Control Panel'!Q$383*'1.1 Control Panel'!Q386)</f>
        <v>5</v>
      </c>
      <c r="R37" s="28">
        <f>MIN('3.1 Market'!$G28,'1.1 Control Panel'!R$383*'1.1 Control Panel'!R386)</f>
        <v>5</v>
      </c>
      <c r="S37" s="28">
        <f>MIN('3.1 Market'!$G28,'1.1 Control Panel'!S$383*'1.1 Control Panel'!S386)</f>
        <v>5</v>
      </c>
      <c r="T37" s="28">
        <f>MIN('3.1 Market'!$G28,'1.1 Control Panel'!T$383*'1.1 Control Panel'!T386)</f>
        <v>5</v>
      </c>
      <c r="U37" s="28">
        <f>MIN('3.1 Market'!$G28,'1.1 Control Panel'!U$383*'1.1 Control Panel'!U386)</f>
        <v>10</v>
      </c>
      <c r="V37" s="28">
        <f>MIN('3.1 Market'!$G28,'1.1 Control Panel'!V$383*'1.1 Control Panel'!V386)</f>
        <v>10</v>
      </c>
      <c r="W37" s="28">
        <f>MIN('3.1 Market'!$G28,'1.1 Control Panel'!W$383*'1.1 Control Panel'!W386)</f>
        <v>10</v>
      </c>
      <c r="X37" s="28">
        <f>MIN('3.1 Market'!$G28,'1.1 Control Panel'!X$383*'1.1 Control Panel'!X386)</f>
        <v>10</v>
      </c>
      <c r="Y37" s="28">
        <f>MIN('3.1 Market'!$G28,'1.1 Control Panel'!Y$383*'1.1 Control Panel'!Y386)</f>
        <v>10</v>
      </c>
      <c r="Z37" s="28">
        <f>MIN('3.1 Market'!$G28,'1.1 Control Panel'!Z$383*'1.1 Control Panel'!Z386)</f>
        <v>10</v>
      </c>
      <c r="AA37" s="28">
        <f>MIN('3.1 Market'!$G28,'1.1 Control Panel'!AA$383*'1.1 Control Panel'!AA386)</f>
        <v>10</v>
      </c>
      <c r="AB37" s="28">
        <f>MIN('3.1 Market'!$G28,'1.1 Control Panel'!AB$383*'1.1 Control Panel'!AB386)</f>
        <v>10</v>
      </c>
      <c r="AC37" s="28">
        <f>MIN('3.1 Market'!$H28,'1.1 Control Panel'!AC$383*'1.1 Control Panel'!AC386)</f>
        <v>15</v>
      </c>
      <c r="AD37" s="28">
        <f>MIN('3.1 Market'!$H28,'1.1 Control Panel'!AD$383*'1.1 Control Panel'!AD386)</f>
        <v>15</v>
      </c>
      <c r="AE37" s="28">
        <f>MIN('3.1 Market'!$H28,'1.1 Control Panel'!AE$383*'1.1 Control Panel'!AE386)</f>
        <v>15</v>
      </c>
      <c r="AF37" s="28">
        <f>MIN('3.1 Market'!$H28,'1.1 Control Panel'!AF$383*'1.1 Control Panel'!AF386)</f>
        <v>15</v>
      </c>
      <c r="AG37" s="28">
        <f>MIN('3.1 Market'!$H28,'1.1 Control Panel'!AG$383*'1.1 Control Panel'!AG386)</f>
        <v>20</v>
      </c>
      <c r="AH37" s="28">
        <f>MIN('3.1 Market'!$H28,'1.1 Control Panel'!AH$383*'1.1 Control Panel'!AH386)</f>
        <v>20</v>
      </c>
      <c r="AI37" s="28">
        <f>MIN('3.1 Market'!$H28,'1.1 Control Panel'!AI$383*'1.1 Control Panel'!AI386)</f>
        <v>20</v>
      </c>
      <c r="AJ37" s="28">
        <f>MIN('3.1 Market'!$H28,'1.1 Control Panel'!AJ$383*'1.1 Control Panel'!AJ386)</f>
        <v>20</v>
      </c>
      <c r="AK37" s="28">
        <f>MIN('3.1 Market'!$H28,'1.1 Control Panel'!AK$383*'1.1 Control Panel'!AK386)</f>
        <v>25</v>
      </c>
      <c r="AL37" s="28">
        <f>MIN('3.1 Market'!$H28,'1.1 Control Panel'!AL$383*'1.1 Control Panel'!AL386)</f>
        <v>25</v>
      </c>
      <c r="AM37" s="28">
        <f>MIN('3.1 Market'!$H28,'1.1 Control Panel'!AM$383*'1.1 Control Panel'!AM386)</f>
        <v>25</v>
      </c>
      <c r="AN37" s="28">
        <f>MIN('3.1 Market'!$H28,'1.1 Control Panel'!AN$383*'1.1 Control Panel'!AN386)</f>
        <v>25</v>
      </c>
      <c r="AP37" s="20"/>
    </row>
    <row r="38" spans="2:42" x14ac:dyDescent="0.25">
      <c r="C38" s="20" t="s">
        <v>392</v>
      </c>
      <c r="D38" s="34" t="s">
        <v>162</v>
      </c>
      <c r="E38" s="28">
        <f>MIN('3.1 Market'!$F29,'1.1 Control Panel'!E$383*'1.1 Control Panel'!E387)</f>
        <v>0</v>
      </c>
      <c r="F38" s="28">
        <f>MIN('3.1 Market'!$F29,'1.1 Control Panel'!F$383*'1.1 Control Panel'!F387)</f>
        <v>0</v>
      </c>
      <c r="G38" s="28">
        <f>MIN('3.1 Market'!$F29,'1.1 Control Panel'!G$383*'1.1 Control Panel'!G387)</f>
        <v>0</v>
      </c>
      <c r="H38" s="28">
        <f>MIN('3.1 Market'!$F29,'1.1 Control Panel'!H$383*'1.1 Control Panel'!H387)</f>
        <v>0</v>
      </c>
      <c r="I38" s="28">
        <f>MIN('3.1 Market'!$F29,'1.1 Control Panel'!I$383*'1.1 Control Panel'!I387)</f>
        <v>0</v>
      </c>
      <c r="J38" s="28">
        <f>MIN('3.1 Market'!$F29,'1.1 Control Panel'!J$383*'1.1 Control Panel'!J387)</f>
        <v>0</v>
      </c>
      <c r="K38" s="28">
        <f>MIN('3.1 Market'!$F29,'1.1 Control Panel'!K$383*'1.1 Control Panel'!K387)</f>
        <v>0</v>
      </c>
      <c r="L38" s="28">
        <f>MIN('3.1 Market'!$F29,'1.1 Control Panel'!L$383*'1.1 Control Panel'!L387)</f>
        <v>0</v>
      </c>
      <c r="M38" s="28">
        <f>MIN('3.1 Market'!$F29,'1.1 Control Panel'!M$383*'1.1 Control Panel'!M387)</f>
        <v>0</v>
      </c>
      <c r="N38" s="28">
        <f>MIN('3.1 Market'!$F29,'1.1 Control Panel'!N$383*'1.1 Control Panel'!N387)</f>
        <v>0</v>
      </c>
      <c r="O38" s="28">
        <f>MIN('3.1 Market'!$F29,'1.1 Control Panel'!O$383*'1.1 Control Panel'!O387)</f>
        <v>0</v>
      </c>
      <c r="P38" s="28">
        <f>MIN('3.1 Market'!$F29,'1.1 Control Panel'!P$383*'1.1 Control Panel'!P387)</f>
        <v>0</v>
      </c>
      <c r="Q38" s="28">
        <f>MIN('3.1 Market'!$G29,'1.1 Control Panel'!Q$383*'1.1 Control Panel'!Q387)</f>
        <v>4.9312805232640002</v>
      </c>
      <c r="R38" s="28">
        <f>MIN('3.1 Market'!$G29,'1.1 Control Panel'!R$383*'1.1 Control Panel'!R387)</f>
        <v>4.9450244186112009</v>
      </c>
      <c r="S38" s="28">
        <f>MIN('3.1 Market'!$G29,'1.1 Control Panel'!S$383*'1.1 Control Panel'!S387)</f>
        <v>4.9560195348889611</v>
      </c>
      <c r="T38" s="28">
        <f>MIN('3.1 Market'!$G29,'1.1 Control Panel'!T$383*'1.1 Control Panel'!T387)</f>
        <v>4.964815627911169</v>
      </c>
      <c r="U38" s="28">
        <f>MIN('3.1 Market'!$G29,'1.1 Control Panel'!U$383*'1.1 Control Panel'!U387)</f>
        <v>9.9437050046578719</v>
      </c>
      <c r="V38" s="28">
        <f>MIN('3.1 Market'!$G29,'1.1 Control Panel'!V$383*'1.1 Control Panel'!V387)</f>
        <v>9.9549640037262979</v>
      </c>
      <c r="W38" s="28">
        <f>MIN('3.1 Market'!$G29,'1.1 Control Panel'!W$383*'1.1 Control Panel'!W387)</f>
        <v>9.963971202981039</v>
      </c>
      <c r="X38" s="28">
        <f>MIN('3.1 Market'!$G29,'1.1 Control Panel'!X$383*'1.1 Control Panel'!X387)</f>
        <v>9.9711769623848312</v>
      </c>
      <c r="Y38" s="28">
        <f>MIN('3.1 Market'!$G29,'1.1 Control Panel'!Y$383*'1.1 Control Panel'!Y387)</f>
        <v>9.976941569907865</v>
      </c>
      <c r="Z38" s="28">
        <f>MIN('3.1 Market'!$G29,'1.1 Control Panel'!Z$383*'1.1 Control Panel'!Z387)</f>
        <v>9.9815532559262934</v>
      </c>
      <c r="AA38" s="28">
        <f>MIN('3.1 Market'!$G29,'1.1 Control Panel'!AA$383*'1.1 Control Panel'!AA387)</f>
        <v>9.9852426047410354</v>
      </c>
      <c r="AB38" s="28">
        <f>MIN('3.1 Market'!$G29,'1.1 Control Panel'!AB$383*'1.1 Control Panel'!AB387)</f>
        <v>9.9881940837928287</v>
      </c>
      <c r="AC38" s="28">
        <f>MIN('3.1 Market'!$H29,'1.1 Control Panel'!AC$383*'1.1 Control Panel'!AC387)</f>
        <v>14.985832900551395</v>
      </c>
      <c r="AD38" s="28">
        <f>MIN('3.1 Market'!$H29,'1.1 Control Panel'!AD$383*'1.1 Control Panel'!AD387)</f>
        <v>14.988666320441117</v>
      </c>
      <c r="AE38" s="28">
        <f>MIN('3.1 Market'!$H29,'1.1 Control Panel'!AE$383*'1.1 Control Panel'!AE387)</f>
        <v>14.990933056352894</v>
      </c>
      <c r="AF38" s="28">
        <f>MIN('3.1 Market'!$H29,'1.1 Control Panel'!AF$383*'1.1 Control Panel'!AF387)</f>
        <v>14.992746445082316</v>
      </c>
      <c r="AG38" s="28">
        <f>MIN('3.1 Market'!$H29,'1.1 Control Panel'!AG$383*'1.1 Control Panel'!AG387)</f>
        <v>19.992262874754474</v>
      </c>
      <c r="AH38" s="28">
        <f>MIN('3.1 Market'!$H29,'1.1 Control Panel'!AH$383*'1.1 Control Panel'!AH387)</f>
        <v>19.993810299803577</v>
      </c>
      <c r="AI38" s="28">
        <f>MIN('3.1 Market'!$H29,'1.1 Control Panel'!AI$383*'1.1 Control Panel'!AI387)</f>
        <v>19.995048239842863</v>
      </c>
      <c r="AJ38" s="28">
        <f>MIN('3.1 Market'!$H29,'1.1 Control Panel'!AJ$383*'1.1 Control Panel'!AJ387)</f>
        <v>19.996038591874289</v>
      </c>
      <c r="AK38" s="28">
        <f>MIN('3.1 Market'!$H29,'1.1 Control Panel'!AK$383*'1.1 Control Panel'!AK387)</f>
        <v>24.996038591874292</v>
      </c>
      <c r="AL38" s="28">
        <f>MIN('3.1 Market'!$H29,'1.1 Control Panel'!AL$383*'1.1 Control Panel'!AL387)</f>
        <v>24.996830873499434</v>
      </c>
      <c r="AM38" s="28">
        <f>MIN('3.1 Market'!$H29,'1.1 Control Panel'!AM$383*'1.1 Control Panel'!AM387)</f>
        <v>24.997464698799547</v>
      </c>
      <c r="AN38" s="28">
        <f>MIN('3.1 Market'!$H29,'1.1 Control Panel'!AN$383*'1.1 Control Panel'!AN387)</f>
        <v>24.997971759039636</v>
      </c>
      <c r="AP38" s="20"/>
    </row>
    <row r="39" spans="2:42" x14ac:dyDescent="0.25">
      <c r="C39" s="20" t="s">
        <v>454</v>
      </c>
      <c r="D39" s="34" t="s">
        <v>162</v>
      </c>
      <c r="E39" s="28">
        <f>MIN('3.1 Market'!$F30,'1.1 Control Panel'!E$383*'1.1 Control Panel'!E388)</f>
        <v>0</v>
      </c>
      <c r="F39" s="28">
        <f>MIN('3.1 Market'!$F30,'1.1 Control Panel'!F$383*'1.1 Control Panel'!F388)</f>
        <v>0</v>
      </c>
      <c r="G39" s="28">
        <f>MIN('3.1 Market'!$F30,'1.1 Control Panel'!G$383*'1.1 Control Panel'!G388)</f>
        <v>0</v>
      </c>
      <c r="H39" s="28">
        <f>MIN('3.1 Market'!$F30,'1.1 Control Panel'!H$383*'1.1 Control Panel'!H388)</f>
        <v>0</v>
      </c>
      <c r="I39" s="28">
        <f>MIN('3.1 Market'!$F30,'1.1 Control Panel'!I$383*'1.1 Control Panel'!I388)</f>
        <v>0</v>
      </c>
      <c r="J39" s="28">
        <f>MIN('3.1 Market'!$F30,'1.1 Control Panel'!J$383*'1.1 Control Panel'!J388)</f>
        <v>0</v>
      </c>
      <c r="K39" s="28">
        <f>MIN('3.1 Market'!$F30,'1.1 Control Panel'!K$383*'1.1 Control Panel'!K388)</f>
        <v>0</v>
      </c>
      <c r="L39" s="28">
        <f>MIN('3.1 Market'!$F30,'1.1 Control Panel'!L$383*'1.1 Control Panel'!L388)</f>
        <v>0</v>
      </c>
      <c r="M39" s="28">
        <f>MIN('3.1 Market'!$F30,'1.1 Control Panel'!M$383*'1.1 Control Panel'!M388)</f>
        <v>0</v>
      </c>
      <c r="N39" s="28">
        <f>MIN('3.1 Market'!$F30,'1.1 Control Panel'!N$383*'1.1 Control Panel'!N388)</f>
        <v>0</v>
      </c>
      <c r="O39" s="28">
        <f>MIN('3.1 Market'!$F30,'1.1 Control Panel'!O$383*'1.1 Control Panel'!O388)</f>
        <v>0</v>
      </c>
      <c r="P39" s="28">
        <f>MIN('3.1 Market'!$F30,'1.1 Control Panel'!P$383*'1.1 Control Panel'!P388)</f>
        <v>0</v>
      </c>
      <c r="Q39" s="28">
        <f>MIN('3.1 Market'!$G30,'1.1 Control Panel'!Q$383*'1.1 Control Panel'!Q388)</f>
        <v>4.8625610465280014</v>
      </c>
      <c r="R39" s="28">
        <f>MIN('3.1 Market'!$G30,'1.1 Control Panel'!R$383*'1.1 Control Panel'!R388)</f>
        <v>4.8900488372224018</v>
      </c>
      <c r="S39" s="28">
        <f>MIN('3.1 Market'!$G30,'1.1 Control Panel'!S$383*'1.1 Control Panel'!S388)</f>
        <v>4.9120390697779222</v>
      </c>
      <c r="T39" s="28">
        <f>MIN('3.1 Market'!$G30,'1.1 Control Panel'!T$383*'1.1 Control Panel'!T388)</f>
        <v>4.9296312558223381</v>
      </c>
      <c r="U39" s="28">
        <f>MIN('3.1 Market'!$G30,'1.1 Control Panel'!U$383*'1.1 Control Panel'!U388)</f>
        <v>9.8874100093157402</v>
      </c>
      <c r="V39" s="28">
        <f>MIN('3.1 Market'!$G30,'1.1 Control Panel'!V$383*'1.1 Control Panel'!V388)</f>
        <v>9.9099280074525922</v>
      </c>
      <c r="W39" s="28">
        <f>MIN('3.1 Market'!$G30,'1.1 Control Panel'!W$383*'1.1 Control Panel'!W388)</f>
        <v>9.9279424059620744</v>
      </c>
      <c r="X39" s="28">
        <f>MIN('3.1 Market'!$G30,'1.1 Control Panel'!X$383*'1.1 Control Panel'!X388)</f>
        <v>9.9423539247696588</v>
      </c>
      <c r="Y39" s="28">
        <f>MIN('3.1 Market'!$G30,'1.1 Control Panel'!Y$383*'1.1 Control Panel'!Y388)</f>
        <v>9.9538831398157264</v>
      </c>
      <c r="Z39" s="28">
        <f>MIN('3.1 Market'!$G30,'1.1 Control Panel'!Z$383*'1.1 Control Panel'!Z388)</f>
        <v>9.9631065118525814</v>
      </c>
      <c r="AA39" s="28">
        <f>MIN('3.1 Market'!$G30,'1.1 Control Panel'!AA$383*'1.1 Control Panel'!AA388)</f>
        <v>9.9704852094820655</v>
      </c>
      <c r="AB39" s="28">
        <f>MIN('3.1 Market'!$G30,'1.1 Control Panel'!AB$383*'1.1 Control Panel'!AB388)</f>
        <v>9.9763881675856538</v>
      </c>
      <c r="AC39" s="28">
        <f>MIN('3.1 Market'!$H30,'1.1 Control Panel'!AC$383*'1.1 Control Panel'!AC388)</f>
        <v>14.971665801102786</v>
      </c>
      <c r="AD39" s="28">
        <f>MIN('3.1 Market'!$H30,'1.1 Control Panel'!AD$383*'1.1 Control Panel'!AD388)</f>
        <v>14.97733264088223</v>
      </c>
      <c r="AE39" s="28">
        <f>MIN('3.1 Market'!$H30,'1.1 Control Panel'!AE$383*'1.1 Control Panel'!AE388)</f>
        <v>14.981866112705783</v>
      </c>
      <c r="AF39" s="28">
        <f>MIN('3.1 Market'!$H30,'1.1 Control Panel'!AF$383*'1.1 Control Panel'!AF388)</f>
        <v>14.985492890164627</v>
      </c>
      <c r="AG39" s="28">
        <f>MIN('3.1 Market'!$H30,'1.1 Control Panel'!AG$383*'1.1 Control Panel'!AG388)</f>
        <v>19.984525749508936</v>
      </c>
      <c r="AH39" s="28">
        <f>MIN('3.1 Market'!$H30,'1.1 Control Panel'!AH$383*'1.1 Control Panel'!AH388)</f>
        <v>19.987620599607148</v>
      </c>
      <c r="AI39" s="28">
        <f>MIN('3.1 Market'!$H30,'1.1 Control Panel'!AI$383*'1.1 Control Panel'!AI388)</f>
        <v>19.990096479685718</v>
      </c>
      <c r="AJ39" s="28">
        <f>MIN('3.1 Market'!$H30,'1.1 Control Panel'!AJ$383*'1.1 Control Panel'!AJ388)</f>
        <v>19.992077183748577</v>
      </c>
      <c r="AK39" s="28">
        <f>MIN('3.1 Market'!$H30,'1.1 Control Panel'!AK$383*'1.1 Control Panel'!AK388)</f>
        <v>24.992077183748577</v>
      </c>
      <c r="AL39" s="28">
        <f>MIN('3.1 Market'!$H30,'1.1 Control Panel'!AL$383*'1.1 Control Panel'!AL388)</f>
        <v>24.99366174699886</v>
      </c>
      <c r="AM39" s="28">
        <f>MIN('3.1 Market'!$H30,'1.1 Control Panel'!AM$383*'1.1 Control Panel'!AM388)</f>
        <v>24.99492939759909</v>
      </c>
      <c r="AN39" s="28">
        <f>MIN('3.1 Market'!$H30,'1.1 Control Panel'!AN$383*'1.1 Control Panel'!AN388)</f>
        <v>24.995943518079272</v>
      </c>
      <c r="AP39" s="20"/>
    </row>
    <row r="40" spans="2:42" x14ac:dyDescent="0.25">
      <c r="C40" s="21" t="s">
        <v>455</v>
      </c>
      <c r="D40" s="38" t="s">
        <v>162</v>
      </c>
      <c r="E40" s="376">
        <f>MIN('3.1 Market'!$F31,'1.1 Control Panel'!E$383*'1.1 Control Panel'!E389)</f>
        <v>0</v>
      </c>
      <c r="F40" s="376">
        <f>MIN('3.1 Market'!$F31,'1.1 Control Panel'!F$383*'1.1 Control Panel'!F389)</f>
        <v>0</v>
      </c>
      <c r="G40" s="376">
        <f>MIN('3.1 Market'!$F31,'1.1 Control Panel'!G$383*'1.1 Control Panel'!G389)</f>
        <v>0</v>
      </c>
      <c r="H40" s="376">
        <f>MIN('3.1 Market'!$F31,'1.1 Control Panel'!H$383*'1.1 Control Panel'!H389)</f>
        <v>0</v>
      </c>
      <c r="I40" s="376">
        <f>MIN('3.1 Market'!$F31,'1.1 Control Panel'!I$383*'1.1 Control Panel'!I389)</f>
        <v>0</v>
      </c>
      <c r="J40" s="376">
        <f>MIN('3.1 Market'!$F31,'1.1 Control Panel'!J$383*'1.1 Control Panel'!J389)</f>
        <v>0</v>
      </c>
      <c r="K40" s="376">
        <f>MIN('3.1 Market'!$F31,'1.1 Control Panel'!K$383*'1.1 Control Panel'!K389)</f>
        <v>0</v>
      </c>
      <c r="L40" s="376">
        <f>MIN('3.1 Market'!$F31,'1.1 Control Panel'!L$383*'1.1 Control Panel'!L389)</f>
        <v>0</v>
      </c>
      <c r="M40" s="376">
        <f>MIN('3.1 Market'!$F31,'1.1 Control Panel'!M$383*'1.1 Control Panel'!M389)</f>
        <v>0</v>
      </c>
      <c r="N40" s="376">
        <f>MIN('3.1 Market'!$F31,'1.1 Control Panel'!N$383*'1.1 Control Panel'!N389)</f>
        <v>0</v>
      </c>
      <c r="O40" s="376">
        <f>MIN('3.1 Market'!$F31,'1.1 Control Panel'!O$383*'1.1 Control Panel'!O389)</f>
        <v>0</v>
      </c>
      <c r="P40" s="376">
        <f>MIN('3.1 Market'!$F31,'1.1 Control Panel'!P$383*'1.1 Control Panel'!P389)</f>
        <v>0</v>
      </c>
      <c r="Q40" s="28">
        <f>MIN('3.1 Market'!$G31,'1.1 Control Panel'!Q$383*'1.1 Control Panel'!Q389)</f>
        <v>4.7938415697920007</v>
      </c>
      <c r="R40" s="28">
        <f>MIN('3.1 Market'!$G31,'1.1 Control Panel'!R$383*'1.1 Control Panel'!R389)</f>
        <v>4.8350732558336009</v>
      </c>
      <c r="S40" s="28">
        <f>MIN('3.1 Market'!$G31,'1.1 Control Panel'!S$383*'1.1 Control Panel'!S389)</f>
        <v>4.8680586046668815</v>
      </c>
      <c r="T40" s="28">
        <f>MIN('3.1 Market'!$G31,'1.1 Control Panel'!T$383*'1.1 Control Panel'!T389)</f>
        <v>4.8944468837335053</v>
      </c>
      <c r="U40" s="28">
        <f>MIN('3.1 Market'!$G31,'1.1 Control Panel'!U$383*'1.1 Control Panel'!U389)</f>
        <v>9.8311150139736085</v>
      </c>
      <c r="V40" s="28">
        <f>MIN('3.1 Market'!$G31,'1.1 Control Panel'!V$383*'1.1 Control Panel'!V389)</f>
        <v>9.8648920111788883</v>
      </c>
      <c r="W40" s="28">
        <f>MIN('3.1 Market'!$G31,'1.1 Control Panel'!W$383*'1.1 Control Panel'!W389)</f>
        <v>9.8919136089431099</v>
      </c>
      <c r="X40" s="28">
        <f>MIN('3.1 Market'!$G31,'1.1 Control Panel'!X$383*'1.1 Control Panel'!X389)</f>
        <v>9.9135308871544883</v>
      </c>
      <c r="Y40" s="28">
        <f>MIN('3.1 Market'!$G31,'1.1 Control Panel'!Y$383*'1.1 Control Panel'!Y389)</f>
        <v>9.9308247097235913</v>
      </c>
      <c r="Z40" s="28">
        <f>MIN('3.1 Market'!$G31,'1.1 Control Panel'!Z$383*'1.1 Control Panel'!Z389)</f>
        <v>9.9446597677788731</v>
      </c>
      <c r="AA40" s="28">
        <f>MIN('3.1 Market'!$G31,'1.1 Control Panel'!AA$383*'1.1 Control Panel'!AA389)</f>
        <v>9.9557278142230992</v>
      </c>
      <c r="AB40" s="28">
        <f>MIN('3.1 Market'!$G31,'1.1 Control Panel'!AB$383*'1.1 Control Panel'!AB389)</f>
        <v>9.9645822513784807</v>
      </c>
      <c r="AC40" s="28">
        <f>MIN('3.1 Market'!$H31,'1.1 Control Panel'!AC$383*'1.1 Control Panel'!AC389)</f>
        <v>14.957498701654176</v>
      </c>
      <c r="AD40" s="376">
        <f>MIN('3.1 Market'!$H31,'1.1 Control Panel'!AD$383*'1.1 Control Panel'!AD389)</f>
        <v>14.965998961323342</v>
      </c>
      <c r="AE40" s="376">
        <f>MIN('3.1 Market'!$H31,'1.1 Control Panel'!AE$383*'1.1 Control Panel'!AE389)</f>
        <v>14.972799169058675</v>
      </c>
      <c r="AF40" s="376">
        <f>MIN('3.1 Market'!$H31,'1.1 Control Panel'!AF$383*'1.1 Control Panel'!AF389)</f>
        <v>14.978239335246938</v>
      </c>
      <c r="AG40" s="376">
        <f>MIN('3.1 Market'!$H31,'1.1 Control Panel'!AG$383*'1.1 Control Panel'!AG389)</f>
        <v>19.976788624263399</v>
      </c>
      <c r="AH40" s="376">
        <f>MIN('3.1 Market'!$H31,'1.1 Control Panel'!AH$383*'1.1 Control Panel'!AH389)</f>
        <v>19.981430899410718</v>
      </c>
      <c r="AI40" s="376">
        <f>MIN('3.1 Market'!$H31,'1.1 Control Panel'!AI$383*'1.1 Control Panel'!AI389)</f>
        <v>19.985144719528577</v>
      </c>
      <c r="AJ40" s="376">
        <f>MIN('3.1 Market'!$H31,'1.1 Control Panel'!AJ$383*'1.1 Control Panel'!AJ389)</f>
        <v>19.988115775622862</v>
      </c>
      <c r="AK40" s="376">
        <f>MIN('3.1 Market'!$H31,'1.1 Control Panel'!AK$383*'1.1 Control Panel'!AK389)</f>
        <v>24.988115775622862</v>
      </c>
      <c r="AL40" s="376">
        <f>MIN('3.1 Market'!$H31,'1.1 Control Panel'!AL$383*'1.1 Control Panel'!AL389)</f>
        <v>24.990492620498294</v>
      </c>
      <c r="AM40" s="376">
        <f>MIN('3.1 Market'!$H31,'1.1 Control Panel'!AM$383*'1.1 Control Panel'!AM389)</f>
        <v>24.992394096398634</v>
      </c>
      <c r="AN40" s="376">
        <f>MIN('3.1 Market'!$H31,'1.1 Control Panel'!AN$383*'1.1 Control Panel'!AN389)</f>
        <v>24.993915277118912</v>
      </c>
      <c r="AP40" s="21"/>
    </row>
    <row r="41" spans="2:42" x14ac:dyDescent="0.25">
      <c r="C41" s="21" t="s">
        <v>393</v>
      </c>
      <c r="D41" s="38" t="s">
        <v>162</v>
      </c>
      <c r="E41" s="376">
        <f>MIN('3.1 Market'!$F32,'1.1 Control Panel'!E$383*'1.1 Control Panel'!E390)</f>
        <v>0</v>
      </c>
      <c r="F41" s="376">
        <f>MIN('3.1 Market'!$F32,'1.1 Control Panel'!F$383*'1.1 Control Panel'!F390)</f>
        <v>0</v>
      </c>
      <c r="G41" s="376">
        <f>MIN('3.1 Market'!$F32,'1.1 Control Panel'!G$383*'1.1 Control Panel'!G390)</f>
        <v>0</v>
      </c>
      <c r="H41" s="376">
        <f>MIN('3.1 Market'!$F32,'1.1 Control Panel'!H$383*'1.1 Control Panel'!H390)</f>
        <v>0</v>
      </c>
      <c r="I41" s="376">
        <f>MIN('3.1 Market'!$F32,'1.1 Control Panel'!I$383*'1.1 Control Panel'!I390)</f>
        <v>0</v>
      </c>
      <c r="J41" s="376">
        <f>MIN('3.1 Market'!$F32,'1.1 Control Panel'!J$383*'1.1 Control Panel'!J390)</f>
        <v>0</v>
      </c>
      <c r="K41" s="376">
        <f>MIN('3.1 Market'!$F32,'1.1 Control Panel'!K$383*'1.1 Control Panel'!K390)</f>
        <v>0</v>
      </c>
      <c r="L41" s="376">
        <f>MIN('3.1 Market'!$F32,'1.1 Control Panel'!L$383*'1.1 Control Panel'!L390)</f>
        <v>0</v>
      </c>
      <c r="M41" s="376">
        <f>MIN('3.1 Market'!$F32,'1.1 Control Panel'!M$383*'1.1 Control Panel'!M390)</f>
        <v>0</v>
      </c>
      <c r="N41" s="376">
        <f>MIN('3.1 Market'!$F32,'1.1 Control Panel'!N$383*'1.1 Control Panel'!N390)</f>
        <v>0</v>
      </c>
      <c r="O41" s="376">
        <f>MIN('3.1 Market'!$F32,'1.1 Control Panel'!O$383*'1.1 Control Panel'!O390)</f>
        <v>0</v>
      </c>
      <c r="P41" s="376">
        <f>MIN('3.1 Market'!$F32,'1.1 Control Panel'!P$383*'1.1 Control Panel'!P390)</f>
        <v>0</v>
      </c>
      <c r="Q41" s="28">
        <f>MIN('3.1 Market'!$G32,'1.1 Control Panel'!Q$383*'1.1 Control Panel'!Q390)</f>
        <v>4.7251220930560009</v>
      </c>
      <c r="R41" s="28">
        <f>MIN('3.1 Market'!$G32,'1.1 Control Panel'!R$383*'1.1 Control Panel'!R390)</f>
        <v>4.7800976744448009</v>
      </c>
      <c r="S41" s="28">
        <f>MIN('3.1 Market'!$G32,'1.1 Control Panel'!S$383*'1.1 Control Panel'!S390)</f>
        <v>4.8240781395558407</v>
      </c>
      <c r="T41" s="28">
        <f>MIN('3.1 Market'!$G32,'1.1 Control Panel'!T$383*'1.1 Control Panel'!T390)</f>
        <v>4.8592625116446726</v>
      </c>
      <c r="U41" s="28">
        <f>MIN('3.1 Market'!$G32,'1.1 Control Panel'!U$383*'1.1 Control Panel'!U390)</f>
        <v>9.7748200186314769</v>
      </c>
      <c r="V41" s="28">
        <f>MIN('3.1 Market'!$G32,'1.1 Control Panel'!V$383*'1.1 Control Panel'!V390)</f>
        <v>9.8198560149051808</v>
      </c>
      <c r="W41" s="28">
        <f>MIN('3.1 Market'!$G32,'1.1 Control Panel'!W$383*'1.1 Control Panel'!W390)</f>
        <v>9.8558848119241453</v>
      </c>
      <c r="X41" s="28">
        <f>MIN('3.1 Market'!$G32,'1.1 Control Panel'!X$383*'1.1 Control Panel'!X390)</f>
        <v>9.8847078495393177</v>
      </c>
      <c r="Y41" s="28">
        <f>MIN('3.1 Market'!$G32,'1.1 Control Panel'!Y$383*'1.1 Control Panel'!Y390)</f>
        <v>9.9077662796314545</v>
      </c>
      <c r="Z41" s="28">
        <f>MIN('3.1 Market'!$G32,'1.1 Control Panel'!Z$383*'1.1 Control Panel'!Z390)</f>
        <v>9.9262130237051629</v>
      </c>
      <c r="AA41" s="28">
        <f>MIN('3.1 Market'!$G32,'1.1 Control Panel'!AA$383*'1.1 Control Panel'!AA390)</f>
        <v>9.940970418964131</v>
      </c>
      <c r="AB41" s="28">
        <f>MIN('3.1 Market'!$G32,'1.1 Control Panel'!AB$383*'1.1 Control Panel'!AB390)</f>
        <v>9.9527763351713041</v>
      </c>
      <c r="AC41" s="28">
        <f>MIN('3.1 Market'!$H32,'1.1 Control Panel'!AC$383*'1.1 Control Panel'!AC390)</f>
        <v>14.943331602205566</v>
      </c>
      <c r="AD41" s="376">
        <f>MIN('3.1 Market'!$H32,'1.1 Control Panel'!AD$383*'1.1 Control Panel'!AD390)</f>
        <v>14.954665281764454</v>
      </c>
      <c r="AE41" s="376">
        <f>MIN('3.1 Market'!$H32,'1.1 Control Panel'!AE$383*'1.1 Control Panel'!AE390)</f>
        <v>14.963732225411565</v>
      </c>
      <c r="AF41" s="376">
        <f>MIN('3.1 Market'!$H32,'1.1 Control Panel'!AF$383*'1.1 Control Panel'!AF390)</f>
        <v>14.970985780329254</v>
      </c>
      <c r="AG41" s="376">
        <f>MIN('3.1 Market'!$H32,'1.1 Control Panel'!AG$383*'1.1 Control Panel'!AG390)</f>
        <v>19.969051499017873</v>
      </c>
      <c r="AH41" s="376">
        <f>MIN('3.1 Market'!$H32,'1.1 Control Panel'!AH$383*'1.1 Control Panel'!AH390)</f>
        <v>19.975241199214299</v>
      </c>
      <c r="AI41" s="376">
        <f>MIN('3.1 Market'!$H32,'1.1 Control Panel'!AI$383*'1.1 Control Panel'!AI390)</f>
        <v>19.98019295937144</v>
      </c>
      <c r="AJ41" s="376">
        <f>MIN('3.1 Market'!$H32,'1.1 Control Panel'!AJ$383*'1.1 Control Panel'!AJ390)</f>
        <v>19.984154367497155</v>
      </c>
      <c r="AK41" s="376">
        <f>MIN('3.1 Market'!$H32,'1.1 Control Panel'!AK$383*'1.1 Control Panel'!AK390)</f>
        <v>24.984154367497155</v>
      </c>
      <c r="AL41" s="376">
        <f>MIN('3.1 Market'!$H32,'1.1 Control Panel'!AL$383*'1.1 Control Panel'!AL390)</f>
        <v>24.987323493997728</v>
      </c>
      <c r="AM41" s="376">
        <f>MIN('3.1 Market'!$H32,'1.1 Control Panel'!AM$383*'1.1 Control Panel'!AM390)</f>
        <v>24.989858795198181</v>
      </c>
      <c r="AN41" s="376">
        <f>MIN('3.1 Market'!$H32,'1.1 Control Panel'!AN$383*'1.1 Control Panel'!AN390)</f>
        <v>24.991887036158545</v>
      </c>
      <c r="AP41" s="21"/>
    </row>
    <row r="42" spans="2:42" x14ac:dyDescent="0.25">
      <c r="C42" s="21" t="s">
        <v>456</v>
      </c>
      <c r="D42" s="38" t="s">
        <v>162</v>
      </c>
      <c r="E42" s="376">
        <f>MIN('3.1 Market'!$F33,'1.1 Control Panel'!E$383*'1.1 Control Panel'!E391)</f>
        <v>0</v>
      </c>
      <c r="F42" s="376">
        <f>MIN('3.1 Market'!$F33,'1.1 Control Panel'!F$383*'1.1 Control Panel'!F391)</f>
        <v>0</v>
      </c>
      <c r="G42" s="376">
        <f>MIN('3.1 Market'!$F33,'1.1 Control Panel'!G$383*'1.1 Control Panel'!G391)</f>
        <v>0</v>
      </c>
      <c r="H42" s="376">
        <f>MIN('3.1 Market'!$F33,'1.1 Control Panel'!H$383*'1.1 Control Panel'!H391)</f>
        <v>0</v>
      </c>
      <c r="I42" s="376">
        <f>MIN('3.1 Market'!$F33,'1.1 Control Panel'!I$383*'1.1 Control Panel'!I391)</f>
        <v>0</v>
      </c>
      <c r="J42" s="376">
        <f>MIN('3.1 Market'!$F33,'1.1 Control Panel'!J$383*'1.1 Control Panel'!J391)</f>
        <v>0</v>
      </c>
      <c r="K42" s="376">
        <f>MIN('3.1 Market'!$F33,'1.1 Control Panel'!K$383*'1.1 Control Panel'!K391)</f>
        <v>0</v>
      </c>
      <c r="L42" s="376">
        <f>MIN('3.1 Market'!$F33,'1.1 Control Panel'!L$383*'1.1 Control Panel'!L391)</f>
        <v>0</v>
      </c>
      <c r="M42" s="376">
        <f>MIN('3.1 Market'!$F33,'1.1 Control Panel'!M$383*'1.1 Control Panel'!M391)</f>
        <v>0</v>
      </c>
      <c r="N42" s="376">
        <f>MIN('3.1 Market'!$F33,'1.1 Control Panel'!N$383*'1.1 Control Panel'!N391)</f>
        <v>0</v>
      </c>
      <c r="O42" s="376">
        <f>MIN('3.1 Market'!$F33,'1.1 Control Panel'!O$383*'1.1 Control Panel'!O391)</f>
        <v>0</v>
      </c>
      <c r="P42" s="376">
        <f>MIN('3.1 Market'!$F33,'1.1 Control Panel'!P$383*'1.1 Control Panel'!P391)</f>
        <v>0</v>
      </c>
      <c r="Q42" s="28">
        <f>MIN('3.1 Market'!$G33,'1.1 Control Panel'!Q$383*'1.1 Control Panel'!Q391)</f>
        <v>4.6564026163200012</v>
      </c>
      <c r="R42" s="28">
        <f>MIN('3.1 Market'!$G33,'1.1 Control Panel'!R$383*'1.1 Control Panel'!R391)</f>
        <v>4.7251220930560009</v>
      </c>
      <c r="S42" s="28">
        <f>MIN('3.1 Market'!$G33,'1.1 Control Panel'!S$383*'1.1 Control Panel'!S391)</f>
        <v>4.7800976744448009</v>
      </c>
      <c r="T42" s="28">
        <f>MIN('3.1 Market'!$G33,'1.1 Control Panel'!T$383*'1.1 Control Panel'!T391)</f>
        <v>4.8240781395558407</v>
      </c>
      <c r="U42" s="28">
        <f>MIN('3.1 Market'!$G33,'1.1 Control Panel'!U$383*'1.1 Control Panel'!U391)</f>
        <v>9.7185250232893452</v>
      </c>
      <c r="V42" s="28">
        <f>MIN('3.1 Market'!$G33,'1.1 Control Panel'!V$383*'1.1 Control Panel'!V391)</f>
        <v>9.7748200186314769</v>
      </c>
      <c r="W42" s="28">
        <f>MIN('3.1 Market'!$G33,'1.1 Control Panel'!W$383*'1.1 Control Panel'!W391)</f>
        <v>9.8198560149051808</v>
      </c>
      <c r="X42" s="28">
        <f>MIN('3.1 Market'!$G33,'1.1 Control Panel'!X$383*'1.1 Control Panel'!X391)</f>
        <v>9.8558848119241453</v>
      </c>
      <c r="Y42" s="28">
        <f>MIN('3.1 Market'!$G33,'1.1 Control Panel'!Y$383*'1.1 Control Panel'!Y391)</f>
        <v>9.8847078495393177</v>
      </c>
      <c r="Z42" s="28">
        <f>MIN('3.1 Market'!$G33,'1.1 Control Panel'!Z$383*'1.1 Control Panel'!Z391)</f>
        <v>9.9077662796314545</v>
      </c>
      <c r="AA42" s="28">
        <f>MIN('3.1 Market'!$G33,'1.1 Control Panel'!AA$383*'1.1 Control Panel'!AA391)</f>
        <v>9.9262130237051629</v>
      </c>
      <c r="AB42" s="28">
        <f>MIN('3.1 Market'!$G33,'1.1 Control Panel'!AB$383*'1.1 Control Panel'!AB391)</f>
        <v>9.940970418964131</v>
      </c>
      <c r="AC42" s="28">
        <f>MIN('3.1 Market'!$H33,'1.1 Control Panel'!AC$383*'1.1 Control Panel'!AC391)</f>
        <v>14.929164502756956</v>
      </c>
      <c r="AD42" s="376">
        <f>MIN('3.1 Market'!$H33,'1.1 Control Panel'!AD$383*'1.1 Control Panel'!AD391)</f>
        <v>14.943331602205566</v>
      </c>
      <c r="AE42" s="376">
        <f>MIN('3.1 Market'!$H33,'1.1 Control Panel'!AE$383*'1.1 Control Panel'!AE391)</f>
        <v>14.954665281764454</v>
      </c>
      <c r="AF42" s="376">
        <f>MIN('3.1 Market'!$H33,'1.1 Control Panel'!AF$383*'1.1 Control Panel'!AF391)</f>
        <v>14.963732225411565</v>
      </c>
      <c r="AG42" s="376">
        <f>MIN('3.1 Market'!$H33,'1.1 Control Panel'!AG$383*'1.1 Control Panel'!AG391)</f>
        <v>19.961314373772339</v>
      </c>
      <c r="AH42" s="376">
        <f>MIN('3.1 Market'!$H33,'1.1 Control Panel'!AH$383*'1.1 Control Panel'!AH391)</f>
        <v>19.969051499017873</v>
      </c>
      <c r="AI42" s="376">
        <f>MIN('3.1 Market'!$H33,'1.1 Control Panel'!AI$383*'1.1 Control Panel'!AI391)</f>
        <v>19.975241199214299</v>
      </c>
      <c r="AJ42" s="376">
        <f>MIN('3.1 Market'!$H33,'1.1 Control Panel'!AJ$383*'1.1 Control Panel'!AJ391)</f>
        <v>19.98019295937144</v>
      </c>
      <c r="AK42" s="376">
        <f>MIN('3.1 Market'!$H33,'1.1 Control Panel'!AK$383*'1.1 Control Panel'!AK391)</f>
        <v>24.980192959371443</v>
      </c>
      <c r="AL42" s="376">
        <f>MIN('3.1 Market'!$H33,'1.1 Control Panel'!AL$383*'1.1 Control Panel'!AL391)</f>
        <v>24.984154367497155</v>
      </c>
      <c r="AM42" s="376">
        <f>MIN('3.1 Market'!$H33,'1.1 Control Panel'!AM$383*'1.1 Control Panel'!AM391)</f>
        <v>24.987323493997728</v>
      </c>
      <c r="AN42" s="376">
        <f>MIN('3.1 Market'!$H33,'1.1 Control Panel'!AN$383*'1.1 Control Panel'!AN391)</f>
        <v>24.989858795198181</v>
      </c>
      <c r="AP42" s="21"/>
    </row>
    <row r="43" spans="2:42" x14ac:dyDescent="0.25">
      <c r="B43" s="99" t="s">
        <v>9</v>
      </c>
      <c r="C43" s="105" t="str">
        <f>'4.2 Sector Mapping'!$B$8</f>
        <v>Financial Services</v>
      </c>
      <c r="D43" s="106" t="s">
        <v>162</v>
      </c>
      <c r="E43" s="380">
        <f>SUM(E44:E49)</f>
        <v>15</v>
      </c>
      <c r="F43" s="380">
        <f t="shared" ref="F43:H43" si="73">SUM(F44:F49)</f>
        <v>18</v>
      </c>
      <c r="G43" s="380">
        <f t="shared" si="73"/>
        <v>20.400000000000002</v>
      </c>
      <c r="H43" s="380">
        <f t="shared" si="73"/>
        <v>22.320000000000004</v>
      </c>
      <c r="I43" s="380">
        <f t="shared" ref="I43:AN43" si="74">SUM(I44:I49)</f>
        <v>23.856000000000002</v>
      </c>
      <c r="J43" s="380">
        <f t="shared" si="74"/>
        <v>50.169600000000003</v>
      </c>
      <c r="K43" s="380">
        <f t="shared" si="74"/>
        <v>52.135680000000008</v>
      </c>
      <c r="L43" s="380">
        <f t="shared" si="74"/>
        <v>53.70854400000001</v>
      </c>
      <c r="M43" s="380">
        <f t="shared" si="74"/>
        <v>54.966835200000006</v>
      </c>
      <c r="N43" s="380">
        <f t="shared" si="74"/>
        <v>55.97346816000001</v>
      </c>
      <c r="O43" s="380">
        <f t="shared" si="74"/>
        <v>56.778774528000014</v>
      </c>
      <c r="P43" s="380">
        <f t="shared" si="74"/>
        <v>57.423019622400012</v>
      </c>
      <c r="Q43" s="380">
        <f t="shared" si="74"/>
        <v>86.907623546880018</v>
      </c>
      <c r="R43" s="380">
        <f t="shared" si="74"/>
        <v>87.526098837504009</v>
      </c>
      <c r="S43" s="380">
        <f t="shared" si="74"/>
        <v>88.020879070003218</v>
      </c>
      <c r="T43" s="380">
        <f t="shared" si="74"/>
        <v>88.416703256002577</v>
      </c>
      <c r="U43" s="380">
        <f t="shared" si="74"/>
        <v>118.31115013973607</v>
      </c>
      <c r="V43" s="380">
        <f t="shared" si="74"/>
        <v>118.64892011178887</v>
      </c>
      <c r="W43" s="380">
        <f t="shared" si="74"/>
        <v>118.91913608943111</v>
      </c>
      <c r="X43" s="380">
        <f t="shared" si="74"/>
        <v>119.13530887154488</v>
      </c>
      <c r="Y43" s="380">
        <f t="shared" si="74"/>
        <v>119.30824709723591</v>
      </c>
      <c r="Z43" s="380">
        <f t="shared" si="74"/>
        <v>119.44659767778872</v>
      </c>
      <c r="AA43" s="380">
        <f t="shared" si="74"/>
        <v>119.55727814223098</v>
      </c>
      <c r="AB43" s="380">
        <f t="shared" si="74"/>
        <v>119.64582251378479</v>
      </c>
      <c r="AC43" s="380">
        <f t="shared" si="74"/>
        <v>239.43331602205569</v>
      </c>
      <c r="AD43" s="380">
        <f t="shared" si="74"/>
        <v>239.54665281764454</v>
      </c>
      <c r="AE43" s="380">
        <f t="shared" si="74"/>
        <v>239.63732225411565</v>
      </c>
      <c r="AF43" s="380">
        <f t="shared" si="74"/>
        <v>239.70985780329255</v>
      </c>
      <c r="AG43" s="380">
        <f t="shared" si="74"/>
        <v>359.65182936395104</v>
      </c>
      <c r="AH43" s="380">
        <f t="shared" si="74"/>
        <v>359.72146349116088</v>
      </c>
      <c r="AI43" s="380">
        <f t="shared" si="74"/>
        <v>359.7771707929287</v>
      </c>
      <c r="AJ43" s="380">
        <f t="shared" si="74"/>
        <v>359.82173663434298</v>
      </c>
      <c r="AK43" s="380">
        <f t="shared" si="74"/>
        <v>479.80985240996586</v>
      </c>
      <c r="AL43" s="380">
        <f t="shared" si="74"/>
        <v>479.84788192797265</v>
      </c>
      <c r="AM43" s="380">
        <f t="shared" si="74"/>
        <v>479.87830554237814</v>
      </c>
      <c r="AN43" s="380">
        <f t="shared" si="74"/>
        <v>479.90264443390254</v>
      </c>
      <c r="AP43" s="105"/>
    </row>
    <row r="44" spans="2:42" x14ac:dyDescent="0.25">
      <c r="C44" s="20" t="s">
        <v>600</v>
      </c>
      <c r="D44" s="34" t="s">
        <v>162</v>
      </c>
      <c r="E44" s="28">
        <f>MIN('3.1 Market'!$F35,'1.1 Control Panel'!E$414*'1.1 Control Panel'!E417)</f>
        <v>5</v>
      </c>
      <c r="F44" s="28">
        <f>MIN('3.1 Market'!$F35,'1.1 Control Panel'!F$414*'1.1 Control Panel'!F417)</f>
        <v>5</v>
      </c>
      <c r="G44" s="28">
        <f>MIN('3.1 Market'!$F35,'1.1 Control Panel'!G$414*'1.1 Control Panel'!G417)</f>
        <v>5</v>
      </c>
      <c r="H44" s="28">
        <f>MIN('3.1 Market'!$F35,'1.1 Control Panel'!H$414*'1.1 Control Panel'!H417)</f>
        <v>5</v>
      </c>
      <c r="I44" s="28">
        <f>MIN('3.1 Market'!$F35,'1.1 Control Panel'!I$414*'1.1 Control Panel'!I417)</f>
        <v>5</v>
      </c>
      <c r="J44" s="28">
        <f>MIN('3.1 Market'!$F35,'1.1 Control Panel'!J$414*'1.1 Control Panel'!J417)</f>
        <v>10</v>
      </c>
      <c r="K44" s="28">
        <f>MIN('3.1 Market'!$F35,'1.1 Control Panel'!K$414*'1.1 Control Panel'!K417)</f>
        <v>10</v>
      </c>
      <c r="L44" s="28">
        <f>MIN('3.1 Market'!$F35,'1.1 Control Panel'!L$414*'1.1 Control Panel'!L417)</f>
        <v>10</v>
      </c>
      <c r="M44" s="28">
        <f>MIN('3.1 Market'!$F35,'1.1 Control Panel'!M$414*'1.1 Control Panel'!M417)</f>
        <v>10</v>
      </c>
      <c r="N44" s="28">
        <f>MIN('3.1 Market'!$F35,'1.1 Control Panel'!N$414*'1.1 Control Panel'!N417)</f>
        <v>10</v>
      </c>
      <c r="O44" s="28">
        <f>MIN('3.1 Market'!$F35,'1.1 Control Panel'!O$414*'1.1 Control Panel'!O417)</f>
        <v>10</v>
      </c>
      <c r="P44" s="28">
        <f>MIN('3.1 Market'!$F35,'1.1 Control Panel'!P$414*'1.1 Control Panel'!P417)</f>
        <v>10</v>
      </c>
      <c r="Q44" s="28">
        <f>MIN('3.1 Market'!$G35,'1.1 Control Panel'!Q$414*'1.1 Control Panel'!Q417)</f>
        <v>15</v>
      </c>
      <c r="R44" s="28">
        <f>MIN('3.1 Market'!$G35,'1.1 Control Panel'!R$414*'1.1 Control Panel'!R417)</f>
        <v>15</v>
      </c>
      <c r="S44" s="28">
        <f>MIN('3.1 Market'!$G35,'1.1 Control Panel'!S$414*'1.1 Control Panel'!S417)</f>
        <v>15</v>
      </c>
      <c r="T44" s="28">
        <f>MIN('3.1 Market'!$G35,'1.1 Control Panel'!T$414*'1.1 Control Panel'!T417)</f>
        <v>15</v>
      </c>
      <c r="U44" s="28">
        <f>MIN('3.1 Market'!$G35,'1.1 Control Panel'!U$414*'1.1 Control Panel'!U417)</f>
        <v>20</v>
      </c>
      <c r="V44" s="28">
        <f>MIN('3.1 Market'!$G35,'1.1 Control Panel'!V$414*'1.1 Control Panel'!V417)</f>
        <v>20</v>
      </c>
      <c r="W44" s="28">
        <f>MIN('3.1 Market'!$G35,'1.1 Control Panel'!W$414*'1.1 Control Panel'!W417)</f>
        <v>20</v>
      </c>
      <c r="X44" s="28">
        <f>MIN('3.1 Market'!$G35,'1.1 Control Panel'!X$414*'1.1 Control Panel'!X417)</f>
        <v>20</v>
      </c>
      <c r="Y44" s="28">
        <f>MIN('3.1 Market'!$G35,'1.1 Control Panel'!Y$414*'1.1 Control Panel'!Y417)</f>
        <v>20</v>
      </c>
      <c r="Z44" s="28">
        <f>MIN('3.1 Market'!$G35,'1.1 Control Panel'!Z$414*'1.1 Control Panel'!Z417)</f>
        <v>20</v>
      </c>
      <c r="AA44" s="28">
        <f>MIN('3.1 Market'!$G35,'1.1 Control Panel'!AA$414*'1.1 Control Panel'!AA417)</f>
        <v>20</v>
      </c>
      <c r="AB44" s="28">
        <f>MIN('3.1 Market'!$G35,'1.1 Control Panel'!AB$414*'1.1 Control Panel'!AB417)</f>
        <v>20</v>
      </c>
      <c r="AC44" s="28">
        <f>MIN('3.1 Market'!$H35,'1.1 Control Panel'!AC$414*'1.1 Control Panel'!AC417)</f>
        <v>40</v>
      </c>
      <c r="AD44" s="28">
        <f>MIN('3.1 Market'!$H35,'1.1 Control Panel'!AD$414*'1.1 Control Panel'!AD417)</f>
        <v>40</v>
      </c>
      <c r="AE44" s="28">
        <f>MIN('3.1 Market'!$H35,'1.1 Control Panel'!AE$414*'1.1 Control Panel'!AE417)</f>
        <v>40</v>
      </c>
      <c r="AF44" s="28">
        <f>MIN('3.1 Market'!$H35,'1.1 Control Panel'!AF$414*'1.1 Control Panel'!AF417)</f>
        <v>40</v>
      </c>
      <c r="AG44" s="28">
        <f>MIN('3.1 Market'!$H35,'1.1 Control Panel'!AG$414*'1.1 Control Panel'!AG417)</f>
        <v>60</v>
      </c>
      <c r="AH44" s="28">
        <f>MIN('3.1 Market'!$H35,'1.1 Control Panel'!AH$414*'1.1 Control Panel'!AH417)</f>
        <v>60</v>
      </c>
      <c r="AI44" s="28">
        <f>MIN('3.1 Market'!$H35,'1.1 Control Panel'!AI$414*'1.1 Control Panel'!AI417)</f>
        <v>60</v>
      </c>
      <c r="AJ44" s="28">
        <f>MIN('3.1 Market'!$H35,'1.1 Control Panel'!AJ$414*'1.1 Control Panel'!AJ417)</f>
        <v>60</v>
      </c>
      <c r="AK44" s="28">
        <f>MIN('3.1 Market'!$H35,'1.1 Control Panel'!AK$414*'1.1 Control Panel'!AK417)</f>
        <v>80</v>
      </c>
      <c r="AL44" s="28">
        <f>MIN('3.1 Market'!$H35,'1.1 Control Panel'!AL$414*'1.1 Control Panel'!AL417)</f>
        <v>80</v>
      </c>
      <c r="AM44" s="28">
        <f>MIN('3.1 Market'!$H35,'1.1 Control Panel'!AM$414*'1.1 Control Panel'!AM417)</f>
        <v>80</v>
      </c>
      <c r="AN44" s="28">
        <f>MIN('3.1 Market'!$H35,'1.1 Control Panel'!AN$414*'1.1 Control Panel'!AN417)</f>
        <v>80</v>
      </c>
      <c r="AP44" s="20"/>
    </row>
    <row r="45" spans="2:42" x14ac:dyDescent="0.25">
      <c r="C45" s="20" t="s">
        <v>392</v>
      </c>
      <c r="D45" s="34" t="s">
        <v>162</v>
      </c>
      <c r="E45" s="28">
        <f>MIN('3.1 Market'!$F36,'1.1 Control Panel'!E$414*'1.1 Control Panel'!E418)</f>
        <v>4</v>
      </c>
      <c r="F45" s="28">
        <f>MIN('3.1 Market'!$F36,'1.1 Control Panel'!F$414*'1.1 Control Panel'!F418)</f>
        <v>4.2</v>
      </c>
      <c r="G45" s="28">
        <f>MIN('3.1 Market'!$F36,'1.1 Control Panel'!G$414*'1.1 Control Panel'!G418)</f>
        <v>4.3600000000000003</v>
      </c>
      <c r="H45" s="28">
        <f>MIN('3.1 Market'!$F36,'1.1 Control Panel'!H$414*'1.1 Control Panel'!H418)</f>
        <v>4.4880000000000004</v>
      </c>
      <c r="I45" s="28">
        <f>MIN('3.1 Market'!$F36,'1.1 Control Panel'!I$414*'1.1 Control Panel'!I418)</f>
        <v>4.5904000000000007</v>
      </c>
      <c r="J45" s="28">
        <f>MIN('3.1 Market'!$F36,'1.1 Control Panel'!J$414*'1.1 Control Panel'!J418)</f>
        <v>9.3446400000000018</v>
      </c>
      <c r="K45" s="28">
        <f>MIN('3.1 Market'!$F36,'1.1 Control Panel'!K$414*'1.1 Control Panel'!K418)</f>
        <v>9.4757120000000015</v>
      </c>
      <c r="L45" s="28">
        <f>MIN('3.1 Market'!$F36,'1.1 Control Panel'!L$414*'1.1 Control Panel'!L418)</f>
        <v>9.5805696000000005</v>
      </c>
      <c r="M45" s="28">
        <f>MIN('3.1 Market'!$F36,'1.1 Control Panel'!M$414*'1.1 Control Panel'!M418)</f>
        <v>9.6644556799999997</v>
      </c>
      <c r="N45" s="28">
        <f>MIN('3.1 Market'!$F36,'1.1 Control Panel'!N$414*'1.1 Control Panel'!N418)</f>
        <v>9.7315645440000011</v>
      </c>
      <c r="O45" s="28">
        <f>MIN('3.1 Market'!$F36,'1.1 Control Panel'!O$414*'1.1 Control Panel'!O418)</f>
        <v>9.7852516352000016</v>
      </c>
      <c r="P45" s="28">
        <f>MIN('3.1 Market'!$F36,'1.1 Control Panel'!P$414*'1.1 Control Panel'!P418)</f>
        <v>9.8282013081600006</v>
      </c>
      <c r="Q45" s="28">
        <f>MIN('3.1 Market'!$G36,'1.1 Control Panel'!Q$414*'1.1 Control Panel'!Q418)</f>
        <v>14.793841569792001</v>
      </c>
      <c r="R45" s="28">
        <f>MIN('3.1 Market'!$G36,'1.1 Control Panel'!R$414*'1.1 Control Panel'!R418)</f>
        <v>14.835073255833603</v>
      </c>
      <c r="S45" s="28">
        <f>MIN('3.1 Market'!$G36,'1.1 Control Panel'!S$414*'1.1 Control Panel'!S418)</f>
        <v>14.868058604666883</v>
      </c>
      <c r="T45" s="28">
        <f>MIN('3.1 Market'!$G36,'1.1 Control Panel'!T$414*'1.1 Control Panel'!T418)</f>
        <v>14.894446883733508</v>
      </c>
      <c r="U45" s="28">
        <f>MIN('3.1 Market'!$G36,'1.1 Control Panel'!U$414*'1.1 Control Panel'!U418)</f>
        <v>19.887410009315744</v>
      </c>
      <c r="V45" s="28">
        <f>MIN('3.1 Market'!$G36,'1.1 Control Panel'!V$414*'1.1 Control Panel'!V418)</f>
        <v>19.909928007452596</v>
      </c>
      <c r="W45" s="28">
        <f>MIN('3.1 Market'!$G36,'1.1 Control Panel'!W$414*'1.1 Control Panel'!W418)</f>
        <v>19.927942405962078</v>
      </c>
      <c r="X45" s="28">
        <f>MIN('3.1 Market'!$G36,'1.1 Control Panel'!X$414*'1.1 Control Panel'!X418)</f>
        <v>19.942353924769662</v>
      </c>
      <c r="Y45" s="28">
        <f>MIN('3.1 Market'!$G36,'1.1 Control Panel'!Y$414*'1.1 Control Panel'!Y418)</f>
        <v>19.95388313981573</v>
      </c>
      <c r="Z45" s="28">
        <f>MIN('3.1 Market'!$G36,'1.1 Control Panel'!Z$414*'1.1 Control Panel'!Z418)</f>
        <v>19.963106511852587</v>
      </c>
      <c r="AA45" s="28">
        <f>MIN('3.1 Market'!$G36,'1.1 Control Panel'!AA$414*'1.1 Control Panel'!AA418)</f>
        <v>19.970485209482071</v>
      </c>
      <c r="AB45" s="28">
        <f>MIN('3.1 Market'!$G36,'1.1 Control Panel'!AB$414*'1.1 Control Panel'!AB418)</f>
        <v>19.976388167585657</v>
      </c>
      <c r="AC45" s="28">
        <f>MIN('3.1 Market'!$H36,'1.1 Control Panel'!AC$414*'1.1 Control Panel'!AC418)</f>
        <v>39.962221068137055</v>
      </c>
      <c r="AD45" s="28">
        <f>MIN('3.1 Market'!$H36,'1.1 Control Panel'!AD$414*'1.1 Control Panel'!AD418)</f>
        <v>39.969776854509647</v>
      </c>
      <c r="AE45" s="28">
        <f>MIN('3.1 Market'!$H36,'1.1 Control Panel'!AE$414*'1.1 Control Panel'!AE418)</f>
        <v>39.975821483607717</v>
      </c>
      <c r="AF45" s="28">
        <f>MIN('3.1 Market'!$H36,'1.1 Control Panel'!AF$414*'1.1 Control Panel'!AF418)</f>
        <v>39.980657186886177</v>
      </c>
      <c r="AG45" s="28">
        <f>MIN('3.1 Market'!$H36,'1.1 Control Panel'!AG$414*'1.1 Control Panel'!AG418)</f>
        <v>59.976788624263421</v>
      </c>
      <c r="AH45" s="28">
        <f>MIN('3.1 Market'!$H36,'1.1 Control Panel'!AH$414*'1.1 Control Panel'!AH418)</f>
        <v>59.981430899410732</v>
      </c>
      <c r="AI45" s="28">
        <f>MIN('3.1 Market'!$H36,'1.1 Control Panel'!AI$414*'1.1 Control Panel'!AI418)</f>
        <v>59.985144719528591</v>
      </c>
      <c r="AJ45" s="28">
        <f>MIN('3.1 Market'!$H36,'1.1 Control Panel'!AJ$414*'1.1 Control Panel'!AJ418)</f>
        <v>59.988115775622866</v>
      </c>
      <c r="AK45" s="28">
        <f>MIN('3.1 Market'!$H36,'1.1 Control Panel'!AK$414*'1.1 Control Panel'!AK418)</f>
        <v>79.987323493997735</v>
      </c>
      <c r="AL45" s="28">
        <f>MIN('3.1 Market'!$H36,'1.1 Control Panel'!AL$414*'1.1 Control Panel'!AL418)</f>
        <v>79.989858795198188</v>
      </c>
      <c r="AM45" s="28">
        <f>MIN('3.1 Market'!$H36,'1.1 Control Panel'!AM$414*'1.1 Control Panel'!AM418)</f>
        <v>79.991887036158545</v>
      </c>
      <c r="AN45" s="28">
        <f>MIN('3.1 Market'!$H36,'1.1 Control Panel'!AN$414*'1.1 Control Panel'!AN418)</f>
        <v>79.99350962892683</v>
      </c>
      <c r="AP45" s="20"/>
    </row>
    <row r="46" spans="2:42" x14ac:dyDescent="0.25">
      <c r="C46" s="20" t="s">
        <v>454</v>
      </c>
      <c r="D46" s="34" t="s">
        <v>162</v>
      </c>
      <c r="E46" s="28">
        <f>MIN('3.1 Market'!$F37,'1.1 Control Panel'!E$414*'1.1 Control Panel'!E419)</f>
        <v>3</v>
      </c>
      <c r="F46" s="28">
        <f>MIN('3.1 Market'!$F37,'1.1 Control Panel'!F$414*'1.1 Control Panel'!F419)</f>
        <v>3.4000000000000004</v>
      </c>
      <c r="G46" s="28">
        <f>MIN('3.1 Market'!$F37,'1.1 Control Panel'!G$414*'1.1 Control Panel'!G419)</f>
        <v>3.7200000000000006</v>
      </c>
      <c r="H46" s="28">
        <f>MIN('3.1 Market'!$F37,'1.1 Control Panel'!H$414*'1.1 Control Panel'!H419)</f>
        <v>3.9760000000000009</v>
      </c>
      <c r="I46" s="28">
        <f>MIN('3.1 Market'!$F37,'1.1 Control Panel'!I$414*'1.1 Control Panel'!I419)</f>
        <v>4.1808000000000014</v>
      </c>
      <c r="J46" s="28">
        <f>MIN('3.1 Market'!$F37,'1.1 Control Panel'!J$414*'1.1 Control Panel'!J419)</f>
        <v>8.6892800000000037</v>
      </c>
      <c r="K46" s="28">
        <f>MIN('3.1 Market'!$F37,'1.1 Control Panel'!K$414*'1.1 Control Panel'!K419)</f>
        <v>8.9514240000000029</v>
      </c>
      <c r="L46" s="28">
        <f>MIN('3.1 Market'!$F37,'1.1 Control Panel'!L$414*'1.1 Control Panel'!L419)</f>
        <v>9.1611392000000027</v>
      </c>
      <c r="M46" s="28">
        <f>MIN('3.1 Market'!$F37,'1.1 Control Panel'!M$414*'1.1 Control Panel'!M419)</f>
        <v>9.3289113600000029</v>
      </c>
      <c r="N46" s="28">
        <f>MIN('3.1 Market'!$F37,'1.1 Control Panel'!N$414*'1.1 Control Panel'!N419)</f>
        <v>9.4631290880000023</v>
      </c>
      <c r="O46" s="28">
        <f>MIN('3.1 Market'!$F37,'1.1 Control Panel'!O$414*'1.1 Control Panel'!O419)</f>
        <v>9.5705032704000033</v>
      </c>
      <c r="P46" s="28">
        <f>MIN('3.1 Market'!$F37,'1.1 Control Panel'!P$414*'1.1 Control Panel'!P419)</f>
        <v>9.656402616320003</v>
      </c>
      <c r="Q46" s="28">
        <f>MIN('3.1 Market'!$G37,'1.1 Control Panel'!Q$414*'1.1 Control Panel'!Q419)</f>
        <v>14.587683139584005</v>
      </c>
      <c r="R46" s="28">
        <f>MIN('3.1 Market'!$G37,'1.1 Control Panel'!R$414*'1.1 Control Panel'!R419)</f>
        <v>14.670146511667205</v>
      </c>
      <c r="S46" s="28">
        <f>MIN('3.1 Market'!$G37,'1.1 Control Panel'!S$414*'1.1 Control Panel'!S419)</f>
        <v>14.736117209333766</v>
      </c>
      <c r="T46" s="28">
        <f>MIN('3.1 Market'!$G37,'1.1 Control Panel'!T$414*'1.1 Control Panel'!T419)</f>
        <v>14.788893767467014</v>
      </c>
      <c r="U46" s="28">
        <f>MIN('3.1 Market'!$G37,'1.1 Control Panel'!U$414*'1.1 Control Panel'!U419)</f>
        <v>19.77482001863148</v>
      </c>
      <c r="V46" s="28">
        <f>MIN('3.1 Market'!$G37,'1.1 Control Panel'!V$414*'1.1 Control Panel'!V419)</f>
        <v>19.819856014905184</v>
      </c>
      <c r="W46" s="28">
        <f>MIN('3.1 Market'!$G37,'1.1 Control Panel'!W$414*'1.1 Control Panel'!W419)</f>
        <v>19.855884811924149</v>
      </c>
      <c r="X46" s="28">
        <f>MIN('3.1 Market'!$G37,'1.1 Control Panel'!X$414*'1.1 Control Panel'!X419)</f>
        <v>19.884707849539318</v>
      </c>
      <c r="Y46" s="28">
        <f>MIN('3.1 Market'!$G37,'1.1 Control Panel'!Y$414*'1.1 Control Panel'!Y419)</f>
        <v>19.907766279631453</v>
      </c>
      <c r="Z46" s="28">
        <f>MIN('3.1 Market'!$G37,'1.1 Control Panel'!Z$414*'1.1 Control Panel'!Z419)</f>
        <v>19.926213023705163</v>
      </c>
      <c r="AA46" s="28">
        <f>MIN('3.1 Market'!$G37,'1.1 Control Panel'!AA$414*'1.1 Control Panel'!AA419)</f>
        <v>19.940970418964131</v>
      </c>
      <c r="AB46" s="28">
        <f>MIN('3.1 Market'!$G37,'1.1 Control Panel'!AB$414*'1.1 Control Panel'!AB419)</f>
        <v>19.952776335171308</v>
      </c>
      <c r="AC46" s="28">
        <f>MIN('3.1 Market'!$H37,'1.1 Control Panel'!AC$414*'1.1 Control Panel'!AC419)</f>
        <v>39.924442136274095</v>
      </c>
      <c r="AD46" s="28">
        <f>MIN('3.1 Market'!$H37,'1.1 Control Panel'!AD$414*'1.1 Control Panel'!AD419)</f>
        <v>39.939553709019279</v>
      </c>
      <c r="AE46" s="28">
        <f>MIN('3.1 Market'!$H37,'1.1 Control Panel'!AE$414*'1.1 Control Panel'!AE419)</f>
        <v>39.95164296721542</v>
      </c>
      <c r="AF46" s="28">
        <f>MIN('3.1 Market'!$H37,'1.1 Control Panel'!AF$414*'1.1 Control Panel'!AF419)</f>
        <v>39.961314373772339</v>
      </c>
      <c r="AG46" s="28">
        <f>MIN('3.1 Market'!$H37,'1.1 Control Panel'!AG$414*'1.1 Control Panel'!AG419)</f>
        <v>59.953577248526813</v>
      </c>
      <c r="AH46" s="28">
        <f>MIN('3.1 Market'!$H37,'1.1 Control Panel'!AH$414*'1.1 Control Panel'!AH419)</f>
        <v>59.962861798821443</v>
      </c>
      <c r="AI46" s="28">
        <f>MIN('3.1 Market'!$H37,'1.1 Control Panel'!AI$414*'1.1 Control Panel'!AI419)</f>
        <v>59.970289439057154</v>
      </c>
      <c r="AJ46" s="28">
        <f>MIN('3.1 Market'!$H37,'1.1 Control Panel'!AJ$414*'1.1 Control Panel'!AJ419)</f>
        <v>59.976231551245732</v>
      </c>
      <c r="AK46" s="28">
        <f>MIN('3.1 Market'!$H37,'1.1 Control Panel'!AK$414*'1.1 Control Panel'!AK419)</f>
        <v>79.974646987995442</v>
      </c>
      <c r="AL46" s="28">
        <f>MIN('3.1 Market'!$H37,'1.1 Control Panel'!AL$414*'1.1 Control Panel'!AL419)</f>
        <v>79.979717590396348</v>
      </c>
      <c r="AM46" s="28">
        <f>MIN('3.1 Market'!$H37,'1.1 Control Panel'!AM$414*'1.1 Control Panel'!AM419)</f>
        <v>79.98377407231709</v>
      </c>
      <c r="AN46" s="28">
        <f>MIN('3.1 Market'!$H37,'1.1 Control Panel'!AN$414*'1.1 Control Panel'!AN419)</f>
        <v>79.987019257853675</v>
      </c>
      <c r="AP46" s="20"/>
    </row>
    <row r="47" spans="2:42" x14ac:dyDescent="0.25">
      <c r="C47" s="21" t="s">
        <v>455</v>
      </c>
      <c r="D47" s="38" t="s">
        <v>162</v>
      </c>
      <c r="E47" s="376">
        <f>MIN('3.1 Market'!$F38,'1.1 Control Panel'!E$414*'1.1 Control Panel'!E420)</f>
        <v>2</v>
      </c>
      <c r="F47" s="376">
        <f>MIN('3.1 Market'!$F38,'1.1 Control Panel'!F$414*'1.1 Control Panel'!F420)</f>
        <v>2.6</v>
      </c>
      <c r="G47" s="376">
        <f>MIN('3.1 Market'!$F38,'1.1 Control Panel'!G$414*'1.1 Control Panel'!G420)</f>
        <v>3.08</v>
      </c>
      <c r="H47" s="376">
        <f>MIN('3.1 Market'!$F38,'1.1 Control Panel'!H$414*'1.1 Control Panel'!H420)</f>
        <v>3.4640000000000004</v>
      </c>
      <c r="I47" s="376">
        <f>MIN('3.1 Market'!$F38,'1.1 Control Panel'!I$414*'1.1 Control Panel'!I420)</f>
        <v>3.7712000000000003</v>
      </c>
      <c r="J47" s="376">
        <f>MIN('3.1 Market'!$F38,'1.1 Control Panel'!J$414*'1.1 Control Panel'!J420)</f>
        <v>8.0339200000000019</v>
      </c>
      <c r="K47" s="376">
        <f>MIN('3.1 Market'!$F38,'1.1 Control Panel'!K$414*'1.1 Control Panel'!K420)</f>
        <v>8.4271360000000008</v>
      </c>
      <c r="L47" s="376">
        <f>MIN('3.1 Market'!$F38,'1.1 Control Panel'!L$414*'1.1 Control Panel'!L420)</f>
        <v>8.7417088000000014</v>
      </c>
      <c r="M47" s="376">
        <f>MIN('3.1 Market'!$F38,'1.1 Control Panel'!M$414*'1.1 Control Panel'!M420)</f>
        <v>8.9933670400000025</v>
      </c>
      <c r="N47" s="376">
        <f>MIN('3.1 Market'!$F38,'1.1 Control Panel'!N$414*'1.1 Control Panel'!N420)</f>
        <v>9.1946936320000034</v>
      </c>
      <c r="O47" s="376">
        <f>MIN('3.1 Market'!$F38,'1.1 Control Panel'!O$414*'1.1 Control Panel'!O420)</f>
        <v>9.3557549056000031</v>
      </c>
      <c r="P47" s="376">
        <f>MIN('3.1 Market'!$F38,'1.1 Control Panel'!P$414*'1.1 Control Panel'!P420)</f>
        <v>9.4846039244800018</v>
      </c>
      <c r="Q47" s="376">
        <f>MIN('3.1 Market'!$G38,'1.1 Control Panel'!Q$414*'1.1 Control Panel'!Q420)</f>
        <v>14.381524709376002</v>
      </c>
      <c r="R47" s="376">
        <f>MIN('3.1 Market'!$G38,'1.1 Control Panel'!R$414*'1.1 Control Panel'!R420)</f>
        <v>14.505219767500803</v>
      </c>
      <c r="S47" s="376">
        <f>MIN('3.1 Market'!$G38,'1.1 Control Panel'!S$414*'1.1 Control Panel'!S420)</f>
        <v>14.604175814000644</v>
      </c>
      <c r="T47" s="376">
        <f>MIN('3.1 Market'!$G38,'1.1 Control Panel'!T$414*'1.1 Control Panel'!T420)</f>
        <v>14.683340651200517</v>
      </c>
      <c r="U47" s="376">
        <f>MIN('3.1 Market'!$G38,'1.1 Control Panel'!U$414*'1.1 Control Panel'!U420)</f>
        <v>19.662230027947217</v>
      </c>
      <c r="V47" s="376">
        <f>MIN('3.1 Market'!$G38,'1.1 Control Panel'!V$414*'1.1 Control Panel'!V420)</f>
        <v>19.729784022357777</v>
      </c>
      <c r="W47" s="376">
        <f>MIN('3.1 Market'!$G38,'1.1 Control Panel'!W$414*'1.1 Control Panel'!W420)</f>
        <v>19.78382721788622</v>
      </c>
      <c r="X47" s="376">
        <f>MIN('3.1 Market'!$G38,'1.1 Control Panel'!X$414*'1.1 Control Panel'!X420)</f>
        <v>19.827061774308977</v>
      </c>
      <c r="Y47" s="376">
        <f>MIN('3.1 Market'!$G38,'1.1 Control Panel'!Y$414*'1.1 Control Panel'!Y420)</f>
        <v>19.861649419447183</v>
      </c>
      <c r="Z47" s="376">
        <f>MIN('3.1 Market'!$G38,'1.1 Control Panel'!Z$414*'1.1 Control Panel'!Z420)</f>
        <v>19.889319535557746</v>
      </c>
      <c r="AA47" s="376">
        <f>MIN('3.1 Market'!$G38,'1.1 Control Panel'!AA$414*'1.1 Control Panel'!AA420)</f>
        <v>19.911455628446198</v>
      </c>
      <c r="AB47" s="376">
        <f>MIN('3.1 Market'!$G38,'1.1 Control Panel'!AB$414*'1.1 Control Panel'!AB420)</f>
        <v>19.929164502756961</v>
      </c>
      <c r="AC47" s="376">
        <f>MIN('3.1 Market'!$H38,'1.1 Control Panel'!AC$414*'1.1 Control Panel'!AC420)</f>
        <v>39.886663204411136</v>
      </c>
      <c r="AD47" s="376">
        <f>MIN('3.1 Market'!$H38,'1.1 Control Panel'!AD$414*'1.1 Control Panel'!AD420)</f>
        <v>39.909330563528911</v>
      </c>
      <c r="AE47" s="376">
        <f>MIN('3.1 Market'!$H38,'1.1 Control Panel'!AE$414*'1.1 Control Panel'!AE420)</f>
        <v>39.92746445082313</v>
      </c>
      <c r="AF47" s="376">
        <f>MIN('3.1 Market'!$H38,'1.1 Control Panel'!AF$414*'1.1 Control Panel'!AF420)</f>
        <v>39.941971560658502</v>
      </c>
      <c r="AG47" s="376">
        <f>MIN('3.1 Market'!$H38,'1.1 Control Panel'!AG$414*'1.1 Control Panel'!AG420)</f>
        <v>59.930365872790198</v>
      </c>
      <c r="AH47" s="376">
        <f>MIN('3.1 Market'!$H38,'1.1 Control Panel'!AH$414*'1.1 Control Panel'!AH420)</f>
        <v>59.944292698232154</v>
      </c>
      <c r="AI47" s="376">
        <f>MIN('3.1 Market'!$H38,'1.1 Control Panel'!AI$414*'1.1 Control Panel'!AI420)</f>
        <v>59.955434158585732</v>
      </c>
      <c r="AJ47" s="376">
        <f>MIN('3.1 Market'!$H38,'1.1 Control Panel'!AJ$414*'1.1 Control Panel'!AJ420)</f>
        <v>59.964347326868591</v>
      </c>
      <c r="AK47" s="376">
        <f>MIN('3.1 Market'!$H38,'1.1 Control Panel'!AK$414*'1.1 Control Panel'!AK420)</f>
        <v>79.961970481993163</v>
      </c>
      <c r="AL47" s="376">
        <f>MIN('3.1 Market'!$H38,'1.1 Control Panel'!AL$414*'1.1 Control Panel'!AL420)</f>
        <v>79.969576385594536</v>
      </c>
      <c r="AM47" s="376">
        <f>MIN('3.1 Market'!$H38,'1.1 Control Panel'!AM$414*'1.1 Control Panel'!AM420)</f>
        <v>79.975661108475634</v>
      </c>
      <c r="AN47" s="376">
        <f>MIN('3.1 Market'!$H38,'1.1 Control Panel'!AN$414*'1.1 Control Panel'!AN420)</f>
        <v>79.980528886780519</v>
      </c>
      <c r="AP47" s="21"/>
    </row>
    <row r="48" spans="2:42" x14ac:dyDescent="0.25">
      <c r="C48" s="21" t="s">
        <v>393</v>
      </c>
      <c r="D48" s="38" t="s">
        <v>162</v>
      </c>
      <c r="E48" s="376">
        <f>MIN('3.1 Market'!$F39,'1.1 Control Panel'!E$414*'1.1 Control Panel'!E421)</f>
        <v>1</v>
      </c>
      <c r="F48" s="376">
        <f>MIN('3.1 Market'!$F39,'1.1 Control Panel'!F$414*'1.1 Control Panel'!F421)</f>
        <v>1.8</v>
      </c>
      <c r="G48" s="376">
        <f>MIN('3.1 Market'!$F39,'1.1 Control Panel'!G$414*'1.1 Control Panel'!G421)</f>
        <v>2.4400000000000004</v>
      </c>
      <c r="H48" s="376">
        <f>MIN('3.1 Market'!$F39,'1.1 Control Panel'!H$414*'1.1 Control Panel'!H421)</f>
        <v>2.9520000000000004</v>
      </c>
      <c r="I48" s="376">
        <f>MIN('3.1 Market'!$F39,'1.1 Control Panel'!I$414*'1.1 Control Panel'!I421)</f>
        <v>3.3616000000000006</v>
      </c>
      <c r="J48" s="376">
        <f>MIN('3.1 Market'!$F39,'1.1 Control Panel'!J$414*'1.1 Control Panel'!J421)</f>
        <v>7.3785600000000011</v>
      </c>
      <c r="K48" s="376">
        <f>MIN('3.1 Market'!$F39,'1.1 Control Panel'!K$414*'1.1 Control Panel'!K421)</f>
        <v>7.9028480000000014</v>
      </c>
      <c r="L48" s="376">
        <f>MIN('3.1 Market'!$F39,'1.1 Control Panel'!L$414*'1.1 Control Panel'!L421)</f>
        <v>8.3222784000000019</v>
      </c>
      <c r="M48" s="376">
        <f>MIN('3.1 Market'!$F39,'1.1 Control Panel'!M$414*'1.1 Control Panel'!M421)</f>
        <v>8.6578227200000022</v>
      </c>
      <c r="N48" s="376">
        <f>MIN('3.1 Market'!$F39,'1.1 Control Panel'!N$414*'1.1 Control Panel'!N421)</f>
        <v>8.926258176000001</v>
      </c>
      <c r="O48" s="376">
        <f>MIN('3.1 Market'!$F39,'1.1 Control Panel'!O$414*'1.1 Control Panel'!O421)</f>
        <v>9.1410065408000012</v>
      </c>
      <c r="P48" s="376">
        <f>MIN('3.1 Market'!$F39,'1.1 Control Panel'!P$414*'1.1 Control Panel'!P421)</f>
        <v>9.3128052326400024</v>
      </c>
      <c r="Q48" s="376">
        <f>MIN('3.1 Market'!$G39,'1.1 Control Panel'!Q$414*'1.1 Control Panel'!Q421)</f>
        <v>14.175366279168003</v>
      </c>
      <c r="R48" s="376">
        <f>MIN('3.1 Market'!$G39,'1.1 Control Panel'!R$414*'1.1 Control Panel'!R421)</f>
        <v>14.340293023334404</v>
      </c>
      <c r="S48" s="376">
        <f>MIN('3.1 Market'!$G39,'1.1 Control Panel'!S$414*'1.1 Control Panel'!S421)</f>
        <v>14.472234418667522</v>
      </c>
      <c r="T48" s="376">
        <f>MIN('3.1 Market'!$G39,'1.1 Control Panel'!T$414*'1.1 Control Panel'!T421)</f>
        <v>14.577787534934018</v>
      </c>
      <c r="U48" s="376">
        <f>MIN('3.1 Market'!$G39,'1.1 Control Panel'!U$414*'1.1 Control Panel'!U421)</f>
        <v>19.549640037262954</v>
      </c>
      <c r="V48" s="376">
        <f>MIN('3.1 Market'!$G39,'1.1 Control Panel'!V$414*'1.1 Control Panel'!V421)</f>
        <v>19.639712029810362</v>
      </c>
      <c r="W48" s="376">
        <f>MIN('3.1 Market'!$G39,'1.1 Control Panel'!W$414*'1.1 Control Panel'!W421)</f>
        <v>19.711769623848291</v>
      </c>
      <c r="X48" s="376">
        <f>MIN('3.1 Market'!$G39,'1.1 Control Panel'!X$414*'1.1 Control Panel'!X421)</f>
        <v>19.769415699078635</v>
      </c>
      <c r="Y48" s="376">
        <f>MIN('3.1 Market'!$G39,'1.1 Control Panel'!Y$414*'1.1 Control Panel'!Y421)</f>
        <v>19.815532559262909</v>
      </c>
      <c r="Z48" s="376">
        <f>MIN('3.1 Market'!$G39,'1.1 Control Panel'!Z$414*'1.1 Control Panel'!Z421)</f>
        <v>19.852426047410326</v>
      </c>
      <c r="AA48" s="376">
        <f>MIN('3.1 Market'!$G39,'1.1 Control Panel'!AA$414*'1.1 Control Panel'!AA421)</f>
        <v>19.881940837928262</v>
      </c>
      <c r="AB48" s="376">
        <f>MIN('3.1 Market'!$G39,'1.1 Control Panel'!AB$414*'1.1 Control Panel'!AB421)</f>
        <v>19.905552670342608</v>
      </c>
      <c r="AC48" s="376">
        <f>MIN('3.1 Market'!$H39,'1.1 Control Panel'!AC$414*'1.1 Control Panel'!AC421)</f>
        <v>39.848884272548176</v>
      </c>
      <c r="AD48" s="376">
        <f>MIN('3.1 Market'!$H39,'1.1 Control Panel'!AD$414*'1.1 Control Panel'!AD421)</f>
        <v>39.879107418038544</v>
      </c>
      <c r="AE48" s="376">
        <f>MIN('3.1 Market'!$H39,'1.1 Control Panel'!AE$414*'1.1 Control Panel'!AE421)</f>
        <v>39.903285934430841</v>
      </c>
      <c r="AF48" s="376">
        <f>MIN('3.1 Market'!$H39,'1.1 Control Panel'!AF$414*'1.1 Control Panel'!AF421)</f>
        <v>39.922628747544678</v>
      </c>
      <c r="AG48" s="376">
        <f>MIN('3.1 Market'!$H39,'1.1 Control Panel'!AG$414*'1.1 Control Panel'!AG421)</f>
        <v>59.907154497053618</v>
      </c>
      <c r="AH48" s="376">
        <f>MIN('3.1 Market'!$H39,'1.1 Control Panel'!AH$414*'1.1 Control Panel'!AH421)</f>
        <v>59.9257235976429</v>
      </c>
      <c r="AI48" s="376">
        <f>MIN('3.1 Market'!$H39,'1.1 Control Panel'!AI$414*'1.1 Control Panel'!AI421)</f>
        <v>59.940578878114323</v>
      </c>
      <c r="AJ48" s="376">
        <f>MIN('3.1 Market'!$H39,'1.1 Control Panel'!AJ$414*'1.1 Control Panel'!AJ421)</f>
        <v>59.952463102491464</v>
      </c>
      <c r="AK48" s="376">
        <f>MIN('3.1 Market'!$H39,'1.1 Control Panel'!AK$414*'1.1 Control Panel'!AK421)</f>
        <v>79.949293975990898</v>
      </c>
      <c r="AL48" s="376">
        <f>MIN('3.1 Market'!$H39,'1.1 Control Panel'!AL$414*'1.1 Control Panel'!AL421)</f>
        <v>79.959435180792724</v>
      </c>
      <c r="AM48" s="376">
        <f>MIN('3.1 Market'!$H39,'1.1 Control Panel'!AM$414*'1.1 Control Panel'!AM421)</f>
        <v>79.967548144634179</v>
      </c>
      <c r="AN48" s="376">
        <f>MIN('3.1 Market'!$H39,'1.1 Control Panel'!AN$414*'1.1 Control Panel'!AN421)</f>
        <v>79.974038515707349</v>
      </c>
      <c r="AP48" s="21"/>
    </row>
    <row r="49" spans="2:42" x14ac:dyDescent="0.25">
      <c r="C49" s="21" t="s">
        <v>456</v>
      </c>
      <c r="D49" s="38" t="s">
        <v>162</v>
      </c>
      <c r="E49" s="376">
        <f>MIN('3.1 Market'!$F40,'1.1 Control Panel'!E$414*'1.1 Control Panel'!E422)</f>
        <v>0</v>
      </c>
      <c r="F49" s="376">
        <f>MIN('3.1 Market'!$F40,'1.1 Control Panel'!F$414*'1.1 Control Panel'!F422)</f>
        <v>1</v>
      </c>
      <c r="G49" s="376">
        <f>MIN('3.1 Market'!$F40,'1.1 Control Panel'!G$414*'1.1 Control Panel'!G422)</f>
        <v>1.8</v>
      </c>
      <c r="H49" s="376">
        <f>MIN('3.1 Market'!$F40,'1.1 Control Panel'!H$414*'1.1 Control Panel'!H422)</f>
        <v>2.4400000000000004</v>
      </c>
      <c r="I49" s="376">
        <f>MIN('3.1 Market'!$F40,'1.1 Control Panel'!I$414*'1.1 Control Panel'!I422)</f>
        <v>2.9520000000000004</v>
      </c>
      <c r="J49" s="376">
        <f>MIN('3.1 Market'!$F40,'1.1 Control Panel'!J$414*'1.1 Control Panel'!J422)</f>
        <v>6.7232000000000012</v>
      </c>
      <c r="K49" s="376">
        <f>MIN('3.1 Market'!$F40,'1.1 Control Panel'!K$414*'1.1 Control Panel'!K422)</f>
        <v>7.3785600000000011</v>
      </c>
      <c r="L49" s="376">
        <f>MIN('3.1 Market'!$F40,'1.1 Control Panel'!L$414*'1.1 Control Panel'!L422)</f>
        <v>7.9028480000000014</v>
      </c>
      <c r="M49" s="376">
        <f>MIN('3.1 Market'!$F40,'1.1 Control Panel'!M$414*'1.1 Control Panel'!M422)</f>
        <v>8.3222784000000019</v>
      </c>
      <c r="N49" s="376">
        <f>MIN('3.1 Market'!$F40,'1.1 Control Panel'!N$414*'1.1 Control Panel'!N422)</f>
        <v>8.6578227200000022</v>
      </c>
      <c r="O49" s="376">
        <f>MIN('3.1 Market'!$F40,'1.1 Control Panel'!O$414*'1.1 Control Panel'!O422)</f>
        <v>8.926258176000001</v>
      </c>
      <c r="P49" s="376">
        <f>MIN('3.1 Market'!$F40,'1.1 Control Panel'!P$414*'1.1 Control Panel'!P422)</f>
        <v>9.1410065408000012</v>
      </c>
      <c r="Q49" s="376">
        <f>MIN('3.1 Market'!$G40,'1.1 Control Panel'!Q$414*'1.1 Control Panel'!Q422)</f>
        <v>13.969207848960004</v>
      </c>
      <c r="R49" s="376">
        <f>MIN('3.1 Market'!$G40,'1.1 Control Panel'!R$414*'1.1 Control Panel'!R422)</f>
        <v>14.175366279168003</v>
      </c>
      <c r="S49" s="376">
        <f>MIN('3.1 Market'!$G40,'1.1 Control Panel'!S$414*'1.1 Control Panel'!S422)</f>
        <v>14.340293023334404</v>
      </c>
      <c r="T49" s="376">
        <f>MIN('3.1 Market'!$G40,'1.1 Control Panel'!T$414*'1.1 Control Panel'!T422)</f>
        <v>14.472234418667522</v>
      </c>
      <c r="U49" s="376">
        <f>MIN('3.1 Market'!$G40,'1.1 Control Panel'!U$414*'1.1 Control Panel'!U422)</f>
        <v>19.43705004657869</v>
      </c>
      <c r="V49" s="376">
        <f>MIN('3.1 Market'!$G40,'1.1 Control Panel'!V$414*'1.1 Control Panel'!V422)</f>
        <v>19.549640037262954</v>
      </c>
      <c r="W49" s="376">
        <f>MIN('3.1 Market'!$G40,'1.1 Control Panel'!W$414*'1.1 Control Panel'!W422)</f>
        <v>19.639712029810362</v>
      </c>
      <c r="X49" s="376">
        <f>MIN('3.1 Market'!$G40,'1.1 Control Panel'!X$414*'1.1 Control Panel'!X422)</f>
        <v>19.711769623848291</v>
      </c>
      <c r="Y49" s="376">
        <f>MIN('3.1 Market'!$G40,'1.1 Control Panel'!Y$414*'1.1 Control Panel'!Y422)</f>
        <v>19.769415699078635</v>
      </c>
      <c r="Z49" s="376">
        <f>MIN('3.1 Market'!$G40,'1.1 Control Panel'!Z$414*'1.1 Control Panel'!Z422)</f>
        <v>19.815532559262909</v>
      </c>
      <c r="AA49" s="376">
        <f>MIN('3.1 Market'!$G40,'1.1 Control Panel'!AA$414*'1.1 Control Panel'!AA422)</f>
        <v>19.852426047410326</v>
      </c>
      <c r="AB49" s="376">
        <f>MIN('3.1 Market'!$G40,'1.1 Control Panel'!AB$414*'1.1 Control Panel'!AB422)</f>
        <v>19.881940837928262</v>
      </c>
      <c r="AC49" s="376">
        <f>MIN('3.1 Market'!$H40,'1.1 Control Panel'!AC$414*'1.1 Control Panel'!AC422)</f>
        <v>39.811105340685216</v>
      </c>
      <c r="AD49" s="376">
        <f>MIN('3.1 Market'!$H40,'1.1 Control Panel'!AD$414*'1.1 Control Panel'!AD422)</f>
        <v>39.848884272548176</v>
      </c>
      <c r="AE49" s="376">
        <f>MIN('3.1 Market'!$H40,'1.1 Control Panel'!AE$414*'1.1 Control Panel'!AE422)</f>
        <v>39.879107418038544</v>
      </c>
      <c r="AF49" s="376">
        <f>MIN('3.1 Market'!$H40,'1.1 Control Panel'!AF$414*'1.1 Control Panel'!AF422)</f>
        <v>39.903285934430841</v>
      </c>
      <c r="AG49" s="376">
        <f>MIN('3.1 Market'!$H40,'1.1 Control Panel'!AG$414*'1.1 Control Panel'!AG422)</f>
        <v>59.883943121317017</v>
      </c>
      <c r="AH49" s="376">
        <f>MIN('3.1 Market'!$H40,'1.1 Control Panel'!AH$414*'1.1 Control Panel'!AH422)</f>
        <v>59.907154497053618</v>
      </c>
      <c r="AI49" s="376">
        <f>MIN('3.1 Market'!$H40,'1.1 Control Panel'!AI$414*'1.1 Control Panel'!AI422)</f>
        <v>59.9257235976429</v>
      </c>
      <c r="AJ49" s="376">
        <f>MIN('3.1 Market'!$H40,'1.1 Control Panel'!AJ$414*'1.1 Control Panel'!AJ422)</f>
        <v>59.940578878114323</v>
      </c>
      <c r="AK49" s="376">
        <f>MIN('3.1 Market'!$H40,'1.1 Control Panel'!AK$414*'1.1 Control Panel'!AK422)</f>
        <v>79.936617469988619</v>
      </c>
      <c r="AL49" s="376">
        <f>MIN('3.1 Market'!$H40,'1.1 Control Panel'!AL$414*'1.1 Control Panel'!AL422)</f>
        <v>79.949293975990898</v>
      </c>
      <c r="AM49" s="376">
        <f>MIN('3.1 Market'!$H40,'1.1 Control Panel'!AM$414*'1.1 Control Panel'!AM422)</f>
        <v>79.959435180792724</v>
      </c>
      <c r="AN49" s="376">
        <f>MIN('3.1 Market'!$H40,'1.1 Control Panel'!AN$414*'1.1 Control Panel'!AN422)</f>
        <v>79.967548144634179</v>
      </c>
      <c r="AP49" s="21"/>
    </row>
    <row r="50" spans="2:42" x14ac:dyDescent="0.25">
      <c r="B50" s="99" t="s">
        <v>9</v>
      </c>
      <c r="C50" s="105" t="str">
        <f>'4.2 Sector Mapping'!$B$9</f>
        <v>Healthcare</v>
      </c>
      <c r="D50" s="106" t="s">
        <v>162</v>
      </c>
      <c r="E50" s="380">
        <f>SUM(E51:E56)</f>
        <v>0</v>
      </c>
      <c r="F50" s="380">
        <f t="shared" ref="F50:H50" si="75">SUM(F51:F56)</f>
        <v>0</v>
      </c>
      <c r="G50" s="380">
        <f t="shared" si="75"/>
        <v>20.400000000000002</v>
      </c>
      <c r="H50" s="380">
        <f t="shared" si="75"/>
        <v>22.320000000000004</v>
      </c>
      <c r="I50" s="380">
        <f t="shared" ref="I50:AN50" si="76">SUM(I51:I56)</f>
        <v>23.856000000000002</v>
      </c>
      <c r="J50" s="380">
        <f t="shared" si="76"/>
        <v>25.084800000000001</v>
      </c>
      <c r="K50" s="380">
        <f t="shared" si="76"/>
        <v>26.067840000000004</v>
      </c>
      <c r="L50" s="380">
        <f t="shared" si="76"/>
        <v>26.854272000000005</v>
      </c>
      <c r="M50" s="380">
        <f t="shared" si="76"/>
        <v>27.483417600000003</v>
      </c>
      <c r="N50" s="380">
        <f t="shared" si="76"/>
        <v>27.986734080000005</v>
      </c>
      <c r="O50" s="380">
        <f t="shared" si="76"/>
        <v>28.389387264000007</v>
      </c>
      <c r="P50" s="380">
        <f t="shared" si="76"/>
        <v>28.711509811200006</v>
      </c>
      <c r="Q50" s="380">
        <f t="shared" si="76"/>
        <v>57.938415697920007</v>
      </c>
      <c r="R50" s="380">
        <f t="shared" si="76"/>
        <v>58.350732558336013</v>
      </c>
      <c r="S50" s="380">
        <f t="shared" si="76"/>
        <v>58.680586046668807</v>
      </c>
      <c r="T50" s="380">
        <f t="shared" si="76"/>
        <v>58.944468837335052</v>
      </c>
      <c r="U50" s="380">
        <f t="shared" si="76"/>
        <v>88.733362604802068</v>
      </c>
      <c r="V50" s="380">
        <f t="shared" si="76"/>
        <v>88.986690083841665</v>
      </c>
      <c r="W50" s="380">
        <f t="shared" si="76"/>
        <v>89.18935206707333</v>
      </c>
      <c r="X50" s="380">
        <f t="shared" si="76"/>
        <v>89.351481653658652</v>
      </c>
      <c r="Y50" s="380">
        <f t="shared" si="76"/>
        <v>89.481185322926919</v>
      </c>
      <c r="Z50" s="380">
        <f t="shared" si="76"/>
        <v>89.584948258341541</v>
      </c>
      <c r="AA50" s="380">
        <f t="shared" si="76"/>
        <v>89.667958606673238</v>
      </c>
      <c r="AB50" s="380">
        <f t="shared" si="76"/>
        <v>89.734366885338602</v>
      </c>
      <c r="AC50" s="380">
        <f t="shared" si="76"/>
        <v>149.64582251378479</v>
      </c>
      <c r="AD50" s="380">
        <f t="shared" si="76"/>
        <v>149.71665801102785</v>
      </c>
      <c r="AE50" s="380">
        <f t="shared" si="76"/>
        <v>149.7733264088223</v>
      </c>
      <c r="AF50" s="380">
        <f t="shared" si="76"/>
        <v>149.81866112705782</v>
      </c>
      <c r="AG50" s="380">
        <f t="shared" si="76"/>
        <v>209.79690046230476</v>
      </c>
      <c r="AH50" s="380">
        <f t="shared" si="76"/>
        <v>209.83752036984382</v>
      </c>
      <c r="AI50" s="380">
        <f t="shared" si="76"/>
        <v>209.87001629587508</v>
      </c>
      <c r="AJ50" s="380">
        <f t="shared" si="76"/>
        <v>209.89601303670008</v>
      </c>
      <c r="AK50" s="380">
        <f t="shared" si="76"/>
        <v>239.90492620498293</v>
      </c>
      <c r="AL50" s="380">
        <f t="shared" si="76"/>
        <v>239.92394096398633</v>
      </c>
      <c r="AM50" s="380">
        <f t="shared" si="76"/>
        <v>239.93915277118907</v>
      </c>
      <c r="AN50" s="380">
        <f t="shared" si="76"/>
        <v>239.95132221695127</v>
      </c>
      <c r="AP50" s="105"/>
    </row>
    <row r="51" spans="2:42" x14ac:dyDescent="0.25">
      <c r="C51" s="20" t="s">
        <v>600</v>
      </c>
      <c r="D51" s="34" t="s">
        <v>162</v>
      </c>
      <c r="E51" s="28">
        <f>MIN('3.1 Market'!$F42,'1.1 Control Panel'!E$445*'1.1 Control Panel'!E448)</f>
        <v>0</v>
      </c>
      <c r="F51" s="28">
        <f>MIN('3.1 Market'!$F42,'1.1 Control Panel'!F$445*'1.1 Control Panel'!F448)</f>
        <v>0</v>
      </c>
      <c r="G51" s="28">
        <f>MIN('3.1 Market'!$F42,'1.1 Control Panel'!G$445*'1.1 Control Panel'!G448)</f>
        <v>5</v>
      </c>
      <c r="H51" s="28">
        <f>MIN('3.1 Market'!$F42,'1.1 Control Panel'!H$445*'1.1 Control Panel'!H448)</f>
        <v>5</v>
      </c>
      <c r="I51" s="28">
        <f>MIN('3.1 Market'!$F42,'1.1 Control Panel'!I$445*'1.1 Control Panel'!I448)</f>
        <v>5</v>
      </c>
      <c r="J51" s="28">
        <f>MIN('3.1 Market'!$F42,'1.1 Control Panel'!J$445*'1.1 Control Panel'!J448)</f>
        <v>5</v>
      </c>
      <c r="K51" s="28">
        <f>MIN('3.1 Market'!$F42,'1.1 Control Panel'!K$445*'1.1 Control Panel'!K448)</f>
        <v>5</v>
      </c>
      <c r="L51" s="28">
        <f>MIN('3.1 Market'!$F42,'1.1 Control Panel'!L$445*'1.1 Control Panel'!L448)</f>
        <v>5</v>
      </c>
      <c r="M51" s="28">
        <f>MIN('3.1 Market'!$F42,'1.1 Control Panel'!M$445*'1.1 Control Panel'!M448)</f>
        <v>5</v>
      </c>
      <c r="N51" s="28">
        <f>MIN('3.1 Market'!$F42,'1.1 Control Panel'!N$445*'1.1 Control Panel'!N448)</f>
        <v>5</v>
      </c>
      <c r="O51" s="28">
        <f>MIN('3.1 Market'!$F42,'1.1 Control Panel'!O$445*'1.1 Control Panel'!O448)</f>
        <v>5</v>
      </c>
      <c r="P51" s="28">
        <f>MIN('3.1 Market'!$F42,'1.1 Control Panel'!P$445*'1.1 Control Panel'!P448)</f>
        <v>5</v>
      </c>
      <c r="Q51" s="28">
        <f>MIN('3.1 Market'!$G42,'1.1 Control Panel'!Q$445*'1.1 Control Panel'!Q448)</f>
        <v>10</v>
      </c>
      <c r="R51" s="28">
        <f>MIN('3.1 Market'!$G42,'1.1 Control Panel'!R$445*'1.1 Control Panel'!R448)</f>
        <v>10</v>
      </c>
      <c r="S51" s="28">
        <f>MIN('3.1 Market'!$G42,'1.1 Control Panel'!S$445*'1.1 Control Panel'!S448)</f>
        <v>10</v>
      </c>
      <c r="T51" s="28">
        <f>MIN('3.1 Market'!$G42,'1.1 Control Panel'!T$445*'1.1 Control Panel'!T448)</f>
        <v>10</v>
      </c>
      <c r="U51" s="28">
        <f>MIN('3.1 Market'!$G42,'1.1 Control Panel'!U$445*'1.1 Control Panel'!U448)</f>
        <v>15</v>
      </c>
      <c r="V51" s="28">
        <f>MIN('3.1 Market'!$G42,'1.1 Control Panel'!V$445*'1.1 Control Panel'!V448)</f>
        <v>15</v>
      </c>
      <c r="W51" s="28">
        <f>MIN('3.1 Market'!$G42,'1.1 Control Panel'!W$445*'1.1 Control Panel'!W448)</f>
        <v>15</v>
      </c>
      <c r="X51" s="28">
        <f>MIN('3.1 Market'!$G42,'1.1 Control Panel'!X$445*'1.1 Control Panel'!X448)</f>
        <v>15</v>
      </c>
      <c r="Y51" s="28">
        <f>MIN('3.1 Market'!$G42,'1.1 Control Panel'!Y$445*'1.1 Control Panel'!Y448)</f>
        <v>15</v>
      </c>
      <c r="Z51" s="28">
        <f>MIN('3.1 Market'!$G42,'1.1 Control Panel'!Z$445*'1.1 Control Panel'!Z448)</f>
        <v>15</v>
      </c>
      <c r="AA51" s="28">
        <f>MIN('3.1 Market'!$G42,'1.1 Control Panel'!AA$445*'1.1 Control Panel'!AA448)</f>
        <v>15</v>
      </c>
      <c r="AB51" s="28">
        <f>MIN('3.1 Market'!$G42,'1.1 Control Panel'!AB$445*'1.1 Control Panel'!AB448)</f>
        <v>15</v>
      </c>
      <c r="AC51" s="28">
        <f>MIN('3.1 Market'!$H42,'1.1 Control Panel'!AC$445*'1.1 Control Panel'!AC448)</f>
        <v>25</v>
      </c>
      <c r="AD51" s="28">
        <f>MIN('3.1 Market'!$H42,'1.1 Control Panel'!AD$445*'1.1 Control Panel'!AD448)</f>
        <v>25</v>
      </c>
      <c r="AE51" s="28">
        <f>MIN('3.1 Market'!$H42,'1.1 Control Panel'!AE$445*'1.1 Control Panel'!AE448)</f>
        <v>25</v>
      </c>
      <c r="AF51" s="28">
        <f>MIN('3.1 Market'!$H42,'1.1 Control Panel'!AF$445*'1.1 Control Panel'!AF448)</f>
        <v>25</v>
      </c>
      <c r="AG51" s="28">
        <f>MIN('3.1 Market'!$H42,'1.1 Control Panel'!AG$445*'1.1 Control Panel'!AG448)</f>
        <v>35</v>
      </c>
      <c r="AH51" s="28">
        <f>MIN('3.1 Market'!$H42,'1.1 Control Panel'!AH$445*'1.1 Control Panel'!AH448)</f>
        <v>35</v>
      </c>
      <c r="AI51" s="28">
        <f>MIN('3.1 Market'!$H42,'1.1 Control Panel'!AI$445*'1.1 Control Panel'!AI448)</f>
        <v>35</v>
      </c>
      <c r="AJ51" s="28">
        <f>MIN('3.1 Market'!$H42,'1.1 Control Panel'!AJ$445*'1.1 Control Panel'!AJ448)</f>
        <v>35</v>
      </c>
      <c r="AK51" s="28">
        <f>MIN('3.1 Market'!$H42,'1.1 Control Panel'!AK$445*'1.1 Control Panel'!AK448)</f>
        <v>40</v>
      </c>
      <c r="AL51" s="28">
        <f>MIN('3.1 Market'!$H42,'1.1 Control Panel'!AL$445*'1.1 Control Panel'!AL448)</f>
        <v>40</v>
      </c>
      <c r="AM51" s="28">
        <f>MIN('3.1 Market'!$H42,'1.1 Control Panel'!AM$445*'1.1 Control Panel'!AM448)</f>
        <v>40</v>
      </c>
      <c r="AN51" s="28">
        <f>MIN('3.1 Market'!$H42,'1.1 Control Panel'!AN$445*'1.1 Control Panel'!AN448)</f>
        <v>40</v>
      </c>
      <c r="AP51" s="20"/>
    </row>
    <row r="52" spans="2:42" x14ac:dyDescent="0.25">
      <c r="C52" s="20" t="s">
        <v>392</v>
      </c>
      <c r="D52" s="34" t="s">
        <v>162</v>
      </c>
      <c r="E52" s="28">
        <f>MIN('3.1 Market'!$F43,'1.1 Control Panel'!E$445*'1.1 Control Panel'!E449)</f>
        <v>0</v>
      </c>
      <c r="F52" s="28">
        <f>MIN('3.1 Market'!$F43,'1.1 Control Panel'!F$445*'1.1 Control Panel'!F449)</f>
        <v>0</v>
      </c>
      <c r="G52" s="28">
        <f>MIN('3.1 Market'!$F43,'1.1 Control Panel'!G$445*'1.1 Control Panel'!G449)</f>
        <v>4.3600000000000003</v>
      </c>
      <c r="H52" s="28">
        <f>MIN('3.1 Market'!$F43,'1.1 Control Panel'!H$445*'1.1 Control Panel'!H449)</f>
        <v>4.4880000000000004</v>
      </c>
      <c r="I52" s="28">
        <f>MIN('3.1 Market'!$F43,'1.1 Control Panel'!I$445*'1.1 Control Panel'!I449)</f>
        <v>4.5904000000000007</v>
      </c>
      <c r="J52" s="28">
        <f>MIN('3.1 Market'!$F43,'1.1 Control Panel'!J$445*'1.1 Control Panel'!J449)</f>
        <v>4.6723200000000009</v>
      </c>
      <c r="K52" s="28">
        <f>MIN('3.1 Market'!$F43,'1.1 Control Panel'!K$445*'1.1 Control Panel'!K449)</f>
        <v>4.7378560000000007</v>
      </c>
      <c r="L52" s="28">
        <f>MIN('3.1 Market'!$F43,'1.1 Control Panel'!L$445*'1.1 Control Panel'!L449)</f>
        <v>4.7902848000000002</v>
      </c>
      <c r="M52" s="28">
        <f>MIN('3.1 Market'!$F43,'1.1 Control Panel'!M$445*'1.1 Control Panel'!M449)</f>
        <v>4.8322278399999998</v>
      </c>
      <c r="N52" s="28">
        <f>MIN('3.1 Market'!$F43,'1.1 Control Panel'!N$445*'1.1 Control Panel'!N449)</f>
        <v>4.8657822720000006</v>
      </c>
      <c r="O52" s="28">
        <f>MIN('3.1 Market'!$F43,'1.1 Control Panel'!O$445*'1.1 Control Panel'!O449)</f>
        <v>4.8926258176000008</v>
      </c>
      <c r="P52" s="28">
        <f>MIN('3.1 Market'!$F43,'1.1 Control Panel'!P$445*'1.1 Control Panel'!P449)</f>
        <v>4.9141006540800003</v>
      </c>
      <c r="Q52" s="28">
        <f>MIN('3.1 Market'!$G43,'1.1 Control Panel'!Q$445*'1.1 Control Panel'!Q449)</f>
        <v>9.8625610465280005</v>
      </c>
      <c r="R52" s="28">
        <f>MIN('3.1 Market'!$G43,'1.1 Control Panel'!R$445*'1.1 Control Panel'!R449)</f>
        <v>9.8900488372224018</v>
      </c>
      <c r="S52" s="28">
        <f>MIN('3.1 Market'!$G43,'1.1 Control Panel'!S$445*'1.1 Control Panel'!S449)</f>
        <v>9.9120390697779222</v>
      </c>
      <c r="T52" s="28">
        <f>MIN('3.1 Market'!$G43,'1.1 Control Panel'!T$445*'1.1 Control Panel'!T449)</f>
        <v>9.9296312558223381</v>
      </c>
      <c r="U52" s="28">
        <f>MIN('3.1 Market'!$G43,'1.1 Control Panel'!U$445*'1.1 Control Panel'!U449)</f>
        <v>14.915557506986808</v>
      </c>
      <c r="V52" s="28">
        <f>MIN('3.1 Market'!$G43,'1.1 Control Panel'!V$445*'1.1 Control Panel'!V449)</f>
        <v>14.932446005589448</v>
      </c>
      <c r="W52" s="28">
        <f>MIN('3.1 Market'!$G43,'1.1 Control Panel'!W$445*'1.1 Control Panel'!W449)</f>
        <v>14.945956804471558</v>
      </c>
      <c r="X52" s="28">
        <f>MIN('3.1 Market'!$G43,'1.1 Control Panel'!X$445*'1.1 Control Panel'!X449)</f>
        <v>14.956765443577247</v>
      </c>
      <c r="Y52" s="28">
        <f>MIN('3.1 Market'!$G43,'1.1 Control Panel'!Y$445*'1.1 Control Panel'!Y449)</f>
        <v>14.965412354861797</v>
      </c>
      <c r="Z52" s="28">
        <f>MIN('3.1 Market'!$G43,'1.1 Control Panel'!Z$445*'1.1 Control Panel'!Z449)</f>
        <v>14.97232988388944</v>
      </c>
      <c r="AA52" s="28">
        <f>MIN('3.1 Market'!$G43,'1.1 Control Panel'!AA$445*'1.1 Control Panel'!AA449)</f>
        <v>14.977863907111553</v>
      </c>
      <c r="AB52" s="28">
        <f>MIN('3.1 Market'!$G43,'1.1 Control Panel'!AB$445*'1.1 Control Panel'!AB449)</f>
        <v>14.982291125689244</v>
      </c>
      <c r="AC52" s="28">
        <f>MIN('3.1 Market'!$H43,'1.1 Control Panel'!AC$445*'1.1 Control Panel'!AC449)</f>
        <v>24.976388167585661</v>
      </c>
      <c r="AD52" s="28">
        <f>MIN('3.1 Market'!$H43,'1.1 Control Panel'!AD$445*'1.1 Control Panel'!AD449)</f>
        <v>24.981110534068527</v>
      </c>
      <c r="AE52" s="28">
        <f>MIN('3.1 Market'!$H43,'1.1 Control Panel'!AE$445*'1.1 Control Panel'!AE449)</f>
        <v>24.984888427254823</v>
      </c>
      <c r="AF52" s="28">
        <f>MIN('3.1 Market'!$H43,'1.1 Control Panel'!AF$445*'1.1 Control Panel'!AF449)</f>
        <v>24.987910741803859</v>
      </c>
      <c r="AG52" s="28">
        <f>MIN('3.1 Market'!$H43,'1.1 Control Panel'!AG$445*'1.1 Control Panel'!AG449)</f>
        <v>34.986460030820325</v>
      </c>
      <c r="AH52" s="28">
        <f>MIN('3.1 Market'!$H43,'1.1 Control Panel'!AH$445*'1.1 Control Panel'!AH449)</f>
        <v>34.989168024656259</v>
      </c>
      <c r="AI52" s="28">
        <f>MIN('3.1 Market'!$H43,'1.1 Control Panel'!AI$445*'1.1 Control Panel'!AI449)</f>
        <v>34.991334419725007</v>
      </c>
      <c r="AJ52" s="28">
        <f>MIN('3.1 Market'!$H43,'1.1 Control Panel'!AJ$445*'1.1 Control Panel'!AJ449)</f>
        <v>34.993067535780007</v>
      </c>
      <c r="AK52" s="28">
        <f>MIN('3.1 Market'!$H43,'1.1 Control Panel'!AK$445*'1.1 Control Panel'!AK449)</f>
        <v>39.993661746998868</v>
      </c>
      <c r="AL52" s="28">
        <f>MIN('3.1 Market'!$H43,'1.1 Control Panel'!AL$445*'1.1 Control Panel'!AL449)</f>
        <v>39.994929397599094</v>
      </c>
      <c r="AM52" s="28">
        <f>MIN('3.1 Market'!$H43,'1.1 Control Panel'!AM$445*'1.1 Control Panel'!AM449)</f>
        <v>39.995943518079272</v>
      </c>
      <c r="AN52" s="28">
        <f>MIN('3.1 Market'!$H43,'1.1 Control Panel'!AN$445*'1.1 Control Panel'!AN449)</f>
        <v>39.996754814463415</v>
      </c>
      <c r="AP52" s="20"/>
    </row>
    <row r="53" spans="2:42" x14ac:dyDescent="0.25">
      <c r="C53" s="20" t="s">
        <v>454</v>
      </c>
      <c r="D53" s="34" t="s">
        <v>162</v>
      </c>
      <c r="E53" s="28">
        <f>MIN('3.1 Market'!$F44,'1.1 Control Panel'!E$445*'1.1 Control Panel'!E450)</f>
        <v>0</v>
      </c>
      <c r="F53" s="28">
        <f>MIN('3.1 Market'!$F44,'1.1 Control Panel'!F$445*'1.1 Control Panel'!F450)</f>
        <v>0</v>
      </c>
      <c r="G53" s="28">
        <f>MIN('3.1 Market'!$F44,'1.1 Control Panel'!G$445*'1.1 Control Panel'!G450)</f>
        <v>3.7200000000000006</v>
      </c>
      <c r="H53" s="28">
        <f>MIN('3.1 Market'!$F44,'1.1 Control Panel'!H$445*'1.1 Control Panel'!H450)</f>
        <v>3.9760000000000009</v>
      </c>
      <c r="I53" s="28">
        <f>MIN('3.1 Market'!$F44,'1.1 Control Panel'!I$445*'1.1 Control Panel'!I450)</f>
        <v>4.1808000000000014</v>
      </c>
      <c r="J53" s="28">
        <f>MIN('3.1 Market'!$F44,'1.1 Control Panel'!J$445*'1.1 Control Panel'!J450)</f>
        <v>4.3446400000000018</v>
      </c>
      <c r="K53" s="28">
        <f>MIN('3.1 Market'!$F44,'1.1 Control Panel'!K$445*'1.1 Control Panel'!K450)</f>
        <v>4.4757120000000015</v>
      </c>
      <c r="L53" s="28">
        <f>MIN('3.1 Market'!$F44,'1.1 Control Panel'!L$445*'1.1 Control Panel'!L450)</f>
        <v>4.5805696000000014</v>
      </c>
      <c r="M53" s="28">
        <f>MIN('3.1 Market'!$F44,'1.1 Control Panel'!M$445*'1.1 Control Panel'!M450)</f>
        <v>4.6644556800000014</v>
      </c>
      <c r="N53" s="28">
        <f>MIN('3.1 Market'!$F44,'1.1 Control Panel'!N$445*'1.1 Control Panel'!N450)</f>
        <v>4.7315645440000011</v>
      </c>
      <c r="O53" s="28">
        <f>MIN('3.1 Market'!$F44,'1.1 Control Panel'!O$445*'1.1 Control Panel'!O450)</f>
        <v>4.7852516352000016</v>
      </c>
      <c r="P53" s="28">
        <f>MIN('3.1 Market'!$F44,'1.1 Control Panel'!P$445*'1.1 Control Panel'!P450)</f>
        <v>4.8282013081600015</v>
      </c>
      <c r="Q53" s="28">
        <f>MIN('3.1 Market'!$G44,'1.1 Control Panel'!Q$445*'1.1 Control Panel'!Q450)</f>
        <v>9.7251220930560027</v>
      </c>
      <c r="R53" s="28">
        <f>MIN('3.1 Market'!$G44,'1.1 Control Panel'!R$445*'1.1 Control Panel'!R450)</f>
        <v>9.7800976744448036</v>
      </c>
      <c r="S53" s="28">
        <f>MIN('3.1 Market'!$G44,'1.1 Control Panel'!S$445*'1.1 Control Panel'!S450)</f>
        <v>9.8240781395558443</v>
      </c>
      <c r="T53" s="28">
        <f>MIN('3.1 Market'!$G44,'1.1 Control Panel'!T$445*'1.1 Control Panel'!T450)</f>
        <v>9.8592625116446762</v>
      </c>
      <c r="U53" s="28">
        <f>MIN('3.1 Market'!$G44,'1.1 Control Panel'!U$445*'1.1 Control Panel'!U450)</f>
        <v>14.83111501397361</v>
      </c>
      <c r="V53" s="28">
        <f>MIN('3.1 Market'!$G44,'1.1 Control Panel'!V$445*'1.1 Control Panel'!V450)</f>
        <v>14.864892011178888</v>
      </c>
      <c r="W53" s="28">
        <f>MIN('3.1 Market'!$G44,'1.1 Control Panel'!W$445*'1.1 Control Panel'!W450)</f>
        <v>14.891913608943112</v>
      </c>
      <c r="X53" s="28">
        <f>MIN('3.1 Market'!$G44,'1.1 Control Panel'!X$445*'1.1 Control Panel'!X450)</f>
        <v>14.913530887154488</v>
      </c>
      <c r="Y53" s="28">
        <f>MIN('3.1 Market'!$G44,'1.1 Control Panel'!Y$445*'1.1 Control Panel'!Y450)</f>
        <v>14.93082470972359</v>
      </c>
      <c r="Z53" s="28">
        <f>MIN('3.1 Market'!$G44,'1.1 Control Panel'!Z$445*'1.1 Control Panel'!Z450)</f>
        <v>14.944659767778873</v>
      </c>
      <c r="AA53" s="28">
        <f>MIN('3.1 Market'!$G44,'1.1 Control Panel'!AA$445*'1.1 Control Panel'!AA450)</f>
        <v>14.955727814223099</v>
      </c>
      <c r="AB53" s="28">
        <f>MIN('3.1 Market'!$G44,'1.1 Control Panel'!AB$445*'1.1 Control Panel'!AB450)</f>
        <v>14.964582251378481</v>
      </c>
      <c r="AC53" s="28">
        <f>MIN('3.1 Market'!$H44,'1.1 Control Panel'!AC$445*'1.1 Control Panel'!AC450)</f>
        <v>24.952776335171308</v>
      </c>
      <c r="AD53" s="28">
        <f>MIN('3.1 Market'!$H44,'1.1 Control Panel'!AD$445*'1.1 Control Panel'!AD450)</f>
        <v>24.962221068137048</v>
      </c>
      <c r="AE53" s="28">
        <f>MIN('3.1 Market'!$H44,'1.1 Control Panel'!AE$445*'1.1 Control Panel'!AE450)</f>
        <v>24.969776854509639</v>
      </c>
      <c r="AF53" s="28">
        <f>MIN('3.1 Market'!$H44,'1.1 Control Panel'!AF$445*'1.1 Control Panel'!AF450)</f>
        <v>24.97582148360771</v>
      </c>
      <c r="AG53" s="28">
        <f>MIN('3.1 Market'!$H44,'1.1 Control Panel'!AG$445*'1.1 Control Panel'!AG450)</f>
        <v>34.972920061640636</v>
      </c>
      <c r="AH53" s="28">
        <f>MIN('3.1 Market'!$H44,'1.1 Control Panel'!AH$445*'1.1 Control Panel'!AH450)</f>
        <v>34.97833604931251</v>
      </c>
      <c r="AI53" s="28">
        <f>MIN('3.1 Market'!$H44,'1.1 Control Panel'!AI$445*'1.1 Control Panel'!AI450)</f>
        <v>34.982668839450007</v>
      </c>
      <c r="AJ53" s="28">
        <f>MIN('3.1 Market'!$H44,'1.1 Control Panel'!AJ$445*'1.1 Control Panel'!AJ450)</f>
        <v>34.986135071560014</v>
      </c>
      <c r="AK53" s="28">
        <f>MIN('3.1 Market'!$H44,'1.1 Control Panel'!AK$445*'1.1 Control Panel'!AK450)</f>
        <v>39.987323493997721</v>
      </c>
      <c r="AL53" s="28">
        <f>MIN('3.1 Market'!$H44,'1.1 Control Panel'!AL$445*'1.1 Control Panel'!AL450)</f>
        <v>39.989858795198174</v>
      </c>
      <c r="AM53" s="28">
        <f>MIN('3.1 Market'!$H44,'1.1 Control Panel'!AM$445*'1.1 Control Panel'!AM450)</f>
        <v>39.991887036158545</v>
      </c>
      <c r="AN53" s="28">
        <f>MIN('3.1 Market'!$H44,'1.1 Control Panel'!AN$445*'1.1 Control Panel'!AN450)</f>
        <v>39.993509628926837</v>
      </c>
      <c r="AP53" s="20"/>
    </row>
    <row r="54" spans="2:42" x14ac:dyDescent="0.25">
      <c r="C54" s="21" t="s">
        <v>455</v>
      </c>
      <c r="D54" s="38" t="s">
        <v>162</v>
      </c>
      <c r="E54" s="376">
        <f>MIN('3.1 Market'!$F45,'1.1 Control Panel'!E$445*'1.1 Control Panel'!E451)</f>
        <v>0</v>
      </c>
      <c r="F54" s="376">
        <f>MIN('3.1 Market'!$F45,'1.1 Control Panel'!F$445*'1.1 Control Panel'!F451)</f>
        <v>0</v>
      </c>
      <c r="G54" s="376">
        <f>MIN('3.1 Market'!$F45,'1.1 Control Panel'!G$445*'1.1 Control Panel'!G451)</f>
        <v>3.08</v>
      </c>
      <c r="H54" s="376">
        <f>MIN('3.1 Market'!$F45,'1.1 Control Panel'!H$445*'1.1 Control Panel'!H451)</f>
        <v>3.4640000000000004</v>
      </c>
      <c r="I54" s="376">
        <f>MIN('3.1 Market'!$F45,'1.1 Control Panel'!I$445*'1.1 Control Panel'!I451)</f>
        <v>3.7712000000000003</v>
      </c>
      <c r="J54" s="376">
        <f>MIN('3.1 Market'!$F45,'1.1 Control Panel'!J$445*'1.1 Control Panel'!J451)</f>
        <v>4.016960000000001</v>
      </c>
      <c r="K54" s="376">
        <f>MIN('3.1 Market'!$F45,'1.1 Control Panel'!K$445*'1.1 Control Panel'!K451)</f>
        <v>4.2135680000000004</v>
      </c>
      <c r="L54" s="376">
        <f>MIN('3.1 Market'!$F45,'1.1 Control Panel'!L$445*'1.1 Control Panel'!L451)</f>
        <v>4.3708544000000007</v>
      </c>
      <c r="M54" s="376">
        <f>MIN('3.1 Market'!$F45,'1.1 Control Panel'!M$445*'1.1 Control Panel'!M451)</f>
        <v>4.4966835200000013</v>
      </c>
      <c r="N54" s="376">
        <f>MIN('3.1 Market'!$F45,'1.1 Control Panel'!N$445*'1.1 Control Panel'!N451)</f>
        <v>4.5973468160000017</v>
      </c>
      <c r="O54" s="376">
        <f>MIN('3.1 Market'!$F45,'1.1 Control Panel'!O$445*'1.1 Control Panel'!O451)</f>
        <v>4.6778774528000016</v>
      </c>
      <c r="P54" s="376">
        <f>MIN('3.1 Market'!$F45,'1.1 Control Panel'!P$445*'1.1 Control Panel'!P451)</f>
        <v>4.7423019622400009</v>
      </c>
      <c r="Q54" s="376">
        <f>MIN('3.1 Market'!$G45,'1.1 Control Panel'!Q$445*'1.1 Control Panel'!Q451)</f>
        <v>9.5876831395840014</v>
      </c>
      <c r="R54" s="376">
        <f>MIN('3.1 Market'!$G45,'1.1 Control Panel'!R$445*'1.1 Control Panel'!R451)</f>
        <v>9.6701465116672018</v>
      </c>
      <c r="S54" s="376">
        <f>MIN('3.1 Market'!$G45,'1.1 Control Panel'!S$445*'1.1 Control Panel'!S451)</f>
        <v>9.7361172093337629</v>
      </c>
      <c r="T54" s="376">
        <f>MIN('3.1 Market'!$G45,'1.1 Control Panel'!T$445*'1.1 Control Panel'!T451)</f>
        <v>9.7888937674670107</v>
      </c>
      <c r="U54" s="376">
        <f>MIN('3.1 Market'!$G45,'1.1 Control Panel'!U$445*'1.1 Control Panel'!U451)</f>
        <v>14.746672520960413</v>
      </c>
      <c r="V54" s="376">
        <f>MIN('3.1 Market'!$G45,'1.1 Control Panel'!V$445*'1.1 Control Panel'!V451)</f>
        <v>14.797338016768332</v>
      </c>
      <c r="W54" s="376">
        <f>MIN('3.1 Market'!$G45,'1.1 Control Panel'!W$445*'1.1 Control Panel'!W451)</f>
        <v>14.837870413414665</v>
      </c>
      <c r="X54" s="376">
        <f>MIN('3.1 Market'!$G45,'1.1 Control Panel'!X$445*'1.1 Control Panel'!X451)</f>
        <v>14.870296330731733</v>
      </c>
      <c r="Y54" s="376">
        <f>MIN('3.1 Market'!$G45,'1.1 Control Panel'!Y$445*'1.1 Control Panel'!Y451)</f>
        <v>14.896237064585387</v>
      </c>
      <c r="Z54" s="376">
        <f>MIN('3.1 Market'!$G45,'1.1 Control Panel'!Z$445*'1.1 Control Panel'!Z451)</f>
        <v>14.91698965166831</v>
      </c>
      <c r="AA54" s="376">
        <f>MIN('3.1 Market'!$G45,'1.1 Control Panel'!AA$445*'1.1 Control Panel'!AA451)</f>
        <v>14.933591721334649</v>
      </c>
      <c r="AB54" s="376">
        <f>MIN('3.1 Market'!$G45,'1.1 Control Panel'!AB$445*'1.1 Control Panel'!AB451)</f>
        <v>14.946873377067721</v>
      </c>
      <c r="AC54" s="376">
        <f>MIN('3.1 Market'!$H45,'1.1 Control Panel'!AC$445*'1.1 Control Panel'!AC451)</f>
        <v>24.929164502756961</v>
      </c>
      <c r="AD54" s="376">
        <f>MIN('3.1 Market'!$H45,'1.1 Control Panel'!AD$445*'1.1 Control Panel'!AD451)</f>
        <v>24.943331602205568</v>
      </c>
      <c r="AE54" s="376">
        <f>MIN('3.1 Market'!$H45,'1.1 Control Panel'!AE$445*'1.1 Control Panel'!AE451)</f>
        <v>24.954665281764456</v>
      </c>
      <c r="AF54" s="376">
        <f>MIN('3.1 Market'!$H45,'1.1 Control Panel'!AF$445*'1.1 Control Panel'!AF451)</f>
        <v>24.963732225411562</v>
      </c>
      <c r="AG54" s="376">
        <f>MIN('3.1 Market'!$H45,'1.1 Control Panel'!AG$445*'1.1 Control Panel'!AG451)</f>
        <v>34.959380092460947</v>
      </c>
      <c r="AH54" s="376">
        <f>MIN('3.1 Market'!$H45,'1.1 Control Panel'!AH$445*'1.1 Control Panel'!AH451)</f>
        <v>34.967504073968755</v>
      </c>
      <c r="AI54" s="376">
        <f>MIN('3.1 Market'!$H45,'1.1 Control Panel'!AI$445*'1.1 Control Panel'!AI451)</f>
        <v>34.974003259175007</v>
      </c>
      <c r="AJ54" s="376">
        <f>MIN('3.1 Market'!$H45,'1.1 Control Panel'!AJ$445*'1.1 Control Panel'!AJ451)</f>
        <v>34.979202607340007</v>
      </c>
      <c r="AK54" s="376">
        <f>MIN('3.1 Market'!$H45,'1.1 Control Panel'!AK$445*'1.1 Control Panel'!AK451)</f>
        <v>39.980985240996581</v>
      </c>
      <c r="AL54" s="376">
        <f>MIN('3.1 Market'!$H45,'1.1 Control Panel'!AL$445*'1.1 Control Panel'!AL451)</f>
        <v>39.984788192797268</v>
      </c>
      <c r="AM54" s="376">
        <f>MIN('3.1 Market'!$H45,'1.1 Control Panel'!AM$445*'1.1 Control Panel'!AM451)</f>
        <v>39.987830554237817</v>
      </c>
      <c r="AN54" s="376">
        <f>MIN('3.1 Market'!$H45,'1.1 Control Panel'!AN$445*'1.1 Control Panel'!AN451)</f>
        <v>39.990264443390259</v>
      </c>
      <c r="AP54" s="21"/>
    </row>
    <row r="55" spans="2:42" x14ac:dyDescent="0.25">
      <c r="C55" s="21" t="s">
        <v>393</v>
      </c>
      <c r="D55" s="38" t="s">
        <v>162</v>
      </c>
      <c r="E55" s="376">
        <f>MIN('3.1 Market'!$F46,'1.1 Control Panel'!E$445*'1.1 Control Panel'!E452)</f>
        <v>0</v>
      </c>
      <c r="F55" s="376">
        <f>MIN('3.1 Market'!$F46,'1.1 Control Panel'!F$445*'1.1 Control Panel'!F452)</f>
        <v>0</v>
      </c>
      <c r="G55" s="376">
        <f>MIN('3.1 Market'!$F46,'1.1 Control Panel'!G$445*'1.1 Control Panel'!G452)</f>
        <v>2.4400000000000004</v>
      </c>
      <c r="H55" s="376">
        <f>MIN('3.1 Market'!$F46,'1.1 Control Panel'!H$445*'1.1 Control Panel'!H452)</f>
        <v>2.9520000000000004</v>
      </c>
      <c r="I55" s="376">
        <f>MIN('3.1 Market'!$F46,'1.1 Control Panel'!I$445*'1.1 Control Panel'!I452)</f>
        <v>3.3616000000000006</v>
      </c>
      <c r="J55" s="376">
        <f>MIN('3.1 Market'!$F46,'1.1 Control Panel'!J$445*'1.1 Control Panel'!J452)</f>
        <v>3.6892800000000006</v>
      </c>
      <c r="K55" s="376">
        <f>MIN('3.1 Market'!$F46,'1.1 Control Panel'!K$445*'1.1 Control Panel'!K452)</f>
        <v>3.9514240000000007</v>
      </c>
      <c r="L55" s="376">
        <f>MIN('3.1 Market'!$F46,'1.1 Control Panel'!L$445*'1.1 Control Panel'!L452)</f>
        <v>4.1611392000000009</v>
      </c>
      <c r="M55" s="376">
        <f>MIN('3.1 Market'!$F46,'1.1 Control Panel'!M$445*'1.1 Control Panel'!M452)</f>
        <v>4.3289113600000011</v>
      </c>
      <c r="N55" s="376">
        <f>MIN('3.1 Market'!$F46,'1.1 Control Panel'!N$445*'1.1 Control Panel'!N452)</f>
        <v>4.4631290880000005</v>
      </c>
      <c r="O55" s="376">
        <f>MIN('3.1 Market'!$F46,'1.1 Control Panel'!O$445*'1.1 Control Panel'!O452)</f>
        <v>4.5705032704000006</v>
      </c>
      <c r="P55" s="376">
        <f>MIN('3.1 Market'!$F46,'1.1 Control Panel'!P$445*'1.1 Control Panel'!P452)</f>
        <v>4.6564026163200012</v>
      </c>
      <c r="Q55" s="376">
        <f>MIN('3.1 Market'!$G46,'1.1 Control Panel'!Q$445*'1.1 Control Panel'!Q452)</f>
        <v>9.4502441861120019</v>
      </c>
      <c r="R55" s="376">
        <f>MIN('3.1 Market'!$G46,'1.1 Control Panel'!R$445*'1.1 Control Panel'!R452)</f>
        <v>9.5601953488896019</v>
      </c>
      <c r="S55" s="376">
        <f>MIN('3.1 Market'!$G46,'1.1 Control Panel'!S$445*'1.1 Control Panel'!S452)</f>
        <v>9.6481562791116815</v>
      </c>
      <c r="T55" s="376">
        <f>MIN('3.1 Market'!$G46,'1.1 Control Panel'!T$445*'1.1 Control Panel'!T452)</f>
        <v>9.7185250232893452</v>
      </c>
      <c r="U55" s="376">
        <f>MIN('3.1 Market'!$G46,'1.1 Control Panel'!U$445*'1.1 Control Panel'!U452)</f>
        <v>14.662230027947215</v>
      </c>
      <c r="V55" s="376">
        <f>MIN('3.1 Market'!$G46,'1.1 Control Panel'!V$445*'1.1 Control Panel'!V452)</f>
        <v>14.729784022357771</v>
      </c>
      <c r="W55" s="376">
        <f>MIN('3.1 Market'!$G46,'1.1 Control Panel'!W$445*'1.1 Control Panel'!W452)</f>
        <v>14.783827217886218</v>
      </c>
      <c r="X55" s="376">
        <f>MIN('3.1 Market'!$G46,'1.1 Control Panel'!X$445*'1.1 Control Panel'!X452)</f>
        <v>14.827061774308977</v>
      </c>
      <c r="Y55" s="376">
        <f>MIN('3.1 Market'!$G46,'1.1 Control Panel'!Y$445*'1.1 Control Panel'!Y452)</f>
        <v>14.861649419447183</v>
      </c>
      <c r="Z55" s="376">
        <f>MIN('3.1 Market'!$G46,'1.1 Control Panel'!Z$445*'1.1 Control Panel'!Z452)</f>
        <v>14.889319535557744</v>
      </c>
      <c r="AA55" s="376">
        <f>MIN('3.1 Market'!$G46,'1.1 Control Panel'!AA$445*'1.1 Control Panel'!AA452)</f>
        <v>14.911455628446197</v>
      </c>
      <c r="AB55" s="376">
        <f>MIN('3.1 Market'!$G46,'1.1 Control Panel'!AB$445*'1.1 Control Panel'!AB452)</f>
        <v>14.929164502756956</v>
      </c>
      <c r="AC55" s="376">
        <f>MIN('3.1 Market'!$H46,'1.1 Control Panel'!AC$445*'1.1 Control Panel'!AC452)</f>
        <v>24.905552670342608</v>
      </c>
      <c r="AD55" s="376">
        <f>MIN('3.1 Market'!$H46,'1.1 Control Panel'!AD$445*'1.1 Control Panel'!AD452)</f>
        <v>24.924442136274088</v>
      </c>
      <c r="AE55" s="376">
        <f>MIN('3.1 Market'!$H46,'1.1 Control Panel'!AE$445*'1.1 Control Panel'!AE452)</f>
        <v>24.939553709019275</v>
      </c>
      <c r="AF55" s="376">
        <f>MIN('3.1 Market'!$H46,'1.1 Control Panel'!AF$445*'1.1 Control Panel'!AF452)</f>
        <v>24.951642967215424</v>
      </c>
      <c r="AG55" s="376">
        <f>MIN('3.1 Market'!$H46,'1.1 Control Panel'!AG$445*'1.1 Control Panel'!AG452)</f>
        <v>34.945840123281279</v>
      </c>
      <c r="AH55" s="376">
        <f>MIN('3.1 Market'!$H46,'1.1 Control Panel'!AH$445*'1.1 Control Panel'!AH452)</f>
        <v>34.95667209862502</v>
      </c>
      <c r="AI55" s="376">
        <f>MIN('3.1 Market'!$H46,'1.1 Control Panel'!AI$445*'1.1 Control Panel'!AI452)</f>
        <v>34.965337678900021</v>
      </c>
      <c r="AJ55" s="376">
        <f>MIN('3.1 Market'!$H46,'1.1 Control Panel'!AJ$445*'1.1 Control Panel'!AJ452)</f>
        <v>34.972270143120021</v>
      </c>
      <c r="AK55" s="376">
        <f>MIN('3.1 Market'!$H46,'1.1 Control Panel'!AK$445*'1.1 Control Panel'!AK452)</f>
        <v>39.974646987995449</v>
      </c>
      <c r="AL55" s="376">
        <f>MIN('3.1 Market'!$H46,'1.1 Control Panel'!AL$445*'1.1 Control Panel'!AL452)</f>
        <v>39.979717590396362</v>
      </c>
      <c r="AM55" s="376">
        <f>MIN('3.1 Market'!$H46,'1.1 Control Panel'!AM$445*'1.1 Control Panel'!AM452)</f>
        <v>39.98377407231709</v>
      </c>
      <c r="AN55" s="376">
        <f>MIN('3.1 Market'!$H46,'1.1 Control Panel'!AN$445*'1.1 Control Panel'!AN452)</f>
        <v>39.987019257853675</v>
      </c>
      <c r="AP55" s="21"/>
    </row>
    <row r="56" spans="2:42" x14ac:dyDescent="0.25">
      <c r="C56" s="21" t="s">
        <v>456</v>
      </c>
      <c r="D56" s="38" t="s">
        <v>162</v>
      </c>
      <c r="E56" s="376">
        <f>MIN('3.1 Market'!$F47,'1.1 Control Panel'!E$445*'1.1 Control Panel'!E453)</f>
        <v>0</v>
      </c>
      <c r="F56" s="376">
        <f>MIN('3.1 Market'!$F47,'1.1 Control Panel'!F$445*'1.1 Control Panel'!F453)</f>
        <v>0</v>
      </c>
      <c r="G56" s="376">
        <f>MIN('3.1 Market'!$F47,'1.1 Control Panel'!G$445*'1.1 Control Panel'!G453)</f>
        <v>1.8</v>
      </c>
      <c r="H56" s="376">
        <f>MIN('3.1 Market'!$F47,'1.1 Control Panel'!H$445*'1.1 Control Panel'!H453)</f>
        <v>2.4400000000000004</v>
      </c>
      <c r="I56" s="376">
        <f>MIN('3.1 Market'!$F47,'1.1 Control Panel'!I$445*'1.1 Control Panel'!I453)</f>
        <v>2.9520000000000004</v>
      </c>
      <c r="J56" s="376">
        <f>MIN('3.1 Market'!$F47,'1.1 Control Panel'!J$445*'1.1 Control Panel'!J453)</f>
        <v>3.3616000000000006</v>
      </c>
      <c r="K56" s="376">
        <f>MIN('3.1 Market'!$F47,'1.1 Control Panel'!K$445*'1.1 Control Panel'!K453)</f>
        <v>3.6892800000000006</v>
      </c>
      <c r="L56" s="376">
        <f>MIN('3.1 Market'!$F47,'1.1 Control Panel'!L$445*'1.1 Control Panel'!L453)</f>
        <v>3.9514240000000007</v>
      </c>
      <c r="M56" s="376">
        <f>MIN('3.1 Market'!$F47,'1.1 Control Panel'!M$445*'1.1 Control Panel'!M453)</f>
        <v>4.1611392000000009</v>
      </c>
      <c r="N56" s="376">
        <f>MIN('3.1 Market'!$F47,'1.1 Control Panel'!N$445*'1.1 Control Panel'!N453)</f>
        <v>4.3289113600000011</v>
      </c>
      <c r="O56" s="376">
        <f>MIN('3.1 Market'!$F47,'1.1 Control Panel'!O$445*'1.1 Control Panel'!O453)</f>
        <v>4.4631290880000005</v>
      </c>
      <c r="P56" s="376">
        <f>MIN('3.1 Market'!$F47,'1.1 Control Panel'!P$445*'1.1 Control Panel'!P453)</f>
        <v>4.5705032704000006</v>
      </c>
      <c r="Q56" s="376">
        <f>MIN('3.1 Market'!$G47,'1.1 Control Panel'!Q$445*'1.1 Control Panel'!Q453)</f>
        <v>9.3128052326400024</v>
      </c>
      <c r="R56" s="376">
        <f>MIN('3.1 Market'!$G47,'1.1 Control Panel'!R$445*'1.1 Control Panel'!R453)</f>
        <v>9.4502441861120019</v>
      </c>
      <c r="S56" s="376">
        <f>MIN('3.1 Market'!$G47,'1.1 Control Panel'!S$445*'1.1 Control Panel'!S453)</f>
        <v>9.5601953488896019</v>
      </c>
      <c r="T56" s="376">
        <f>MIN('3.1 Market'!$G47,'1.1 Control Panel'!T$445*'1.1 Control Panel'!T453)</f>
        <v>9.6481562791116815</v>
      </c>
      <c r="U56" s="376">
        <f>MIN('3.1 Market'!$G47,'1.1 Control Panel'!U$445*'1.1 Control Panel'!U453)</f>
        <v>14.577787534934018</v>
      </c>
      <c r="V56" s="376">
        <f>MIN('3.1 Market'!$G47,'1.1 Control Panel'!V$445*'1.1 Control Panel'!V453)</f>
        <v>14.662230027947215</v>
      </c>
      <c r="W56" s="376">
        <f>MIN('3.1 Market'!$G47,'1.1 Control Panel'!W$445*'1.1 Control Panel'!W453)</f>
        <v>14.729784022357771</v>
      </c>
      <c r="X56" s="376">
        <f>MIN('3.1 Market'!$G47,'1.1 Control Panel'!X$445*'1.1 Control Panel'!X453)</f>
        <v>14.783827217886218</v>
      </c>
      <c r="Y56" s="376">
        <f>MIN('3.1 Market'!$G47,'1.1 Control Panel'!Y$445*'1.1 Control Panel'!Y453)</f>
        <v>14.827061774308977</v>
      </c>
      <c r="Z56" s="376">
        <f>MIN('3.1 Market'!$G47,'1.1 Control Panel'!Z$445*'1.1 Control Panel'!Z453)</f>
        <v>14.861649419447183</v>
      </c>
      <c r="AA56" s="376">
        <f>MIN('3.1 Market'!$G47,'1.1 Control Panel'!AA$445*'1.1 Control Panel'!AA453)</f>
        <v>14.889319535557744</v>
      </c>
      <c r="AB56" s="376">
        <f>MIN('3.1 Market'!$G47,'1.1 Control Panel'!AB$445*'1.1 Control Panel'!AB453)</f>
        <v>14.911455628446197</v>
      </c>
      <c r="AC56" s="376">
        <f>MIN('3.1 Market'!$H47,'1.1 Control Panel'!AC$445*'1.1 Control Panel'!AC453)</f>
        <v>24.881940837928262</v>
      </c>
      <c r="AD56" s="376">
        <f>MIN('3.1 Market'!$H47,'1.1 Control Panel'!AD$445*'1.1 Control Panel'!AD453)</f>
        <v>24.905552670342608</v>
      </c>
      <c r="AE56" s="376">
        <f>MIN('3.1 Market'!$H47,'1.1 Control Panel'!AE$445*'1.1 Control Panel'!AE453)</f>
        <v>24.924442136274088</v>
      </c>
      <c r="AF56" s="376">
        <f>MIN('3.1 Market'!$H47,'1.1 Control Panel'!AF$445*'1.1 Control Panel'!AF453)</f>
        <v>24.939553709019275</v>
      </c>
      <c r="AG56" s="376">
        <f>MIN('3.1 Market'!$H47,'1.1 Control Panel'!AG$445*'1.1 Control Panel'!AG453)</f>
        <v>34.932300154101597</v>
      </c>
      <c r="AH56" s="376">
        <f>MIN('3.1 Market'!$H47,'1.1 Control Panel'!AH$445*'1.1 Control Panel'!AH453)</f>
        <v>34.945840123281279</v>
      </c>
      <c r="AI56" s="376">
        <f>MIN('3.1 Market'!$H47,'1.1 Control Panel'!AI$445*'1.1 Control Panel'!AI453)</f>
        <v>34.95667209862502</v>
      </c>
      <c r="AJ56" s="376">
        <f>MIN('3.1 Market'!$H47,'1.1 Control Panel'!AJ$445*'1.1 Control Panel'!AJ453)</f>
        <v>34.965337678900021</v>
      </c>
      <c r="AK56" s="376">
        <f>MIN('3.1 Market'!$H47,'1.1 Control Panel'!AK$445*'1.1 Control Panel'!AK453)</f>
        <v>39.968308734994309</v>
      </c>
      <c r="AL56" s="376">
        <f>MIN('3.1 Market'!$H47,'1.1 Control Panel'!AL$445*'1.1 Control Panel'!AL453)</f>
        <v>39.974646987995449</v>
      </c>
      <c r="AM56" s="376">
        <f>MIN('3.1 Market'!$H47,'1.1 Control Panel'!AM$445*'1.1 Control Panel'!AM453)</f>
        <v>39.979717590396362</v>
      </c>
      <c r="AN56" s="376">
        <f>MIN('3.1 Market'!$H47,'1.1 Control Panel'!AN$445*'1.1 Control Panel'!AN453)</f>
        <v>39.98377407231709</v>
      </c>
      <c r="AP56" s="21"/>
    </row>
    <row r="57" spans="2:42" x14ac:dyDescent="0.25">
      <c r="B57" s="99" t="s">
        <v>9</v>
      </c>
      <c r="C57" s="105" t="str">
        <f>'4.2 Sector Mapping'!$B$10</f>
        <v>Industrials and Services</v>
      </c>
      <c r="D57" s="106" t="s">
        <v>162</v>
      </c>
      <c r="E57" s="380">
        <f>SUM(E58:E63)</f>
        <v>0</v>
      </c>
      <c r="F57" s="380">
        <f t="shared" ref="F57:H57" si="77">SUM(F58:F63)</f>
        <v>0</v>
      </c>
      <c r="G57" s="380">
        <f t="shared" si="77"/>
        <v>0</v>
      </c>
      <c r="H57" s="380">
        <f t="shared" si="77"/>
        <v>0</v>
      </c>
      <c r="I57" s="380">
        <f t="shared" ref="I57:AN57" si="78">SUM(I58:I63)</f>
        <v>0</v>
      </c>
      <c r="J57" s="380">
        <f t="shared" si="78"/>
        <v>0</v>
      </c>
      <c r="K57" s="380">
        <f t="shared" si="78"/>
        <v>0</v>
      </c>
      <c r="L57" s="380">
        <f t="shared" si="78"/>
        <v>0</v>
      </c>
      <c r="M57" s="380">
        <f t="shared" si="78"/>
        <v>0</v>
      </c>
      <c r="N57" s="380">
        <f t="shared" si="78"/>
        <v>0</v>
      </c>
      <c r="O57" s="380">
        <f t="shared" si="78"/>
        <v>0</v>
      </c>
      <c r="P57" s="380">
        <f t="shared" si="78"/>
        <v>0</v>
      </c>
      <c r="Q57" s="380">
        <f t="shared" si="78"/>
        <v>28.969207848960004</v>
      </c>
      <c r="R57" s="380">
        <f t="shared" si="78"/>
        <v>29.175366279168006</v>
      </c>
      <c r="S57" s="380">
        <f t="shared" si="78"/>
        <v>29.340293023334404</v>
      </c>
      <c r="T57" s="380">
        <f t="shared" si="78"/>
        <v>29.472234418667526</v>
      </c>
      <c r="U57" s="380">
        <f t="shared" si="78"/>
        <v>59.155575069868036</v>
      </c>
      <c r="V57" s="380">
        <f t="shared" si="78"/>
        <v>59.324460055894434</v>
      </c>
      <c r="W57" s="380">
        <f t="shared" si="78"/>
        <v>59.459568044715553</v>
      </c>
      <c r="X57" s="380">
        <f t="shared" si="78"/>
        <v>59.56765443577244</v>
      </c>
      <c r="Y57" s="380">
        <f t="shared" si="78"/>
        <v>59.654123548617953</v>
      </c>
      <c r="Z57" s="380">
        <f t="shared" si="78"/>
        <v>59.723298838894358</v>
      </c>
      <c r="AA57" s="380">
        <f t="shared" si="78"/>
        <v>59.778639071115492</v>
      </c>
      <c r="AB57" s="380">
        <f t="shared" si="78"/>
        <v>59.822911256892397</v>
      </c>
      <c r="AC57" s="380">
        <f t="shared" si="78"/>
        <v>179.57498701654177</v>
      </c>
      <c r="AD57" s="380">
        <f t="shared" si="78"/>
        <v>179.65998961323342</v>
      </c>
      <c r="AE57" s="380">
        <f t="shared" si="78"/>
        <v>179.72799169058672</v>
      </c>
      <c r="AF57" s="380">
        <f t="shared" si="78"/>
        <v>179.7823933524694</v>
      </c>
      <c r="AG57" s="380">
        <f t="shared" si="78"/>
        <v>299.70985780329255</v>
      </c>
      <c r="AH57" s="380">
        <f t="shared" si="78"/>
        <v>299.76788624263406</v>
      </c>
      <c r="AI57" s="380">
        <f t="shared" si="78"/>
        <v>299.81430899410725</v>
      </c>
      <c r="AJ57" s="380">
        <f t="shared" si="78"/>
        <v>299.8514471952858</v>
      </c>
      <c r="AK57" s="380">
        <f t="shared" si="78"/>
        <v>389.84550508309724</v>
      </c>
      <c r="AL57" s="380">
        <f t="shared" si="78"/>
        <v>389.87640406647779</v>
      </c>
      <c r="AM57" s="380">
        <f t="shared" si="78"/>
        <v>389.90112325318228</v>
      </c>
      <c r="AN57" s="380">
        <f t="shared" si="78"/>
        <v>389.92089860254583</v>
      </c>
      <c r="AP57" s="105"/>
    </row>
    <row r="58" spans="2:42" x14ac:dyDescent="0.25">
      <c r="C58" s="20" t="s">
        <v>600</v>
      </c>
      <c r="D58" s="34" t="s">
        <v>162</v>
      </c>
      <c r="E58" s="28">
        <f>MIN('3.1 Market'!$F49,'1.1 Control Panel'!E$476*'1.1 Control Panel'!E479)</f>
        <v>0</v>
      </c>
      <c r="F58" s="28">
        <f>MIN('3.1 Market'!$F49,'1.1 Control Panel'!F$476*'1.1 Control Panel'!F479)</f>
        <v>0</v>
      </c>
      <c r="G58" s="28">
        <f>MIN('3.1 Market'!$F49,'1.1 Control Panel'!G$476*'1.1 Control Panel'!G479)</f>
        <v>0</v>
      </c>
      <c r="H58" s="28">
        <f>MIN('3.1 Market'!$F49,'1.1 Control Panel'!H$476*'1.1 Control Panel'!H479)</f>
        <v>0</v>
      </c>
      <c r="I58" s="28">
        <f>MIN('3.1 Market'!$F49,'1.1 Control Panel'!I$476*'1.1 Control Panel'!I479)</f>
        <v>0</v>
      </c>
      <c r="J58" s="28">
        <f>MIN('3.1 Market'!$F49,'1.1 Control Panel'!J$476*'1.1 Control Panel'!J479)</f>
        <v>0</v>
      </c>
      <c r="K58" s="28">
        <f>MIN('3.1 Market'!$F49,'1.1 Control Panel'!K$476*'1.1 Control Panel'!K479)</f>
        <v>0</v>
      </c>
      <c r="L58" s="28">
        <f>MIN('3.1 Market'!$F49,'1.1 Control Panel'!L$476*'1.1 Control Panel'!L479)</f>
        <v>0</v>
      </c>
      <c r="M58" s="28">
        <f>MIN('3.1 Market'!$F49,'1.1 Control Panel'!M$476*'1.1 Control Panel'!M479)</f>
        <v>0</v>
      </c>
      <c r="N58" s="28">
        <f>MIN('3.1 Market'!$F49,'1.1 Control Panel'!N$476*'1.1 Control Panel'!N479)</f>
        <v>0</v>
      </c>
      <c r="O58" s="28">
        <f>MIN('3.1 Market'!$F49,'1.1 Control Panel'!O$476*'1.1 Control Panel'!O479)</f>
        <v>0</v>
      </c>
      <c r="P58" s="28">
        <f>MIN('3.1 Market'!$F49,'1.1 Control Panel'!P$476*'1.1 Control Panel'!P479)</f>
        <v>0</v>
      </c>
      <c r="Q58" s="28">
        <f>MIN('3.1 Market'!$G49,'1.1 Control Panel'!Q$476*'1.1 Control Panel'!Q479)</f>
        <v>5</v>
      </c>
      <c r="R58" s="28">
        <f>MIN('3.1 Market'!$G49,'1.1 Control Panel'!R$476*'1.1 Control Panel'!R479)</f>
        <v>5</v>
      </c>
      <c r="S58" s="28">
        <f>MIN('3.1 Market'!$G49,'1.1 Control Panel'!S$476*'1.1 Control Panel'!S479)</f>
        <v>5</v>
      </c>
      <c r="T58" s="28">
        <f>MIN('3.1 Market'!$G49,'1.1 Control Panel'!T$476*'1.1 Control Panel'!T479)</f>
        <v>5</v>
      </c>
      <c r="U58" s="28">
        <f>MIN('3.1 Market'!$G49,'1.1 Control Panel'!U$476*'1.1 Control Panel'!U479)</f>
        <v>10</v>
      </c>
      <c r="V58" s="28">
        <f>MIN('3.1 Market'!$G49,'1.1 Control Panel'!V$476*'1.1 Control Panel'!V479)</f>
        <v>10</v>
      </c>
      <c r="W58" s="28">
        <f>MIN('3.1 Market'!$G49,'1.1 Control Panel'!W$476*'1.1 Control Panel'!W479)</f>
        <v>10</v>
      </c>
      <c r="X58" s="28">
        <f>MIN('3.1 Market'!$G49,'1.1 Control Panel'!X$476*'1.1 Control Panel'!X479)</f>
        <v>10</v>
      </c>
      <c r="Y58" s="28">
        <f>MIN('3.1 Market'!$G49,'1.1 Control Panel'!Y$476*'1.1 Control Panel'!Y479)</f>
        <v>10</v>
      </c>
      <c r="Z58" s="28">
        <f>MIN('3.1 Market'!$G49,'1.1 Control Panel'!Z$476*'1.1 Control Panel'!Z479)</f>
        <v>10</v>
      </c>
      <c r="AA58" s="28">
        <f>MIN('3.1 Market'!$G49,'1.1 Control Panel'!AA$476*'1.1 Control Panel'!AA479)</f>
        <v>10</v>
      </c>
      <c r="AB58" s="28">
        <f>MIN('3.1 Market'!$G49,'1.1 Control Panel'!AB$476*'1.1 Control Panel'!AB479)</f>
        <v>10</v>
      </c>
      <c r="AC58" s="28">
        <f>MIN('3.1 Market'!$H49,'1.1 Control Panel'!AC$476*'1.1 Control Panel'!AC479)</f>
        <v>30</v>
      </c>
      <c r="AD58" s="28">
        <f>MIN('3.1 Market'!$H49,'1.1 Control Panel'!AD$476*'1.1 Control Panel'!AD479)</f>
        <v>30</v>
      </c>
      <c r="AE58" s="28">
        <f>MIN('3.1 Market'!$H49,'1.1 Control Panel'!AE$476*'1.1 Control Panel'!AE479)</f>
        <v>30</v>
      </c>
      <c r="AF58" s="28">
        <f>MIN('3.1 Market'!$H49,'1.1 Control Panel'!AF$476*'1.1 Control Panel'!AF479)</f>
        <v>30</v>
      </c>
      <c r="AG58" s="28">
        <f>MIN('3.1 Market'!$H49,'1.1 Control Panel'!AG$476*'1.1 Control Panel'!AG479)</f>
        <v>50</v>
      </c>
      <c r="AH58" s="28">
        <f>MIN('3.1 Market'!$H49,'1.1 Control Panel'!AH$476*'1.1 Control Panel'!AH479)</f>
        <v>50</v>
      </c>
      <c r="AI58" s="28">
        <f>MIN('3.1 Market'!$H49,'1.1 Control Panel'!AI$476*'1.1 Control Panel'!AI479)</f>
        <v>50</v>
      </c>
      <c r="AJ58" s="28">
        <f>MIN('3.1 Market'!$H49,'1.1 Control Panel'!AJ$476*'1.1 Control Panel'!AJ479)</f>
        <v>50</v>
      </c>
      <c r="AK58" s="28">
        <f>MIN('3.1 Market'!$H49,'1.1 Control Panel'!AK$476*'1.1 Control Panel'!AK479)</f>
        <v>65</v>
      </c>
      <c r="AL58" s="28">
        <f>MIN('3.1 Market'!$H49,'1.1 Control Panel'!AL$476*'1.1 Control Panel'!AL479)</f>
        <v>65</v>
      </c>
      <c r="AM58" s="28">
        <f>MIN('3.1 Market'!$H49,'1.1 Control Panel'!AM$476*'1.1 Control Panel'!AM479)</f>
        <v>65</v>
      </c>
      <c r="AN58" s="28">
        <f>MIN('3.1 Market'!$H49,'1.1 Control Panel'!AN$476*'1.1 Control Panel'!AN479)</f>
        <v>65</v>
      </c>
      <c r="AP58" s="20"/>
    </row>
    <row r="59" spans="2:42" x14ac:dyDescent="0.25">
      <c r="C59" s="20" t="s">
        <v>392</v>
      </c>
      <c r="D59" s="34" t="s">
        <v>162</v>
      </c>
      <c r="E59" s="28">
        <f>MIN('3.1 Market'!$F50,'1.1 Control Panel'!E$476*'1.1 Control Panel'!E480)</f>
        <v>0</v>
      </c>
      <c r="F59" s="28">
        <f>MIN('3.1 Market'!$F50,'1.1 Control Panel'!F$476*'1.1 Control Panel'!F480)</f>
        <v>0</v>
      </c>
      <c r="G59" s="28">
        <f>MIN('3.1 Market'!$F50,'1.1 Control Panel'!G$476*'1.1 Control Panel'!G480)</f>
        <v>0</v>
      </c>
      <c r="H59" s="28">
        <f>MIN('3.1 Market'!$F50,'1.1 Control Panel'!H$476*'1.1 Control Panel'!H480)</f>
        <v>0</v>
      </c>
      <c r="I59" s="28">
        <f>MIN('3.1 Market'!$F50,'1.1 Control Panel'!I$476*'1.1 Control Panel'!I480)</f>
        <v>0</v>
      </c>
      <c r="J59" s="28">
        <f>MIN('3.1 Market'!$F50,'1.1 Control Panel'!J$476*'1.1 Control Panel'!J480)</f>
        <v>0</v>
      </c>
      <c r="K59" s="28">
        <f>MIN('3.1 Market'!$F50,'1.1 Control Panel'!K$476*'1.1 Control Panel'!K480)</f>
        <v>0</v>
      </c>
      <c r="L59" s="28">
        <f>MIN('3.1 Market'!$F50,'1.1 Control Panel'!L$476*'1.1 Control Panel'!L480)</f>
        <v>0</v>
      </c>
      <c r="M59" s="28">
        <f>MIN('3.1 Market'!$F50,'1.1 Control Panel'!M$476*'1.1 Control Panel'!M480)</f>
        <v>0</v>
      </c>
      <c r="N59" s="28">
        <f>MIN('3.1 Market'!$F50,'1.1 Control Panel'!N$476*'1.1 Control Panel'!N480)</f>
        <v>0</v>
      </c>
      <c r="O59" s="28">
        <f>MIN('3.1 Market'!$F50,'1.1 Control Panel'!O$476*'1.1 Control Panel'!O480)</f>
        <v>0</v>
      </c>
      <c r="P59" s="28">
        <f>MIN('3.1 Market'!$F50,'1.1 Control Panel'!P$476*'1.1 Control Panel'!P480)</f>
        <v>0</v>
      </c>
      <c r="Q59" s="28">
        <f>MIN('3.1 Market'!$G50,'1.1 Control Panel'!Q$476*'1.1 Control Panel'!Q480)</f>
        <v>4.9312805232640002</v>
      </c>
      <c r="R59" s="28">
        <f>MIN('3.1 Market'!$G50,'1.1 Control Panel'!R$476*'1.1 Control Panel'!R480)</f>
        <v>4.9450244186112009</v>
      </c>
      <c r="S59" s="28">
        <f>MIN('3.1 Market'!$G50,'1.1 Control Panel'!S$476*'1.1 Control Panel'!S480)</f>
        <v>4.9560195348889611</v>
      </c>
      <c r="T59" s="28">
        <f>MIN('3.1 Market'!$G50,'1.1 Control Panel'!T$476*'1.1 Control Panel'!T480)</f>
        <v>4.964815627911169</v>
      </c>
      <c r="U59" s="28">
        <f>MIN('3.1 Market'!$G50,'1.1 Control Panel'!U$476*'1.1 Control Panel'!U480)</f>
        <v>9.9437050046578719</v>
      </c>
      <c r="V59" s="28">
        <f>MIN('3.1 Market'!$G50,'1.1 Control Panel'!V$476*'1.1 Control Panel'!V480)</f>
        <v>9.9549640037262979</v>
      </c>
      <c r="W59" s="28">
        <f>MIN('3.1 Market'!$G50,'1.1 Control Panel'!W$476*'1.1 Control Panel'!W480)</f>
        <v>9.963971202981039</v>
      </c>
      <c r="X59" s="28">
        <f>MIN('3.1 Market'!$G50,'1.1 Control Panel'!X$476*'1.1 Control Panel'!X480)</f>
        <v>9.9711769623848312</v>
      </c>
      <c r="Y59" s="28">
        <f>MIN('3.1 Market'!$G50,'1.1 Control Panel'!Y$476*'1.1 Control Panel'!Y480)</f>
        <v>9.976941569907865</v>
      </c>
      <c r="Z59" s="28">
        <f>MIN('3.1 Market'!$G50,'1.1 Control Panel'!Z$476*'1.1 Control Panel'!Z480)</f>
        <v>9.9815532559262934</v>
      </c>
      <c r="AA59" s="28">
        <f>MIN('3.1 Market'!$G50,'1.1 Control Panel'!AA$476*'1.1 Control Panel'!AA480)</f>
        <v>9.9852426047410354</v>
      </c>
      <c r="AB59" s="28">
        <f>MIN('3.1 Market'!$G50,'1.1 Control Panel'!AB$476*'1.1 Control Panel'!AB480)</f>
        <v>9.9881940837928287</v>
      </c>
      <c r="AC59" s="28">
        <f>MIN('3.1 Market'!$H50,'1.1 Control Panel'!AC$476*'1.1 Control Panel'!AC480)</f>
        <v>29.971665801102791</v>
      </c>
      <c r="AD59" s="28">
        <f>MIN('3.1 Market'!$H50,'1.1 Control Panel'!AD$476*'1.1 Control Panel'!AD480)</f>
        <v>29.977332640882235</v>
      </c>
      <c r="AE59" s="28">
        <f>MIN('3.1 Market'!$H50,'1.1 Control Panel'!AE$476*'1.1 Control Panel'!AE480)</f>
        <v>29.981866112705788</v>
      </c>
      <c r="AF59" s="28">
        <f>MIN('3.1 Market'!$H50,'1.1 Control Panel'!AF$476*'1.1 Control Panel'!AF480)</f>
        <v>29.985492890164632</v>
      </c>
      <c r="AG59" s="28">
        <f>MIN('3.1 Market'!$H50,'1.1 Control Panel'!AG$476*'1.1 Control Panel'!AG480)</f>
        <v>49.980657186886184</v>
      </c>
      <c r="AH59" s="28">
        <f>MIN('3.1 Market'!$H50,'1.1 Control Panel'!AH$476*'1.1 Control Panel'!AH480)</f>
        <v>49.984525749508947</v>
      </c>
      <c r="AI59" s="28">
        <f>MIN('3.1 Market'!$H50,'1.1 Control Panel'!AI$476*'1.1 Control Panel'!AI480)</f>
        <v>49.987620599607155</v>
      </c>
      <c r="AJ59" s="28">
        <f>MIN('3.1 Market'!$H50,'1.1 Control Panel'!AJ$476*'1.1 Control Panel'!AJ480)</f>
        <v>49.990096479685718</v>
      </c>
      <c r="AK59" s="28">
        <f>MIN('3.1 Market'!$H50,'1.1 Control Panel'!AK$476*'1.1 Control Panel'!AK480)</f>
        <v>64.989700338873163</v>
      </c>
      <c r="AL59" s="28">
        <f>MIN('3.1 Market'!$H50,'1.1 Control Panel'!AL$476*'1.1 Control Panel'!AL480)</f>
        <v>64.991760271098528</v>
      </c>
      <c r="AM59" s="28">
        <f>MIN('3.1 Market'!$H50,'1.1 Control Panel'!AM$476*'1.1 Control Panel'!AM480)</f>
        <v>64.993408216878819</v>
      </c>
      <c r="AN59" s="28">
        <f>MIN('3.1 Market'!$H50,'1.1 Control Panel'!AN$476*'1.1 Control Panel'!AN480)</f>
        <v>64.994726573503044</v>
      </c>
      <c r="AP59" s="20"/>
    </row>
    <row r="60" spans="2:42" x14ac:dyDescent="0.25">
      <c r="C60" s="20" t="s">
        <v>454</v>
      </c>
      <c r="D60" s="34" t="s">
        <v>162</v>
      </c>
      <c r="E60" s="28">
        <f>MIN('3.1 Market'!$F51,'1.1 Control Panel'!E$476*'1.1 Control Panel'!E481)</f>
        <v>0</v>
      </c>
      <c r="F60" s="28">
        <f>MIN('3.1 Market'!$F51,'1.1 Control Panel'!F$476*'1.1 Control Panel'!F481)</f>
        <v>0</v>
      </c>
      <c r="G60" s="28">
        <f>MIN('3.1 Market'!$F51,'1.1 Control Panel'!G$476*'1.1 Control Panel'!G481)</f>
        <v>0</v>
      </c>
      <c r="H60" s="28">
        <f>MIN('3.1 Market'!$F51,'1.1 Control Panel'!H$476*'1.1 Control Panel'!H481)</f>
        <v>0</v>
      </c>
      <c r="I60" s="28">
        <f>MIN('3.1 Market'!$F51,'1.1 Control Panel'!I$476*'1.1 Control Panel'!I481)</f>
        <v>0</v>
      </c>
      <c r="J60" s="28">
        <f>MIN('3.1 Market'!$F51,'1.1 Control Panel'!J$476*'1.1 Control Panel'!J481)</f>
        <v>0</v>
      </c>
      <c r="K60" s="28">
        <f>MIN('3.1 Market'!$F51,'1.1 Control Panel'!K$476*'1.1 Control Panel'!K481)</f>
        <v>0</v>
      </c>
      <c r="L60" s="28">
        <f>MIN('3.1 Market'!$F51,'1.1 Control Panel'!L$476*'1.1 Control Panel'!L481)</f>
        <v>0</v>
      </c>
      <c r="M60" s="28">
        <f>MIN('3.1 Market'!$F51,'1.1 Control Panel'!M$476*'1.1 Control Panel'!M481)</f>
        <v>0</v>
      </c>
      <c r="N60" s="28">
        <f>MIN('3.1 Market'!$F51,'1.1 Control Panel'!N$476*'1.1 Control Panel'!N481)</f>
        <v>0</v>
      </c>
      <c r="O60" s="28">
        <f>MIN('3.1 Market'!$F51,'1.1 Control Panel'!O$476*'1.1 Control Panel'!O481)</f>
        <v>0</v>
      </c>
      <c r="P60" s="28">
        <f>MIN('3.1 Market'!$F51,'1.1 Control Panel'!P$476*'1.1 Control Panel'!P481)</f>
        <v>0</v>
      </c>
      <c r="Q60" s="28">
        <f>MIN('3.1 Market'!$G51,'1.1 Control Panel'!Q$476*'1.1 Control Panel'!Q481)</f>
        <v>4.8625610465280014</v>
      </c>
      <c r="R60" s="28">
        <f>MIN('3.1 Market'!$G51,'1.1 Control Panel'!R$476*'1.1 Control Panel'!R481)</f>
        <v>4.8900488372224018</v>
      </c>
      <c r="S60" s="28">
        <f>MIN('3.1 Market'!$G51,'1.1 Control Panel'!S$476*'1.1 Control Panel'!S481)</f>
        <v>4.9120390697779222</v>
      </c>
      <c r="T60" s="28">
        <f>MIN('3.1 Market'!$G51,'1.1 Control Panel'!T$476*'1.1 Control Panel'!T481)</f>
        <v>4.9296312558223381</v>
      </c>
      <c r="U60" s="28">
        <f>MIN('3.1 Market'!$G51,'1.1 Control Panel'!U$476*'1.1 Control Panel'!U481)</f>
        <v>9.8874100093157402</v>
      </c>
      <c r="V60" s="28">
        <f>MIN('3.1 Market'!$G51,'1.1 Control Panel'!V$476*'1.1 Control Panel'!V481)</f>
        <v>9.9099280074525922</v>
      </c>
      <c r="W60" s="28">
        <f>MIN('3.1 Market'!$G51,'1.1 Control Panel'!W$476*'1.1 Control Panel'!W481)</f>
        <v>9.9279424059620744</v>
      </c>
      <c r="X60" s="28">
        <f>MIN('3.1 Market'!$G51,'1.1 Control Panel'!X$476*'1.1 Control Panel'!X481)</f>
        <v>9.9423539247696588</v>
      </c>
      <c r="Y60" s="28">
        <f>MIN('3.1 Market'!$G51,'1.1 Control Panel'!Y$476*'1.1 Control Panel'!Y481)</f>
        <v>9.9538831398157264</v>
      </c>
      <c r="Z60" s="28">
        <f>MIN('3.1 Market'!$G51,'1.1 Control Panel'!Z$476*'1.1 Control Panel'!Z481)</f>
        <v>9.9631065118525814</v>
      </c>
      <c r="AA60" s="28">
        <f>MIN('3.1 Market'!$G51,'1.1 Control Panel'!AA$476*'1.1 Control Panel'!AA481)</f>
        <v>9.9704852094820655</v>
      </c>
      <c r="AB60" s="28">
        <f>MIN('3.1 Market'!$G51,'1.1 Control Panel'!AB$476*'1.1 Control Panel'!AB481)</f>
        <v>9.9763881675856538</v>
      </c>
      <c r="AC60" s="28">
        <f>MIN('3.1 Market'!$H51,'1.1 Control Panel'!AC$476*'1.1 Control Panel'!AC481)</f>
        <v>29.943331602205571</v>
      </c>
      <c r="AD60" s="28">
        <f>MIN('3.1 Market'!$H51,'1.1 Control Panel'!AD$476*'1.1 Control Panel'!AD481)</f>
        <v>29.954665281764459</v>
      </c>
      <c r="AE60" s="28">
        <f>MIN('3.1 Market'!$H51,'1.1 Control Panel'!AE$476*'1.1 Control Panel'!AE481)</f>
        <v>29.963732225411565</v>
      </c>
      <c r="AF60" s="28">
        <f>MIN('3.1 Market'!$H51,'1.1 Control Panel'!AF$476*'1.1 Control Panel'!AF481)</f>
        <v>29.970985780329254</v>
      </c>
      <c r="AG60" s="28">
        <f>MIN('3.1 Market'!$H51,'1.1 Control Panel'!AG$476*'1.1 Control Panel'!AG481)</f>
        <v>49.961314373772339</v>
      </c>
      <c r="AH60" s="28">
        <f>MIN('3.1 Market'!$H51,'1.1 Control Panel'!AH$476*'1.1 Control Panel'!AH481)</f>
        <v>49.969051499017866</v>
      </c>
      <c r="AI60" s="28">
        <f>MIN('3.1 Market'!$H51,'1.1 Control Panel'!AI$476*'1.1 Control Panel'!AI481)</f>
        <v>49.975241199214295</v>
      </c>
      <c r="AJ60" s="28">
        <f>MIN('3.1 Market'!$H51,'1.1 Control Panel'!AJ$476*'1.1 Control Panel'!AJ481)</f>
        <v>49.980192959371443</v>
      </c>
      <c r="AK60" s="28">
        <f>MIN('3.1 Market'!$H51,'1.1 Control Panel'!AK$476*'1.1 Control Panel'!AK481)</f>
        <v>64.979400677746298</v>
      </c>
      <c r="AL60" s="28">
        <f>MIN('3.1 Market'!$H51,'1.1 Control Panel'!AL$476*'1.1 Control Panel'!AL481)</f>
        <v>64.983520542197027</v>
      </c>
      <c r="AM60" s="28">
        <f>MIN('3.1 Market'!$H51,'1.1 Control Panel'!AM$476*'1.1 Control Panel'!AM481)</f>
        <v>64.986816433757639</v>
      </c>
      <c r="AN60" s="28">
        <f>MIN('3.1 Market'!$H51,'1.1 Control Panel'!AN$476*'1.1 Control Panel'!AN481)</f>
        <v>64.989453147006117</v>
      </c>
      <c r="AP60" s="20"/>
    </row>
    <row r="61" spans="2:42" x14ac:dyDescent="0.25">
      <c r="C61" s="21" t="s">
        <v>455</v>
      </c>
      <c r="D61" s="38" t="s">
        <v>162</v>
      </c>
      <c r="E61" s="376">
        <f>MIN('3.1 Market'!$F52,'1.1 Control Panel'!E$476*'1.1 Control Panel'!E482)</f>
        <v>0</v>
      </c>
      <c r="F61" s="376">
        <f>MIN('3.1 Market'!$F52,'1.1 Control Panel'!F$476*'1.1 Control Panel'!F482)</f>
        <v>0</v>
      </c>
      <c r="G61" s="376">
        <f>MIN('3.1 Market'!$F52,'1.1 Control Panel'!G$476*'1.1 Control Panel'!G482)</f>
        <v>0</v>
      </c>
      <c r="H61" s="376">
        <f>MIN('3.1 Market'!$F52,'1.1 Control Panel'!H$476*'1.1 Control Panel'!H482)</f>
        <v>0</v>
      </c>
      <c r="I61" s="376">
        <f>MIN('3.1 Market'!$F52,'1.1 Control Panel'!I$476*'1.1 Control Panel'!I482)</f>
        <v>0</v>
      </c>
      <c r="J61" s="376">
        <f>MIN('3.1 Market'!$F52,'1.1 Control Panel'!J$476*'1.1 Control Panel'!J482)</f>
        <v>0</v>
      </c>
      <c r="K61" s="376">
        <f>MIN('3.1 Market'!$F52,'1.1 Control Panel'!K$476*'1.1 Control Panel'!K482)</f>
        <v>0</v>
      </c>
      <c r="L61" s="376">
        <f>MIN('3.1 Market'!$F52,'1.1 Control Panel'!L$476*'1.1 Control Panel'!L482)</f>
        <v>0</v>
      </c>
      <c r="M61" s="376">
        <f>MIN('3.1 Market'!$F52,'1.1 Control Panel'!M$476*'1.1 Control Panel'!M482)</f>
        <v>0</v>
      </c>
      <c r="N61" s="376">
        <f>MIN('3.1 Market'!$F52,'1.1 Control Panel'!N$476*'1.1 Control Panel'!N482)</f>
        <v>0</v>
      </c>
      <c r="O61" s="376">
        <f>MIN('3.1 Market'!$F52,'1.1 Control Panel'!O$476*'1.1 Control Panel'!O482)</f>
        <v>0</v>
      </c>
      <c r="P61" s="376">
        <f>MIN('3.1 Market'!$F52,'1.1 Control Panel'!P$476*'1.1 Control Panel'!P482)</f>
        <v>0</v>
      </c>
      <c r="Q61" s="28">
        <f>MIN('3.1 Market'!$G52,'1.1 Control Panel'!Q$476*'1.1 Control Panel'!Q482)</f>
        <v>4.7938415697920007</v>
      </c>
      <c r="R61" s="28">
        <f>MIN('3.1 Market'!$G52,'1.1 Control Panel'!R$476*'1.1 Control Panel'!R482)</f>
        <v>4.8350732558336009</v>
      </c>
      <c r="S61" s="28">
        <f>MIN('3.1 Market'!$G52,'1.1 Control Panel'!S$476*'1.1 Control Panel'!S482)</f>
        <v>4.8680586046668815</v>
      </c>
      <c r="T61" s="28">
        <f>MIN('3.1 Market'!$G52,'1.1 Control Panel'!T$476*'1.1 Control Panel'!T482)</f>
        <v>4.8944468837335053</v>
      </c>
      <c r="U61" s="28">
        <f>MIN('3.1 Market'!$G52,'1.1 Control Panel'!U$476*'1.1 Control Panel'!U482)</f>
        <v>9.8311150139736085</v>
      </c>
      <c r="V61" s="28">
        <f>MIN('3.1 Market'!$G52,'1.1 Control Panel'!V$476*'1.1 Control Panel'!V482)</f>
        <v>9.8648920111788883</v>
      </c>
      <c r="W61" s="28">
        <f>MIN('3.1 Market'!$G52,'1.1 Control Panel'!W$476*'1.1 Control Panel'!W482)</f>
        <v>9.8919136089431099</v>
      </c>
      <c r="X61" s="28">
        <f>MIN('3.1 Market'!$G52,'1.1 Control Panel'!X$476*'1.1 Control Panel'!X482)</f>
        <v>9.9135308871544883</v>
      </c>
      <c r="Y61" s="28">
        <f>MIN('3.1 Market'!$G52,'1.1 Control Panel'!Y$476*'1.1 Control Panel'!Y482)</f>
        <v>9.9308247097235913</v>
      </c>
      <c r="Z61" s="28">
        <f>MIN('3.1 Market'!$G52,'1.1 Control Panel'!Z$476*'1.1 Control Panel'!Z482)</f>
        <v>9.9446597677788731</v>
      </c>
      <c r="AA61" s="28">
        <f>MIN('3.1 Market'!$G52,'1.1 Control Panel'!AA$476*'1.1 Control Panel'!AA482)</f>
        <v>9.9557278142230992</v>
      </c>
      <c r="AB61" s="28">
        <f>MIN('3.1 Market'!$G52,'1.1 Control Panel'!AB$476*'1.1 Control Panel'!AB482)</f>
        <v>9.9645822513784807</v>
      </c>
      <c r="AC61" s="28">
        <f>MIN('3.1 Market'!$H52,'1.1 Control Panel'!AC$476*'1.1 Control Panel'!AC482)</f>
        <v>29.914997403308352</v>
      </c>
      <c r="AD61" s="28">
        <f>MIN('3.1 Market'!$H52,'1.1 Control Panel'!AD$476*'1.1 Control Panel'!AD482)</f>
        <v>29.931997922646683</v>
      </c>
      <c r="AE61" s="28">
        <f>MIN('3.1 Market'!$H52,'1.1 Control Panel'!AE$476*'1.1 Control Panel'!AE482)</f>
        <v>29.94559833811735</v>
      </c>
      <c r="AF61" s="28">
        <f>MIN('3.1 Market'!$H52,'1.1 Control Panel'!AF$476*'1.1 Control Panel'!AF482)</f>
        <v>29.956478670493876</v>
      </c>
      <c r="AG61" s="28">
        <f>MIN('3.1 Market'!$H52,'1.1 Control Panel'!AG$476*'1.1 Control Panel'!AG482)</f>
        <v>49.941971560658502</v>
      </c>
      <c r="AH61" s="28">
        <f>MIN('3.1 Market'!$H52,'1.1 Control Panel'!AH$476*'1.1 Control Panel'!AH482)</f>
        <v>49.953577248526798</v>
      </c>
      <c r="AI61" s="28">
        <f>MIN('3.1 Market'!$H52,'1.1 Control Panel'!AI$476*'1.1 Control Panel'!AI482)</f>
        <v>49.962861798821443</v>
      </c>
      <c r="AJ61" s="28">
        <f>MIN('3.1 Market'!$H52,'1.1 Control Panel'!AJ$476*'1.1 Control Panel'!AJ482)</f>
        <v>49.970289439057154</v>
      </c>
      <c r="AK61" s="28">
        <f>MIN('3.1 Market'!$H52,'1.1 Control Panel'!AK$476*'1.1 Control Panel'!AK482)</f>
        <v>64.969101016619447</v>
      </c>
      <c r="AL61" s="28">
        <f>MIN('3.1 Market'!$H52,'1.1 Control Panel'!AL$476*'1.1 Control Panel'!AL482)</f>
        <v>64.975280813295555</v>
      </c>
      <c r="AM61" s="28">
        <f>MIN('3.1 Market'!$H52,'1.1 Control Panel'!AM$476*'1.1 Control Panel'!AM482)</f>
        <v>64.980224650636458</v>
      </c>
      <c r="AN61" s="28">
        <f>MIN('3.1 Market'!$H52,'1.1 Control Panel'!AN$476*'1.1 Control Panel'!AN482)</f>
        <v>64.984179720509175</v>
      </c>
      <c r="AP61" s="21"/>
    </row>
    <row r="62" spans="2:42" x14ac:dyDescent="0.25">
      <c r="C62" s="21" t="s">
        <v>393</v>
      </c>
      <c r="D62" s="38" t="s">
        <v>162</v>
      </c>
      <c r="E62" s="376">
        <f>MIN('3.1 Market'!$F53,'1.1 Control Panel'!E$476*'1.1 Control Panel'!E483)</f>
        <v>0</v>
      </c>
      <c r="F62" s="376">
        <f>MIN('3.1 Market'!$F53,'1.1 Control Panel'!F$476*'1.1 Control Panel'!F483)</f>
        <v>0</v>
      </c>
      <c r="G62" s="376">
        <f>MIN('3.1 Market'!$F53,'1.1 Control Panel'!G$476*'1.1 Control Panel'!G483)</f>
        <v>0</v>
      </c>
      <c r="H62" s="376">
        <f>MIN('3.1 Market'!$F53,'1.1 Control Panel'!H$476*'1.1 Control Panel'!H483)</f>
        <v>0</v>
      </c>
      <c r="I62" s="376">
        <f>MIN('3.1 Market'!$F53,'1.1 Control Panel'!I$476*'1.1 Control Panel'!I483)</f>
        <v>0</v>
      </c>
      <c r="J62" s="376">
        <f>MIN('3.1 Market'!$F53,'1.1 Control Panel'!J$476*'1.1 Control Panel'!J483)</f>
        <v>0</v>
      </c>
      <c r="K62" s="376">
        <f>MIN('3.1 Market'!$F53,'1.1 Control Panel'!K$476*'1.1 Control Panel'!K483)</f>
        <v>0</v>
      </c>
      <c r="L62" s="376">
        <f>MIN('3.1 Market'!$F53,'1.1 Control Panel'!L$476*'1.1 Control Panel'!L483)</f>
        <v>0</v>
      </c>
      <c r="M62" s="376">
        <f>MIN('3.1 Market'!$F53,'1.1 Control Panel'!M$476*'1.1 Control Panel'!M483)</f>
        <v>0</v>
      </c>
      <c r="N62" s="376">
        <f>MIN('3.1 Market'!$F53,'1.1 Control Panel'!N$476*'1.1 Control Panel'!N483)</f>
        <v>0</v>
      </c>
      <c r="O62" s="376">
        <f>MIN('3.1 Market'!$F53,'1.1 Control Panel'!O$476*'1.1 Control Panel'!O483)</f>
        <v>0</v>
      </c>
      <c r="P62" s="376">
        <f>MIN('3.1 Market'!$F53,'1.1 Control Panel'!P$476*'1.1 Control Panel'!P483)</f>
        <v>0</v>
      </c>
      <c r="Q62" s="28">
        <f>MIN('3.1 Market'!$G53,'1.1 Control Panel'!Q$476*'1.1 Control Panel'!Q483)</f>
        <v>4.7251220930560009</v>
      </c>
      <c r="R62" s="28">
        <f>MIN('3.1 Market'!$G53,'1.1 Control Panel'!R$476*'1.1 Control Panel'!R483)</f>
        <v>4.7800976744448009</v>
      </c>
      <c r="S62" s="28">
        <f>MIN('3.1 Market'!$G53,'1.1 Control Panel'!S$476*'1.1 Control Panel'!S483)</f>
        <v>4.8240781395558407</v>
      </c>
      <c r="T62" s="28">
        <f>MIN('3.1 Market'!$G53,'1.1 Control Panel'!T$476*'1.1 Control Panel'!T483)</f>
        <v>4.8592625116446726</v>
      </c>
      <c r="U62" s="28">
        <f>MIN('3.1 Market'!$G53,'1.1 Control Panel'!U$476*'1.1 Control Panel'!U483)</f>
        <v>9.7748200186314769</v>
      </c>
      <c r="V62" s="28">
        <f>MIN('3.1 Market'!$G53,'1.1 Control Panel'!V$476*'1.1 Control Panel'!V483)</f>
        <v>9.8198560149051808</v>
      </c>
      <c r="W62" s="28">
        <f>MIN('3.1 Market'!$G53,'1.1 Control Panel'!W$476*'1.1 Control Panel'!W483)</f>
        <v>9.8558848119241453</v>
      </c>
      <c r="X62" s="28">
        <f>MIN('3.1 Market'!$G53,'1.1 Control Panel'!X$476*'1.1 Control Panel'!X483)</f>
        <v>9.8847078495393177</v>
      </c>
      <c r="Y62" s="28">
        <f>MIN('3.1 Market'!$G53,'1.1 Control Panel'!Y$476*'1.1 Control Panel'!Y483)</f>
        <v>9.9077662796314545</v>
      </c>
      <c r="Z62" s="28">
        <f>MIN('3.1 Market'!$G53,'1.1 Control Panel'!Z$476*'1.1 Control Panel'!Z483)</f>
        <v>9.9262130237051629</v>
      </c>
      <c r="AA62" s="28">
        <f>MIN('3.1 Market'!$G53,'1.1 Control Panel'!AA$476*'1.1 Control Panel'!AA483)</f>
        <v>9.940970418964131</v>
      </c>
      <c r="AB62" s="28">
        <f>MIN('3.1 Market'!$G53,'1.1 Control Panel'!AB$476*'1.1 Control Panel'!AB483)</f>
        <v>9.9527763351713041</v>
      </c>
      <c r="AC62" s="28">
        <f>MIN('3.1 Market'!$H53,'1.1 Control Panel'!AC$476*'1.1 Control Panel'!AC483)</f>
        <v>29.886663204411132</v>
      </c>
      <c r="AD62" s="28">
        <f>MIN('3.1 Market'!$H53,'1.1 Control Panel'!AD$476*'1.1 Control Panel'!AD483)</f>
        <v>29.909330563528908</v>
      </c>
      <c r="AE62" s="28">
        <f>MIN('3.1 Market'!$H53,'1.1 Control Panel'!AE$476*'1.1 Control Panel'!AE483)</f>
        <v>29.92746445082313</v>
      </c>
      <c r="AF62" s="28">
        <f>MIN('3.1 Market'!$H53,'1.1 Control Panel'!AF$476*'1.1 Control Panel'!AF483)</f>
        <v>29.941971560658509</v>
      </c>
      <c r="AG62" s="28">
        <f>MIN('3.1 Market'!$H53,'1.1 Control Panel'!AG$476*'1.1 Control Panel'!AG483)</f>
        <v>49.922628747544678</v>
      </c>
      <c r="AH62" s="28">
        <f>MIN('3.1 Market'!$H53,'1.1 Control Panel'!AH$476*'1.1 Control Panel'!AH483)</f>
        <v>49.938102998035745</v>
      </c>
      <c r="AI62" s="28">
        <f>MIN('3.1 Market'!$H53,'1.1 Control Panel'!AI$476*'1.1 Control Panel'!AI483)</f>
        <v>49.950482398428598</v>
      </c>
      <c r="AJ62" s="28">
        <f>MIN('3.1 Market'!$H53,'1.1 Control Panel'!AJ$476*'1.1 Control Panel'!AJ483)</f>
        <v>49.960385918742887</v>
      </c>
      <c r="AK62" s="28">
        <f>MIN('3.1 Market'!$H53,'1.1 Control Panel'!AK$476*'1.1 Control Panel'!AK483)</f>
        <v>64.958801355492611</v>
      </c>
      <c r="AL62" s="28">
        <f>MIN('3.1 Market'!$H53,'1.1 Control Panel'!AL$476*'1.1 Control Panel'!AL483)</f>
        <v>64.967041084394083</v>
      </c>
      <c r="AM62" s="28">
        <f>MIN('3.1 Market'!$H53,'1.1 Control Panel'!AM$476*'1.1 Control Panel'!AM483)</f>
        <v>64.973632867515278</v>
      </c>
      <c r="AN62" s="28">
        <f>MIN('3.1 Market'!$H53,'1.1 Control Panel'!AN$476*'1.1 Control Panel'!AN483)</f>
        <v>64.978906294012219</v>
      </c>
      <c r="AP62" s="21"/>
    </row>
    <row r="63" spans="2:42" x14ac:dyDescent="0.25">
      <c r="C63" s="21" t="s">
        <v>456</v>
      </c>
      <c r="D63" s="38" t="s">
        <v>162</v>
      </c>
      <c r="E63" s="376">
        <f>MIN('3.1 Market'!$F54,'1.1 Control Panel'!E$476*'1.1 Control Panel'!E484)</f>
        <v>0</v>
      </c>
      <c r="F63" s="376">
        <f>MIN('3.1 Market'!$F54,'1.1 Control Panel'!F$476*'1.1 Control Panel'!F484)</f>
        <v>0</v>
      </c>
      <c r="G63" s="376">
        <f>MIN('3.1 Market'!$F54,'1.1 Control Panel'!G$476*'1.1 Control Panel'!G484)</f>
        <v>0</v>
      </c>
      <c r="H63" s="376">
        <f>MIN('3.1 Market'!$F54,'1.1 Control Panel'!H$476*'1.1 Control Panel'!H484)</f>
        <v>0</v>
      </c>
      <c r="I63" s="376">
        <f>MIN('3.1 Market'!$F54,'1.1 Control Panel'!I$476*'1.1 Control Panel'!I484)</f>
        <v>0</v>
      </c>
      <c r="J63" s="376">
        <f>MIN('3.1 Market'!$F54,'1.1 Control Panel'!J$476*'1.1 Control Panel'!J484)</f>
        <v>0</v>
      </c>
      <c r="K63" s="376">
        <f>MIN('3.1 Market'!$F54,'1.1 Control Panel'!K$476*'1.1 Control Panel'!K484)</f>
        <v>0</v>
      </c>
      <c r="L63" s="376">
        <f>MIN('3.1 Market'!$F54,'1.1 Control Panel'!L$476*'1.1 Control Panel'!L484)</f>
        <v>0</v>
      </c>
      <c r="M63" s="376">
        <f>MIN('3.1 Market'!$F54,'1.1 Control Panel'!M$476*'1.1 Control Panel'!M484)</f>
        <v>0</v>
      </c>
      <c r="N63" s="376">
        <f>MIN('3.1 Market'!$F54,'1.1 Control Panel'!N$476*'1.1 Control Panel'!N484)</f>
        <v>0</v>
      </c>
      <c r="O63" s="376">
        <f>MIN('3.1 Market'!$F54,'1.1 Control Panel'!O$476*'1.1 Control Panel'!O484)</f>
        <v>0</v>
      </c>
      <c r="P63" s="376">
        <f>MIN('3.1 Market'!$F54,'1.1 Control Panel'!P$476*'1.1 Control Panel'!P484)</f>
        <v>0</v>
      </c>
      <c r="Q63" s="28">
        <f>MIN('3.1 Market'!$G54,'1.1 Control Panel'!Q$476*'1.1 Control Panel'!Q484)</f>
        <v>4.6564026163200012</v>
      </c>
      <c r="R63" s="28">
        <f>MIN('3.1 Market'!$G54,'1.1 Control Panel'!R$476*'1.1 Control Panel'!R484)</f>
        <v>4.7251220930560009</v>
      </c>
      <c r="S63" s="28">
        <f>MIN('3.1 Market'!$G54,'1.1 Control Panel'!S$476*'1.1 Control Panel'!S484)</f>
        <v>4.7800976744448009</v>
      </c>
      <c r="T63" s="28">
        <f>MIN('3.1 Market'!$G54,'1.1 Control Panel'!T$476*'1.1 Control Panel'!T484)</f>
        <v>4.8240781395558407</v>
      </c>
      <c r="U63" s="28">
        <f>MIN('3.1 Market'!$G54,'1.1 Control Panel'!U$476*'1.1 Control Panel'!U484)</f>
        <v>9.7185250232893452</v>
      </c>
      <c r="V63" s="28">
        <f>MIN('3.1 Market'!$G54,'1.1 Control Panel'!V$476*'1.1 Control Panel'!V484)</f>
        <v>9.7748200186314769</v>
      </c>
      <c r="W63" s="28">
        <f>MIN('3.1 Market'!$G54,'1.1 Control Panel'!W$476*'1.1 Control Panel'!W484)</f>
        <v>9.8198560149051808</v>
      </c>
      <c r="X63" s="28">
        <f>MIN('3.1 Market'!$G54,'1.1 Control Panel'!X$476*'1.1 Control Panel'!X484)</f>
        <v>9.8558848119241453</v>
      </c>
      <c r="Y63" s="28">
        <f>MIN('3.1 Market'!$G54,'1.1 Control Panel'!Y$476*'1.1 Control Panel'!Y484)</f>
        <v>9.8847078495393177</v>
      </c>
      <c r="Z63" s="28">
        <f>MIN('3.1 Market'!$G54,'1.1 Control Panel'!Z$476*'1.1 Control Panel'!Z484)</f>
        <v>9.9077662796314545</v>
      </c>
      <c r="AA63" s="28">
        <f>MIN('3.1 Market'!$G54,'1.1 Control Panel'!AA$476*'1.1 Control Panel'!AA484)</f>
        <v>9.9262130237051629</v>
      </c>
      <c r="AB63" s="28">
        <f>MIN('3.1 Market'!$G54,'1.1 Control Panel'!AB$476*'1.1 Control Panel'!AB484)</f>
        <v>9.940970418964131</v>
      </c>
      <c r="AC63" s="28">
        <f>MIN('3.1 Market'!$H54,'1.1 Control Panel'!AC$476*'1.1 Control Panel'!AC484)</f>
        <v>29.858329005513912</v>
      </c>
      <c r="AD63" s="28">
        <f>MIN('3.1 Market'!$H54,'1.1 Control Panel'!AD$476*'1.1 Control Panel'!AD484)</f>
        <v>29.886663204411132</v>
      </c>
      <c r="AE63" s="28">
        <f>MIN('3.1 Market'!$H54,'1.1 Control Panel'!AE$476*'1.1 Control Panel'!AE484)</f>
        <v>29.909330563528908</v>
      </c>
      <c r="AF63" s="28">
        <f>MIN('3.1 Market'!$H54,'1.1 Control Panel'!AF$476*'1.1 Control Panel'!AF484)</f>
        <v>29.92746445082313</v>
      </c>
      <c r="AG63" s="28">
        <f>MIN('3.1 Market'!$H54,'1.1 Control Panel'!AG$476*'1.1 Control Panel'!AG484)</f>
        <v>49.903285934430848</v>
      </c>
      <c r="AH63" s="28">
        <f>MIN('3.1 Market'!$H54,'1.1 Control Panel'!AH$476*'1.1 Control Panel'!AH484)</f>
        <v>49.922628747544678</v>
      </c>
      <c r="AI63" s="28">
        <f>MIN('3.1 Market'!$H54,'1.1 Control Panel'!AI$476*'1.1 Control Panel'!AI484)</f>
        <v>49.938102998035745</v>
      </c>
      <c r="AJ63" s="28">
        <f>MIN('3.1 Market'!$H54,'1.1 Control Panel'!AJ$476*'1.1 Control Panel'!AJ484)</f>
        <v>49.950482398428598</v>
      </c>
      <c r="AK63" s="28">
        <f>MIN('3.1 Market'!$H54,'1.1 Control Panel'!AK$476*'1.1 Control Panel'!AK484)</f>
        <v>64.948501694365746</v>
      </c>
      <c r="AL63" s="28">
        <f>MIN('3.1 Market'!$H54,'1.1 Control Panel'!AL$476*'1.1 Control Panel'!AL484)</f>
        <v>64.958801355492611</v>
      </c>
      <c r="AM63" s="28">
        <f>MIN('3.1 Market'!$H54,'1.1 Control Panel'!AM$476*'1.1 Control Panel'!AM484)</f>
        <v>64.967041084394083</v>
      </c>
      <c r="AN63" s="28">
        <f>MIN('3.1 Market'!$H54,'1.1 Control Panel'!AN$476*'1.1 Control Panel'!AN484)</f>
        <v>64.973632867515278</v>
      </c>
      <c r="AP63" s="21"/>
    </row>
    <row r="64" spans="2:42" x14ac:dyDescent="0.25">
      <c r="B64" s="99" t="s">
        <v>9</v>
      </c>
      <c r="C64" s="105" t="str">
        <f>'4.2 Sector Mapping'!$B$11</f>
        <v>Professional Services: Human Resources, Education, Consulting, Legal</v>
      </c>
      <c r="D64" s="106" t="s">
        <v>162</v>
      </c>
      <c r="E64" s="380">
        <f>SUM(E65:E70)</f>
        <v>15</v>
      </c>
      <c r="F64" s="380">
        <f t="shared" ref="F64:H64" si="79">SUM(F65:F70)</f>
        <v>18</v>
      </c>
      <c r="G64" s="380">
        <f t="shared" si="79"/>
        <v>81.600000000000009</v>
      </c>
      <c r="H64" s="380">
        <f t="shared" si="79"/>
        <v>89.280000000000015</v>
      </c>
      <c r="I64" s="380">
        <f t="shared" ref="I64:AN64" si="80">SUM(I65:I70)</f>
        <v>95.424000000000007</v>
      </c>
      <c r="J64" s="380">
        <f t="shared" si="80"/>
        <v>150.50880000000004</v>
      </c>
      <c r="K64" s="380">
        <f t="shared" si="80"/>
        <v>156.40704000000002</v>
      </c>
      <c r="L64" s="380">
        <f t="shared" si="80"/>
        <v>161.12563200000005</v>
      </c>
      <c r="M64" s="380">
        <f t="shared" si="80"/>
        <v>192.38392320000003</v>
      </c>
      <c r="N64" s="380">
        <f t="shared" si="80"/>
        <v>195.90713856000005</v>
      </c>
      <c r="O64" s="380">
        <f t="shared" si="80"/>
        <v>198.72571084800003</v>
      </c>
      <c r="P64" s="380">
        <f t="shared" si="80"/>
        <v>200.9805686784</v>
      </c>
      <c r="Q64" s="380">
        <f t="shared" si="80"/>
        <v>231.75366279168003</v>
      </c>
      <c r="R64" s="380">
        <f t="shared" si="80"/>
        <v>233.40293023334405</v>
      </c>
      <c r="S64" s="380">
        <f t="shared" si="80"/>
        <v>234.72234418667523</v>
      </c>
      <c r="T64" s="380">
        <f t="shared" si="80"/>
        <v>235.77787534934021</v>
      </c>
      <c r="U64" s="380">
        <f t="shared" si="80"/>
        <v>266.20008781440617</v>
      </c>
      <c r="V64" s="380">
        <f t="shared" si="80"/>
        <v>266.960070251525</v>
      </c>
      <c r="W64" s="380">
        <f t="shared" si="80"/>
        <v>267.56805620121997</v>
      </c>
      <c r="X64" s="380">
        <f t="shared" si="80"/>
        <v>268.05444496097601</v>
      </c>
      <c r="Y64" s="380">
        <f t="shared" si="80"/>
        <v>298.27061774308982</v>
      </c>
      <c r="Z64" s="380">
        <f t="shared" si="80"/>
        <v>298.61649419447184</v>
      </c>
      <c r="AA64" s="380">
        <f t="shared" si="80"/>
        <v>298.8931953555774</v>
      </c>
      <c r="AB64" s="380">
        <f t="shared" si="80"/>
        <v>299.11455628446197</v>
      </c>
      <c r="AC64" s="380">
        <f t="shared" si="80"/>
        <v>448.93746754135441</v>
      </c>
      <c r="AD64" s="380">
        <f t="shared" si="80"/>
        <v>449.14997403308354</v>
      </c>
      <c r="AE64" s="380">
        <f t="shared" si="80"/>
        <v>449.3199792264669</v>
      </c>
      <c r="AF64" s="380">
        <f t="shared" si="80"/>
        <v>449.4559833811735</v>
      </c>
      <c r="AG64" s="380">
        <f t="shared" si="80"/>
        <v>629.39070138691432</v>
      </c>
      <c r="AH64" s="380">
        <f t="shared" si="80"/>
        <v>629.51256110953136</v>
      </c>
      <c r="AI64" s="380">
        <f t="shared" si="80"/>
        <v>629.61004888762523</v>
      </c>
      <c r="AJ64" s="380">
        <f t="shared" si="80"/>
        <v>629.68803911010025</v>
      </c>
      <c r="AK64" s="380">
        <f t="shared" si="80"/>
        <v>779.69101016619447</v>
      </c>
      <c r="AL64" s="380">
        <f t="shared" si="80"/>
        <v>779.75280813295558</v>
      </c>
      <c r="AM64" s="380">
        <f t="shared" si="80"/>
        <v>779.80224650636455</v>
      </c>
      <c r="AN64" s="380">
        <f t="shared" si="80"/>
        <v>779.84179720509167</v>
      </c>
      <c r="AP64" s="105"/>
    </row>
    <row r="65" spans="2:42" x14ac:dyDescent="0.25">
      <c r="C65" s="20" t="s">
        <v>600</v>
      </c>
      <c r="D65" s="34" t="s">
        <v>162</v>
      </c>
      <c r="E65" s="28">
        <f>MIN('3.1 Market'!$F56,'1.1 Control Panel'!E$507*'1.1 Control Panel'!E510)</f>
        <v>5</v>
      </c>
      <c r="F65" s="28">
        <f>MIN('3.1 Market'!$F56,'1.1 Control Panel'!F$507*'1.1 Control Panel'!F510)</f>
        <v>5</v>
      </c>
      <c r="G65" s="28">
        <f>MIN('3.1 Market'!$F56,'1.1 Control Panel'!G$507*'1.1 Control Panel'!G510)</f>
        <v>20</v>
      </c>
      <c r="H65" s="28">
        <f>MIN('3.1 Market'!$F56,'1.1 Control Panel'!H$507*'1.1 Control Panel'!H510)</f>
        <v>20</v>
      </c>
      <c r="I65" s="28">
        <f>MIN('3.1 Market'!$F56,'1.1 Control Panel'!I$507*'1.1 Control Panel'!I510)</f>
        <v>20</v>
      </c>
      <c r="J65" s="28">
        <f>MIN('3.1 Market'!$F56,'1.1 Control Panel'!J$507*'1.1 Control Panel'!J510)</f>
        <v>30</v>
      </c>
      <c r="K65" s="28">
        <f>MIN('3.1 Market'!$F56,'1.1 Control Panel'!K$507*'1.1 Control Panel'!K510)</f>
        <v>30</v>
      </c>
      <c r="L65" s="28">
        <f>MIN('3.1 Market'!$F56,'1.1 Control Panel'!L$507*'1.1 Control Panel'!L510)</f>
        <v>30</v>
      </c>
      <c r="M65" s="28">
        <f>MIN('3.1 Market'!$F56,'1.1 Control Panel'!M$507*'1.1 Control Panel'!M510)</f>
        <v>35</v>
      </c>
      <c r="N65" s="28">
        <f>MIN('3.1 Market'!$F56,'1.1 Control Panel'!N$507*'1.1 Control Panel'!N510)</f>
        <v>35</v>
      </c>
      <c r="O65" s="28">
        <f>MIN('3.1 Market'!$F56,'1.1 Control Panel'!O$507*'1.1 Control Panel'!O510)</f>
        <v>35</v>
      </c>
      <c r="P65" s="28">
        <f>MIN('3.1 Market'!$F56,'1.1 Control Panel'!P$507*'1.1 Control Panel'!P510)</f>
        <v>35</v>
      </c>
      <c r="Q65" s="28">
        <f>MIN('3.1 Market'!$G56,'1.1 Control Panel'!Q$507*'1.1 Control Panel'!Q510)</f>
        <v>40</v>
      </c>
      <c r="R65" s="28">
        <f>MIN('3.1 Market'!$G56,'1.1 Control Panel'!R$507*'1.1 Control Panel'!R510)</f>
        <v>40</v>
      </c>
      <c r="S65" s="28">
        <f>MIN('3.1 Market'!$G56,'1.1 Control Panel'!S$507*'1.1 Control Panel'!S510)</f>
        <v>40</v>
      </c>
      <c r="T65" s="28">
        <f>MIN('3.1 Market'!$G56,'1.1 Control Panel'!T$507*'1.1 Control Panel'!T510)</f>
        <v>40</v>
      </c>
      <c r="U65" s="28">
        <f>MIN('3.1 Market'!$G56,'1.1 Control Panel'!U$507*'1.1 Control Panel'!U510)</f>
        <v>45</v>
      </c>
      <c r="V65" s="28">
        <f>MIN('3.1 Market'!$G56,'1.1 Control Panel'!V$507*'1.1 Control Panel'!V510)</f>
        <v>45</v>
      </c>
      <c r="W65" s="28">
        <f>MIN('3.1 Market'!$G56,'1.1 Control Panel'!W$507*'1.1 Control Panel'!W510)</f>
        <v>45</v>
      </c>
      <c r="X65" s="28">
        <f>MIN('3.1 Market'!$G56,'1.1 Control Panel'!X$507*'1.1 Control Panel'!X510)</f>
        <v>45</v>
      </c>
      <c r="Y65" s="28">
        <f>MIN('3.1 Market'!$G56,'1.1 Control Panel'!Y$507*'1.1 Control Panel'!Y510)</f>
        <v>50</v>
      </c>
      <c r="Z65" s="28">
        <f>MIN('3.1 Market'!$G56,'1.1 Control Panel'!Z$507*'1.1 Control Panel'!Z510)</f>
        <v>50</v>
      </c>
      <c r="AA65" s="28">
        <f>MIN('3.1 Market'!$G56,'1.1 Control Panel'!AA$507*'1.1 Control Panel'!AA510)</f>
        <v>50</v>
      </c>
      <c r="AB65" s="28">
        <f>MIN('3.1 Market'!$G56,'1.1 Control Panel'!AB$507*'1.1 Control Panel'!AB510)</f>
        <v>50</v>
      </c>
      <c r="AC65" s="28">
        <f>MIN('3.1 Market'!$H56,'1.1 Control Panel'!AC$507*'1.1 Control Panel'!AC510)</f>
        <v>75</v>
      </c>
      <c r="AD65" s="28">
        <f>MIN('3.1 Market'!$H56,'1.1 Control Panel'!AD$507*'1.1 Control Panel'!AD510)</f>
        <v>75</v>
      </c>
      <c r="AE65" s="28">
        <f>MIN('3.1 Market'!$H56,'1.1 Control Panel'!AE$507*'1.1 Control Panel'!AE510)</f>
        <v>75</v>
      </c>
      <c r="AF65" s="28">
        <f>MIN('3.1 Market'!$H56,'1.1 Control Panel'!AF$507*'1.1 Control Panel'!AF510)</f>
        <v>75</v>
      </c>
      <c r="AG65" s="28">
        <f>MIN('3.1 Market'!$H56,'1.1 Control Panel'!AG$507*'1.1 Control Panel'!AG510)</f>
        <v>105</v>
      </c>
      <c r="AH65" s="28">
        <f>MIN('3.1 Market'!$H56,'1.1 Control Panel'!AH$507*'1.1 Control Panel'!AH510)</f>
        <v>105</v>
      </c>
      <c r="AI65" s="28">
        <f>MIN('3.1 Market'!$H56,'1.1 Control Panel'!AI$507*'1.1 Control Panel'!AI510)</f>
        <v>105</v>
      </c>
      <c r="AJ65" s="28">
        <f>MIN('3.1 Market'!$H56,'1.1 Control Panel'!AJ$507*'1.1 Control Panel'!AJ510)</f>
        <v>105</v>
      </c>
      <c r="AK65" s="28">
        <f>MIN('3.1 Market'!$H56,'1.1 Control Panel'!AK$507*'1.1 Control Panel'!AK510)</f>
        <v>130</v>
      </c>
      <c r="AL65" s="28">
        <f>MIN('3.1 Market'!$H56,'1.1 Control Panel'!AL$507*'1.1 Control Panel'!AL510)</f>
        <v>130</v>
      </c>
      <c r="AM65" s="28">
        <f>MIN('3.1 Market'!$H56,'1.1 Control Panel'!AM$507*'1.1 Control Panel'!AM510)</f>
        <v>130</v>
      </c>
      <c r="AN65" s="28">
        <f>MIN('3.1 Market'!$H56,'1.1 Control Panel'!AN$507*'1.1 Control Panel'!AN510)</f>
        <v>130</v>
      </c>
      <c r="AP65" s="20"/>
    </row>
    <row r="66" spans="2:42" x14ac:dyDescent="0.25">
      <c r="C66" s="20" t="s">
        <v>392</v>
      </c>
      <c r="D66" s="34" t="s">
        <v>162</v>
      </c>
      <c r="E66" s="28">
        <f>MIN('3.1 Market'!$F57,'1.1 Control Panel'!E$507*'1.1 Control Panel'!E511)</f>
        <v>4</v>
      </c>
      <c r="F66" s="28">
        <f>MIN('3.1 Market'!$F57,'1.1 Control Panel'!F$507*'1.1 Control Panel'!F511)</f>
        <v>4.2</v>
      </c>
      <c r="G66" s="28">
        <f>MIN('3.1 Market'!$F57,'1.1 Control Panel'!G$507*'1.1 Control Panel'!G511)</f>
        <v>17.440000000000001</v>
      </c>
      <c r="H66" s="28">
        <f>MIN('3.1 Market'!$F57,'1.1 Control Panel'!H$507*'1.1 Control Panel'!H511)</f>
        <v>17.952000000000002</v>
      </c>
      <c r="I66" s="28">
        <f>MIN('3.1 Market'!$F57,'1.1 Control Panel'!I$507*'1.1 Control Panel'!I511)</f>
        <v>18.361600000000003</v>
      </c>
      <c r="J66" s="28">
        <f>MIN('3.1 Market'!$F57,'1.1 Control Panel'!J$507*'1.1 Control Panel'!J511)</f>
        <v>28.033920000000006</v>
      </c>
      <c r="K66" s="28">
        <f>MIN('3.1 Market'!$F57,'1.1 Control Panel'!K$507*'1.1 Control Panel'!K511)</f>
        <v>28.427136000000004</v>
      </c>
      <c r="L66" s="28">
        <f>MIN('3.1 Market'!$F57,'1.1 Control Panel'!L$507*'1.1 Control Panel'!L511)</f>
        <v>28.741708800000001</v>
      </c>
      <c r="M66" s="28">
        <f>MIN('3.1 Market'!$F57,'1.1 Control Panel'!M$507*'1.1 Control Panel'!M511)</f>
        <v>33.825594879999997</v>
      </c>
      <c r="N66" s="28">
        <f>MIN('3.1 Market'!$F57,'1.1 Control Panel'!N$507*'1.1 Control Panel'!N511)</f>
        <v>34.060475904</v>
      </c>
      <c r="O66" s="28">
        <f>MIN('3.1 Market'!$F57,'1.1 Control Panel'!O$507*'1.1 Control Panel'!O511)</f>
        <v>34.248380723200007</v>
      </c>
      <c r="P66" s="28">
        <f>MIN('3.1 Market'!$F57,'1.1 Control Panel'!P$507*'1.1 Control Panel'!P511)</f>
        <v>34.39870457856</v>
      </c>
      <c r="Q66" s="28">
        <f>MIN('3.1 Market'!$G57,'1.1 Control Panel'!Q$507*'1.1 Control Panel'!Q511)</f>
        <v>39.450244186112002</v>
      </c>
      <c r="R66" s="28">
        <f>MIN('3.1 Market'!$G57,'1.1 Control Panel'!R$507*'1.1 Control Panel'!R511)</f>
        <v>39.560195348889607</v>
      </c>
      <c r="S66" s="28">
        <f>MIN('3.1 Market'!$G57,'1.1 Control Panel'!S$507*'1.1 Control Panel'!S511)</f>
        <v>39.648156279111689</v>
      </c>
      <c r="T66" s="28">
        <f>MIN('3.1 Market'!$G57,'1.1 Control Panel'!T$507*'1.1 Control Panel'!T511)</f>
        <v>39.718525023289352</v>
      </c>
      <c r="U66" s="28">
        <f>MIN('3.1 Market'!$G57,'1.1 Control Panel'!U$507*'1.1 Control Panel'!U511)</f>
        <v>44.746672520960423</v>
      </c>
      <c r="V66" s="28">
        <f>MIN('3.1 Market'!$G57,'1.1 Control Panel'!V$507*'1.1 Control Panel'!V511)</f>
        <v>44.797338016768343</v>
      </c>
      <c r="W66" s="28">
        <f>MIN('3.1 Market'!$G57,'1.1 Control Panel'!W$507*'1.1 Control Panel'!W511)</f>
        <v>44.837870413414677</v>
      </c>
      <c r="X66" s="28">
        <f>MIN('3.1 Market'!$G57,'1.1 Control Panel'!X$507*'1.1 Control Panel'!X511)</f>
        <v>44.87029633073174</v>
      </c>
      <c r="Y66" s="28">
        <f>MIN('3.1 Market'!$G57,'1.1 Control Panel'!Y$507*'1.1 Control Panel'!Y511)</f>
        <v>49.884707849539325</v>
      </c>
      <c r="Z66" s="28">
        <f>MIN('3.1 Market'!$G57,'1.1 Control Panel'!Z$507*'1.1 Control Panel'!Z511)</f>
        <v>49.907766279631467</v>
      </c>
      <c r="AA66" s="28">
        <f>MIN('3.1 Market'!$G57,'1.1 Control Panel'!AA$507*'1.1 Control Panel'!AA511)</f>
        <v>49.926213023705174</v>
      </c>
      <c r="AB66" s="28">
        <f>MIN('3.1 Market'!$G57,'1.1 Control Panel'!AB$507*'1.1 Control Panel'!AB511)</f>
        <v>49.940970418964142</v>
      </c>
      <c r="AC66" s="28">
        <f>MIN('3.1 Market'!$H57,'1.1 Control Panel'!AC$507*'1.1 Control Panel'!AC511)</f>
        <v>74.929164502756976</v>
      </c>
      <c r="AD66" s="28">
        <f>MIN('3.1 Market'!$H57,'1.1 Control Panel'!AD$507*'1.1 Control Panel'!AD511)</f>
        <v>74.943331602205589</v>
      </c>
      <c r="AE66" s="28">
        <f>MIN('3.1 Market'!$H57,'1.1 Control Panel'!AE$507*'1.1 Control Panel'!AE511)</f>
        <v>74.954665281764477</v>
      </c>
      <c r="AF66" s="28">
        <f>MIN('3.1 Market'!$H57,'1.1 Control Panel'!AF$507*'1.1 Control Panel'!AF511)</f>
        <v>74.963732225411576</v>
      </c>
      <c r="AG66" s="28">
        <f>MIN('3.1 Market'!$H57,'1.1 Control Panel'!AG$507*'1.1 Control Panel'!AG511)</f>
        <v>104.95938009246099</v>
      </c>
      <c r="AH66" s="28">
        <f>MIN('3.1 Market'!$H57,'1.1 Control Panel'!AH$507*'1.1 Control Panel'!AH511)</f>
        <v>104.96750407396878</v>
      </c>
      <c r="AI66" s="28">
        <f>MIN('3.1 Market'!$H57,'1.1 Control Panel'!AI$507*'1.1 Control Panel'!AI511)</f>
        <v>104.97400325917503</v>
      </c>
      <c r="AJ66" s="28">
        <f>MIN('3.1 Market'!$H57,'1.1 Control Panel'!AJ$507*'1.1 Control Panel'!AJ511)</f>
        <v>104.97920260734001</v>
      </c>
      <c r="AK66" s="28">
        <f>MIN('3.1 Market'!$H57,'1.1 Control Panel'!AK$507*'1.1 Control Panel'!AK511)</f>
        <v>129.97940067774633</v>
      </c>
      <c r="AL66" s="28">
        <f>MIN('3.1 Market'!$H57,'1.1 Control Panel'!AL$507*'1.1 Control Panel'!AL511)</f>
        <v>129.98352054219706</v>
      </c>
      <c r="AM66" s="28">
        <f>MIN('3.1 Market'!$H57,'1.1 Control Panel'!AM$507*'1.1 Control Panel'!AM511)</f>
        <v>129.98681643375764</v>
      </c>
      <c r="AN66" s="28">
        <f>MIN('3.1 Market'!$H57,'1.1 Control Panel'!AN$507*'1.1 Control Panel'!AN511)</f>
        <v>129.98945314700609</v>
      </c>
      <c r="AP66" s="20"/>
    </row>
    <row r="67" spans="2:42" x14ac:dyDescent="0.25">
      <c r="C67" s="20" t="s">
        <v>454</v>
      </c>
      <c r="D67" s="34" t="s">
        <v>162</v>
      </c>
      <c r="E67" s="28">
        <f>MIN('3.1 Market'!$F58,'1.1 Control Panel'!E$507*'1.1 Control Panel'!E512)</f>
        <v>3</v>
      </c>
      <c r="F67" s="28">
        <f>MIN('3.1 Market'!$F58,'1.1 Control Panel'!F$507*'1.1 Control Panel'!F512)</f>
        <v>3.4000000000000004</v>
      </c>
      <c r="G67" s="28">
        <f>MIN('3.1 Market'!$F58,'1.1 Control Panel'!G$507*'1.1 Control Panel'!G512)</f>
        <v>14.880000000000003</v>
      </c>
      <c r="H67" s="28">
        <f>MIN('3.1 Market'!$F58,'1.1 Control Panel'!H$507*'1.1 Control Panel'!H512)</f>
        <v>15.904000000000003</v>
      </c>
      <c r="I67" s="28">
        <f>MIN('3.1 Market'!$F58,'1.1 Control Panel'!I$507*'1.1 Control Panel'!I512)</f>
        <v>16.723200000000006</v>
      </c>
      <c r="J67" s="28">
        <f>MIN('3.1 Market'!$F58,'1.1 Control Panel'!J$507*'1.1 Control Panel'!J512)</f>
        <v>26.067840000000011</v>
      </c>
      <c r="K67" s="28">
        <f>MIN('3.1 Market'!$F58,'1.1 Control Panel'!K$507*'1.1 Control Panel'!K512)</f>
        <v>26.854272000000009</v>
      </c>
      <c r="L67" s="28">
        <f>MIN('3.1 Market'!$F58,'1.1 Control Panel'!L$507*'1.1 Control Panel'!L512)</f>
        <v>27.48341760000001</v>
      </c>
      <c r="M67" s="28">
        <f>MIN('3.1 Market'!$F58,'1.1 Control Panel'!M$507*'1.1 Control Panel'!M512)</f>
        <v>32.651189760000008</v>
      </c>
      <c r="N67" s="28">
        <f>MIN('3.1 Market'!$F58,'1.1 Control Panel'!N$507*'1.1 Control Panel'!N512)</f>
        <v>33.120951808000008</v>
      </c>
      <c r="O67" s="28">
        <f>MIN('3.1 Market'!$F58,'1.1 Control Panel'!O$507*'1.1 Control Panel'!O512)</f>
        <v>33.496761446400015</v>
      </c>
      <c r="P67" s="28">
        <f>MIN('3.1 Market'!$F58,'1.1 Control Panel'!P$507*'1.1 Control Panel'!P512)</f>
        <v>33.797409157120008</v>
      </c>
      <c r="Q67" s="28">
        <f>MIN('3.1 Market'!$G58,'1.1 Control Panel'!Q$507*'1.1 Control Panel'!Q512)</f>
        <v>38.900488372224011</v>
      </c>
      <c r="R67" s="28">
        <f>MIN('3.1 Market'!$G58,'1.1 Control Panel'!R$507*'1.1 Control Panel'!R512)</f>
        <v>39.120390697779214</v>
      </c>
      <c r="S67" s="28">
        <f>MIN('3.1 Market'!$G58,'1.1 Control Panel'!S$507*'1.1 Control Panel'!S512)</f>
        <v>39.296312558223377</v>
      </c>
      <c r="T67" s="28">
        <f>MIN('3.1 Market'!$G58,'1.1 Control Panel'!T$507*'1.1 Control Panel'!T512)</f>
        <v>39.437050046578705</v>
      </c>
      <c r="U67" s="28">
        <f>MIN('3.1 Market'!$G58,'1.1 Control Panel'!U$507*'1.1 Control Panel'!U512)</f>
        <v>44.493345041920833</v>
      </c>
      <c r="V67" s="28">
        <f>MIN('3.1 Market'!$G58,'1.1 Control Panel'!V$507*'1.1 Control Panel'!V512)</f>
        <v>44.594676033536665</v>
      </c>
      <c r="W67" s="28">
        <f>MIN('3.1 Market'!$G58,'1.1 Control Panel'!W$507*'1.1 Control Panel'!W512)</f>
        <v>44.675740826829333</v>
      </c>
      <c r="X67" s="28">
        <f>MIN('3.1 Market'!$G58,'1.1 Control Panel'!X$507*'1.1 Control Panel'!X512)</f>
        <v>44.740592661463467</v>
      </c>
      <c r="Y67" s="28">
        <f>MIN('3.1 Market'!$G58,'1.1 Control Panel'!Y$507*'1.1 Control Panel'!Y512)</f>
        <v>49.769415699078635</v>
      </c>
      <c r="Z67" s="28">
        <f>MIN('3.1 Market'!$G58,'1.1 Control Panel'!Z$507*'1.1 Control Panel'!Z512)</f>
        <v>49.815532559262905</v>
      </c>
      <c r="AA67" s="28">
        <f>MIN('3.1 Market'!$G58,'1.1 Control Panel'!AA$507*'1.1 Control Panel'!AA512)</f>
        <v>49.852426047410326</v>
      </c>
      <c r="AB67" s="28">
        <f>MIN('3.1 Market'!$G58,'1.1 Control Panel'!AB$507*'1.1 Control Panel'!AB512)</f>
        <v>49.881940837928269</v>
      </c>
      <c r="AC67" s="28">
        <f>MIN('3.1 Market'!$H58,'1.1 Control Panel'!AC$507*'1.1 Control Panel'!AC512)</f>
        <v>74.858329005513923</v>
      </c>
      <c r="AD67" s="28">
        <f>MIN('3.1 Market'!$H58,'1.1 Control Panel'!AD$507*'1.1 Control Panel'!AD512)</f>
        <v>74.88666320441115</v>
      </c>
      <c r="AE67" s="28">
        <f>MIN('3.1 Market'!$H58,'1.1 Control Panel'!AE$507*'1.1 Control Panel'!AE512)</f>
        <v>74.909330563528911</v>
      </c>
      <c r="AF67" s="28">
        <f>MIN('3.1 Market'!$H58,'1.1 Control Panel'!AF$507*'1.1 Control Panel'!AF512)</f>
        <v>74.927464450823138</v>
      </c>
      <c r="AG67" s="28">
        <f>MIN('3.1 Market'!$H58,'1.1 Control Panel'!AG$507*'1.1 Control Panel'!AG512)</f>
        <v>104.91876018492192</v>
      </c>
      <c r="AH67" s="28">
        <f>MIN('3.1 Market'!$H58,'1.1 Control Panel'!AH$507*'1.1 Control Panel'!AH512)</f>
        <v>104.93500814793752</v>
      </c>
      <c r="AI67" s="28">
        <f>MIN('3.1 Market'!$H58,'1.1 Control Panel'!AI$507*'1.1 Control Panel'!AI512)</f>
        <v>104.94800651835001</v>
      </c>
      <c r="AJ67" s="28">
        <f>MIN('3.1 Market'!$H58,'1.1 Control Panel'!AJ$507*'1.1 Control Panel'!AJ512)</f>
        <v>104.95840521468003</v>
      </c>
      <c r="AK67" s="28">
        <f>MIN('3.1 Market'!$H58,'1.1 Control Panel'!AK$507*'1.1 Control Panel'!AK512)</f>
        <v>129.9588013554926</v>
      </c>
      <c r="AL67" s="28">
        <f>MIN('3.1 Market'!$H58,'1.1 Control Panel'!AL$507*'1.1 Control Panel'!AL512)</f>
        <v>129.96704108439405</v>
      </c>
      <c r="AM67" s="28">
        <f>MIN('3.1 Market'!$H58,'1.1 Control Panel'!AM$507*'1.1 Control Panel'!AM512)</f>
        <v>129.97363286751528</v>
      </c>
      <c r="AN67" s="28">
        <f>MIN('3.1 Market'!$H58,'1.1 Control Panel'!AN$507*'1.1 Control Panel'!AN512)</f>
        <v>129.97890629401223</v>
      </c>
      <c r="AP67" s="20"/>
    </row>
    <row r="68" spans="2:42" x14ac:dyDescent="0.25">
      <c r="C68" s="21" t="s">
        <v>455</v>
      </c>
      <c r="D68" s="38" t="s">
        <v>162</v>
      </c>
      <c r="E68" s="376">
        <f>MIN('3.1 Market'!$F59,'1.1 Control Panel'!E$507*'1.1 Control Panel'!E513)</f>
        <v>2</v>
      </c>
      <c r="F68" s="376">
        <f>MIN('3.1 Market'!$F59,'1.1 Control Panel'!F$507*'1.1 Control Panel'!F513)</f>
        <v>2.6</v>
      </c>
      <c r="G68" s="376">
        <f>MIN('3.1 Market'!$F59,'1.1 Control Panel'!G$507*'1.1 Control Panel'!G513)</f>
        <v>12.32</v>
      </c>
      <c r="H68" s="376">
        <f>MIN('3.1 Market'!$F59,'1.1 Control Panel'!H$507*'1.1 Control Panel'!H513)</f>
        <v>13.856000000000002</v>
      </c>
      <c r="I68" s="376">
        <f>MIN('3.1 Market'!$F59,'1.1 Control Panel'!I$507*'1.1 Control Panel'!I513)</f>
        <v>15.084800000000001</v>
      </c>
      <c r="J68" s="376">
        <f>MIN('3.1 Market'!$F59,'1.1 Control Panel'!J$507*'1.1 Control Panel'!J513)</f>
        <v>24.101760000000006</v>
      </c>
      <c r="K68" s="376">
        <f>MIN('3.1 Market'!$F59,'1.1 Control Panel'!K$507*'1.1 Control Panel'!K513)</f>
        <v>25.281408000000003</v>
      </c>
      <c r="L68" s="376">
        <f>MIN('3.1 Market'!$F59,'1.1 Control Panel'!L$507*'1.1 Control Panel'!L513)</f>
        <v>26.225126400000004</v>
      </c>
      <c r="M68" s="376">
        <f>MIN('3.1 Market'!$F59,'1.1 Control Panel'!M$507*'1.1 Control Panel'!M513)</f>
        <v>31.476784640000009</v>
      </c>
      <c r="N68" s="376">
        <f>MIN('3.1 Market'!$F59,'1.1 Control Panel'!N$507*'1.1 Control Panel'!N513)</f>
        <v>32.181427712000016</v>
      </c>
      <c r="O68" s="376">
        <f>MIN('3.1 Market'!$F59,'1.1 Control Panel'!O$507*'1.1 Control Panel'!O513)</f>
        <v>32.745142169600008</v>
      </c>
      <c r="P68" s="376">
        <f>MIN('3.1 Market'!$F59,'1.1 Control Panel'!P$507*'1.1 Control Panel'!P513)</f>
        <v>33.196113735680008</v>
      </c>
      <c r="Q68" s="376">
        <f>MIN('3.1 Market'!$G59,'1.1 Control Panel'!Q$507*'1.1 Control Panel'!Q513)</f>
        <v>38.350732558336006</v>
      </c>
      <c r="R68" s="28">
        <f>MIN('3.1 Market'!$G59,'1.1 Control Panel'!R$507*'1.1 Control Panel'!R513)</f>
        <v>38.680586046668807</v>
      </c>
      <c r="S68" s="28">
        <f>MIN('3.1 Market'!$G59,'1.1 Control Panel'!S$507*'1.1 Control Panel'!S513)</f>
        <v>38.944468837335052</v>
      </c>
      <c r="T68" s="28">
        <f>MIN('3.1 Market'!$G59,'1.1 Control Panel'!T$507*'1.1 Control Panel'!T513)</f>
        <v>39.155575069868043</v>
      </c>
      <c r="U68" s="28">
        <f>MIN('3.1 Market'!$G59,'1.1 Control Panel'!U$507*'1.1 Control Panel'!U513)</f>
        <v>44.240017562881235</v>
      </c>
      <c r="V68" s="28">
        <f>MIN('3.1 Market'!$G59,'1.1 Control Panel'!V$507*'1.1 Control Panel'!V513)</f>
        <v>44.392014050304994</v>
      </c>
      <c r="W68" s="28">
        <f>MIN('3.1 Market'!$G59,'1.1 Control Panel'!W$507*'1.1 Control Panel'!W513)</f>
        <v>44.513611240243996</v>
      </c>
      <c r="X68" s="28">
        <f>MIN('3.1 Market'!$G59,'1.1 Control Panel'!X$507*'1.1 Control Panel'!X513)</f>
        <v>44.6108889921952</v>
      </c>
      <c r="Y68" s="28">
        <f>MIN('3.1 Market'!$G59,'1.1 Control Panel'!Y$507*'1.1 Control Panel'!Y513)</f>
        <v>49.65412354861796</v>
      </c>
      <c r="Z68" s="28">
        <f>MIN('3.1 Market'!$G59,'1.1 Control Panel'!Z$507*'1.1 Control Panel'!Z513)</f>
        <v>49.723298838894365</v>
      </c>
      <c r="AA68" s="28">
        <f>MIN('3.1 Market'!$G59,'1.1 Control Panel'!AA$507*'1.1 Control Panel'!AA513)</f>
        <v>49.778639071115492</v>
      </c>
      <c r="AB68" s="28">
        <f>MIN('3.1 Market'!$G59,'1.1 Control Panel'!AB$507*'1.1 Control Panel'!AB513)</f>
        <v>49.822911256892404</v>
      </c>
      <c r="AC68" s="28">
        <f>MIN('3.1 Market'!$H59,'1.1 Control Panel'!AC$507*'1.1 Control Panel'!AC513)</f>
        <v>74.787493508270884</v>
      </c>
      <c r="AD68" s="28">
        <f>MIN('3.1 Market'!$H59,'1.1 Control Panel'!AD$507*'1.1 Control Panel'!AD513)</f>
        <v>74.82999480661671</v>
      </c>
      <c r="AE68" s="28">
        <f>MIN('3.1 Market'!$H59,'1.1 Control Panel'!AE$507*'1.1 Control Panel'!AE513)</f>
        <v>74.863995845293374</v>
      </c>
      <c r="AF68" s="28">
        <f>MIN('3.1 Market'!$H59,'1.1 Control Panel'!AF$507*'1.1 Control Panel'!AF513)</f>
        <v>74.891196676234685</v>
      </c>
      <c r="AG68" s="28">
        <f>MIN('3.1 Market'!$H59,'1.1 Control Panel'!AG$507*'1.1 Control Panel'!AG513)</f>
        <v>104.87814027738284</v>
      </c>
      <c r="AH68" s="28">
        <f>MIN('3.1 Market'!$H59,'1.1 Control Panel'!AH$507*'1.1 Control Panel'!AH513)</f>
        <v>104.90251222190626</v>
      </c>
      <c r="AI68" s="28">
        <f>MIN('3.1 Market'!$H59,'1.1 Control Panel'!AI$507*'1.1 Control Panel'!AI513)</f>
        <v>104.92200977752503</v>
      </c>
      <c r="AJ68" s="28">
        <f>MIN('3.1 Market'!$H59,'1.1 Control Panel'!AJ$507*'1.1 Control Panel'!AJ513)</f>
        <v>104.93760782202003</v>
      </c>
      <c r="AK68" s="28">
        <f>MIN('3.1 Market'!$H59,'1.1 Control Panel'!AK$507*'1.1 Control Panel'!AK513)</f>
        <v>129.93820203323889</v>
      </c>
      <c r="AL68" s="28">
        <f>MIN('3.1 Market'!$H59,'1.1 Control Panel'!AL$507*'1.1 Control Panel'!AL513)</f>
        <v>129.95056162659111</v>
      </c>
      <c r="AM68" s="28">
        <f>MIN('3.1 Market'!$H59,'1.1 Control Panel'!AM$507*'1.1 Control Panel'!AM513)</f>
        <v>129.96044930127292</v>
      </c>
      <c r="AN68" s="28">
        <f>MIN('3.1 Market'!$H59,'1.1 Control Panel'!AN$507*'1.1 Control Panel'!AN513)</f>
        <v>129.96835944101835</v>
      </c>
      <c r="AP68" s="21"/>
    </row>
    <row r="69" spans="2:42" x14ac:dyDescent="0.25">
      <c r="C69" s="21" t="s">
        <v>393</v>
      </c>
      <c r="D69" s="38" t="s">
        <v>162</v>
      </c>
      <c r="E69" s="376">
        <f>MIN('3.1 Market'!$F60,'1.1 Control Panel'!E$507*'1.1 Control Panel'!E514)</f>
        <v>1</v>
      </c>
      <c r="F69" s="376">
        <f>MIN('3.1 Market'!$F60,'1.1 Control Panel'!F$507*'1.1 Control Panel'!F514)</f>
        <v>1.8</v>
      </c>
      <c r="G69" s="376">
        <f>MIN('3.1 Market'!$F60,'1.1 Control Panel'!G$507*'1.1 Control Panel'!G514)</f>
        <v>9.7600000000000016</v>
      </c>
      <c r="H69" s="376">
        <f>MIN('3.1 Market'!$F60,'1.1 Control Panel'!H$507*'1.1 Control Panel'!H514)</f>
        <v>11.808000000000002</v>
      </c>
      <c r="I69" s="376">
        <f>MIN('3.1 Market'!$F60,'1.1 Control Panel'!I$507*'1.1 Control Panel'!I514)</f>
        <v>13.446400000000002</v>
      </c>
      <c r="J69" s="376">
        <f>MIN('3.1 Market'!$F60,'1.1 Control Panel'!J$507*'1.1 Control Panel'!J514)</f>
        <v>22.135680000000004</v>
      </c>
      <c r="K69" s="376">
        <f>MIN('3.1 Market'!$F60,'1.1 Control Panel'!K$507*'1.1 Control Panel'!K514)</f>
        <v>23.708544000000003</v>
      </c>
      <c r="L69" s="376">
        <f>MIN('3.1 Market'!$F60,'1.1 Control Panel'!L$507*'1.1 Control Panel'!L514)</f>
        <v>24.966835200000006</v>
      </c>
      <c r="M69" s="376">
        <f>MIN('3.1 Market'!$F60,'1.1 Control Panel'!M$507*'1.1 Control Panel'!M514)</f>
        <v>30.302379520000009</v>
      </c>
      <c r="N69" s="376">
        <f>MIN('3.1 Market'!$F60,'1.1 Control Panel'!N$507*'1.1 Control Panel'!N514)</f>
        <v>31.241903616000002</v>
      </c>
      <c r="O69" s="376">
        <f>MIN('3.1 Market'!$F60,'1.1 Control Panel'!O$507*'1.1 Control Panel'!O514)</f>
        <v>31.993522892800005</v>
      </c>
      <c r="P69" s="376">
        <f>MIN('3.1 Market'!$F60,'1.1 Control Panel'!P$507*'1.1 Control Panel'!P514)</f>
        <v>32.594818314240008</v>
      </c>
      <c r="Q69" s="376">
        <f>MIN('3.1 Market'!$G60,'1.1 Control Panel'!Q$507*'1.1 Control Panel'!Q514)</f>
        <v>37.800976744448008</v>
      </c>
      <c r="R69" s="28">
        <f>MIN('3.1 Market'!$G60,'1.1 Control Panel'!R$507*'1.1 Control Panel'!R514)</f>
        <v>38.240781395558407</v>
      </c>
      <c r="S69" s="28">
        <f>MIN('3.1 Market'!$G60,'1.1 Control Panel'!S$507*'1.1 Control Panel'!S514)</f>
        <v>38.592625116446726</v>
      </c>
      <c r="T69" s="28">
        <f>MIN('3.1 Market'!$G60,'1.1 Control Panel'!T$507*'1.1 Control Panel'!T514)</f>
        <v>38.874100093157381</v>
      </c>
      <c r="U69" s="28">
        <f>MIN('3.1 Market'!$G60,'1.1 Control Panel'!U$507*'1.1 Control Panel'!U514)</f>
        <v>43.986690083841644</v>
      </c>
      <c r="V69" s="28">
        <f>MIN('3.1 Market'!$G60,'1.1 Control Panel'!V$507*'1.1 Control Panel'!V514)</f>
        <v>44.189352067073315</v>
      </c>
      <c r="W69" s="28">
        <f>MIN('3.1 Market'!$G60,'1.1 Control Panel'!W$507*'1.1 Control Panel'!W514)</f>
        <v>44.351481653658652</v>
      </c>
      <c r="X69" s="28">
        <f>MIN('3.1 Market'!$G60,'1.1 Control Panel'!X$507*'1.1 Control Panel'!X514)</f>
        <v>44.481185322926933</v>
      </c>
      <c r="Y69" s="28">
        <f>MIN('3.1 Market'!$G60,'1.1 Control Panel'!Y$507*'1.1 Control Panel'!Y514)</f>
        <v>49.538831398157271</v>
      </c>
      <c r="Z69" s="28">
        <f>MIN('3.1 Market'!$G60,'1.1 Control Panel'!Z$507*'1.1 Control Panel'!Z514)</f>
        <v>49.631065118525811</v>
      </c>
      <c r="AA69" s="28">
        <f>MIN('3.1 Market'!$G60,'1.1 Control Panel'!AA$507*'1.1 Control Panel'!AA514)</f>
        <v>49.704852094820652</v>
      </c>
      <c r="AB69" s="28">
        <f>MIN('3.1 Market'!$G60,'1.1 Control Panel'!AB$507*'1.1 Control Panel'!AB514)</f>
        <v>49.763881675856524</v>
      </c>
      <c r="AC69" s="28">
        <f>MIN('3.1 Market'!$H60,'1.1 Control Panel'!AC$507*'1.1 Control Panel'!AC514)</f>
        <v>74.716658011027832</v>
      </c>
      <c r="AD69" s="28">
        <f>MIN('3.1 Market'!$H60,'1.1 Control Panel'!AD$507*'1.1 Control Panel'!AD514)</f>
        <v>74.773326408822271</v>
      </c>
      <c r="AE69" s="28">
        <f>MIN('3.1 Market'!$H60,'1.1 Control Panel'!AE$507*'1.1 Control Panel'!AE514)</f>
        <v>74.818661127057823</v>
      </c>
      <c r="AF69" s="28">
        <f>MIN('3.1 Market'!$H60,'1.1 Control Panel'!AF$507*'1.1 Control Panel'!AF514)</f>
        <v>74.854928901646275</v>
      </c>
      <c r="AG69" s="28">
        <f>MIN('3.1 Market'!$H60,'1.1 Control Panel'!AG$507*'1.1 Control Panel'!AG514)</f>
        <v>104.83752036984383</v>
      </c>
      <c r="AH69" s="28">
        <f>MIN('3.1 Market'!$H60,'1.1 Control Panel'!AH$507*'1.1 Control Panel'!AH514)</f>
        <v>104.87001629587508</v>
      </c>
      <c r="AI69" s="28">
        <f>MIN('3.1 Market'!$H60,'1.1 Control Panel'!AI$507*'1.1 Control Panel'!AI514)</f>
        <v>104.89601303670005</v>
      </c>
      <c r="AJ69" s="28">
        <f>MIN('3.1 Market'!$H60,'1.1 Control Panel'!AJ$507*'1.1 Control Panel'!AJ514)</f>
        <v>104.91681042936005</v>
      </c>
      <c r="AK69" s="28">
        <f>MIN('3.1 Market'!$H60,'1.1 Control Panel'!AK$507*'1.1 Control Panel'!AK514)</f>
        <v>129.91760271098522</v>
      </c>
      <c r="AL69" s="28">
        <f>MIN('3.1 Market'!$H60,'1.1 Control Panel'!AL$507*'1.1 Control Panel'!AL514)</f>
        <v>129.93408216878817</v>
      </c>
      <c r="AM69" s="28">
        <f>MIN('3.1 Market'!$H60,'1.1 Control Panel'!AM$507*'1.1 Control Panel'!AM514)</f>
        <v>129.94726573503056</v>
      </c>
      <c r="AN69" s="28">
        <f>MIN('3.1 Market'!$H60,'1.1 Control Panel'!AN$507*'1.1 Control Panel'!AN514)</f>
        <v>129.95781258802444</v>
      </c>
      <c r="AP69" s="21"/>
    </row>
    <row r="70" spans="2:42" x14ac:dyDescent="0.25">
      <c r="C70" s="21" t="s">
        <v>456</v>
      </c>
      <c r="D70" s="38" t="s">
        <v>162</v>
      </c>
      <c r="E70" s="376">
        <f>MIN('3.1 Market'!$F61,'1.1 Control Panel'!E$507*'1.1 Control Panel'!E515)</f>
        <v>0</v>
      </c>
      <c r="F70" s="376">
        <f>MIN('3.1 Market'!$F61,'1.1 Control Panel'!F$507*'1.1 Control Panel'!F515)</f>
        <v>1</v>
      </c>
      <c r="G70" s="376">
        <f>MIN('3.1 Market'!$F61,'1.1 Control Panel'!G$507*'1.1 Control Panel'!G515)</f>
        <v>7.2</v>
      </c>
      <c r="H70" s="376">
        <f>MIN('3.1 Market'!$F61,'1.1 Control Panel'!H$507*'1.1 Control Panel'!H515)</f>
        <v>9.7600000000000016</v>
      </c>
      <c r="I70" s="376">
        <f>MIN('3.1 Market'!$F61,'1.1 Control Panel'!I$507*'1.1 Control Panel'!I515)</f>
        <v>11.808000000000002</v>
      </c>
      <c r="J70" s="376">
        <f>MIN('3.1 Market'!$F61,'1.1 Control Panel'!J$507*'1.1 Control Panel'!J515)</f>
        <v>20.169600000000003</v>
      </c>
      <c r="K70" s="376">
        <f>MIN('3.1 Market'!$F61,'1.1 Control Panel'!K$507*'1.1 Control Panel'!K515)</f>
        <v>22.135680000000004</v>
      </c>
      <c r="L70" s="376">
        <f>MIN('3.1 Market'!$F61,'1.1 Control Panel'!L$507*'1.1 Control Panel'!L515)</f>
        <v>23.708544000000003</v>
      </c>
      <c r="M70" s="376">
        <f>MIN('3.1 Market'!$F61,'1.1 Control Panel'!M$507*'1.1 Control Panel'!M515)</f>
        <v>29.127974400000006</v>
      </c>
      <c r="N70" s="376">
        <f>MIN('3.1 Market'!$F61,'1.1 Control Panel'!N$507*'1.1 Control Panel'!N515)</f>
        <v>30.302379520000009</v>
      </c>
      <c r="O70" s="376">
        <f>MIN('3.1 Market'!$F61,'1.1 Control Panel'!O$507*'1.1 Control Panel'!O515)</f>
        <v>31.241903616000002</v>
      </c>
      <c r="P70" s="376">
        <f>MIN('3.1 Market'!$F61,'1.1 Control Panel'!P$507*'1.1 Control Panel'!P515)</f>
        <v>31.993522892800005</v>
      </c>
      <c r="Q70" s="376">
        <f>MIN('3.1 Market'!$G61,'1.1 Control Panel'!Q$507*'1.1 Control Panel'!Q515)</f>
        <v>37.251220930560009</v>
      </c>
      <c r="R70" s="28">
        <f>MIN('3.1 Market'!$G61,'1.1 Control Panel'!R$507*'1.1 Control Panel'!R515)</f>
        <v>37.800976744448008</v>
      </c>
      <c r="S70" s="28">
        <f>MIN('3.1 Market'!$G61,'1.1 Control Panel'!S$507*'1.1 Control Panel'!S515)</f>
        <v>38.240781395558407</v>
      </c>
      <c r="T70" s="28">
        <f>MIN('3.1 Market'!$G61,'1.1 Control Panel'!T$507*'1.1 Control Panel'!T515)</f>
        <v>38.592625116446726</v>
      </c>
      <c r="U70" s="28">
        <f>MIN('3.1 Market'!$G61,'1.1 Control Panel'!U$507*'1.1 Control Panel'!U515)</f>
        <v>43.733362604802053</v>
      </c>
      <c r="V70" s="28">
        <f>MIN('3.1 Market'!$G61,'1.1 Control Panel'!V$507*'1.1 Control Panel'!V515)</f>
        <v>43.986690083841644</v>
      </c>
      <c r="W70" s="28">
        <f>MIN('3.1 Market'!$G61,'1.1 Control Panel'!W$507*'1.1 Control Panel'!W515)</f>
        <v>44.189352067073315</v>
      </c>
      <c r="X70" s="28">
        <f>MIN('3.1 Market'!$G61,'1.1 Control Panel'!X$507*'1.1 Control Panel'!X515)</f>
        <v>44.351481653658652</v>
      </c>
      <c r="Y70" s="28">
        <f>MIN('3.1 Market'!$G61,'1.1 Control Panel'!Y$507*'1.1 Control Panel'!Y515)</f>
        <v>49.423539247696588</v>
      </c>
      <c r="Z70" s="28">
        <f>MIN('3.1 Market'!$G61,'1.1 Control Panel'!Z$507*'1.1 Control Panel'!Z515)</f>
        <v>49.538831398157271</v>
      </c>
      <c r="AA70" s="28">
        <f>MIN('3.1 Market'!$G61,'1.1 Control Panel'!AA$507*'1.1 Control Panel'!AA515)</f>
        <v>49.631065118525811</v>
      </c>
      <c r="AB70" s="28">
        <f>MIN('3.1 Market'!$G61,'1.1 Control Panel'!AB$507*'1.1 Control Panel'!AB515)</f>
        <v>49.704852094820652</v>
      </c>
      <c r="AC70" s="28">
        <f>MIN('3.1 Market'!$H61,'1.1 Control Panel'!AC$507*'1.1 Control Panel'!AC515)</f>
        <v>74.645822513784779</v>
      </c>
      <c r="AD70" s="28">
        <f>MIN('3.1 Market'!$H61,'1.1 Control Panel'!AD$507*'1.1 Control Panel'!AD515)</f>
        <v>74.716658011027832</v>
      </c>
      <c r="AE70" s="28">
        <f>MIN('3.1 Market'!$H61,'1.1 Control Panel'!AE$507*'1.1 Control Panel'!AE515)</f>
        <v>74.773326408822271</v>
      </c>
      <c r="AF70" s="28">
        <f>MIN('3.1 Market'!$H61,'1.1 Control Panel'!AF$507*'1.1 Control Panel'!AF515)</f>
        <v>74.818661127057823</v>
      </c>
      <c r="AG70" s="28">
        <f>MIN('3.1 Market'!$H61,'1.1 Control Panel'!AG$507*'1.1 Control Panel'!AG515)</f>
        <v>104.79690046230478</v>
      </c>
      <c r="AH70" s="28">
        <f>MIN('3.1 Market'!$H61,'1.1 Control Panel'!AH$507*'1.1 Control Panel'!AH515)</f>
        <v>104.83752036984383</v>
      </c>
      <c r="AI70" s="28">
        <f>MIN('3.1 Market'!$H61,'1.1 Control Panel'!AI$507*'1.1 Control Panel'!AI515)</f>
        <v>104.87001629587508</v>
      </c>
      <c r="AJ70" s="28">
        <f>MIN('3.1 Market'!$H61,'1.1 Control Panel'!AJ$507*'1.1 Control Panel'!AJ515)</f>
        <v>104.89601303670005</v>
      </c>
      <c r="AK70" s="28">
        <f>MIN('3.1 Market'!$H61,'1.1 Control Panel'!AK$507*'1.1 Control Panel'!AK515)</f>
        <v>129.89700338873149</v>
      </c>
      <c r="AL70" s="28">
        <f>MIN('3.1 Market'!$H61,'1.1 Control Panel'!AL$507*'1.1 Control Panel'!AL515)</f>
        <v>129.91760271098522</v>
      </c>
      <c r="AM70" s="28">
        <f>MIN('3.1 Market'!$H61,'1.1 Control Panel'!AM$507*'1.1 Control Panel'!AM515)</f>
        <v>129.93408216878817</v>
      </c>
      <c r="AN70" s="28">
        <f>MIN('3.1 Market'!$H61,'1.1 Control Panel'!AN$507*'1.1 Control Panel'!AN515)</f>
        <v>129.94726573503056</v>
      </c>
      <c r="AP70" s="21"/>
    </row>
    <row r="71" spans="2:42" x14ac:dyDescent="0.25">
      <c r="B71" s="99" t="s">
        <v>9</v>
      </c>
      <c r="C71" s="105" t="str">
        <f>'4.2 Sector Mapping'!$B$12</f>
        <v>Public and Social Services</v>
      </c>
      <c r="D71" s="106" t="s">
        <v>162</v>
      </c>
      <c r="E71" s="380">
        <f>SUM(E72:E77)</f>
        <v>0</v>
      </c>
      <c r="F71" s="380">
        <f t="shared" ref="F71:H71" si="81">SUM(F72:F77)</f>
        <v>0</v>
      </c>
      <c r="G71" s="380">
        <f t="shared" si="81"/>
        <v>0</v>
      </c>
      <c r="H71" s="380">
        <f t="shared" si="81"/>
        <v>0</v>
      </c>
      <c r="I71" s="380">
        <f t="shared" ref="I71:AN71" si="82">SUM(I72:I77)</f>
        <v>23.856000000000002</v>
      </c>
      <c r="J71" s="380">
        <f t="shared" si="82"/>
        <v>25.084800000000001</v>
      </c>
      <c r="K71" s="380">
        <f t="shared" si="82"/>
        <v>26.067840000000004</v>
      </c>
      <c r="L71" s="380">
        <f t="shared" si="82"/>
        <v>26.854272000000005</v>
      </c>
      <c r="M71" s="380">
        <f t="shared" si="82"/>
        <v>27.483417600000003</v>
      </c>
      <c r="N71" s="380">
        <f t="shared" si="82"/>
        <v>27.986734080000005</v>
      </c>
      <c r="O71" s="380">
        <f t="shared" si="82"/>
        <v>28.389387264000007</v>
      </c>
      <c r="P71" s="380">
        <f t="shared" si="82"/>
        <v>28.711509811200006</v>
      </c>
      <c r="Q71" s="380">
        <f t="shared" si="82"/>
        <v>57.938415697920007</v>
      </c>
      <c r="R71" s="380">
        <f t="shared" si="82"/>
        <v>58.350732558336013</v>
      </c>
      <c r="S71" s="380">
        <f t="shared" si="82"/>
        <v>58.680586046668807</v>
      </c>
      <c r="T71" s="380">
        <f t="shared" si="82"/>
        <v>58.944468837335052</v>
      </c>
      <c r="U71" s="380">
        <f t="shared" si="82"/>
        <v>88.733362604802068</v>
      </c>
      <c r="V71" s="380">
        <f t="shared" si="82"/>
        <v>88.986690083841665</v>
      </c>
      <c r="W71" s="380">
        <f t="shared" si="82"/>
        <v>89.18935206707333</v>
      </c>
      <c r="X71" s="380">
        <f t="shared" si="82"/>
        <v>89.351481653658652</v>
      </c>
      <c r="Y71" s="380">
        <f t="shared" si="82"/>
        <v>89.481185322926919</v>
      </c>
      <c r="Z71" s="380">
        <f t="shared" si="82"/>
        <v>89.584948258341541</v>
      </c>
      <c r="AA71" s="380">
        <f t="shared" si="82"/>
        <v>89.667958606673238</v>
      </c>
      <c r="AB71" s="380">
        <f t="shared" si="82"/>
        <v>89.734366885338602</v>
      </c>
      <c r="AC71" s="380">
        <f t="shared" si="82"/>
        <v>119.71665801102785</v>
      </c>
      <c r="AD71" s="380">
        <f t="shared" si="82"/>
        <v>119.77332640882227</v>
      </c>
      <c r="AE71" s="380">
        <f t="shared" si="82"/>
        <v>119.81866112705782</v>
      </c>
      <c r="AF71" s="380">
        <f t="shared" si="82"/>
        <v>119.85492890164628</v>
      </c>
      <c r="AG71" s="380">
        <f t="shared" si="82"/>
        <v>179.82591468197552</v>
      </c>
      <c r="AH71" s="380">
        <f t="shared" si="82"/>
        <v>179.86073174558044</v>
      </c>
      <c r="AI71" s="380">
        <f t="shared" si="82"/>
        <v>179.88858539646435</v>
      </c>
      <c r="AJ71" s="380">
        <f t="shared" si="82"/>
        <v>179.91086831717149</v>
      </c>
      <c r="AK71" s="380">
        <f t="shared" si="82"/>
        <v>209.91681042936008</v>
      </c>
      <c r="AL71" s="380">
        <f t="shared" si="82"/>
        <v>209.93344834348807</v>
      </c>
      <c r="AM71" s="380">
        <f t="shared" si="82"/>
        <v>209.94675867479043</v>
      </c>
      <c r="AN71" s="380">
        <f t="shared" si="82"/>
        <v>209.95740693983237</v>
      </c>
      <c r="AP71" s="105"/>
    </row>
    <row r="72" spans="2:42" x14ac:dyDescent="0.25">
      <c r="C72" s="20" t="s">
        <v>600</v>
      </c>
      <c r="D72" s="34" t="s">
        <v>162</v>
      </c>
      <c r="E72" s="28">
        <f>MIN('3.1 Market'!$F63,'1.1 Control Panel'!E$538*'1.1 Control Panel'!E541)</f>
        <v>0</v>
      </c>
      <c r="F72" s="28">
        <f>MIN('3.1 Market'!$F63,'1.1 Control Panel'!F$538*'1.1 Control Panel'!F541)</f>
        <v>0</v>
      </c>
      <c r="G72" s="28">
        <f>MIN('3.1 Market'!$F63,'1.1 Control Panel'!G$538*'1.1 Control Panel'!G541)</f>
        <v>0</v>
      </c>
      <c r="H72" s="28">
        <f>MIN('3.1 Market'!$F63,'1.1 Control Panel'!H$538*'1.1 Control Panel'!H541)</f>
        <v>0</v>
      </c>
      <c r="I72" s="28">
        <f>MIN('3.1 Market'!$F63,'1.1 Control Panel'!I$538*'1.1 Control Panel'!I541)</f>
        <v>5</v>
      </c>
      <c r="J72" s="28">
        <f>MIN('3.1 Market'!$F63,'1.1 Control Panel'!J$538*'1.1 Control Panel'!J541)</f>
        <v>5</v>
      </c>
      <c r="K72" s="28">
        <f>MIN('3.1 Market'!$F63,'1.1 Control Panel'!K$538*'1.1 Control Panel'!K541)</f>
        <v>5</v>
      </c>
      <c r="L72" s="28">
        <f>MIN('3.1 Market'!$F63,'1.1 Control Panel'!L$538*'1.1 Control Panel'!L541)</f>
        <v>5</v>
      </c>
      <c r="M72" s="28">
        <f>MIN('3.1 Market'!$F63,'1.1 Control Panel'!M$538*'1.1 Control Panel'!M541)</f>
        <v>5</v>
      </c>
      <c r="N72" s="28">
        <f>MIN('3.1 Market'!$F63,'1.1 Control Panel'!N$538*'1.1 Control Panel'!N541)</f>
        <v>5</v>
      </c>
      <c r="O72" s="28">
        <f>MIN('3.1 Market'!$F63,'1.1 Control Panel'!O$538*'1.1 Control Panel'!O541)</f>
        <v>5</v>
      </c>
      <c r="P72" s="28">
        <f>MIN('3.1 Market'!$F63,'1.1 Control Panel'!P$538*'1.1 Control Panel'!P541)</f>
        <v>5</v>
      </c>
      <c r="Q72" s="28">
        <f>MIN('3.1 Market'!$G63,'1.1 Control Panel'!Q$538*'1.1 Control Panel'!Q541)</f>
        <v>10</v>
      </c>
      <c r="R72" s="28">
        <f>MIN('3.1 Market'!$G63,'1.1 Control Panel'!R$538*'1.1 Control Panel'!R541)</f>
        <v>10</v>
      </c>
      <c r="S72" s="28">
        <f>MIN('3.1 Market'!$G63,'1.1 Control Panel'!S$538*'1.1 Control Panel'!S541)</f>
        <v>10</v>
      </c>
      <c r="T72" s="28">
        <f>MIN('3.1 Market'!$G63,'1.1 Control Panel'!T$538*'1.1 Control Panel'!T541)</f>
        <v>10</v>
      </c>
      <c r="U72" s="28">
        <f>MIN('3.1 Market'!$G63,'1.1 Control Panel'!U$538*'1.1 Control Panel'!U541)</f>
        <v>15</v>
      </c>
      <c r="V72" s="28">
        <f>MIN('3.1 Market'!$G63,'1.1 Control Panel'!V$538*'1.1 Control Panel'!V541)</f>
        <v>15</v>
      </c>
      <c r="W72" s="28">
        <f>MIN('3.1 Market'!$G63,'1.1 Control Panel'!W$538*'1.1 Control Panel'!W541)</f>
        <v>15</v>
      </c>
      <c r="X72" s="28">
        <f>MIN('3.1 Market'!$G63,'1.1 Control Panel'!X$538*'1.1 Control Panel'!X541)</f>
        <v>15</v>
      </c>
      <c r="Y72" s="28">
        <f>MIN('3.1 Market'!$G63,'1.1 Control Panel'!Y$538*'1.1 Control Panel'!Y541)</f>
        <v>15</v>
      </c>
      <c r="Z72" s="28">
        <f>MIN('3.1 Market'!$G63,'1.1 Control Panel'!Z$538*'1.1 Control Panel'!Z541)</f>
        <v>15</v>
      </c>
      <c r="AA72" s="28">
        <f>MIN('3.1 Market'!$G63,'1.1 Control Panel'!AA$538*'1.1 Control Panel'!AA541)</f>
        <v>15</v>
      </c>
      <c r="AB72" s="28">
        <f>MIN('3.1 Market'!$G63,'1.1 Control Panel'!AB$538*'1.1 Control Panel'!AB541)</f>
        <v>15</v>
      </c>
      <c r="AC72" s="28">
        <f>MIN('3.1 Market'!$H63,'1.1 Control Panel'!AC$538*'1.1 Control Panel'!AC541)</f>
        <v>20</v>
      </c>
      <c r="AD72" s="28">
        <f>MIN('3.1 Market'!$H63,'1.1 Control Panel'!AD$538*'1.1 Control Panel'!AD541)</f>
        <v>20</v>
      </c>
      <c r="AE72" s="28">
        <f>MIN('3.1 Market'!$H63,'1.1 Control Panel'!AE$538*'1.1 Control Panel'!AE541)</f>
        <v>20</v>
      </c>
      <c r="AF72" s="28">
        <f>MIN('3.1 Market'!$H63,'1.1 Control Panel'!AF$538*'1.1 Control Panel'!AF541)</f>
        <v>20</v>
      </c>
      <c r="AG72" s="28">
        <f>MIN('3.1 Market'!$H63,'1.1 Control Panel'!AG$538*'1.1 Control Panel'!AG541)</f>
        <v>30</v>
      </c>
      <c r="AH72" s="28">
        <f>MIN('3.1 Market'!$H63,'1.1 Control Panel'!AH$538*'1.1 Control Panel'!AH541)</f>
        <v>30</v>
      </c>
      <c r="AI72" s="28">
        <f>MIN('3.1 Market'!$H63,'1.1 Control Panel'!AI$538*'1.1 Control Panel'!AI541)</f>
        <v>30</v>
      </c>
      <c r="AJ72" s="28">
        <f>MIN('3.1 Market'!$H63,'1.1 Control Panel'!AJ$538*'1.1 Control Panel'!AJ541)</f>
        <v>30</v>
      </c>
      <c r="AK72" s="28">
        <f>MIN('3.1 Market'!$H63,'1.1 Control Panel'!AK$538*'1.1 Control Panel'!AK541)</f>
        <v>35</v>
      </c>
      <c r="AL72" s="28">
        <f>MIN('3.1 Market'!$H63,'1.1 Control Panel'!AL$538*'1.1 Control Panel'!AL541)</f>
        <v>35</v>
      </c>
      <c r="AM72" s="28">
        <f>MIN('3.1 Market'!$H63,'1.1 Control Panel'!AM$538*'1.1 Control Panel'!AM541)</f>
        <v>35</v>
      </c>
      <c r="AN72" s="28">
        <f>MIN('3.1 Market'!$H63,'1.1 Control Panel'!AN$538*'1.1 Control Panel'!AN541)</f>
        <v>35</v>
      </c>
      <c r="AP72" s="20"/>
    </row>
    <row r="73" spans="2:42" x14ac:dyDescent="0.25">
      <c r="C73" s="20" t="s">
        <v>392</v>
      </c>
      <c r="D73" s="34" t="s">
        <v>162</v>
      </c>
      <c r="E73" s="28">
        <f>MIN('3.1 Market'!$F64,'1.1 Control Panel'!E$538*'1.1 Control Panel'!E542)</f>
        <v>0</v>
      </c>
      <c r="F73" s="28">
        <f>MIN('3.1 Market'!$F64,'1.1 Control Panel'!F$538*'1.1 Control Panel'!F542)</f>
        <v>0</v>
      </c>
      <c r="G73" s="28">
        <f>MIN('3.1 Market'!$F64,'1.1 Control Panel'!G$538*'1.1 Control Panel'!G542)</f>
        <v>0</v>
      </c>
      <c r="H73" s="28">
        <f>MIN('3.1 Market'!$F64,'1.1 Control Panel'!H$538*'1.1 Control Panel'!H542)</f>
        <v>0</v>
      </c>
      <c r="I73" s="28">
        <f>MIN('3.1 Market'!$F64,'1.1 Control Panel'!I$538*'1.1 Control Panel'!I542)</f>
        <v>4.5904000000000007</v>
      </c>
      <c r="J73" s="28">
        <f>MIN('3.1 Market'!$F64,'1.1 Control Panel'!J$538*'1.1 Control Panel'!J542)</f>
        <v>4.6723200000000009</v>
      </c>
      <c r="K73" s="28">
        <f>MIN('3.1 Market'!$F64,'1.1 Control Panel'!K$538*'1.1 Control Panel'!K542)</f>
        <v>4.7378560000000007</v>
      </c>
      <c r="L73" s="28">
        <f>MIN('3.1 Market'!$F64,'1.1 Control Panel'!L$538*'1.1 Control Panel'!L542)</f>
        <v>4.7902848000000002</v>
      </c>
      <c r="M73" s="28">
        <f>MIN('3.1 Market'!$F64,'1.1 Control Panel'!M$538*'1.1 Control Panel'!M542)</f>
        <v>4.8322278399999998</v>
      </c>
      <c r="N73" s="28">
        <f>MIN('3.1 Market'!$F64,'1.1 Control Panel'!N$538*'1.1 Control Panel'!N542)</f>
        <v>4.8657822720000006</v>
      </c>
      <c r="O73" s="28">
        <f>MIN('3.1 Market'!$F64,'1.1 Control Panel'!O$538*'1.1 Control Panel'!O542)</f>
        <v>4.8926258176000008</v>
      </c>
      <c r="P73" s="28">
        <f>MIN('3.1 Market'!$F64,'1.1 Control Panel'!P$538*'1.1 Control Panel'!P542)</f>
        <v>4.9141006540800003</v>
      </c>
      <c r="Q73" s="28">
        <f>MIN('3.1 Market'!$G64,'1.1 Control Panel'!Q$538*'1.1 Control Panel'!Q542)</f>
        <v>9.8625610465280005</v>
      </c>
      <c r="R73" s="28">
        <f>MIN('3.1 Market'!$G64,'1.1 Control Panel'!R$538*'1.1 Control Panel'!R542)</f>
        <v>9.8900488372224018</v>
      </c>
      <c r="S73" s="28">
        <f>MIN('3.1 Market'!$G64,'1.1 Control Panel'!S$538*'1.1 Control Panel'!S542)</f>
        <v>9.9120390697779222</v>
      </c>
      <c r="T73" s="28">
        <f>MIN('3.1 Market'!$G64,'1.1 Control Panel'!T$538*'1.1 Control Panel'!T542)</f>
        <v>9.9296312558223381</v>
      </c>
      <c r="U73" s="28">
        <f>MIN('3.1 Market'!$G64,'1.1 Control Panel'!U$538*'1.1 Control Panel'!U542)</f>
        <v>14.915557506986808</v>
      </c>
      <c r="V73" s="28">
        <f>MIN('3.1 Market'!$G64,'1.1 Control Panel'!V$538*'1.1 Control Panel'!V542)</f>
        <v>14.932446005589448</v>
      </c>
      <c r="W73" s="28">
        <f>MIN('3.1 Market'!$G64,'1.1 Control Panel'!W$538*'1.1 Control Panel'!W542)</f>
        <v>14.945956804471558</v>
      </c>
      <c r="X73" s="28">
        <f>MIN('3.1 Market'!$G64,'1.1 Control Panel'!X$538*'1.1 Control Panel'!X542)</f>
        <v>14.956765443577247</v>
      </c>
      <c r="Y73" s="28">
        <f>MIN('3.1 Market'!$G64,'1.1 Control Panel'!Y$538*'1.1 Control Panel'!Y542)</f>
        <v>14.965412354861797</v>
      </c>
      <c r="Z73" s="28">
        <f>MIN('3.1 Market'!$G64,'1.1 Control Panel'!Z$538*'1.1 Control Panel'!Z542)</f>
        <v>14.97232988388944</v>
      </c>
      <c r="AA73" s="28">
        <f>MIN('3.1 Market'!$G64,'1.1 Control Panel'!AA$538*'1.1 Control Panel'!AA542)</f>
        <v>14.977863907111553</v>
      </c>
      <c r="AB73" s="28">
        <f>MIN('3.1 Market'!$G64,'1.1 Control Panel'!AB$538*'1.1 Control Panel'!AB542)</f>
        <v>14.982291125689244</v>
      </c>
      <c r="AC73" s="28">
        <f>MIN('3.1 Market'!$H64,'1.1 Control Panel'!AC$538*'1.1 Control Panel'!AC542)</f>
        <v>19.981110534068527</v>
      </c>
      <c r="AD73" s="28">
        <f>MIN('3.1 Market'!$H64,'1.1 Control Panel'!AD$538*'1.1 Control Panel'!AD542)</f>
        <v>19.984888427254823</v>
      </c>
      <c r="AE73" s="28">
        <f>MIN('3.1 Market'!$H64,'1.1 Control Panel'!AE$538*'1.1 Control Panel'!AE542)</f>
        <v>19.987910741803859</v>
      </c>
      <c r="AF73" s="28">
        <f>MIN('3.1 Market'!$H64,'1.1 Control Panel'!AF$538*'1.1 Control Panel'!AF542)</f>
        <v>19.990328593443088</v>
      </c>
      <c r="AG73" s="28">
        <f>MIN('3.1 Market'!$H64,'1.1 Control Panel'!AG$538*'1.1 Control Panel'!AG542)</f>
        <v>29.98839431213171</v>
      </c>
      <c r="AH73" s="28">
        <f>MIN('3.1 Market'!$H64,'1.1 Control Panel'!AH$538*'1.1 Control Panel'!AH542)</f>
        <v>29.990715449705366</v>
      </c>
      <c r="AI73" s="28">
        <f>MIN('3.1 Market'!$H64,'1.1 Control Panel'!AI$538*'1.1 Control Panel'!AI542)</f>
        <v>29.992572359764296</v>
      </c>
      <c r="AJ73" s="28">
        <f>MIN('3.1 Market'!$H64,'1.1 Control Panel'!AJ$538*'1.1 Control Panel'!AJ542)</f>
        <v>29.994057887811433</v>
      </c>
      <c r="AK73" s="28">
        <f>MIN('3.1 Market'!$H64,'1.1 Control Panel'!AK$538*'1.1 Control Panel'!AK542)</f>
        <v>34.994454028624006</v>
      </c>
      <c r="AL73" s="28">
        <f>MIN('3.1 Market'!$H64,'1.1 Control Panel'!AL$538*'1.1 Control Panel'!AL542)</f>
        <v>34.995563222899207</v>
      </c>
      <c r="AM73" s="28">
        <f>MIN('3.1 Market'!$H64,'1.1 Control Panel'!AM$538*'1.1 Control Panel'!AM542)</f>
        <v>34.996450578319362</v>
      </c>
      <c r="AN73" s="28">
        <f>MIN('3.1 Market'!$H64,'1.1 Control Panel'!AN$538*'1.1 Control Panel'!AN542)</f>
        <v>34.997160462655486</v>
      </c>
      <c r="AP73" s="20"/>
    </row>
    <row r="74" spans="2:42" x14ac:dyDescent="0.25">
      <c r="C74" s="20" t="s">
        <v>454</v>
      </c>
      <c r="D74" s="34" t="s">
        <v>162</v>
      </c>
      <c r="E74" s="28">
        <f>MIN('3.1 Market'!$F65,'1.1 Control Panel'!E$538*'1.1 Control Panel'!E543)</f>
        <v>0</v>
      </c>
      <c r="F74" s="28">
        <f>MIN('3.1 Market'!$F65,'1.1 Control Panel'!F$538*'1.1 Control Panel'!F543)</f>
        <v>0</v>
      </c>
      <c r="G74" s="28">
        <f>MIN('3.1 Market'!$F65,'1.1 Control Panel'!G$538*'1.1 Control Panel'!G543)</f>
        <v>0</v>
      </c>
      <c r="H74" s="28">
        <f>MIN('3.1 Market'!$F65,'1.1 Control Panel'!H$538*'1.1 Control Panel'!H543)</f>
        <v>0</v>
      </c>
      <c r="I74" s="28">
        <f>MIN('3.1 Market'!$F65,'1.1 Control Panel'!I$538*'1.1 Control Panel'!I543)</f>
        <v>4.1808000000000014</v>
      </c>
      <c r="J74" s="28">
        <f>MIN('3.1 Market'!$F65,'1.1 Control Panel'!J$538*'1.1 Control Panel'!J543)</f>
        <v>4.3446400000000018</v>
      </c>
      <c r="K74" s="28">
        <f>MIN('3.1 Market'!$F65,'1.1 Control Panel'!K$538*'1.1 Control Panel'!K543)</f>
        <v>4.4757120000000015</v>
      </c>
      <c r="L74" s="28">
        <f>MIN('3.1 Market'!$F65,'1.1 Control Panel'!L$538*'1.1 Control Panel'!L543)</f>
        <v>4.5805696000000014</v>
      </c>
      <c r="M74" s="28">
        <f>MIN('3.1 Market'!$F65,'1.1 Control Panel'!M$538*'1.1 Control Panel'!M543)</f>
        <v>4.6644556800000014</v>
      </c>
      <c r="N74" s="28">
        <f>MIN('3.1 Market'!$F65,'1.1 Control Panel'!N$538*'1.1 Control Panel'!N543)</f>
        <v>4.7315645440000011</v>
      </c>
      <c r="O74" s="28">
        <f>MIN('3.1 Market'!$F65,'1.1 Control Panel'!O$538*'1.1 Control Panel'!O543)</f>
        <v>4.7852516352000016</v>
      </c>
      <c r="P74" s="28">
        <f>MIN('3.1 Market'!$F65,'1.1 Control Panel'!P$538*'1.1 Control Panel'!P543)</f>
        <v>4.8282013081600015</v>
      </c>
      <c r="Q74" s="28">
        <f>MIN('3.1 Market'!$G65,'1.1 Control Panel'!Q$538*'1.1 Control Panel'!Q543)</f>
        <v>9.7251220930560027</v>
      </c>
      <c r="R74" s="28">
        <f>MIN('3.1 Market'!$G65,'1.1 Control Panel'!R$538*'1.1 Control Panel'!R543)</f>
        <v>9.7800976744448036</v>
      </c>
      <c r="S74" s="28">
        <f>MIN('3.1 Market'!$G65,'1.1 Control Panel'!S$538*'1.1 Control Panel'!S543)</f>
        <v>9.8240781395558443</v>
      </c>
      <c r="T74" s="28">
        <f>MIN('3.1 Market'!$G65,'1.1 Control Panel'!T$538*'1.1 Control Panel'!T543)</f>
        <v>9.8592625116446762</v>
      </c>
      <c r="U74" s="28">
        <f>MIN('3.1 Market'!$G65,'1.1 Control Panel'!U$538*'1.1 Control Panel'!U543)</f>
        <v>14.83111501397361</v>
      </c>
      <c r="V74" s="28">
        <f>MIN('3.1 Market'!$G65,'1.1 Control Panel'!V$538*'1.1 Control Panel'!V543)</f>
        <v>14.864892011178888</v>
      </c>
      <c r="W74" s="28">
        <f>MIN('3.1 Market'!$G65,'1.1 Control Panel'!W$538*'1.1 Control Panel'!W543)</f>
        <v>14.891913608943112</v>
      </c>
      <c r="X74" s="28">
        <f>MIN('3.1 Market'!$G65,'1.1 Control Panel'!X$538*'1.1 Control Panel'!X543)</f>
        <v>14.913530887154488</v>
      </c>
      <c r="Y74" s="28">
        <f>MIN('3.1 Market'!$G65,'1.1 Control Panel'!Y$538*'1.1 Control Panel'!Y543)</f>
        <v>14.93082470972359</v>
      </c>
      <c r="Z74" s="28">
        <f>MIN('3.1 Market'!$G65,'1.1 Control Panel'!Z$538*'1.1 Control Panel'!Z543)</f>
        <v>14.944659767778873</v>
      </c>
      <c r="AA74" s="28">
        <f>MIN('3.1 Market'!$G65,'1.1 Control Panel'!AA$538*'1.1 Control Panel'!AA543)</f>
        <v>14.955727814223099</v>
      </c>
      <c r="AB74" s="28">
        <f>MIN('3.1 Market'!$G65,'1.1 Control Panel'!AB$538*'1.1 Control Panel'!AB543)</f>
        <v>14.964582251378481</v>
      </c>
      <c r="AC74" s="28">
        <f>MIN('3.1 Market'!$H65,'1.1 Control Panel'!AC$538*'1.1 Control Panel'!AC543)</f>
        <v>19.962221068137048</v>
      </c>
      <c r="AD74" s="28">
        <f>MIN('3.1 Market'!$H65,'1.1 Control Panel'!AD$538*'1.1 Control Panel'!AD543)</f>
        <v>19.969776854509639</v>
      </c>
      <c r="AE74" s="28">
        <f>MIN('3.1 Market'!$H65,'1.1 Control Panel'!AE$538*'1.1 Control Panel'!AE543)</f>
        <v>19.97582148360771</v>
      </c>
      <c r="AF74" s="28">
        <f>MIN('3.1 Market'!$H65,'1.1 Control Panel'!AF$538*'1.1 Control Panel'!AF543)</f>
        <v>19.98065718688617</v>
      </c>
      <c r="AG74" s="28">
        <f>MIN('3.1 Market'!$H65,'1.1 Control Panel'!AG$538*'1.1 Control Panel'!AG543)</f>
        <v>29.976788624263406</v>
      </c>
      <c r="AH74" s="28">
        <f>MIN('3.1 Market'!$H65,'1.1 Control Panel'!AH$538*'1.1 Control Panel'!AH543)</f>
        <v>29.981430899410721</v>
      </c>
      <c r="AI74" s="28">
        <f>MIN('3.1 Market'!$H65,'1.1 Control Panel'!AI$538*'1.1 Control Panel'!AI543)</f>
        <v>29.985144719528577</v>
      </c>
      <c r="AJ74" s="28">
        <f>MIN('3.1 Market'!$H65,'1.1 Control Panel'!AJ$538*'1.1 Control Panel'!AJ543)</f>
        <v>29.988115775622866</v>
      </c>
      <c r="AK74" s="28">
        <f>MIN('3.1 Market'!$H65,'1.1 Control Panel'!AK$538*'1.1 Control Panel'!AK543)</f>
        <v>34.988908057248004</v>
      </c>
      <c r="AL74" s="28">
        <f>MIN('3.1 Market'!$H65,'1.1 Control Panel'!AL$538*'1.1 Control Panel'!AL543)</f>
        <v>34.9911264457984</v>
      </c>
      <c r="AM74" s="28">
        <f>MIN('3.1 Market'!$H65,'1.1 Control Panel'!AM$538*'1.1 Control Panel'!AM543)</f>
        <v>34.992901156638723</v>
      </c>
      <c r="AN74" s="28">
        <f>MIN('3.1 Market'!$H65,'1.1 Control Panel'!AN$538*'1.1 Control Panel'!AN543)</f>
        <v>34.99432092531098</v>
      </c>
      <c r="AP74" s="20"/>
    </row>
    <row r="75" spans="2:42" x14ac:dyDescent="0.25">
      <c r="C75" s="21" t="s">
        <v>455</v>
      </c>
      <c r="D75" s="38" t="s">
        <v>162</v>
      </c>
      <c r="E75" s="376">
        <f>MIN('3.1 Market'!$F66,'1.1 Control Panel'!E$538*'1.1 Control Panel'!E544)</f>
        <v>0</v>
      </c>
      <c r="F75" s="376">
        <f>MIN('3.1 Market'!$F66,'1.1 Control Panel'!F$538*'1.1 Control Panel'!F544)</f>
        <v>0</v>
      </c>
      <c r="G75" s="376">
        <f>MIN('3.1 Market'!$F66,'1.1 Control Panel'!G$538*'1.1 Control Panel'!G544)</f>
        <v>0</v>
      </c>
      <c r="H75" s="376">
        <f>MIN('3.1 Market'!$F66,'1.1 Control Panel'!H$538*'1.1 Control Panel'!H544)</f>
        <v>0</v>
      </c>
      <c r="I75" s="376">
        <f>MIN('3.1 Market'!$F66,'1.1 Control Panel'!I$538*'1.1 Control Panel'!I544)</f>
        <v>3.7712000000000003</v>
      </c>
      <c r="J75" s="376">
        <f>MIN('3.1 Market'!$F66,'1.1 Control Panel'!J$538*'1.1 Control Panel'!J544)</f>
        <v>4.016960000000001</v>
      </c>
      <c r="K75" s="376">
        <f>MIN('3.1 Market'!$F66,'1.1 Control Panel'!K$538*'1.1 Control Panel'!K544)</f>
        <v>4.2135680000000004</v>
      </c>
      <c r="L75" s="376">
        <f>MIN('3.1 Market'!$F66,'1.1 Control Panel'!L$538*'1.1 Control Panel'!L544)</f>
        <v>4.3708544000000007</v>
      </c>
      <c r="M75" s="376">
        <f>MIN('3.1 Market'!$F66,'1.1 Control Panel'!M$538*'1.1 Control Panel'!M544)</f>
        <v>4.4966835200000013</v>
      </c>
      <c r="N75" s="376">
        <f>MIN('3.1 Market'!$F66,'1.1 Control Panel'!N$538*'1.1 Control Panel'!N544)</f>
        <v>4.5973468160000017</v>
      </c>
      <c r="O75" s="376">
        <f>MIN('3.1 Market'!$F66,'1.1 Control Panel'!O$538*'1.1 Control Panel'!O544)</f>
        <v>4.6778774528000016</v>
      </c>
      <c r="P75" s="376">
        <f>MIN('3.1 Market'!$F66,'1.1 Control Panel'!P$538*'1.1 Control Panel'!P544)</f>
        <v>4.7423019622400009</v>
      </c>
      <c r="Q75" s="376">
        <f>MIN('3.1 Market'!$G66,'1.1 Control Panel'!Q$538*'1.1 Control Panel'!Q544)</f>
        <v>9.5876831395840014</v>
      </c>
      <c r="R75" s="376">
        <f>MIN('3.1 Market'!$G66,'1.1 Control Panel'!R$538*'1.1 Control Panel'!R544)</f>
        <v>9.6701465116672018</v>
      </c>
      <c r="S75" s="376">
        <f>MIN('3.1 Market'!$G66,'1.1 Control Panel'!S$538*'1.1 Control Panel'!S544)</f>
        <v>9.7361172093337629</v>
      </c>
      <c r="T75" s="376">
        <f>MIN('3.1 Market'!$G66,'1.1 Control Panel'!T$538*'1.1 Control Panel'!T544)</f>
        <v>9.7888937674670107</v>
      </c>
      <c r="U75" s="376">
        <f>MIN('3.1 Market'!$G66,'1.1 Control Panel'!U$538*'1.1 Control Panel'!U544)</f>
        <v>14.746672520960413</v>
      </c>
      <c r="V75" s="376">
        <f>MIN('3.1 Market'!$G66,'1.1 Control Panel'!V$538*'1.1 Control Panel'!V544)</f>
        <v>14.797338016768332</v>
      </c>
      <c r="W75" s="376">
        <f>MIN('3.1 Market'!$G66,'1.1 Control Panel'!W$538*'1.1 Control Panel'!W544)</f>
        <v>14.837870413414665</v>
      </c>
      <c r="X75" s="376">
        <f>MIN('3.1 Market'!$G66,'1.1 Control Panel'!X$538*'1.1 Control Panel'!X544)</f>
        <v>14.870296330731733</v>
      </c>
      <c r="Y75" s="376">
        <f>MIN('3.1 Market'!$G66,'1.1 Control Panel'!Y$538*'1.1 Control Panel'!Y544)</f>
        <v>14.896237064585387</v>
      </c>
      <c r="Z75" s="376">
        <f>MIN('3.1 Market'!$G66,'1.1 Control Panel'!Z$538*'1.1 Control Panel'!Z544)</f>
        <v>14.91698965166831</v>
      </c>
      <c r="AA75" s="376">
        <f>MIN('3.1 Market'!$G66,'1.1 Control Panel'!AA$538*'1.1 Control Panel'!AA544)</f>
        <v>14.933591721334649</v>
      </c>
      <c r="AB75" s="376">
        <f>MIN('3.1 Market'!$G66,'1.1 Control Panel'!AB$538*'1.1 Control Panel'!AB544)</f>
        <v>14.946873377067721</v>
      </c>
      <c r="AC75" s="376">
        <f>MIN('3.1 Market'!$H66,'1.1 Control Panel'!AC$538*'1.1 Control Panel'!AC544)</f>
        <v>19.943331602205568</v>
      </c>
      <c r="AD75" s="28">
        <f>MIN('3.1 Market'!$H66,'1.1 Control Panel'!AD$538*'1.1 Control Panel'!AD544)</f>
        <v>19.954665281764456</v>
      </c>
      <c r="AE75" s="28">
        <f>MIN('3.1 Market'!$H66,'1.1 Control Panel'!AE$538*'1.1 Control Panel'!AE544)</f>
        <v>19.963732225411565</v>
      </c>
      <c r="AF75" s="28">
        <f>MIN('3.1 Market'!$H66,'1.1 Control Panel'!AF$538*'1.1 Control Panel'!AF544)</f>
        <v>19.970985780329251</v>
      </c>
      <c r="AG75" s="28">
        <f>MIN('3.1 Market'!$H66,'1.1 Control Panel'!AG$538*'1.1 Control Panel'!AG544)</f>
        <v>29.965182936395099</v>
      </c>
      <c r="AH75" s="28">
        <f>MIN('3.1 Market'!$H66,'1.1 Control Panel'!AH$538*'1.1 Control Panel'!AH544)</f>
        <v>29.972146349116077</v>
      </c>
      <c r="AI75" s="28">
        <f>MIN('3.1 Market'!$H66,'1.1 Control Panel'!AI$538*'1.1 Control Panel'!AI544)</f>
        <v>29.977717079292866</v>
      </c>
      <c r="AJ75" s="28">
        <f>MIN('3.1 Market'!$H66,'1.1 Control Panel'!AJ$538*'1.1 Control Panel'!AJ544)</f>
        <v>29.982173663434295</v>
      </c>
      <c r="AK75" s="28">
        <f>MIN('3.1 Market'!$H66,'1.1 Control Panel'!AK$538*'1.1 Control Panel'!AK544)</f>
        <v>34.98336208587201</v>
      </c>
      <c r="AL75" s="28">
        <f>MIN('3.1 Market'!$H66,'1.1 Control Panel'!AL$538*'1.1 Control Panel'!AL544)</f>
        <v>34.986689668697608</v>
      </c>
      <c r="AM75" s="28">
        <f>MIN('3.1 Market'!$H66,'1.1 Control Panel'!AM$538*'1.1 Control Panel'!AM544)</f>
        <v>34.989351734958092</v>
      </c>
      <c r="AN75" s="28">
        <f>MIN('3.1 Market'!$H66,'1.1 Control Panel'!AN$538*'1.1 Control Panel'!AN544)</f>
        <v>34.991481387966473</v>
      </c>
      <c r="AP75" s="21"/>
    </row>
    <row r="76" spans="2:42" x14ac:dyDescent="0.25">
      <c r="C76" s="21" t="s">
        <v>393</v>
      </c>
      <c r="D76" s="38" t="s">
        <v>162</v>
      </c>
      <c r="E76" s="376">
        <f>MIN('3.1 Market'!$F67,'1.1 Control Panel'!E$538*'1.1 Control Panel'!E545)</f>
        <v>0</v>
      </c>
      <c r="F76" s="376">
        <f>MIN('3.1 Market'!$F67,'1.1 Control Panel'!F$538*'1.1 Control Panel'!F545)</f>
        <v>0</v>
      </c>
      <c r="G76" s="376">
        <f>MIN('3.1 Market'!$F67,'1.1 Control Panel'!G$538*'1.1 Control Panel'!G545)</f>
        <v>0</v>
      </c>
      <c r="H76" s="376">
        <f>MIN('3.1 Market'!$F67,'1.1 Control Panel'!H$538*'1.1 Control Panel'!H545)</f>
        <v>0</v>
      </c>
      <c r="I76" s="376">
        <f>MIN('3.1 Market'!$F67,'1.1 Control Panel'!I$538*'1.1 Control Panel'!I545)</f>
        <v>3.3616000000000006</v>
      </c>
      <c r="J76" s="376">
        <f>MIN('3.1 Market'!$F67,'1.1 Control Panel'!J$538*'1.1 Control Panel'!J545)</f>
        <v>3.6892800000000006</v>
      </c>
      <c r="K76" s="376">
        <f>MIN('3.1 Market'!$F67,'1.1 Control Panel'!K$538*'1.1 Control Panel'!K545)</f>
        <v>3.9514240000000007</v>
      </c>
      <c r="L76" s="376">
        <f>MIN('3.1 Market'!$F67,'1.1 Control Panel'!L$538*'1.1 Control Panel'!L545)</f>
        <v>4.1611392000000009</v>
      </c>
      <c r="M76" s="376">
        <f>MIN('3.1 Market'!$F67,'1.1 Control Panel'!M$538*'1.1 Control Panel'!M545)</f>
        <v>4.3289113600000011</v>
      </c>
      <c r="N76" s="376">
        <f>MIN('3.1 Market'!$F67,'1.1 Control Panel'!N$538*'1.1 Control Panel'!N545)</f>
        <v>4.4631290880000005</v>
      </c>
      <c r="O76" s="376">
        <f>MIN('3.1 Market'!$F67,'1.1 Control Panel'!O$538*'1.1 Control Panel'!O545)</f>
        <v>4.5705032704000006</v>
      </c>
      <c r="P76" s="376">
        <f>MIN('3.1 Market'!$F67,'1.1 Control Panel'!P$538*'1.1 Control Panel'!P545)</f>
        <v>4.6564026163200012</v>
      </c>
      <c r="Q76" s="376">
        <f>MIN('3.1 Market'!$G67,'1.1 Control Panel'!Q$538*'1.1 Control Panel'!Q545)</f>
        <v>9.4502441861120019</v>
      </c>
      <c r="R76" s="376">
        <f>MIN('3.1 Market'!$G67,'1.1 Control Panel'!R$538*'1.1 Control Panel'!R545)</f>
        <v>9.5601953488896019</v>
      </c>
      <c r="S76" s="376">
        <f>MIN('3.1 Market'!$G67,'1.1 Control Panel'!S$538*'1.1 Control Panel'!S545)</f>
        <v>9.6481562791116815</v>
      </c>
      <c r="T76" s="376">
        <f>MIN('3.1 Market'!$G67,'1.1 Control Panel'!T$538*'1.1 Control Panel'!T545)</f>
        <v>9.7185250232893452</v>
      </c>
      <c r="U76" s="376">
        <f>MIN('3.1 Market'!$G67,'1.1 Control Panel'!U$538*'1.1 Control Panel'!U545)</f>
        <v>14.662230027947215</v>
      </c>
      <c r="V76" s="376">
        <f>MIN('3.1 Market'!$G67,'1.1 Control Panel'!V$538*'1.1 Control Panel'!V545)</f>
        <v>14.729784022357771</v>
      </c>
      <c r="W76" s="376">
        <f>MIN('3.1 Market'!$G67,'1.1 Control Panel'!W$538*'1.1 Control Panel'!W545)</f>
        <v>14.783827217886218</v>
      </c>
      <c r="X76" s="376">
        <f>MIN('3.1 Market'!$G67,'1.1 Control Panel'!X$538*'1.1 Control Panel'!X545)</f>
        <v>14.827061774308977</v>
      </c>
      <c r="Y76" s="376">
        <f>MIN('3.1 Market'!$G67,'1.1 Control Panel'!Y$538*'1.1 Control Panel'!Y545)</f>
        <v>14.861649419447183</v>
      </c>
      <c r="Z76" s="376">
        <f>MIN('3.1 Market'!$G67,'1.1 Control Panel'!Z$538*'1.1 Control Panel'!Z545)</f>
        <v>14.889319535557744</v>
      </c>
      <c r="AA76" s="376">
        <f>MIN('3.1 Market'!$G67,'1.1 Control Panel'!AA$538*'1.1 Control Panel'!AA545)</f>
        <v>14.911455628446197</v>
      </c>
      <c r="AB76" s="376">
        <f>MIN('3.1 Market'!$G67,'1.1 Control Panel'!AB$538*'1.1 Control Panel'!AB545)</f>
        <v>14.929164502756956</v>
      </c>
      <c r="AC76" s="376">
        <f>MIN('3.1 Market'!$H67,'1.1 Control Panel'!AC$538*'1.1 Control Panel'!AC545)</f>
        <v>19.924442136274088</v>
      </c>
      <c r="AD76" s="28">
        <f>MIN('3.1 Market'!$H67,'1.1 Control Panel'!AD$538*'1.1 Control Panel'!AD545)</f>
        <v>19.939553709019272</v>
      </c>
      <c r="AE76" s="28">
        <f>MIN('3.1 Market'!$H67,'1.1 Control Panel'!AE$538*'1.1 Control Panel'!AE545)</f>
        <v>19.95164296721542</v>
      </c>
      <c r="AF76" s="28">
        <f>MIN('3.1 Market'!$H67,'1.1 Control Panel'!AF$538*'1.1 Control Panel'!AF545)</f>
        <v>19.961314373772339</v>
      </c>
      <c r="AG76" s="28">
        <f>MIN('3.1 Market'!$H67,'1.1 Control Panel'!AG$538*'1.1 Control Panel'!AG545)</f>
        <v>29.953577248526809</v>
      </c>
      <c r="AH76" s="28">
        <f>MIN('3.1 Market'!$H67,'1.1 Control Panel'!AH$538*'1.1 Control Panel'!AH545)</f>
        <v>29.96286179882145</v>
      </c>
      <c r="AI76" s="28">
        <f>MIN('3.1 Market'!$H67,'1.1 Control Panel'!AI$538*'1.1 Control Panel'!AI545)</f>
        <v>29.970289439057161</v>
      </c>
      <c r="AJ76" s="28">
        <f>MIN('3.1 Market'!$H67,'1.1 Control Panel'!AJ$538*'1.1 Control Panel'!AJ545)</f>
        <v>29.976231551245732</v>
      </c>
      <c r="AK76" s="28">
        <f>MIN('3.1 Market'!$H67,'1.1 Control Panel'!AK$538*'1.1 Control Panel'!AK545)</f>
        <v>34.977816114496015</v>
      </c>
      <c r="AL76" s="28">
        <f>MIN('3.1 Market'!$H67,'1.1 Control Panel'!AL$538*'1.1 Control Panel'!AL545)</f>
        <v>34.982252891596815</v>
      </c>
      <c r="AM76" s="28">
        <f>MIN('3.1 Market'!$H67,'1.1 Control Panel'!AM$538*'1.1 Control Panel'!AM545)</f>
        <v>34.985802313277453</v>
      </c>
      <c r="AN76" s="28">
        <f>MIN('3.1 Market'!$H67,'1.1 Control Panel'!AN$538*'1.1 Control Panel'!AN545)</f>
        <v>34.988641850621967</v>
      </c>
      <c r="AP76" s="21"/>
    </row>
    <row r="77" spans="2:42" x14ac:dyDescent="0.25">
      <c r="C77" s="21" t="s">
        <v>456</v>
      </c>
      <c r="D77" s="38" t="s">
        <v>162</v>
      </c>
      <c r="E77" s="376">
        <f>MIN('3.1 Market'!$F68,'1.1 Control Panel'!E$538*'1.1 Control Panel'!E546)</f>
        <v>0</v>
      </c>
      <c r="F77" s="376">
        <f>MIN('3.1 Market'!$F68,'1.1 Control Panel'!F$538*'1.1 Control Panel'!F546)</f>
        <v>0</v>
      </c>
      <c r="G77" s="376">
        <f>MIN('3.1 Market'!$F68,'1.1 Control Panel'!G$538*'1.1 Control Panel'!G546)</f>
        <v>0</v>
      </c>
      <c r="H77" s="376">
        <f>MIN('3.1 Market'!$F68,'1.1 Control Panel'!H$538*'1.1 Control Panel'!H546)</f>
        <v>0</v>
      </c>
      <c r="I77" s="376">
        <f>MIN('3.1 Market'!$F68,'1.1 Control Panel'!I$538*'1.1 Control Panel'!I546)</f>
        <v>2.9520000000000004</v>
      </c>
      <c r="J77" s="376">
        <f>MIN('3.1 Market'!$F68,'1.1 Control Panel'!J$538*'1.1 Control Panel'!J546)</f>
        <v>3.3616000000000006</v>
      </c>
      <c r="K77" s="376">
        <f>MIN('3.1 Market'!$F68,'1.1 Control Panel'!K$538*'1.1 Control Panel'!K546)</f>
        <v>3.6892800000000006</v>
      </c>
      <c r="L77" s="376">
        <f>MIN('3.1 Market'!$F68,'1.1 Control Panel'!L$538*'1.1 Control Panel'!L546)</f>
        <v>3.9514240000000007</v>
      </c>
      <c r="M77" s="376">
        <f>MIN('3.1 Market'!$F68,'1.1 Control Panel'!M$538*'1.1 Control Panel'!M546)</f>
        <v>4.1611392000000009</v>
      </c>
      <c r="N77" s="376">
        <f>MIN('3.1 Market'!$F68,'1.1 Control Panel'!N$538*'1.1 Control Panel'!N546)</f>
        <v>4.3289113600000011</v>
      </c>
      <c r="O77" s="376">
        <f>MIN('3.1 Market'!$F68,'1.1 Control Panel'!O$538*'1.1 Control Panel'!O546)</f>
        <v>4.4631290880000005</v>
      </c>
      <c r="P77" s="376">
        <f>MIN('3.1 Market'!$F68,'1.1 Control Panel'!P$538*'1.1 Control Panel'!P546)</f>
        <v>4.5705032704000006</v>
      </c>
      <c r="Q77" s="376">
        <f>MIN('3.1 Market'!$G68,'1.1 Control Panel'!Q$538*'1.1 Control Panel'!Q546)</f>
        <v>9.3128052326400024</v>
      </c>
      <c r="R77" s="376">
        <f>MIN('3.1 Market'!$G68,'1.1 Control Panel'!R$538*'1.1 Control Panel'!R546)</f>
        <v>9.4502441861120019</v>
      </c>
      <c r="S77" s="376">
        <f>MIN('3.1 Market'!$G68,'1.1 Control Panel'!S$538*'1.1 Control Panel'!S546)</f>
        <v>9.5601953488896019</v>
      </c>
      <c r="T77" s="376">
        <f>MIN('3.1 Market'!$G68,'1.1 Control Panel'!T$538*'1.1 Control Panel'!T546)</f>
        <v>9.6481562791116815</v>
      </c>
      <c r="U77" s="376">
        <f>MIN('3.1 Market'!$G68,'1.1 Control Panel'!U$538*'1.1 Control Panel'!U546)</f>
        <v>14.577787534934018</v>
      </c>
      <c r="V77" s="376">
        <f>MIN('3.1 Market'!$G68,'1.1 Control Panel'!V$538*'1.1 Control Panel'!V546)</f>
        <v>14.662230027947215</v>
      </c>
      <c r="W77" s="376">
        <f>MIN('3.1 Market'!$G68,'1.1 Control Panel'!W$538*'1.1 Control Panel'!W546)</f>
        <v>14.729784022357771</v>
      </c>
      <c r="X77" s="376">
        <f>MIN('3.1 Market'!$G68,'1.1 Control Panel'!X$538*'1.1 Control Panel'!X546)</f>
        <v>14.783827217886218</v>
      </c>
      <c r="Y77" s="376">
        <f>MIN('3.1 Market'!$G68,'1.1 Control Panel'!Y$538*'1.1 Control Panel'!Y546)</f>
        <v>14.827061774308977</v>
      </c>
      <c r="Z77" s="376">
        <f>MIN('3.1 Market'!$G68,'1.1 Control Panel'!Z$538*'1.1 Control Panel'!Z546)</f>
        <v>14.861649419447183</v>
      </c>
      <c r="AA77" s="376">
        <f>MIN('3.1 Market'!$G68,'1.1 Control Panel'!AA$538*'1.1 Control Panel'!AA546)</f>
        <v>14.889319535557744</v>
      </c>
      <c r="AB77" s="376">
        <f>MIN('3.1 Market'!$G68,'1.1 Control Panel'!AB$538*'1.1 Control Panel'!AB546)</f>
        <v>14.911455628446197</v>
      </c>
      <c r="AC77" s="376">
        <f>MIN('3.1 Market'!$H68,'1.1 Control Panel'!AC$538*'1.1 Control Panel'!AC546)</f>
        <v>19.905552670342608</v>
      </c>
      <c r="AD77" s="28">
        <f>MIN('3.1 Market'!$H68,'1.1 Control Panel'!AD$538*'1.1 Control Panel'!AD546)</f>
        <v>19.924442136274088</v>
      </c>
      <c r="AE77" s="28">
        <f>MIN('3.1 Market'!$H68,'1.1 Control Panel'!AE$538*'1.1 Control Panel'!AE546)</f>
        <v>19.939553709019272</v>
      </c>
      <c r="AF77" s="28">
        <f>MIN('3.1 Market'!$H68,'1.1 Control Panel'!AF$538*'1.1 Control Panel'!AF546)</f>
        <v>19.95164296721542</v>
      </c>
      <c r="AG77" s="28">
        <f>MIN('3.1 Market'!$H68,'1.1 Control Panel'!AG$538*'1.1 Control Panel'!AG546)</f>
        <v>29.941971560658509</v>
      </c>
      <c r="AH77" s="28">
        <f>MIN('3.1 Market'!$H68,'1.1 Control Panel'!AH$538*'1.1 Control Panel'!AH546)</f>
        <v>29.953577248526809</v>
      </c>
      <c r="AI77" s="28">
        <f>MIN('3.1 Market'!$H68,'1.1 Control Panel'!AI$538*'1.1 Control Panel'!AI546)</f>
        <v>29.96286179882145</v>
      </c>
      <c r="AJ77" s="28">
        <f>MIN('3.1 Market'!$H68,'1.1 Control Panel'!AJ$538*'1.1 Control Panel'!AJ546)</f>
        <v>29.970289439057161</v>
      </c>
      <c r="AK77" s="28">
        <f>MIN('3.1 Market'!$H68,'1.1 Control Panel'!AK$538*'1.1 Control Panel'!AK546)</f>
        <v>34.972270143120021</v>
      </c>
      <c r="AL77" s="28">
        <f>MIN('3.1 Market'!$H68,'1.1 Control Panel'!AL$538*'1.1 Control Panel'!AL546)</f>
        <v>34.977816114496015</v>
      </c>
      <c r="AM77" s="28">
        <f>MIN('3.1 Market'!$H68,'1.1 Control Panel'!AM$538*'1.1 Control Panel'!AM546)</f>
        <v>34.982252891596815</v>
      </c>
      <c r="AN77" s="28">
        <f>MIN('3.1 Market'!$H68,'1.1 Control Panel'!AN$538*'1.1 Control Panel'!AN546)</f>
        <v>34.985802313277453</v>
      </c>
      <c r="AP77" s="21"/>
    </row>
    <row r="78" spans="2:42" x14ac:dyDescent="0.25">
      <c r="B78" s="99" t="s">
        <v>9</v>
      </c>
      <c r="C78" s="105" t="str">
        <f>'4.2 Sector Mapping'!$B$13</f>
        <v>Real Estate and Construction</v>
      </c>
      <c r="D78" s="106" t="s">
        <v>162</v>
      </c>
      <c r="E78" s="380">
        <f>SUM(E79:E84)</f>
        <v>45</v>
      </c>
      <c r="F78" s="380">
        <f t="shared" ref="F78:H78" si="83">SUM(F79:F84)</f>
        <v>54.000000000000007</v>
      </c>
      <c r="G78" s="380">
        <f t="shared" si="83"/>
        <v>0</v>
      </c>
      <c r="H78" s="380">
        <f t="shared" si="83"/>
        <v>0</v>
      </c>
      <c r="I78" s="380">
        <f t="shared" ref="I78:AN78" si="84">SUM(I79:I84)</f>
        <v>0</v>
      </c>
      <c r="J78" s="380">
        <f t="shared" si="84"/>
        <v>0</v>
      </c>
      <c r="K78" s="380">
        <f t="shared" si="84"/>
        <v>0</v>
      </c>
      <c r="L78" s="380">
        <f t="shared" si="84"/>
        <v>0</v>
      </c>
      <c r="M78" s="380">
        <f t="shared" si="84"/>
        <v>0</v>
      </c>
      <c r="N78" s="380">
        <f t="shared" si="84"/>
        <v>0</v>
      </c>
      <c r="O78" s="380">
        <f t="shared" si="84"/>
        <v>0</v>
      </c>
      <c r="P78" s="380">
        <f t="shared" si="84"/>
        <v>0</v>
      </c>
      <c r="Q78" s="380">
        <f t="shared" si="84"/>
        <v>28.969207848960004</v>
      </c>
      <c r="R78" s="380">
        <f t="shared" si="84"/>
        <v>29.175366279168006</v>
      </c>
      <c r="S78" s="380">
        <f t="shared" si="84"/>
        <v>29.340293023334404</v>
      </c>
      <c r="T78" s="380">
        <f t="shared" si="84"/>
        <v>29.472234418667526</v>
      </c>
      <c r="U78" s="380">
        <f t="shared" si="84"/>
        <v>88.733362604802068</v>
      </c>
      <c r="V78" s="380">
        <f t="shared" si="84"/>
        <v>88.986690083841665</v>
      </c>
      <c r="W78" s="380">
        <f t="shared" si="84"/>
        <v>89.18935206707333</v>
      </c>
      <c r="X78" s="380">
        <f t="shared" si="84"/>
        <v>89.351481653658652</v>
      </c>
      <c r="Y78" s="380">
        <f t="shared" si="84"/>
        <v>119.30824709723591</v>
      </c>
      <c r="Z78" s="380">
        <f t="shared" si="84"/>
        <v>119.44659767778872</v>
      </c>
      <c r="AA78" s="380">
        <f t="shared" si="84"/>
        <v>119.55727814223098</v>
      </c>
      <c r="AB78" s="380">
        <f t="shared" si="84"/>
        <v>119.64582251378479</v>
      </c>
      <c r="AC78" s="380">
        <f t="shared" si="84"/>
        <v>209.50415151929872</v>
      </c>
      <c r="AD78" s="380">
        <f t="shared" si="84"/>
        <v>209.60332121543897</v>
      </c>
      <c r="AE78" s="380">
        <f t="shared" si="84"/>
        <v>209.6826569723512</v>
      </c>
      <c r="AF78" s="380">
        <f t="shared" si="84"/>
        <v>209.74612557788097</v>
      </c>
      <c r="AG78" s="380">
        <f t="shared" si="84"/>
        <v>299.70985780329255</v>
      </c>
      <c r="AH78" s="380">
        <f t="shared" si="84"/>
        <v>299.76788624263406</v>
      </c>
      <c r="AI78" s="380">
        <f t="shared" si="84"/>
        <v>299.81430899410725</v>
      </c>
      <c r="AJ78" s="380">
        <f t="shared" si="84"/>
        <v>299.8514471952858</v>
      </c>
      <c r="AK78" s="380">
        <f t="shared" si="84"/>
        <v>359.85738930747448</v>
      </c>
      <c r="AL78" s="380">
        <f t="shared" si="84"/>
        <v>359.88591144597956</v>
      </c>
      <c r="AM78" s="380">
        <f t="shared" si="84"/>
        <v>359.90872915678364</v>
      </c>
      <c r="AN78" s="380">
        <f t="shared" si="84"/>
        <v>359.92698332542693</v>
      </c>
      <c r="AP78" s="105"/>
    </row>
    <row r="79" spans="2:42" x14ac:dyDescent="0.25">
      <c r="C79" s="20" t="s">
        <v>600</v>
      </c>
      <c r="D79" s="34" t="s">
        <v>162</v>
      </c>
      <c r="E79" s="28">
        <f>MIN('3.1 Market'!$F70,'1.1 Control Panel'!E$569*'1.1 Control Panel'!E572)</f>
        <v>15</v>
      </c>
      <c r="F79" s="28">
        <f>MIN('3.1 Market'!$F70,'1.1 Control Panel'!F$569*'1.1 Control Panel'!F572)</f>
        <v>15</v>
      </c>
      <c r="G79" s="28">
        <f>MIN('3.1 Market'!$F70,'1.1 Control Panel'!G$569*'1.1 Control Panel'!G572)</f>
        <v>0</v>
      </c>
      <c r="H79" s="28">
        <f>MIN('3.1 Market'!$F70,'1.1 Control Panel'!H$569*'1.1 Control Panel'!H572)</f>
        <v>0</v>
      </c>
      <c r="I79" s="28">
        <f>MIN('3.1 Market'!$F70,'1.1 Control Panel'!I$569*'1.1 Control Panel'!I572)</f>
        <v>0</v>
      </c>
      <c r="J79" s="28">
        <f>MIN('3.1 Market'!$F70,'1.1 Control Panel'!J$569*'1.1 Control Panel'!J572)</f>
        <v>0</v>
      </c>
      <c r="K79" s="28">
        <f>MIN('3.1 Market'!$F70,'1.1 Control Panel'!K$569*'1.1 Control Panel'!K572)</f>
        <v>0</v>
      </c>
      <c r="L79" s="28">
        <f>MIN('3.1 Market'!$F70,'1.1 Control Panel'!L$569*'1.1 Control Panel'!L572)</f>
        <v>0</v>
      </c>
      <c r="M79" s="28">
        <f>MIN('3.1 Market'!$F70,'1.1 Control Panel'!M$569*'1.1 Control Panel'!M572)</f>
        <v>0</v>
      </c>
      <c r="N79" s="28">
        <f>MIN('3.1 Market'!$F70,'1.1 Control Panel'!N$569*'1.1 Control Panel'!N572)</f>
        <v>0</v>
      </c>
      <c r="O79" s="28">
        <f>MIN('3.1 Market'!$F70,'1.1 Control Panel'!O$569*'1.1 Control Panel'!O572)</f>
        <v>0</v>
      </c>
      <c r="P79" s="28">
        <f>MIN('3.1 Market'!$F70,'1.1 Control Panel'!P$569*'1.1 Control Panel'!P572)</f>
        <v>0</v>
      </c>
      <c r="Q79" s="28">
        <f>MIN('3.1 Market'!$G70,'1.1 Control Panel'!Q$569*'1.1 Control Panel'!Q572)</f>
        <v>5</v>
      </c>
      <c r="R79" s="28">
        <f>MIN('3.1 Market'!$G70,'1.1 Control Panel'!R$569*'1.1 Control Panel'!R572)</f>
        <v>5</v>
      </c>
      <c r="S79" s="28">
        <f>MIN('3.1 Market'!$G70,'1.1 Control Panel'!S$569*'1.1 Control Panel'!S572)</f>
        <v>5</v>
      </c>
      <c r="T79" s="28">
        <f>MIN('3.1 Market'!$G70,'1.1 Control Panel'!T$569*'1.1 Control Panel'!T572)</f>
        <v>5</v>
      </c>
      <c r="U79" s="28">
        <f>MIN('3.1 Market'!$G70,'1.1 Control Panel'!U$569*'1.1 Control Panel'!U572)</f>
        <v>15</v>
      </c>
      <c r="V79" s="28">
        <f>MIN('3.1 Market'!$G70,'1.1 Control Panel'!V$569*'1.1 Control Panel'!V572)</f>
        <v>15</v>
      </c>
      <c r="W79" s="28">
        <f>MIN('3.1 Market'!$G70,'1.1 Control Panel'!W$569*'1.1 Control Panel'!W572)</f>
        <v>15</v>
      </c>
      <c r="X79" s="28">
        <f>MIN('3.1 Market'!$G70,'1.1 Control Panel'!X$569*'1.1 Control Panel'!X572)</f>
        <v>15</v>
      </c>
      <c r="Y79" s="28">
        <f>MIN('3.1 Market'!$G70,'1.1 Control Panel'!Y$569*'1.1 Control Panel'!Y572)</f>
        <v>20</v>
      </c>
      <c r="Z79" s="28">
        <f>MIN('3.1 Market'!$G70,'1.1 Control Panel'!Z$569*'1.1 Control Panel'!Z572)</f>
        <v>20</v>
      </c>
      <c r="AA79" s="28">
        <f>MIN('3.1 Market'!$G70,'1.1 Control Panel'!AA$569*'1.1 Control Panel'!AA572)</f>
        <v>20</v>
      </c>
      <c r="AB79" s="28">
        <f>MIN('3.1 Market'!$G70,'1.1 Control Panel'!AB$569*'1.1 Control Panel'!AB572)</f>
        <v>20</v>
      </c>
      <c r="AC79" s="28">
        <f>MIN('3.1 Market'!$H70,'1.1 Control Panel'!AC$569*'1.1 Control Panel'!AC572)</f>
        <v>35</v>
      </c>
      <c r="AD79" s="28">
        <f>MIN('3.1 Market'!$H70,'1.1 Control Panel'!AD$569*'1.1 Control Panel'!AD572)</f>
        <v>35</v>
      </c>
      <c r="AE79" s="28">
        <f>MIN('3.1 Market'!$H70,'1.1 Control Panel'!AE$569*'1.1 Control Panel'!AE572)</f>
        <v>35</v>
      </c>
      <c r="AF79" s="28">
        <f>MIN('3.1 Market'!$H70,'1.1 Control Panel'!AF$569*'1.1 Control Panel'!AF572)</f>
        <v>35</v>
      </c>
      <c r="AG79" s="28">
        <f>MIN('3.1 Market'!$H70,'1.1 Control Panel'!AG$569*'1.1 Control Panel'!AG572)</f>
        <v>50</v>
      </c>
      <c r="AH79" s="28">
        <f>MIN('3.1 Market'!$H70,'1.1 Control Panel'!AH$569*'1.1 Control Panel'!AH572)</f>
        <v>50</v>
      </c>
      <c r="AI79" s="28">
        <f>MIN('3.1 Market'!$H70,'1.1 Control Panel'!AI$569*'1.1 Control Panel'!AI572)</f>
        <v>50</v>
      </c>
      <c r="AJ79" s="28">
        <f>MIN('3.1 Market'!$H70,'1.1 Control Panel'!AJ$569*'1.1 Control Panel'!AJ572)</f>
        <v>50</v>
      </c>
      <c r="AK79" s="28">
        <f>MIN('3.1 Market'!$H70,'1.1 Control Panel'!AK$569*'1.1 Control Panel'!AK572)</f>
        <v>60</v>
      </c>
      <c r="AL79" s="28">
        <f>MIN('3.1 Market'!$H70,'1.1 Control Panel'!AL$569*'1.1 Control Panel'!AL572)</f>
        <v>60</v>
      </c>
      <c r="AM79" s="28">
        <f>MIN('3.1 Market'!$H70,'1.1 Control Panel'!AM$569*'1.1 Control Panel'!AM572)</f>
        <v>60</v>
      </c>
      <c r="AN79" s="28">
        <f>MIN('3.1 Market'!$H70,'1.1 Control Panel'!AN$569*'1.1 Control Panel'!AN572)</f>
        <v>60</v>
      </c>
      <c r="AP79" s="20"/>
    </row>
    <row r="80" spans="2:42" x14ac:dyDescent="0.25">
      <c r="C80" s="20" t="s">
        <v>392</v>
      </c>
      <c r="D80" s="34" t="s">
        <v>162</v>
      </c>
      <c r="E80" s="28">
        <f>MIN('3.1 Market'!$F71,'1.1 Control Panel'!E$569*'1.1 Control Panel'!E573)</f>
        <v>12</v>
      </c>
      <c r="F80" s="28">
        <f>MIN('3.1 Market'!$F71,'1.1 Control Panel'!F$569*'1.1 Control Panel'!F573)</f>
        <v>12.600000000000001</v>
      </c>
      <c r="G80" s="28">
        <f>MIN('3.1 Market'!$F71,'1.1 Control Panel'!G$569*'1.1 Control Panel'!G573)</f>
        <v>0</v>
      </c>
      <c r="H80" s="28">
        <f>MIN('3.1 Market'!$F71,'1.1 Control Panel'!H$569*'1.1 Control Panel'!H573)</f>
        <v>0</v>
      </c>
      <c r="I80" s="28">
        <f>MIN('3.1 Market'!$F71,'1.1 Control Panel'!I$569*'1.1 Control Panel'!I573)</f>
        <v>0</v>
      </c>
      <c r="J80" s="28">
        <f>MIN('3.1 Market'!$F71,'1.1 Control Panel'!J$569*'1.1 Control Panel'!J573)</f>
        <v>0</v>
      </c>
      <c r="K80" s="28">
        <f>MIN('3.1 Market'!$F71,'1.1 Control Panel'!K$569*'1.1 Control Panel'!K573)</f>
        <v>0</v>
      </c>
      <c r="L80" s="28">
        <f>MIN('3.1 Market'!$F71,'1.1 Control Panel'!L$569*'1.1 Control Panel'!L573)</f>
        <v>0</v>
      </c>
      <c r="M80" s="28">
        <f>MIN('3.1 Market'!$F71,'1.1 Control Panel'!M$569*'1.1 Control Panel'!M573)</f>
        <v>0</v>
      </c>
      <c r="N80" s="28">
        <f>MIN('3.1 Market'!$F71,'1.1 Control Panel'!N$569*'1.1 Control Panel'!N573)</f>
        <v>0</v>
      </c>
      <c r="O80" s="28">
        <f>MIN('3.1 Market'!$F71,'1.1 Control Panel'!O$569*'1.1 Control Panel'!O573)</f>
        <v>0</v>
      </c>
      <c r="P80" s="28">
        <f>MIN('3.1 Market'!$F71,'1.1 Control Panel'!P$569*'1.1 Control Panel'!P573)</f>
        <v>0</v>
      </c>
      <c r="Q80" s="28">
        <f>MIN('3.1 Market'!$G71,'1.1 Control Panel'!Q$569*'1.1 Control Panel'!Q573)</f>
        <v>4.9312805232640002</v>
      </c>
      <c r="R80" s="28">
        <f>MIN('3.1 Market'!$G71,'1.1 Control Panel'!R$569*'1.1 Control Panel'!R573)</f>
        <v>4.9450244186112009</v>
      </c>
      <c r="S80" s="28">
        <f>MIN('3.1 Market'!$G71,'1.1 Control Panel'!S$569*'1.1 Control Panel'!S573)</f>
        <v>4.9560195348889611</v>
      </c>
      <c r="T80" s="28">
        <f>MIN('3.1 Market'!$G71,'1.1 Control Panel'!T$569*'1.1 Control Panel'!T573)</f>
        <v>4.964815627911169</v>
      </c>
      <c r="U80" s="28">
        <f>MIN('3.1 Market'!$G71,'1.1 Control Panel'!U$569*'1.1 Control Panel'!U573)</f>
        <v>14.915557506986808</v>
      </c>
      <c r="V80" s="28">
        <f>MIN('3.1 Market'!$G71,'1.1 Control Panel'!V$569*'1.1 Control Panel'!V573)</f>
        <v>14.932446005589448</v>
      </c>
      <c r="W80" s="28">
        <f>MIN('3.1 Market'!$G71,'1.1 Control Panel'!W$569*'1.1 Control Panel'!W573)</f>
        <v>14.945956804471558</v>
      </c>
      <c r="X80" s="28">
        <f>MIN('3.1 Market'!$G71,'1.1 Control Panel'!X$569*'1.1 Control Panel'!X573)</f>
        <v>14.956765443577247</v>
      </c>
      <c r="Y80" s="28">
        <f>MIN('3.1 Market'!$G71,'1.1 Control Panel'!Y$569*'1.1 Control Panel'!Y573)</f>
        <v>19.95388313981573</v>
      </c>
      <c r="Z80" s="28">
        <f>MIN('3.1 Market'!$G71,'1.1 Control Panel'!Z$569*'1.1 Control Panel'!Z573)</f>
        <v>19.963106511852587</v>
      </c>
      <c r="AA80" s="28">
        <f>MIN('3.1 Market'!$G71,'1.1 Control Panel'!AA$569*'1.1 Control Panel'!AA573)</f>
        <v>19.970485209482071</v>
      </c>
      <c r="AB80" s="28">
        <f>MIN('3.1 Market'!$G71,'1.1 Control Panel'!AB$569*'1.1 Control Panel'!AB573)</f>
        <v>19.976388167585657</v>
      </c>
      <c r="AC80" s="28">
        <f>MIN('3.1 Market'!$H71,'1.1 Control Panel'!AC$569*'1.1 Control Panel'!AC573)</f>
        <v>34.966943434619921</v>
      </c>
      <c r="AD80" s="28">
        <f>MIN('3.1 Market'!$H71,'1.1 Control Panel'!AD$569*'1.1 Control Panel'!AD573)</f>
        <v>34.973554747695943</v>
      </c>
      <c r="AE80" s="28">
        <f>MIN('3.1 Market'!$H71,'1.1 Control Panel'!AE$569*'1.1 Control Panel'!AE573)</f>
        <v>34.978843798156753</v>
      </c>
      <c r="AF80" s="28">
        <f>MIN('3.1 Market'!$H71,'1.1 Control Panel'!AF$569*'1.1 Control Panel'!AF573)</f>
        <v>34.983075038525406</v>
      </c>
      <c r="AG80" s="28">
        <f>MIN('3.1 Market'!$H71,'1.1 Control Panel'!AG$569*'1.1 Control Panel'!AG573)</f>
        <v>49.980657186886184</v>
      </c>
      <c r="AH80" s="28">
        <f>MIN('3.1 Market'!$H71,'1.1 Control Panel'!AH$569*'1.1 Control Panel'!AH573)</f>
        <v>49.984525749508947</v>
      </c>
      <c r="AI80" s="28">
        <f>MIN('3.1 Market'!$H71,'1.1 Control Panel'!AI$569*'1.1 Control Panel'!AI573)</f>
        <v>49.987620599607155</v>
      </c>
      <c r="AJ80" s="28">
        <f>MIN('3.1 Market'!$H71,'1.1 Control Panel'!AJ$569*'1.1 Control Panel'!AJ573)</f>
        <v>49.990096479685718</v>
      </c>
      <c r="AK80" s="28">
        <f>MIN('3.1 Market'!$H71,'1.1 Control Panel'!AK$569*'1.1 Control Panel'!AK573)</f>
        <v>59.990492620498301</v>
      </c>
      <c r="AL80" s="28">
        <f>MIN('3.1 Market'!$H71,'1.1 Control Panel'!AL$569*'1.1 Control Panel'!AL573)</f>
        <v>59.992394096398641</v>
      </c>
      <c r="AM80" s="28">
        <f>MIN('3.1 Market'!$H71,'1.1 Control Panel'!AM$569*'1.1 Control Panel'!AM573)</f>
        <v>59.993915277118909</v>
      </c>
      <c r="AN80" s="28">
        <f>MIN('3.1 Market'!$H71,'1.1 Control Panel'!AN$569*'1.1 Control Panel'!AN573)</f>
        <v>59.995132221695123</v>
      </c>
      <c r="AP80" s="20"/>
    </row>
    <row r="81" spans="2:42" x14ac:dyDescent="0.25">
      <c r="C81" s="20" t="s">
        <v>454</v>
      </c>
      <c r="D81" s="34" t="s">
        <v>162</v>
      </c>
      <c r="E81" s="28">
        <f>MIN('3.1 Market'!$F72,'1.1 Control Panel'!E$569*'1.1 Control Panel'!E574)</f>
        <v>9</v>
      </c>
      <c r="F81" s="28">
        <f>MIN('3.1 Market'!$F72,'1.1 Control Panel'!F$569*'1.1 Control Panel'!F574)</f>
        <v>10.200000000000001</v>
      </c>
      <c r="G81" s="28">
        <f>MIN('3.1 Market'!$F72,'1.1 Control Panel'!G$569*'1.1 Control Panel'!G574)</f>
        <v>0</v>
      </c>
      <c r="H81" s="28">
        <f>MIN('3.1 Market'!$F72,'1.1 Control Panel'!H$569*'1.1 Control Panel'!H574)</f>
        <v>0</v>
      </c>
      <c r="I81" s="28">
        <f>MIN('3.1 Market'!$F72,'1.1 Control Panel'!I$569*'1.1 Control Panel'!I574)</f>
        <v>0</v>
      </c>
      <c r="J81" s="28">
        <f>MIN('3.1 Market'!$F72,'1.1 Control Panel'!J$569*'1.1 Control Panel'!J574)</f>
        <v>0</v>
      </c>
      <c r="K81" s="28">
        <f>MIN('3.1 Market'!$F72,'1.1 Control Panel'!K$569*'1.1 Control Panel'!K574)</f>
        <v>0</v>
      </c>
      <c r="L81" s="28">
        <f>MIN('3.1 Market'!$F72,'1.1 Control Panel'!L$569*'1.1 Control Panel'!L574)</f>
        <v>0</v>
      </c>
      <c r="M81" s="28">
        <f>MIN('3.1 Market'!$F72,'1.1 Control Panel'!M$569*'1.1 Control Panel'!M574)</f>
        <v>0</v>
      </c>
      <c r="N81" s="28">
        <f>MIN('3.1 Market'!$F72,'1.1 Control Panel'!N$569*'1.1 Control Panel'!N574)</f>
        <v>0</v>
      </c>
      <c r="O81" s="28">
        <f>MIN('3.1 Market'!$F72,'1.1 Control Panel'!O$569*'1.1 Control Panel'!O574)</f>
        <v>0</v>
      </c>
      <c r="P81" s="28">
        <f>MIN('3.1 Market'!$F72,'1.1 Control Panel'!P$569*'1.1 Control Panel'!P574)</f>
        <v>0</v>
      </c>
      <c r="Q81" s="28">
        <f>MIN('3.1 Market'!$G72,'1.1 Control Panel'!Q$569*'1.1 Control Panel'!Q574)</f>
        <v>4.8625610465280014</v>
      </c>
      <c r="R81" s="28">
        <f>MIN('3.1 Market'!$G72,'1.1 Control Panel'!R$569*'1.1 Control Panel'!R574)</f>
        <v>4.8900488372224018</v>
      </c>
      <c r="S81" s="28">
        <f>MIN('3.1 Market'!$G72,'1.1 Control Panel'!S$569*'1.1 Control Panel'!S574)</f>
        <v>4.9120390697779222</v>
      </c>
      <c r="T81" s="28">
        <f>MIN('3.1 Market'!$G72,'1.1 Control Panel'!T$569*'1.1 Control Panel'!T574)</f>
        <v>4.9296312558223381</v>
      </c>
      <c r="U81" s="28">
        <f>MIN('3.1 Market'!$G72,'1.1 Control Panel'!U$569*'1.1 Control Panel'!U574)</f>
        <v>14.83111501397361</v>
      </c>
      <c r="V81" s="28">
        <f>MIN('3.1 Market'!$G72,'1.1 Control Panel'!V$569*'1.1 Control Panel'!V574)</f>
        <v>14.864892011178888</v>
      </c>
      <c r="W81" s="28">
        <f>MIN('3.1 Market'!$G72,'1.1 Control Panel'!W$569*'1.1 Control Panel'!W574)</f>
        <v>14.891913608943112</v>
      </c>
      <c r="X81" s="28">
        <f>MIN('3.1 Market'!$G72,'1.1 Control Panel'!X$569*'1.1 Control Panel'!X574)</f>
        <v>14.913530887154488</v>
      </c>
      <c r="Y81" s="28">
        <f>MIN('3.1 Market'!$G72,'1.1 Control Panel'!Y$569*'1.1 Control Panel'!Y574)</f>
        <v>19.907766279631453</v>
      </c>
      <c r="Z81" s="28">
        <f>MIN('3.1 Market'!$G72,'1.1 Control Panel'!Z$569*'1.1 Control Panel'!Z574)</f>
        <v>19.926213023705163</v>
      </c>
      <c r="AA81" s="28">
        <f>MIN('3.1 Market'!$G72,'1.1 Control Panel'!AA$569*'1.1 Control Panel'!AA574)</f>
        <v>19.940970418964131</v>
      </c>
      <c r="AB81" s="28">
        <f>MIN('3.1 Market'!$G72,'1.1 Control Panel'!AB$569*'1.1 Control Panel'!AB574)</f>
        <v>19.952776335171308</v>
      </c>
      <c r="AC81" s="28">
        <f>MIN('3.1 Market'!$H72,'1.1 Control Panel'!AC$569*'1.1 Control Panel'!AC574)</f>
        <v>34.933886869239835</v>
      </c>
      <c r="AD81" s="28">
        <f>MIN('3.1 Market'!$H72,'1.1 Control Panel'!AD$569*'1.1 Control Panel'!AD574)</f>
        <v>34.947109495391871</v>
      </c>
      <c r="AE81" s="28">
        <f>MIN('3.1 Market'!$H72,'1.1 Control Panel'!AE$569*'1.1 Control Panel'!AE574)</f>
        <v>34.957687596313491</v>
      </c>
      <c r="AF81" s="28">
        <f>MIN('3.1 Market'!$H72,'1.1 Control Panel'!AF$569*'1.1 Control Panel'!AF574)</f>
        <v>34.966150077050798</v>
      </c>
      <c r="AG81" s="28">
        <f>MIN('3.1 Market'!$H72,'1.1 Control Panel'!AG$569*'1.1 Control Panel'!AG574)</f>
        <v>49.961314373772339</v>
      </c>
      <c r="AH81" s="28">
        <f>MIN('3.1 Market'!$H72,'1.1 Control Panel'!AH$569*'1.1 Control Panel'!AH574)</f>
        <v>49.969051499017866</v>
      </c>
      <c r="AI81" s="28">
        <f>MIN('3.1 Market'!$H72,'1.1 Control Panel'!AI$569*'1.1 Control Panel'!AI574)</f>
        <v>49.975241199214295</v>
      </c>
      <c r="AJ81" s="28">
        <f>MIN('3.1 Market'!$H72,'1.1 Control Panel'!AJ$569*'1.1 Control Panel'!AJ574)</f>
        <v>49.980192959371443</v>
      </c>
      <c r="AK81" s="28">
        <f>MIN('3.1 Market'!$H72,'1.1 Control Panel'!AK$569*'1.1 Control Panel'!AK574)</f>
        <v>59.980985240996581</v>
      </c>
      <c r="AL81" s="28">
        <f>MIN('3.1 Market'!$H72,'1.1 Control Panel'!AL$569*'1.1 Control Panel'!AL574)</f>
        <v>59.984788192797261</v>
      </c>
      <c r="AM81" s="28">
        <f>MIN('3.1 Market'!$H72,'1.1 Control Panel'!AM$569*'1.1 Control Panel'!AM574)</f>
        <v>59.987830554237817</v>
      </c>
      <c r="AN81" s="28">
        <f>MIN('3.1 Market'!$H72,'1.1 Control Panel'!AN$569*'1.1 Control Panel'!AN574)</f>
        <v>59.990264443390259</v>
      </c>
      <c r="AP81" s="20"/>
    </row>
    <row r="82" spans="2:42" x14ac:dyDescent="0.25">
      <c r="C82" s="21" t="s">
        <v>455</v>
      </c>
      <c r="D82" s="38" t="s">
        <v>162</v>
      </c>
      <c r="E82" s="376">
        <f>MIN('3.1 Market'!$F73,'1.1 Control Panel'!E$569*'1.1 Control Panel'!E575)</f>
        <v>6</v>
      </c>
      <c r="F82" s="376">
        <f>MIN('3.1 Market'!$F73,'1.1 Control Panel'!F$569*'1.1 Control Panel'!F575)</f>
        <v>7.8000000000000007</v>
      </c>
      <c r="G82" s="376">
        <f>MIN('3.1 Market'!$F73,'1.1 Control Panel'!G$569*'1.1 Control Panel'!G575)</f>
        <v>0</v>
      </c>
      <c r="H82" s="376">
        <f>MIN('3.1 Market'!$F73,'1.1 Control Panel'!H$569*'1.1 Control Panel'!H575)</f>
        <v>0</v>
      </c>
      <c r="I82" s="376">
        <f>MIN('3.1 Market'!$F73,'1.1 Control Panel'!I$569*'1.1 Control Panel'!I575)</f>
        <v>0</v>
      </c>
      <c r="J82" s="376">
        <f>MIN('3.1 Market'!$F73,'1.1 Control Panel'!J$569*'1.1 Control Panel'!J575)</f>
        <v>0</v>
      </c>
      <c r="K82" s="376">
        <f>MIN('3.1 Market'!$F73,'1.1 Control Panel'!K$569*'1.1 Control Panel'!K575)</f>
        <v>0</v>
      </c>
      <c r="L82" s="376">
        <f>MIN('3.1 Market'!$F73,'1.1 Control Panel'!L$569*'1.1 Control Panel'!L575)</f>
        <v>0</v>
      </c>
      <c r="M82" s="376">
        <f>MIN('3.1 Market'!$F73,'1.1 Control Panel'!M$569*'1.1 Control Panel'!M575)</f>
        <v>0</v>
      </c>
      <c r="N82" s="376">
        <f>MIN('3.1 Market'!$F73,'1.1 Control Panel'!N$569*'1.1 Control Panel'!N575)</f>
        <v>0</v>
      </c>
      <c r="O82" s="376">
        <f>MIN('3.1 Market'!$F73,'1.1 Control Panel'!O$569*'1.1 Control Panel'!O575)</f>
        <v>0</v>
      </c>
      <c r="P82" s="376">
        <f>MIN('3.1 Market'!$F73,'1.1 Control Panel'!P$569*'1.1 Control Panel'!P575)</f>
        <v>0</v>
      </c>
      <c r="Q82" s="376">
        <f>MIN('3.1 Market'!$G73,'1.1 Control Panel'!Q$569*'1.1 Control Panel'!Q575)</f>
        <v>4.7938415697920007</v>
      </c>
      <c r="R82" s="376">
        <f>MIN('3.1 Market'!$G73,'1.1 Control Panel'!R$569*'1.1 Control Panel'!R575)</f>
        <v>4.8350732558336009</v>
      </c>
      <c r="S82" s="376">
        <f>MIN('3.1 Market'!$G73,'1.1 Control Panel'!S$569*'1.1 Control Panel'!S575)</f>
        <v>4.8680586046668815</v>
      </c>
      <c r="T82" s="376">
        <f>MIN('3.1 Market'!$G73,'1.1 Control Panel'!T$569*'1.1 Control Panel'!T575)</f>
        <v>4.8944468837335053</v>
      </c>
      <c r="U82" s="376">
        <f>MIN('3.1 Market'!$G73,'1.1 Control Panel'!U$569*'1.1 Control Panel'!U575)</f>
        <v>14.746672520960413</v>
      </c>
      <c r="V82" s="376">
        <f>MIN('3.1 Market'!$G73,'1.1 Control Panel'!V$569*'1.1 Control Panel'!V575)</f>
        <v>14.797338016768332</v>
      </c>
      <c r="W82" s="376">
        <f>MIN('3.1 Market'!$G73,'1.1 Control Panel'!W$569*'1.1 Control Panel'!W575)</f>
        <v>14.837870413414665</v>
      </c>
      <c r="X82" s="376">
        <f>MIN('3.1 Market'!$G73,'1.1 Control Panel'!X$569*'1.1 Control Panel'!X575)</f>
        <v>14.870296330731733</v>
      </c>
      <c r="Y82" s="376">
        <f>MIN('3.1 Market'!$G73,'1.1 Control Panel'!Y$569*'1.1 Control Panel'!Y575)</f>
        <v>19.861649419447183</v>
      </c>
      <c r="Z82" s="376">
        <f>MIN('3.1 Market'!$G73,'1.1 Control Panel'!Z$569*'1.1 Control Panel'!Z575)</f>
        <v>19.889319535557746</v>
      </c>
      <c r="AA82" s="376">
        <f>MIN('3.1 Market'!$G73,'1.1 Control Panel'!AA$569*'1.1 Control Panel'!AA575)</f>
        <v>19.911455628446198</v>
      </c>
      <c r="AB82" s="376">
        <f>MIN('3.1 Market'!$G73,'1.1 Control Panel'!AB$569*'1.1 Control Panel'!AB575)</f>
        <v>19.929164502756961</v>
      </c>
      <c r="AC82" s="376">
        <f>MIN('3.1 Market'!$H73,'1.1 Control Panel'!AC$569*'1.1 Control Panel'!AC575)</f>
        <v>34.900830303859742</v>
      </c>
      <c r="AD82" s="376">
        <f>MIN('3.1 Market'!$H73,'1.1 Control Panel'!AD$569*'1.1 Control Panel'!AD575)</f>
        <v>34.920664243087799</v>
      </c>
      <c r="AE82" s="376">
        <f>MIN('3.1 Market'!$H73,'1.1 Control Panel'!AE$569*'1.1 Control Panel'!AE575)</f>
        <v>34.936531394470236</v>
      </c>
      <c r="AF82" s="376">
        <f>MIN('3.1 Market'!$H73,'1.1 Control Panel'!AF$569*'1.1 Control Panel'!AF575)</f>
        <v>34.949225115576191</v>
      </c>
      <c r="AG82" s="376">
        <f>MIN('3.1 Market'!$H73,'1.1 Control Panel'!AG$569*'1.1 Control Panel'!AG575)</f>
        <v>49.941971560658502</v>
      </c>
      <c r="AH82" s="376">
        <f>MIN('3.1 Market'!$H73,'1.1 Control Panel'!AH$569*'1.1 Control Panel'!AH575)</f>
        <v>49.953577248526798</v>
      </c>
      <c r="AI82" s="376">
        <f>MIN('3.1 Market'!$H73,'1.1 Control Panel'!AI$569*'1.1 Control Panel'!AI575)</f>
        <v>49.962861798821443</v>
      </c>
      <c r="AJ82" s="376">
        <f>MIN('3.1 Market'!$H73,'1.1 Control Panel'!AJ$569*'1.1 Control Panel'!AJ575)</f>
        <v>49.970289439057154</v>
      </c>
      <c r="AK82" s="376">
        <f>MIN('3.1 Market'!$H73,'1.1 Control Panel'!AK$569*'1.1 Control Panel'!AK575)</f>
        <v>59.971477861494876</v>
      </c>
      <c r="AL82" s="376">
        <f>MIN('3.1 Market'!$H73,'1.1 Control Panel'!AL$569*'1.1 Control Panel'!AL575)</f>
        <v>59.977182289195902</v>
      </c>
      <c r="AM82" s="376">
        <f>MIN('3.1 Market'!$H73,'1.1 Control Panel'!AM$569*'1.1 Control Panel'!AM575)</f>
        <v>59.981745831356726</v>
      </c>
      <c r="AN82" s="376">
        <f>MIN('3.1 Market'!$H73,'1.1 Control Panel'!AN$569*'1.1 Control Panel'!AN575)</f>
        <v>59.985396665085389</v>
      </c>
      <c r="AP82" s="21"/>
    </row>
    <row r="83" spans="2:42" x14ac:dyDescent="0.25">
      <c r="C83" s="21" t="s">
        <v>393</v>
      </c>
      <c r="D83" s="38" t="s">
        <v>162</v>
      </c>
      <c r="E83" s="376">
        <f>MIN('3.1 Market'!$F74,'1.1 Control Panel'!E$569*'1.1 Control Panel'!E576)</f>
        <v>3</v>
      </c>
      <c r="F83" s="376">
        <f>MIN('3.1 Market'!$F74,'1.1 Control Panel'!F$569*'1.1 Control Panel'!F576)</f>
        <v>5.4</v>
      </c>
      <c r="G83" s="376">
        <f>MIN('3.1 Market'!$F74,'1.1 Control Panel'!G$569*'1.1 Control Panel'!G576)</f>
        <v>0</v>
      </c>
      <c r="H83" s="376">
        <f>MIN('3.1 Market'!$F74,'1.1 Control Panel'!H$569*'1.1 Control Panel'!H576)</f>
        <v>0</v>
      </c>
      <c r="I83" s="376">
        <f>MIN('3.1 Market'!$F74,'1.1 Control Panel'!I$569*'1.1 Control Panel'!I576)</f>
        <v>0</v>
      </c>
      <c r="J83" s="376">
        <f>MIN('3.1 Market'!$F74,'1.1 Control Panel'!J$569*'1.1 Control Panel'!J576)</f>
        <v>0</v>
      </c>
      <c r="K83" s="376">
        <f>MIN('3.1 Market'!$F74,'1.1 Control Panel'!K$569*'1.1 Control Panel'!K576)</f>
        <v>0</v>
      </c>
      <c r="L83" s="376">
        <f>MIN('3.1 Market'!$F74,'1.1 Control Panel'!L$569*'1.1 Control Panel'!L576)</f>
        <v>0</v>
      </c>
      <c r="M83" s="376">
        <f>MIN('3.1 Market'!$F74,'1.1 Control Panel'!M$569*'1.1 Control Panel'!M576)</f>
        <v>0</v>
      </c>
      <c r="N83" s="376">
        <f>MIN('3.1 Market'!$F74,'1.1 Control Panel'!N$569*'1.1 Control Panel'!N576)</f>
        <v>0</v>
      </c>
      <c r="O83" s="376">
        <f>MIN('3.1 Market'!$F74,'1.1 Control Panel'!O$569*'1.1 Control Panel'!O576)</f>
        <v>0</v>
      </c>
      <c r="P83" s="376">
        <f>MIN('3.1 Market'!$F74,'1.1 Control Panel'!P$569*'1.1 Control Panel'!P576)</f>
        <v>0</v>
      </c>
      <c r="Q83" s="376">
        <f>MIN('3.1 Market'!$G74,'1.1 Control Panel'!Q$569*'1.1 Control Panel'!Q576)</f>
        <v>4.7251220930560009</v>
      </c>
      <c r="R83" s="376">
        <f>MIN('3.1 Market'!$G74,'1.1 Control Panel'!R$569*'1.1 Control Panel'!R576)</f>
        <v>4.7800976744448009</v>
      </c>
      <c r="S83" s="376">
        <f>MIN('3.1 Market'!$G74,'1.1 Control Panel'!S$569*'1.1 Control Panel'!S576)</f>
        <v>4.8240781395558407</v>
      </c>
      <c r="T83" s="376">
        <f>MIN('3.1 Market'!$G74,'1.1 Control Panel'!T$569*'1.1 Control Panel'!T576)</f>
        <v>4.8592625116446726</v>
      </c>
      <c r="U83" s="376">
        <f>MIN('3.1 Market'!$G74,'1.1 Control Panel'!U$569*'1.1 Control Panel'!U576)</f>
        <v>14.662230027947215</v>
      </c>
      <c r="V83" s="376">
        <f>MIN('3.1 Market'!$G74,'1.1 Control Panel'!V$569*'1.1 Control Panel'!V576)</f>
        <v>14.729784022357771</v>
      </c>
      <c r="W83" s="376">
        <f>MIN('3.1 Market'!$G74,'1.1 Control Panel'!W$569*'1.1 Control Panel'!W576)</f>
        <v>14.783827217886218</v>
      </c>
      <c r="X83" s="376">
        <f>MIN('3.1 Market'!$G74,'1.1 Control Panel'!X$569*'1.1 Control Panel'!X576)</f>
        <v>14.827061774308977</v>
      </c>
      <c r="Y83" s="376">
        <f>MIN('3.1 Market'!$G74,'1.1 Control Panel'!Y$569*'1.1 Control Panel'!Y576)</f>
        <v>19.815532559262909</v>
      </c>
      <c r="Z83" s="376">
        <f>MIN('3.1 Market'!$G74,'1.1 Control Panel'!Z$569*'1.1 Control Panel'!Z576)</f>
        <v>19.852426047410326</v>
      </c>
      <c r="AA83" s="376">
        <f>MIN('3.1 Market'!$G74,'1.1 Control Panel'!AA$569*'1.1 Control Panel'!AA576)</f>
        <v>19.881940837928262</v>
      </c>
      <c r="AB83" s="376">
        <f>MIN('3.1 Market'!$G74,'1.1 Control Panel'!AB$569*'1.1 Control Panel'!AB576)</f>
        <v>19.905552670342608</v>
      </c>
      <c r="AC83" s="376">
        <f>MIN('3.1 Market'!$H74,'1.1 Control Panel'!AC$569*'1.1 Control Panel'!AC576)</f>
        <v>34.867773738479656</v>
      </c>
      <c r="AD83" s="376">
        <f>MIN('3.1 Market'!$H74,'1.1 Control Panel'!AD$569*'1.1 Control Panel'!AD576)</f>
        <v>34.894218990783727</v>
      </c>
      <c r="AE83" s="376">
        <f>MIN('3.1 Market'!$H74,'1.1 Control Panel'!AE$569*'1.1 Control Panel'!AE576)</f>
        <v>34.915375192626982</v>
      </c>
      <c r="AF83" s="376">
        <f>MIN('3.1 Market'!$H74,'1.1 Control Panel'!AF$569*'1.1 Control Panel'!AF576)</f>
        <v>34.932300154101597</v>
      </c>
      <c r="AG83" s="376">
        <f>MIN('3.1 Market'!$H74,'1.1 Control Panel'!AG$569*'1.1 Control Panel'!AG576)</f>
        <v>49.922628747544678</v>
      </c>
      <c r="AH83" s="376">
        <f>MIN('3.1 Market'!$H74,'1.1 Control Panel'!AH$569*'1.1 Control Panel'!AH576)</f>
        <v>49.938102998035745</v>
      </c>
      <c r="AI83" s="376">
        <f>MIN('3.1 Market'!$H74,'1.1 Control Panel'!AI$569*'1.1 Control Panel'!AI576)</f>
        <v>49.950482398428598</v>
      </c>
      <c r="AJ83" s="376">
        <f>MIN('3.1 Market'!$H74,'1.1 Control Panel'!AJ$569*'1.1 Control Panel'!AJ576)</f>
        <v>49.960385918742887</v>
      </c>
      <c r="AK83" s="376">
        <f>MIN('3.1 Market'!$H74,'1.1 Control Panel'!AK$569*'1.1 Control Panel'!AK576)</f>
        <v>59.961970481993177</v>
      </c>
      <c r="AL83" s="376">
        <f>MIN('3.1 Market'!$H74,'1.1 Control Panel'!AL$569*'1.1 Control Panel'!AL576)</f>
        <v>59.969576385594543</v>
      </c>
      <c r="AM83" s="376">
        <f>MIN('3.1 Market'!$H74,'1.1 Control Panel'!AM$569*'1.1 Control Panel'!AM576)</f>
        <v>59.975661108475634</v>
      </c>
      <c r="AN83" s="376">
        <f>MIN('3.1 Market'!$H74,'1.1 Control Panel'!AN$569*'1.1 Control Panel'!AN576)</f>
        <v>59.980528886780512</v>
      </c>
      <c r="AP83" s="21"/>
    </row>
    <row r="84" spans="2:42" x14ac:dyDescent="0.25">
      <c r="C84" s="21" t="s">
        <v>456</v>
      </c>
      <c r="D84" s="38" t="s">
        <v>162</v>
      </c>
      <c r="E84" s="376">
        <f>MIN('3.1 Market'!$F75,'1.1 Control Panel'!E$569*'1.1 Control Panel'!E577)</f>
        <v>0</v>
      </c>
      <c r="F84" s="376">
        <f>MIN('3.1 Market'!$F75,'1.1 Control Panel'!F$569*'1.1 Control Panel'!F577)</f>
        <v>3</v>
      </c>
      <c r="G84" s="376">
        <f>MIN('3.1 Market'!$F75,'1.1 Control Panel'!G$569*'1.1 Control Panel'!G577)</f>
        <v>0</v>
      </c>
      <c r="H84" s="376">
        <f>MIN('3.1 Market'!$F75,'1.1 Control Panel'!H$569*'1.1 Control Panel'!H577)</f>
        <v>0</v>
      </c>
      <c r="I84" s="376">
        <f>MIN('3.1 Market'!$F75,'1.1 Control Panel'!I$569*'1.1 Control Panel'!I577)</f>
        <v>0</v>
      </c>
      <c r="J84" s="376">
        <f>MIN('3.1 Market'!$F75,'1.1 Control Panel'!J$569*'1.1 Control Panel'!J577)</f>
        <v>0</v>
      </c>
      <c r="K84" s="376">
        <f>MIN('3.1 Market'!$F75,'1.1 Control Panel'!K$569*'1.1 Control Panel'!K577)</f>
        <v>0</v>
      </c>
      <c r="L84" s="376">
        <f>MIN('3.1 Market'!$F75,'1.1 Control Panel'!L$569*'1.1 Control Panel'!L577)</f>
        <v>0</v>
      </c>
      <c r="M84" s="376">
        <f>MIN('3.1 Market'!$F75,'1.1 Control Panel'!M$569*'1.1 Control Panel'!M577)</f>
        <v>0</v>
      </c>
      <c r="N84" s="376">
        <f>MIN('3.1 Market'!$F75,'1.1 Control Panel'!N$569*'1.1 Control Panel'!N577)</f>
        <v>0</v>
      </c>
      <c r="O84" s="376">
        <f>MIN('3.1 Market'!$F75,'1.1 Control Panel'!O$569*'1.1 Control Panel'!O577)</f>
        <v>0</v>
      </c>
      <c r="P84" s="376">
        <f>MIN('3.1 Market'!$F75,'1.1 Control Panel'!P$569*'1.1 Control Panel'!P577)</f>
        <v>0</v>
      </c>
      <c r="Q84" s="376">
        <f>MIN('3.1 Market'!$G75,'1.1 Control Panel'!Q$569*'1.1 Control Panel'!Q577)</f>
        <v>4.6564026163200012</v>
      </c>
      <c r="R84" s="376">
        <f>MIN('3.1 Market'!$G75,'1.1 Control Panel'!R$569*'1.1 Control Panel'!R577)</f>
        <v>4.7251220930560009</v>
      </c>
      <c r="S84" s="376">
        <f>MIN('3.1 Market'!$G75,'1.1 Control Panel'!S$569*'1.1 Control Panel'!S577)</f>
        <v>4.7800976744448009</v>
      </c>
      <c r="T84" s="376">
        <f>MIN('3.1 Market'!$G75,'1.1 Control Panel'!T$569*'1.1 Control Panel'!T577)</f>
        <v>4.8240781395558407</v>
      </c>
      <c r="U84" s="376">
        <f>MIN('3.1 Market'!$G75,'1.1 Control Panel'!U$569*'1.1 Control Panel'!U577)</f>
        <v>14.577787534934018</v>
      </c>
      <c r="V84" s="376">
        <f>MIN('3.1 Market'!$G75,'1.1 Control Panel'!V$569*'1.1 Control Panel'!V577)</f>
        <v>14.662230027947215</v>
      </c>
      <c r="W84" s="376">
        <f>MIN('3.1 Market'!$G75,'1.1 Control Panel'!W$569*'1.1 Control Panel'!W577)</f>
        <v>14.729784022357771</v>
      </c>
      <c r="X84" s="376">
        <f>MIN('3.1 Market'!$G75,'1.1 Control Panel'!X$569*'1.1 Control Panel'!X577)</f>
        <v>14.783827217886218</v>
      </c>
      <c r="Y84" s="376">
        <f>MIN('3.1 Market'!$G75,'1.1 Control Panel'!Y$569*'1.1 Control Panel'!Y577)</f>
        <v>19.769415699078635</v>
      </c>
      <c r="Z84" s="376">
        <f>MIN('3.1 Market'!$G75,'1.1 Control Panel'!Z$569*'1.1 Control Panel'!Z577)</f>
        <v>19.815532559262909</v>
      </c>
      <c r="AA84" s="376">
        <f>MIN('3.1 Market'!$G75,'1.1 Control Panel'!AA$569*'1.1 Control Panel'!AA577)</f>
        <v>19.852426047410326</v>
      </c>
      <c r="AB84" s="376">
        <f>MIN('3.1 Market'!$G75,'1.1 Control Panel'!AB$569*'1.1 Control Panel'!AB577)</f>
        <v>19.881940837928262</v>
      </c>
      <c r="AC84" s="376">
        <f>MIN('3.1 Market'!$H75,'1.1 Control Panel'!AC$569*'1.1 Control Panel'!AC577)</f>
        <v>34.834717173099563</v>
      </c>
      <c r="AD84" s="376">
        <f>MIN('3.1 Market'!$H75,'1.1 Control Panel'!AD$569*'1.1 Control Panel'!AD577)</f>
        <v>34.867773738479656</v>
      </c>
      <c r="AE84" s="376">
        <f>MIN('3.1 Market'!$H75,'1.1 Control Panel'!AE$569*'1.1 Control Panel'!AE577)</f>
        <v>34.894218990783727</v>
      </c>
      <c r="AF84" s="376">
        <f>MIN('3.1 Market'!$H75,'1.1 Control Panel'!AF$569*'1.1 Control Panel'!AF577)</f>
        <v>34.915375192626982</v>
      </c>
      <c r="AG84" s="376">
        <f>MIN('3.1 Market'!$H75,'1.1 Control Panel'!AG$569*'1.1 Control Panel'!AG577)</f>
        <v>49.903285934430848</v>
      </c>
      <c r="AH84" s="376">
        <f>MIN('3.1 Market'!$H75,'1.1 Control Panel'!AH$569*'1.1 Control Panel'!AH577)</f>
        <v>49.922628747544678</v>
      </c>
      <c r="AI84" s="376">
        <f>MIN('3.1 Market'!$H75,'1.1 Control Panel'!AI$569*'1.1 Control Panel'!AI577)</f>
        <v>49.938102998035745</v>
      </c>
      <c r="AJ84" s="376">
        <f>MIN('3.1 Market'!$H75,'1.1 Control Panel'!AJ$569*'1.1 Control Panel'!AJ577)</f>
        <v>49.950482398428598</v>
      </c>
      <c r="AK84" s="376">
        <f>MIN('3.1 Market'!$H75,'1.1 Control Panel'!AK$569*'1.1 Control Panel'!AK577)</f>
        <v>59.952463102491464</v>
      </c>
      <c r="AL84" s="376">
        <f>MIN('3.1 Market'!$H75,'1.1 Control Panel'!AL$569*'1.1 Control Panel'!AL577)</f>
        <v>59.961970481993177</v>
      </c>
      <c r="AM84" s="376">
        <f>MIN('3.1 Market'!$H75,'1.1 Control Panel'!AM$569*'1.1 Control Panel'!AM577)</f>
        <v>59.969576385594543</v>
      </c>
      <c r="AN84" s="376">
        <f>MIN('3.1 Market'!$H75,'1.1 Control Panel'!AN$569*'1.1 Control Panel'!AN577)</f>
        <v>59.975661108475634</v>
      </c>
      <c r="AP84" s="21"/>
    </row>
    <row r="85" spans="2:42" x14ac:dyDescent="0.25">
      <c r="B85" s="99" t="s">
        <v>9</v>
      </c>
      <c r="C85" s="105" t="str">
        <f>'4.2 Sector Mapping'!$B$14</f>
        <v>Retail and Consumer Goods</v>
      </c>
      <c r="D85" s="106" t="s">
        <v>162</v>
      </c>
      <c r="E85" s="380">
        <f>SUM(E86:E91)</f>
        <v>30</v>
      </c>
      <c r="F85" s="380">
        <f t="shared" ref="F85:H85" si="85">SUM(F86:F91)</f>
        <v>36</v>
      </c>
      <c r="G85" s="380">
        <f t="shared" si="85"/>
        <v>20.400000000000002</v>
      </c>
      <c r="H85" s="380">
        <f t="shared" si="85"/>
        <v>22.320000000000004</v>
      </c>
      <c r="I85" s="380">
        <f t="shared" ref="I85:AN85" si="86">SUM(I86:I91)</f>
        <v>47.712000000000003</v>
      </c>
      <c r="J85" s="380">
        <f t="shared" si="86"/>
        <v>50.169600000000003</v>
      </c>
      <c r="K85" s="380">
        <f t="shared" si="86"/>
        <v>52.135680000000008</v>
      </c>
      <c r="L85" s="380">
        <f t="shared" si="86"/>
        <v>53.70854400000001</v>
      </c>
      <c r="M85" s="380">
        <f t="shared" si="86"/>
        <v>109.93367040000001</v>
      </c>
      <c r="N85" s="380">
        <f t="shared" si="86"/>
        <v>139.93367040000004</v>
      </c>
      <c r="O85" s="380">
        <f t="shared" si="86"/>
        <v>170.33632358400004</v>
      </c>
      <c r="P85" s="380">
        <f t="shared" si="86"/>
        <v>200.9805686784</v>
      </c>
      <c r="Q85" s="380">
        <f t="shared" si="86"/>
        <v>231.75366279168003</v>
      </c>
      <c r="R85" s="380">
        <f t="shared" si="86"/>
        <v>233.40293023334405</v>
      </c>
      <c r="S85" s="380">
        <f t="shared" si="86"/>
        <v>234.72234418667523</v>
      </c>
      <c r="T85" s="380">
        <f t="shared" si="86"/>
        <v>235.77787534934021</v>
      </c>
      <c r="U85" s="380">
        <f t="shared" si="86"/>
        <v>295.77787534934021</v>
      </c>
      <c r="V85" s="380">
        <f t="shared" si="86"/>
        <v>296.6223002794722</v>
      </c>
      <c r="W85" s="380">
        <f t="shared" si="86"/>
        <v>297.29784022357774</v>
      </c>
      <c r="X85" s="380">
        <f t="shared" si="86"/>
        <v>297.83827217886221</v>
      </c>
      <c r="Y85" s="380">
        <f t="shared" si="86"/>
        <v>328.09767951739877</v>
      </c>
      <c r="Z85" s="380">
        <f t="shared" si="86"/>
        <v>328.47814361391897</v>
      </c>
      <c r="AA85" s="380">
        <f t="shared" si="86"/>
        <v>328.78251489113524</v>
      </c>
      <c r="AB85" s="380">
        <f t="shared" si="86"/>
        <v>329.02601191290819</v>
      </c>
      <c r="AC85" s="380">
        <f t="shared" si="86"/>
        <v>478.86663204411138</v>
      </c>
      <c r="AD85" s="380">
        <f t="shared" si="86"/>
        <v>479.09330563528908</v>
      </c>
      <c r="AE85" s="380">
        <f t="shared" si="86"/>
        <v>479.27464450823129</v>
      </c>
      <c r="AF85" s="380">
        <f t="shared" si="86"/>
        <v>479.4197156065851</v>
      </c>
      <c r="AG85" s="380">
        <f t="shared" si="86"/>
        <v>629.39070138691432</v>
      </c>
      <c r="AH85" s="380">
        <f t="shared" si="86"/>
        <v>629.51256110953136</v>
      </c>
      <c r="AI85" s="380">
        <f t="shared" si="86"/>
        <v>629.61004888762523</v>
      </c>
      <c r="AJ85" s="380">
        <f t="shared" si="86"/>
        <v>629.68803911010025</v>
      </c>
      <c r="AK85" s="380">
        <f t="shared" si="86"/>
        <v>779.69101016619447</v>
      </c>
      <c r="AL85" s="380">
        <f t="shared" si="86"/>
        <v>779.75280813295558</v>
      </c>
      <c r="AM85" s="380">
        <f t="shared" si="86"/>
        <v>779.80224650636455</v>
      </c>
      <c r="AN85" s="380">
        <f t="shared" si="86"/>
        <v>779.84179720509167</v>
      </c>
      <c r="AP85" s="105"/>
    </row>
    <row r="86" spans="2:42" x14ac:dyDescent="0.25">
      <c r="C86" s="20" t="s">
        <v>600</v>
      </c>
      <c r="D86" s="34" t="s">
        <v>162</v>
      </c>
      <c r="E86" s="28">
        <f>MIN('3.1 Market'!$F77,'1.1 Control Panel'!E$600*'1.1 Control Panel'!E603)</f>
        <v>10</v>
      </c>
      <c r="F86" s="28">
        <f>MIN('3.1 Market'!$F77,'1.1 Control Panel'!F$600*'1.1 Control Panel'!F603)</f>
        <v>10</v>
      </c>
      <c r="G86" s="28">
        <f>MIN('3.1 Market'!$F77,'1.1 Control Panel'!G$600*'1.1 Control Panel'!G603)</f>
        <v>5</v>
      </c>
      <c r="H86" s="28">
        <f>MIN('3.1 Market'!$F77,'1.1 Control Panel'!H$600*'1.1 Control Panel'!H603)</f>
        <v>5</v>
      </c>
      <c r="I86" s="28">
        <f>MIN('3.1 Market'!$F77,'1.1 Control Panel'!I$600*'1.1 Control Panel'!I603)</f>
        <v>10</v>
      </c>
      <c r="J86" s="28">
        <f>MIN('3.1 Market'!$F77,'1.1 Control Panel'!J$600*'1.1 Control Panel'!J603)</f>
        <v>10</v>
      </c>
      <c r="K86" s="28">
        <f>MIN('3.1 Market'!$F77,'1.1 Control Panel'!K$600*'1.1 Control Panel'!K603)</f>
        <v>10</v>
      </c>
      <c r="L86" s="28">
        <f>MIN('3.1 Market'!$F77,'1.1 Control Panel'!L$600*'1.1 Control Panel'!L603)</f>
        <v>10</v>
      </c>
      <c r="M86" s="28">
        <f>MIN('3.1 Market'!$F77,'1.1 Control Panel'!M$600*'1.1 Control Panel'!M603)</f>
        <v>20</v>
      </c>
      <c r="N86" s="28">
        <f>MIN('3.1 Market'!$F77,'1.1 Control Panel'!N$600*'1.1 Control Panel'!N603)</f>
        <v>25</v>
      </c>
      <c r="O86" s="28">
        <f>MIN('3.1 Market'!$F77,'1.1 Control Panel'!O$600*'1.1 Control Panel'!O603)</f>
        <v>30</v>
      </c>
      <c r="P86" s="28">
        <f>MIN('3.1 Market'!$F77,'1.1 Control Panel'!P$600*'1.1 Control Panel'!P603)</f>
        <v>35</v>
      </c>
      <c r="Q86" s="28">
        <f>MIN('3.1 Market'!$G77,'1.1 Control Panel'!Q$600*'1.1 Control Panel'!Q603)</f>
        <v>40</v>
      </c>
      <c r="R86" s="28">
        <f>MIN('3.1 Market'!$G77,'1.1 Control Panel'!R$600*'1.1 Control Panel'!R603)</f>
        <v>40</v>
      </c>
      <c r="S86" s="28">
        <f>MIN('3.1 Market'!$G77,'1.1 Control Panel'!S$600*'1.1 Control Panel'!S603)</f>
        <v>40</v>
      </c>
      <c r="T86" s="28">
        <f>MIN('3.1 Market'!$G77,'1.1 Control Panel'!T$600*'1.1 Control Panel'!T603)</f>
        <v>40</v>
      </c>
      <c r="U86" s="28">
        <f>MIN('3.1 Market'!$G77,'1.1 Control Panel'!U$600*'1.1 Control Panel'!U603)</f>
        <v>50</v>
      </c>
      <c r="V86" s="28">
        <f>MIN('3.1 Market'!$G77,'1.1 Control Panel'!V$600*'1.1 Control Panel'!V603)</f>
        <v>50</v>
      </c>
      <c r="W86" s="28">
        <f>MIN('3.1 Market'!$G77,'1.1 Control Panel'!W$600*'1.1 Control Panel'!W603)</f>
        <v>50</v>
      </c>
      <c r="X86" s="28">
        <f>MIN('3.1 Market'!$G77,'1.1 Control Panel'!X$600*'1.1 Control Panel'!X603)</f>
        <v>50</v>
      </c>
      <c r="Y86" s="28">
        <f>MIN('3.1 Market'!$G77,'1.1 Control Panel'!Y$600*'1.1 Control Panel'!Y603)</f>
        <v>55</v>
      </c>
      <c r="Z86" s="28">
        <f>MIN('3.1 Market'!$G77,'1.1 Control Panel'!Z$600*'1.1 Control Panel'!Z603)</f>
        <v>55</v>
      </c>
      <c r="AA86" s="28">
        <f>MIN('3.1 Market'!$G77,'1.1 Control Panel'!AA$600*'1.1 Control Panel'!AA603)</f>
        <v>55</v>
      </c>
      <c r="AB86" s="28">
        <f>MIN('3.1 Market'!$G77,'1.1 Control Panel'!AB$600*'1.1 Control Panel'!AB603)</f>
        <v>55</v>
      </c>
      <c r="AC86" s="28">
        <f>MIN('3.1 Market'!$H77,'1.1 Control Panel'!AC$600*'1.1 Control Panel'!AC603)</f>
        <v>80</v>
      </c>
      <c r="AD86" s="28">
        <f>MIN('3.1 Market'!$H77,'1.1 Control Panel'!AD$600*'1.1 Control Panel'!AD603)</f>
        <v>80</v>
      </c>
      <c r="AE86" s="28">
        <f>MIN('3.1 Market'!$H77,'1.1 Control Panel'!AE$600*'1.1 Control Panel'!AE603)</f>
        <v>80</v>
      </c>
      <c r="AF86" s="28">
        <f>MIN('3.1 Market'!$H77,'1.1 Control Panel'!AF$600*'1.1 Control Panel'!AF603)</f>
        <v>80</v>
      </c>
      <c r="AG86" s="28">
        <f>MIN('3.1 Market'!$H77,'1.1 Control Panel'!AG$600*'1.1 Control Panel'!AG603)</f>
        <v>105</v>
      </c>
      <c r="AH86" s="28">
        <f>MIN('3.1 Market'!$H77,'1.1 Control Panel'!AH$600*'1.1 Control Panel'!AH603)</f>
        <v>105</v>
      </c>
      <c r="AI86" s="28">
        <f>MIN('3.1 Market'!$H77,'1.1 Control Panel'!AI$600*'1.1 Control Panel'!AI603)</f>
        <v>105</v>
      </c>
      <c r="AJ86" s="28">
        <f>MIN('3.1 Market'!$H77,'1.1 Control Panel'!AJ$600*'1.1 Control Panel'!AJ603)</f>
        <v>105</v>
      </c>
      <c r="AK86" s="28">
        <f>MIN('3.1 Market'!$H77,'1.1 Control Panel'!AK$600*'1.1 Control Panel'!AK603)</f>
        <v>130</v>
      </c>
      <c r="AL86" s="28">
        <f>MIN('3.1 Market'!$H77,'1.1 Control Panel'!AL$600*'1.1 Control Panel'!AL603)</f>
        <v>130</v>
      </c>
      <c r="AM86" s="28">
        <f>MIN('3.1 Market'!$H77,'1.1 Control Panel'!AM$600*'1.1 Control Panel'!AM603)</f>
        <v>130</v>
      </c>
      <c r="AN86" s="28">
        <f>MIN('3.1 Market'!$H77,'1.1 Control Panel'!AN$600*'1.1 Control Panel'!AN603)</f>
        <v>130</v>
      </c>
      <c r="AP86" s="20"/>
    </row>
    <row r="87" spans="2:42" x14ac:dyDescent="0.25">
      <c r="C87" s="20" t="s">
        <v>392</v>
      </c>
      <c r="D87" s="34" t="s">
        <v>162</v>
      </c>
      <c r="E87" s="28">
        <f>MIN('3.1 Market'!$F78,'1.1 Control Panel'!E$600*'1.1 Control Panel'!E604)</f>
        <v>8</v>
      </c>
      <c r="F87" s="28">
        <f>MIN('3.1 Market'!$F78,'1.1 Control Panel'!F$600*'1.1 Control Panel'!F604)</f>
        <v>8.4</v>
      </c>
      <c r="G87" s="28">
        <f>MIN('3.1 Market'!$F78,'1.1 Control Panel'!G$600*'1.1 Control Panel'!G604)</f>
        <v>4.3600000000000003</v>
      </c>
      <c r="H87" s="28">
        <f>MIN('3.1 Market'!$F78,'1.1 Control Panel'!H$600*'1.1 Control Panel'!H604)</f>
        <v>4.4880000000000004</v>
      </c>
      <c r="I87" s="28">
        <f>MIN('3.1 Market'!$F78,'1.1 Control Panel'!I$600*'1.1 Control Panel'!I604)</f>
        <v>9.1808000000000014</v>
      </c>
      <c r="J87" s="28">
        <f>MIN('3.1 Market'!$F78,'1.1 Control Panel'!J$600*'1.1 Control Panel'!J604)</f>
        <v>9.3446400000000018</v>
      </c>
      <c r="K87" s="28">
        <f>MIN('3.1 Market'!$F78,'1.1 Control Panel'!K$600*'1.1 Control Panel'!K604)</f>
        <v>9.4757120000000015</v>
      </c>
      <c r="L87" s="28">
        <f>MIN('3.1 Market'!$F78,'1.1 Control Panel'!L$600*'1.1 Control Panel'!L604)</f>
        <v>9.5805696000000005</v>
      </c>
      <c r="M87" s="28">
        <f>MIN('3.1 Market'!$F78,'1.1 Control Panel'!M$600*'1.1 Control Panel'!M604)</f>
        <v>19.328911359999999</v>
      </c>
      <c r="N87" s="28">
        <f>MIN('3.1 Market'!$F78,'1.1 Control Panel'!N$600*'1.1 Control Panel'!N604)</f>
        <v>24.328911360000003</v>
      </c>
      <c r="O87" s="28">
        <f>MIN('3.1 Market'!$F78,'1.1 Control Panel'!O$600*'1.1 Control Panel'!O604)</f>
        <v>29.355754905600005</v>
      </c>
      <c r="P87" s="28">
        <f>MIN('3.1 Market'!$F78,'1.1 Control Panel'!P$600*'1.1 Control Panel'!P604)</f>
        <v>34.39870457856</v>
      </c>
      <c r="Q87" s="28">
        <f>MIN('3.1 Market'!$G78,'1.1 Control Panel'!Q$600*'1.1 Control Panel'!Q604)</f>
        <v>39.450244186112002</v>
      </c>
      <c r="R87" s="28">
        <f>MIN('3.1 Market'!$G78,'1.1 Control Panel'!R$600*'1.1 Control Panel'!R604)</f>
        <v>39.560195348889607</v>
      </c>
      <c r="S87" s="28">
        <f>MIN('3.1 Market'!$G78,'1.1 Control Panel'!S$600*'1.1 Control Panel'!S604)</f>
        <v>39.648156279111689</v>
      </c>
      <c r="T87" s="28">
        <f>MIN('3.1 Market'!$G78,'1.1 Control Panel'!T$600*'1.1 Control Panel'!T604)</f>
        <v>39.718525023289352</v>
      </c>
      <c r="U87" s="28">
        <f>MIN('3.1 Market'!$G78,'1.1 Control Panel'!U$600*'1.1 Control Panel'!U604)</f>
        <v>49.718525023289359</v>
      </c>
      <c r="V87" s="28">
        <f>MIN('3.1 Market'!$G78,'1.1 Control Panel'!V$600*'1.1 Control Panel'!V604)</f>
        <v>49.774820018631488</v>
      </c>
      <c r="W87" s="28">
        <f>MIN('3.1 Market'!$G78,'1.1 Control Panel'!W$600*'1.1 Control Panel'!W604)</f>
        <v>49.819856014905199</v>
      </c>
      <c r="X87" s="28">
        <f>MIN('3.1 Market'!$G78,'1.1 Control Panel'!X$600*'1.1 Control Panel'!X604)</f>
        <v>49.855884811924156</v>
      </c>
      <c r="Y87" s="28">
        <f>MIN('3.1 Market'!$G78,'1.1 Control Panel'!Y$600*'1.1 Control Panel'!Y604)</f>
        <v>54.873178634493257</v>
      </c>
      <c r="Z87" s="28">
        <f>MIN('3.1 Market'!$G78,'1.1 Control Panel'!Z$600*'1.1 Control Panel'!Z604)</f>
        <v>54.898542907594617</v>
      </c>
      <c r="AA87" s="28">
        <f>MIN('3.1 Market'!$G78,'1.1 Control Panel'!AA$600*'1.1 Control Panel'!AA604)</f>
        <v>54.918834326075697</v>
      </c>
      <c r="AB87" s="28">
        <f>MIN('3.1 Market'!$G78,'1.1 Control Panel'!AB$600*'1.1 Control Panel'!AB604)</f>
        <v>54.935067460860559</v>
      </c>
      <c r="AC87" s="28">
        <f>MIN('3.1 Market'!$H78,'1.1 Control Panel'!AC$600*'1.1 Control Panel'!AC604)</f>
        <v>79.924442136274109</v>
      </c>
      <c r="AD87" s="28">
        <f>MIN('3.1 Market'!$H78,'1.1 Control Panel'!AD$600*'1.1 Control Panel'!AD604)</f>
        <v>79.939553709019293</v>
      </c>
      <c r="AE87" s="28">
        <f>MIN('3.1 Market'!$H78,'1.1 Control Panel'!AE$600*'1.1 Control Panel'!AE604)</f>
        <v>79.951642967215435</v>
      </c>
      <c r="AF87" s="28">
        <f>MIN('3.1 Market'!$H78,'1.1 Control Panel'!AF$600*'1.1 Control Panel'!AF604)</f>
        <v>79.961314373772353</v>
      </c>
      <c r="AG87" s="28">
        <f>MIN('3.1 Market'!$H78,'1.1 Control Panel'!AG$600*'1.1 Control Panel'!AG604)</f>
        <v>104.95938009246099</v>
      </c>
      <c r="AH87" s="28">
        <f>MIN('3.1 Market'!$H78,'1.1 Control Panel'!AH$600*'1.1 Control Panel'!AH604)</f>
        <v>104.96750407396878</v>
      </c>
      <c r="AI87" s="28">
        <f>MIN('3.1 Market'!$H78,'1.1 Control Panel'!AI$600*'1.1 Control Panel'!AI604)</f>
        <v>104.97400325917503</v>
      </c>
      <c r="AJ87" s="28">
        <f>MIN('3.1 Market'!$H78,'1.1 Control Panel'!AJ$600*'1.1 Control Panel'!AJ604)</f>
        <v>104.97920260734001</v>
      </c>
      <c r="AK87" s="28">
        <f>MIN('3.1 Market'!$H78,'1.1 Control Panel'!AK$600*'1.1 Control Panel'!AK604)</f>
        <v>129.97940067774633</v>
      </c>
      <c r="AL87" s="28">
        <f>MIN('3.1 Market'!$H78,'1.1 Control Panel'!AL$600*'1.1 Control Panel'!AL604)</f>
        <v>129.98352054219706</v>
      </c>
      <c r="AM87" s="28">
        <f>MIN('3.1 Market'!$H78,'1.1 Control Panel'!AM$600*'1.1 Control Panel'!AM604)</f>
        <v>129.98681643375764</v>
      </c>
      <c r="AN87" s="28">
        <f>MIN('3.1 Market'!$H78,'1.1 Control Panel'!AN$600*'1.1 Control Panel'!AN604)</f>
        <v>129.98945314700609</v>
      </c>
      <c r="AP87" s="20"/>
    </row>
    <row r="88" spans="2:42" x14ac:dyDescent="0.25">
      <c r="C88" s="20" t="s">
        <v>454</v>
      </c>
      <c r="D88" s="34" t="s">
        <v>162</v>
      </c>
      <c r="E88" s="28">
        <f>MIN('3.1 Market'!$F79,'1.1 Control Panel'!E$600*'1.1 Control Panel'!E605)</f>
        <v>6</v>
      </c>
      <c r="F88" s="28">
        <f>MIN('3.1 Market'!$F79,'1.1 Control Panel'!F$600*'1.1 Control Panel'!F605)</f>
        <v>6.8000000000000007</v>
      </c>
      <c r="G88" s="28">
        <f>MIN('3.1 Market'!$F79,'1.1 Control Panel'!G$600*'1.1 Control Panel'!G605)</f>
        <v>3.7200000000000006</v>
      </c>
      <c r="H88" s="28">
        <f>MIN('3.1 Market'!$F79,'1.1 Control Panel'!H$600*'1.1 Control Panel'!H605)</f>
        <v>3.9760000000000009</v>
      </c>
      <c r="I88" s="28">
        <f>MIN('3.1 Market'!$F79,'1.1 Control Panel'!I$600*'1.1 Control Panel'!I605)</f>
        <v>8.3616000000000028</v>
      </c>
      <c r="J88" s="28">
        <f>MIN('3.1 Market'!$F79,'1.1 Control Panel'!J$600*'1.1 Control Panel'!J605)</f>
        <v>8.6892800000000037</v>
      </c>
      <c r="K88" s="28">
        <f>MIN('3.1 Market'!$F79,'1.1 Control Panel'!K$600*'1.1 Control Panel'!K605)</f>
        <v>8.9514240000000029</v>
      </c>
      <c r="L88" s="28">
        <f>MIN('3.1 Market'!$F79,'1.1 Control Panel'!L$600*'1.1 Control Panel'!L605)</f>
        <v>9.1611392000000027</v>
      </c>
      <c r="M88" s="28">
        <f>MIN('3.1 Market'!$F79,'1.1 Control Panel'!M$600*'1.1 Control Panel'!M605)</f>
        <v>18.657822720000006</v>
      </c>
      <c r="N88" s="28">
        <f>MIN('3.1 Market'!$F79,'1.1 Control Panel'!N$600*'1.1 Control Panel'!N605)</f>
        <v>23.657822720000006</v>
      </c>
      <c r="O88" s="28">
        <f>MIN('3.1 Market'!$F79,'1.1 Control Panel'!O$600*'1.1 Control Panel'!O605)</f>
        <v>28.71150981120001</v>
      </c>
      <c r="P88" s="28">
        <f>MIN('3.1 Market'!$F79,'1.1 Control Panel'!P$600*'1.1 Control Panel'!P605)</f>
        <v>33.797409157120008</v>
      </c>
      <c r="Q88" s="28">
        <f>MIN('3.1 Market'!$G79,'1.1 Control Panel'!Q$600*'1.1 Control Panel'!Q605)</f>
        <v>38.900488372224011</v>
      </c>
      <c r="R88" s="28">
        <f>MIN('3.1 Market'!$G79,'1.1 Control Panel'!R$600*'1.1 Control Panel'!R605)</f>
        <v>39.120390697779214</v>
      </c>
      <c r="S88" s="28">
        <f>MIN('3.1 Market'!$G79,'1.1 Control Panel'!S$600*'1.1 Control Panel'!S605)</f>
        <v>39.296312558223377</v>
      </c>
      <c r="T88" s="28">
        <f>MIN('3.1 Market'!$G79,'1.1 Control Panel'!T$600*'1.1 Control Panel'!T605)</f>
        <v>39.437050046578705</v>
      </c>
      <c r="U88" s="28">
        <f>MIN('3.1 Market'!$G79,'1.1 Control Panel'!U$600*'1.1 Control Panel'!U605)</f>
        <v>49.437050046578705</v>
      </c>
      <c r="V88" s="28">
        <f>MIN('3.1 Market'!$G79,'1.1 Control Panel'!V$600*'1.1 Control Panel'!V605)</f>
        <v>49.549640037262961</v>
      </c>
      <c r="W88" s="28">
        <f>MIN('3.1 Market'!$G79,'1.1 Control Panel'!W$600*'1.1 Control Panel'!W605)</f>
        <v>49.639712029810369</v>
      </c>
      <c r="X88" s="28">
        <f>MIN('3.1 Market'!$G79,'1.1 Control Panel'!X$600*'1.1 Control Panel'!X605)</f>
        <v>49.711769623848298</v>
      </c>
      <c r="Y88" s="28">
        <f>MIN('3.1 Market'!$G79,'1.1 Control Panel'!Y$600*'1.1 Control Panel'!Y605)</f>
        <v>54.746357268986493</v>
      </c>
      <c r="Z88" s="28">
        <f>MIN('3.1 Market'!$G79,'1.1 Control Panel'!Z$600*'1.1 Control Panel'!Z605)</f>
        <v>54.797085815189199</v>
      </c>
      <c r="AA88" s="28">
        <f>MIN('3.1 Market'!$G79,'1.1 Control Panel'!AA$600*'1.1 Control Panel'!AA605)</f>
        <v>54.837668652151358</v>
      </c>
      <c r="AB88" s="28">
        <f>MIN('3.1 Market'!$G79,'1.1 Control Panel'!AB$600*'1.1 Control Panel'!AB605)</f>
        <v>54.870134921721096</v>
      </c>
      <c r="AC88" s="28">
        <f>MIN('3.1 Market'!$H79,'1.1 Control Panel'!AC$600*'1.1 Control Panel'!AC605)</f>
        <v>79.84888427254819</v>
      </c>
      <c r="AD88" s="28">
        <f>MIN('3.1 Market'!$H79,'1.1 Control Panel'!AD$600*'1.1 Control Panel'!AD605)</f>
        <v>79.879107418038558</v>
      </c>
      <c r="AE88" s="28">
        <f>MIN('3.1 Market'!$H79,'1.1 Control Panel'!AE$600*'1.1 Control Panel'!AE605)</f>
        <v>79.903285934430841</v>
      </c>
      <c r="AF88" s="28">
        <f>MIN('3.1 Market'!$H79,'1.1 Control Panel'!AF$600*'1.1 Control Panel'!AF605)</f>
        <v>79.922628747544678</v>
      </c>
      <c r="AG88" s="28">
        <f>MIN('3.1 Market'!$H79,'1.1 Control Panel'!AG$600*'1.1 Control Panel'!AG605)</f>
        <v>104.91876018492192</v>
      </c>
      <c r="AH88" s="28">
        <f>MIN('3.1 Market'!$H79,'1.1 Control Panel'!AH$600*'1.1 Control Panel'!AH605)</f>
        <v>104.93500814793752</v>
      </c>
      <c r="AI88" s="28">
        <f>MIN('3.1 Market'!$H79,'1.1 Control Panel'!AI$600*'1.1 Control Panel'!AI605)</f>
        <v>104.94800651835001</v>
      </c>
      <c r="AJ88" s="28">
        <f>MIN('3.1 Market'!$H79,'1.1 Control Panel'!AJ$600*'1.1 Control Panel'!AJ605)</f>
        <v>104.95840521468003</v>
      </c>
      <c r="AK88" s="28">
        <f>MIN('3.1 Market'!$H79,'1.1 Control Panel'!AK$600*'1.1 Control Panel'!AK605)</f>
        <v>129.9588013554926</v>
      </c>
      <c r="AL88" s="28">
        <f>MIN('3.1 Market'!$H79,'1.1 Control Panel'!AL$600*'1.1 Control Panel'!AL605)</f>
        <v>129.96704108439405</v>
      </c>
      <c r="AM88" s="28">
        <f>MIN('3.1 Market'!$H79,'1.1 Control Panel'!AM$600*'1.1 Control Panel'!AM605)</f>
        <v>129.97363286751528</v>
      </c>
      <c r="AN88" s="28">
        <f>MIN('3.1 Market'!$H79,'1.1 Control Panel'!AN$600*'1.1 Control Panel'!AN605)</f>
        <v>129.97890629401223</v>
      </c>
      <c r="AP88" s="20"/>
    </row>
    <row r="89" spans="2:42" x14ac:dyDescent="0.25">
      <c r="C89" s="21" t="s">
        <v>455</v>
      </c>
      <c r="D89" s="38" t="s">
        <v>162</v>
      </c>
      <c r="E89" s="376">
        <f>MIN('3.1 Market'!$F80,'1.1 Control Panel'!E$600*'1.1 Control Panel'!E606)</f>
        <v>4</v>
      </c>
      <c r="F89" s="376">
        <f>MIN('3.1 Market'!$F80,'1.1 Control Panel'!F$600*'1.1 Control Panel'!F606)</f>
        <v>5.2</v>
      </c>
      <c r="G89" s="376">
        <f>MIN('3.1 Market'!$F80,'1.1 Control Panel'!G$600*'1.1 Control Panel'!G606)</f>
        <v>3.08</v>
      </c>
      <c r="H89" s="376">
        <f>MIN('3.1 Market'!$F80,'1.1 Control Panel'!H$600*'1.1 Control Panel'!H606)</f>
        <v>3.4640000000000004</v>
      </c>
      <c r="I89" s="376">
        <f>MIN('3.1 Market'!$F80,'1.1 Control Panel'!I$600*'1.1 Control Panel'!I606)</f>
        <v>7.5424000000000007</v>
      </c>
      <c r="J89" s="376">
        <f>MIN('3.1 Market'!$F80,'1.1 Control Panel'!J$600*'1.1 Control Panel'!J606)</f>
        <v>8.0339200000000019</v>
      </c>
      <c r="K89" s="376">
        <f>MIN('3.1 Market'!$F80,'1.1 Control Panel'!K$600*'1.1 Control Panel'!K606)</f>
        <v>8.4271360000000008</v>
      </c>
      <c r="L89" s="376">
        <f>MIN('3.1 Market'!$F80,'1.1 Control Panel'!L$600*'1.1 Control Panel'!L606)</f>
        <v>8.7417088000000014</v>
      </c>
      <c r="M89" s="376">
        <f>MIN('3.1 Market'!$F80,'1.1 Control Panel'!M$600*'1.1 Control Panel'!M606)</f>
        <v>17.986734080000005</v>
      </c>
      <c r="N89" s="376">
        <f>MIN('3.1 Market'!$F80,'1.1 Control Panel'!N$600*'1.1 Control Panel'!N606)</f>
        <v>22.986734080000009</v>
      </c>
      <c r="O89" s="376">
        <f>MIN('3.1 Market'!$F80,'1.1 Control Panel'!O$600*'1.1 Control Panel'!O606)</f>
        <v>28.067264716800011</v>
      </c>
      <c r="P89" s="376">
        <f>MIN('3.1 Market'!$F80,'1.1 Control Panel'!P$600*'1.1 Control Panel'!P606)</f>
        <v>33.196113735680008</v>
      </c>
      <c r="Q89" s="376">
        <f>MIN('3.1 Market'!$G80,'1.1 Control Panel'!Q$600*'1.1 Control Panel'!Q606)</f>
        <v>38.350732558336006</v>
      </c>
      <c r="R89" s="376">
        <f>MIN('3.1 Market'!$G80,'1.1 Control Panel'!R$600*'1.1 Control Panel'!R606)</f>
        <v>38.680586046668807</v>
      </c>
      <c r="S89" s="376">
        <f>MIN('3.1 Market'!$G80,'1.1 Control Panel'!S$600*'1.1 Control Panel'!S606)</f>
        <v>38.944468837335052</v>
      </c>
      <c r="T89" s="376">
        <f>MIN('3.1 Market'!$G80,'1.1 Control Panel'!T$600*'1.1 Control Panel'!T606)</f>
        <v>39.155575069868043</v>
      </c>
      <c r="U89" s="376">
        <f>MIN('3.1 Market'!$G80,'1.1 Control Panel'!U$600*'1.1 Control Panel'!U606)</f>
        <v>49.155575069868043</v>
      </c>
      <c r="V89" s="376">
        <f>MIN('3.1 Market'!$G80,'1.1 Control Panel'!V$600*'1.1 Control Panel'!V606)</f>
        <v>49.324460055894441</v>
      </c>
      <c r="W89" s="376">
        <f>MIN('3.1 Market'!$G80,'1.1 Control Panel'!W$600*'1.1 Control Panel'!W606)</f>
        <v>49.459568044715553</v>
      </c>
      <c r="X89" s="376">
        <f>MIN('3.1 Market'!$G80,'1.1 Control Panel'!X$600*'1.1 Control Panel'!X606)</f>
        <v>49.56765443577244</v>
      </c>
      <c r="Y89" s="376">
        <f>MIN('3.1 Market'!$G80,'1.1 Control Panel'!Y$600*'1.1 Control Panel'!Y606)</f>
        <v>54.619535903479751</v>
      </c>
      <c r="Z89" s="376">
        <f>MIN('3.1 Market'!$G80,'1.1 Control Panel'!Z$600*'1.1 Control Panel'!Z606)</f>
        <v>54.695628722783802</v>
      </c>
      <c r="AA89" s="376">
        <f>MIN('3.1 Market'!$G80,'1.1 Control Panel'!AA$600*'1.1 Control Panel'!AA606)</f>
        <v>54.756502978227047</v>
      </c>
      <c r="AB89" s="376">
        <f>MIN('3.1 Market'!$G80,'1.1 Control Panel'!AB$600*'1.1 Control Panel'!AB606)</f>
        <v>54.805202382581641</v>
      </c>
      <c r="AC89" s="376">
        <f>MIN('3.1 Market'!$H80,'1.1 Control Panel'!AC$600*'1.1 Control Panel'!AC606)</f>
        <v>79.773326408822271</v>
      </c>
      <c r="AD89" s="376">
        <f>MIN('3.1 Market'!$H80,'1.1 Control Panel'!AD$600*'1.1 Control Panel'!AD606)</f>
        <v>79.818661127057823</v>
      </c>
      <c r="AE89" s="376">
        <f>MIN('3.1 Market'!$H80,'1.1 Control Panel'!AE$600*'1.1 Control Panel'!AE606)</f>
        <v>79.854928901646261</v>
      </c>
      <c r="AF89" s="376">
        <f>MIN('3.1 Market'!$H80,'1.1 Control Panel'!AF$600*'1.1 Control Panel'!AF606)</f>
        <v>79.883943121317003</v>
      </c>
      <c r="AG89" s="376">
        <f>MIN('3.1 Market'!$H80,'1.1 Control Panel'!AG$600*'1.1 Control Panel'!AG606)</f>
        <v>104.87814027738284</v>
      </c>
      <c r="AH89" s="376">
        <f>MIN('3.1 Market'!$H80,'1.1 Control Panel'!AH$600*'1.1 Control Panel'!AH606)</f>
        <v>104.90251222190626</v>
      </c>
      <c r="AI89" s="376">
        <f>MIN('3.1 Market'!$H80,'1.1 Control Panel'!AI$600*'1.1 Control Panel'!AI606)</f>
        <v>104.92200977752503</v>
      </c>
      <c r="AJ89" s="376">
        <f>MIN('3.1 Market'!$H80,'1.1 Control Panel'!AJ$600*'1.1 Control Panel'!AJ606)</f>
        <v>104.93760782202003</v>
      </c>
      <c r="AK89" s="376">
        <f>MIN('3.1 Market'!$H80,'1.1 Control Panel'!AK$600*'1.1 Control Panel'!AK606)</f>
        <v>129.93820203323889</v>
      </c>
      <c r="AL89" s="376">
        <f>MIN('3.1 Market'!$H80,'1.1 Control Panel'!AL$600*'1.1 Control Panel'!AL606)</f>
        <v>129.95056162659111</v>
      </c>
      <c r="AM89" s="376">
        <f>MIN('3.1 Market'!$H80,'1.1 Control Panel'!AM$600*'1.1 Control Panel'!AM606)</f>
        <v>129.96044930127292</v>
      </c>
      <c r="AN89" s="376">
        <f>MIN('3.1 Market'!$H80,'1.1 Control Panel'!AN$600*'1.1 Control Panel'!AN606)</f>
        <v>129.96835944101835</v>
      </c>
      <c r="AP89" s="21"/>
    </row>
    <row r="90" spans="2:42" x14ac:dyDescent="0.25">
      <c r="C90" s="21" t="s">
        <v>393</v>
      </c>
      <c r="D90" s="38" t="s">
        <v>162</v>
      </c>
      <c r="E90" s="376">
        <f>MIN('3.1 Market'!$F81,'1.1 Control Panel'!E$600*'1.1 Control Panel'!E607)</f>
        <v>2</v>
      </c>
      <c r="F90" s="376">
        <f>MIN('3.1 Market'!$F81,'1.1 Control Panel'!F$600*'1.1 Control Panel'!F607)</f>
        <v>3.6</v>
      </c>
      <c r="G90" s="376">
        <f>MIN('3.1 Market'!$F81,'1.1 Control Panel'!G$600*'1.1 Control Panel'!G607)</f>
        <v>2.4400000000000004</v>
      </c>
      <c r="H90" s="376">
        <f>MIN('3.1 Market'!$F81,'1.1 Control Panel'!H$600*'1.1 Control Panel'!H607)</f>
        <v>2.9520000000000004</v>
      </c>
      <c r="I90" s="376">
        <f>MIN('3.1 Market'!$F81,'1.1 Control Panel'!I$600*'1.1 Control Panel'!I607)</f>
        <v>6.7232000000000012</v>
      </c>
      <c r="J90" s="376">
        <f>MIN('3.1 Market'!$F81,'1.1 Control Panel'!J$600*'1.1 Control Panel'!J607)</f>
        <v>7.3785600000000011</v>
      </c>
      <c r="K90" s="376">
        <f>MIN('3.1 Market'!$F81,'1.1 Control Panel'!K$600*'1.1 Control Panel'!K607)</f>
        <v>7.9028480000000014</v>
      </c>
      <c r="L90" s="376">
        <f>MIN('3.1 Market'!$F81,'1.1 Control Panel'!L$600*'1.1 Control Panel'!L607)</f>
        <v>8.3222784000000019</v>
      </c>
      <c r="M90" s="376">
        <f>MIN('3.1 Market'!$F81,'1.1 Control Panel'!M$600*'1.1 Control Panel'!M607)</f>
        <v>17.315645440000004</v>
      </c>
      <c r="N90" s="376">
        <f>MIN('3.1 Market'!$F81,'1.1 Control Panel'!N$600*'1.1 Control Panel'!N607)</f>
        <v>22.315645440000004</v>
      </c>
      <c r="O90" s="376">
        <f>MIN('3.1 Market'!$F81,'1.1 Control Panel'!O$600*'1.1 Control Panel'!O607)</f>
        <v>27.423019622400005</v>
      </c>
      <c r="P90" s="376">
        <f>MIN('3.1 Market'!$F81,'1.1 Control Panel'!P$600*'1.1 Control Panel'!P607)</f>
        <v>32.594818314240008</v>
      </c>
      <c r="Q90" s="376">
        <f>MIN('3.1 Market'!$G81,'1.1 Control Panel'!Q$600*'1.1 Control Panel'!Q607)</f>
        <v>37.800976744448008</v>
      </c>
      <c r="R90" s="376">
        <f>MIN('3.1 Market'!$G81,'1.1 Control Panel'!R$600*'1.1 Control Panel'!R607)</f>
        <v>38.240781395558407</v>
      </c>
      <c r="S90" s="376">
        <f>MIN('3.1 Market'!$G81,'1.1 Control Panel'!S$600*'1.1 Control Panel'!S607)</f>
        <v>38.592625116446726</v>
      </c>
      <c r="T90" s="376">
        <f>MIN('3.1 Market'!$G81,'1.1 Control Panel'!T$600*'1.1 Control Panel'!T607)</f>
        <v>38.874100093157381</v>
      </c>
      <c r="U90" s="376">
        <f>MIN('3.1 Market'!$G81,'1.1 Control Panel'!U$600*'1.1 Control Panel'!U607)</f>
        <v>48.874100093157381</v>
      </c>
      <c r="V90" s="376">
        <f>MIN('3.1 Market'!$G81,'1.1 Control Panel'!V$600*'1.1 Control Panel'!V607)</f>
        <v>49.099280074525907</v>
      </c>
      <c r="W90" s="376">
        <f>MIN('3.1 Market'!$G81,'1.1 Control Panel'!W$600*'1.1 Control Panel'!W607)</f>
        <v>49.279424059620723</v>
      </c>
      <c r="X90" s="376">
        <f>MIN('3.1 Market'!$G81,'1.1 Control Panel'!X$600*'1.1 Control Panel'!X607)</f>
        <v>49.423539247696588</v>
      </c>
      <c r="Y90" s="376">
        <f>MIN('3.1 Market'!$G81,'1.1 Control Panel'!Y$600*'1.1 Control Panel'!Y607)</f>
        <v>54.492714537973001</v>
      </c>
      <c r="Z90" s="376">
        <f>MIN('3.1 Market'!$G81,'1.1 Control Panel'!Z$600*'1.1 Control Panel'!Z607)</f>
        <v>54.594171630378398</v>
      </c>
      <c r="AA90" s="376">
        <f>MIN('3.1 Market'!$G81,'1.1 Control Panel'!AA$600*'1.1 Control Panel'!AA607)</f>
        <v>54.675337304302722</v>
      </c>
      <c r="AB90" s="376">
        <f>MIN('3.1 Market'!$G81,'1.1 Control Panel'!AB$600*'1.1 Control Panel'!AB607)</f>
        <v>54.740269843442171</v>
      </c>
      <c r="AC90" s="376">
        <f>MIN('3.1 Market'!$H81,'1.1 Control Panel'!AC$600*'1.1 Control Panel'!AC607)</f>
        <v>79.697768545096352</v>
      </c>
      <c r="AD90" s="376">
        <f>MIN('3.1 Market'!$H81,'1.1 Control Panel'!AD$600*'1.1 Control Panel'!AD607)</f>
        <v>79.758214836077087</v>
      </c>
      <c r="AE90" s="376">
        <f>MIN('3.1 Market'!$H81,'1.1 Control Panel'!AE$600*'1.1 Control Panel'!AE607)</f>
        <v>79.806571868861681</v>
      </c>
      <c r="AF90" s="376">
        <f>MIN('3.1 Market'!$H81,'1.1 Control Panel'!AF$600*'1.1 Control Panel'!AF607)</f>
        <v>79.845257495089356</v>
      </c>
      <c r="AG90" s="376">
        <f>MIN('3.1 Market'!$H81,'1.1 Control Panel'!AG$600*'1.1 Control Panel'!AG607)</f>
        <v>104.83752036984383</v>
      </c>
      <c r="AH90" s="376">
        <f>MIN('3.1 Market'!$H81,'1.1 Control Panel'!AH$600*'1.1 Control Panel'!AH607)</f>
        <v>104.87001629587508</v>
      </c>
      <c r="AI90" s="376">
        <f>MIN('3.1 Market'!$H81,'1.1 Control Panel'!AI$600*'1.1 Control Panel'!AI607)</f>
        <v>104.89601303670005</v>
      </c>
      <c r="AJ90" s="376">
        <f>MIN('3.1 Market'!$H81,'1.1 Control Panel'!AJ$600*'1.1 Control Panel'!AJ607)</f>
        <v>104.91681042936005</v>
      </c>
      <c r="AK90" s="376">
        <f>MIN('3.1 Market'!$H81,'1.1 Control Panel'!AK$600*'1.1 Control Panel'!AK607)</f>
        <v>129.91760271098522</v>
      </c>
      <c r="AL90" s="376">
        <f>MIN('3.1 Market'!$H81,'1.1 Control Panel'!AL$600*'1.1 Control Panel'!AL607)</f>
        <v>129.93408216878817</v>
      </c>
      <c r="AM90" s="376">
        <f>MIN('3.1 Market'!$H81,'1.1 Control Panel'!AM$600*'1.1 Control Panel'!AM607)</f>
        <v>129.94726573503056</v>
      </c>
      <c r="AN90" s="376">
        <f>MIN('3.1 Market'!$H81,'1.1 Control Panel'!AN$600*'1.1 Control Panel'!AN607)</f>
        <v>129.95781258802444</v>
      </c>
      <c r="AP90" s="21"/>
    </row>
    <row r="91" spans="2:42" x14ac:dyDescent="0.25">
      <c r="C91" s="21" t="s">
        <v>456</v>
      </c>
      <c r="D91" s="38" t="s">
        <v>162</v>
      </c>
      <c r="E91" s="376">
        <f>MIN('3.1 Market'!$F82,'1.1 Control Panel'!E$600*'1.1 Control Panel'!E608)</f>
        <v>0</v>
      </c>
      <c r="F91" s="376">
        <f>MIN('3.1 Market'!$F82,'1.1 Control Panel'!F$600*'1.1 Control Panel'!F608)</f>
        <v>2</v>
      </c>
      <c r="G91" s="376">
        <f>MIN('3.1 Market'!$F82,'1.1 Control Panel'!G$600*'1.1 Control Panel'!G608)</f>
        <v>1.8</v>
      </c>
      <c r="H91" s="376">
        <f>MIN('3.1 Market'!$F82,'1.1 Control Panel'!H$600*'1.1 Control Panel'!H608)</f>
        <v>2.4400000000000004</v>
      </c>
      <c r="I91" s="376">
        <f>MIN('3.1 Market'!$F82,'1.1 Control Panel'!I$600*'1.1 Control Panel'!I608)</f>
        <v>5.9040000000000008</v>
      </c>
      <c r="J91" s="376">
        <f>MIN('3.1 Market'!$F82,'1.1 Control Panel'!J$600*'1.1 Control Panel'!J608)</f>
        <v>6.7232000000000012</v>
      </c>
      <c r="K91" s="376">
        <f>MIN('3.1 Market'!$F82,'1.1 Control Panel'!K$600*'1.1 Control Panel'!K608)</f>
        <v>7.3785600000000011</v>
      </c>
      <c r="L91" s="376">
        <f>MIN('3.1 Market'!$F82,'1.1 Control Panel'!L$600*'1.1 Control Panel'!L608)</f>
        <v>7.9028480000000014</v>
      </c>
      <c r="M91" s="376">
        <f>MIN('3.1 Market'!$F82,'1.1 Control Panel'!M$600*'1.1 Control Panel'!M608)</f>
        <v>16.644556800000004</v>
      </c>
      <c r="N91" s="376">
        <f>MIN('3.1 Market'!$F82,'1.1 Control Panel'!N$600*'1.1 Control Panel'!N608)</f>
        <v>21.644556800000004</v>
      </c>
      <c r="O91" s="376">
        <f>MIN('3.1 Market'!$F82,'1.1 Control Panel'!O$600*'1.1 Control Panel'!O608)</f>
        <v>26.778774528000003</v>
      </c>
      <c r="P91" s="376">
        <f>MIN('3.1 Market'!$F82,'1.1 Control Panel'!P$600*'1.1 Control Panel'!P608)</f>
        <v>31.993522892800005</v>
      </c>
      <c r="Q91" s="376">
        <f>MIN('3.1 Market'!$G82,'1.1 Control Panel'!Q$600*'1.1 Control Panel'!Q608)</f>
        <v>37.251220930560009</v>
      </c>
      <c r="R91" s="376">
        <f>MIN('3.1 Market'!$G82,'1.1 Control Panel'!R$600*'1.1 Control Panel'!R608)</f>
        <v>37.800976744448008</v>
      </c>
      <c r="S91" s="376">
        <f>MIN('3.1 Market'!$G82,'1.1 Control Panel'!S$600*'1.1 Control Panel'!S608)</f>
        <v>38.240781395558407</v>
      </c>
      <c r="T91" s="376">
        <f>MIN('3.1 Market'!$G82,'1.1 Control Panel'!T$600*'1.1 Control Panel'!T608)</f>
        <v>38.592625116446726</v>
      </c>
      <c r="U91" s="376">
        <f>MIN('3.1 Market'!$G82,'1.1 Control Panel'!U$600*'1.1 Control Panel'!U608)</f>
        <v>48.592625116446726</v>
      </c>
      <c r="V91" s="376">
        <f>MIN('3.1 Market'!$G82,'1.1 Control Panel'!V$600*'1.1 Control Panel'!V608)</f>
        <v>48.874100093157381</v>
      </c>
      <c r="W91" s="376">
        <f>MIN('3.1 Market'!$G82,'1.1 Control Panel'!W$600*'1.1 Control Panel'!W608)</f>
        <v>49.099280074525907</v>
      </c>
      <c r="X91" s="376">
        <f>MIN('3.1 Market'!$G82,'1.1 Control Panel'!X$600*'1.1 Control Panel'!X608)</f>
        <v>49.279424059620723</v>
      </c>
      <c r="Y91" s="376">
        <f>MIN('3.1 Market'!$G82,'1.1 Control Panel'!Y$600*'1.1 Control Panel'!Y608)</f>
        <v>54.365893172466244</v>
      </c>
      <c r="Z91" s="376">
        <f>MIN('3.1 Market'!$G82,'1.1 Control Panel'!Z$600*'1.1 Control Panel'!Z608)</f>
        <v>54.492714537973001</v>
      </c>
      <c r="AA91" s="376">
        <f>MIN('3.1 Market'!$G82,'1.1 Control Panel'!AA$600*'1.1 Control Panel'!AA608)</f>
        <v>54.594171630378398</v>
      </c>
      <c r="AB91" s="376">
        <f>MIN('3.1 Market'!$G82,'1.1 Control Panel'!AB$600*'1.1 Control Panel'!AB608)</f>
        <v>54.675337304302722</v>
      </c>
      <c r="AC91" s="376">
        <f>MIN('3.1 Market'!$H82,'1.1 Control Panel'!AC$600*'1.1 Control Panel'!AC608)</f>
        <v>79.622210681370433</v>
      </c>
      <c r="AD91" s="376">
        <f>MIN('3.1 Market'!$H82,'1.1 Control Panel'!AD$600*'1.1 Control Panel'!AD608)</f>
        <v>79.697768545096352</v>
      </c>
      <c r="AE91" s="376">
        <f>MIN('3.1 Market'!$H82,'1.1 Control Panel'!AE$600*'1.1 Control Panel'!AE608)</f>
        <v>79.758214836077087</v>
      </c>
      <c r="AF91" s="376">
        <f>MIN('3.1 Market'!$H82,'1.1 Control Panel'!AF$600*'1.1 Control Panel'!AF608)</f>
        <v>79.806571868861681</v>
      </c>
      <c r="AG91" s="376">
        <f>MIN('3.1 Market'!$H82,'1.1 Control Panel'!AG$600*'1.1 Control Panel'!AG608)</f>
        <v>104.79690046230478</v>
      </c>
      <c r="AH91" s="376">
        <f>MIN('3.1 Market'!$H82,'1.1 Control Panel'!AH$600*'1.1 Control Panel'!AH608)</f>
        <v>104.83752036984383</v>
      </c>
      <c r="AI91" s="376">
        <f>MIN('3.1 Market'!$H82,'1.1 Control Panel'!AI$600*'1.1 Control Panel'!AI608)</f>
        <v>104.87001629587508</v>
      </c>
      <c r="AJ91" s="376">
        <f>MIN('3.1 Market'!$H82,'1.1 Control Panel'!AJ$600*'1.1 Control Panel'!AJ608)</f>
        <v>104.89601303670005</v>
      </c>
      <c r="AK91" s="376">
        <f>MIN('3.1 Market'!$H82,'1.1 Control Panel'!AK$600*'1.1 Control Panel'!AK608)</f>
        <v>129.89700338873149</v>
      </c>
      <c r="AL91" s="376">
        <f>MIN('3.1 Market'!$H82,'1.1 Control Panel'!AL$600*'1.1 Control Panel'!AL608)</f>
        <v>129.91760271098522</v>
      </c>
      <c r="AM91" s="376">
        <f>MIN('3.1 Market'!$H82,'1.1 Control Panel'!AM$600*'1.1 Control Panel'!AM608)</f>
        <v>129.93408216878817</v>
      </c>
      <c r="AN91" s="376">
        <f>MIN('3.1 Market'!$H82,'1.1 Control Panel'!AN$600*'1.1 Control Panel'!AN608)</f>
        <v>129.94726573503056</v>
      </c>
      <c r="AP91" s="21"/>
    </row>
    <row r="92" spans="2:42" x14ac:dyDescent="0.25">
      <c r="B92" s="99" t="s">
        <v>9</v>
      </c>
      <c r="C92" s="105" t="str">
        <f>'4.2 Sector Mapping'!$B$15</f>
        <v>Entertainment and Recreation</v>
      </c>
      <c r="D92" s="106" t="s">
        <v>162</v>
      </c>
      <c r="E92" s="380">
        <f>SUM(E93:E98)</f>
        <v>0</v>
      </c>
      <c r="F92" s="380">
        <f t="shared" ref="F92:H92" si="87">SUM(F93:F98)</f>
        <v>0</v>
      </c>
      <c r="G92" s="380">
        <f t="shared" si="87"/>
        <v>0</v>
      </c>
      <c r="H92" s="380">
        <f t="shared" si="87"/>
        <v>0</v>
      </c>
      <c r="I92" s="380">
        <f t="shared" ref="I92:AN92" si="88">SUM(I93:I98)</f>
        <v>23.856000000000002</v>
      </c>
      <c r="J92" s="380">
        <f t="shared" si="88"/>
        <v>25.084800000000001</v>
      </c>
      <c r="K92" s="380">
        <f t="shared" si="88"/>
        <v>26.067840000000004</v>
      </c>
      <c r="L92" s="380">
        <f t="shared" si="88"/>
        <v>26.854272000000005</v>
      </c>
      <c r="M92" s="380">
        <f t="shared" si="88"/>
        <v>27.483417600000003</v>
      </c>
      <c r="N92" s="380">
        <f t="shared" si="88"/>
        <v>27.986734080000005</v>
      </c>
      <c r="O92" s="380">
        <f t="shared" si="88"/>
        <v>28.389387264000007</v>
      </c>
      <c r="P92" s="380">
        <f t="shared" si="88"/>
        <v>28.711509811200006</v>
      </c>
      <c r="Q92" s="380">
        <f t="shared" si="88"/>
        <v>57.938415697920007</v>
      </c>
      <c r="R92" s="380">
        <f t="shared" si="88"/>
        <v>58.350732558336013</v>
      </c>
      <c r="S92" s="380">
        <f t="shared" si="88"/>
        <v>58.680586046668807</v>
      </c>
      <c r="T92" s="380">
        <f t="shared" si="88"/>
        <v>58.944468837335052</v>
      </c>
      <c r="U92" s="380">
        <f t="shared" si="88"/>
        <v>88.733362604802068</v>
      </c>
      <c r="V92" s="380">
        <f t="shared" si="88"/>
        <v>88.986690083841665</v>
      </c>
      <c r="W92" s="380">
        <f t="shared" si="88"/>
        <v>89.18935206707333</v>
      </c>
      <c r="X92" s="380">
        <f t="shared" si="88"/>
        <v>89.351481653658652</v>
      </c>
      <c r="Y92" s="380">
        <f t="shared" si="88"/>
        <v>89.481185322926919</v>
      </c>
      <c r="Z92" s="380">
        <f t="shared" si="88"/>
        <v>89.584948258341541</v>
      </c>
      <c r="AA92" s="380">
        <f t="shared" si="88"/>
        <v>89.667958606673238</v>
      </c>
      <c r="AB92" s="380">
        <f t="shared" si="88"/>
        <v>89.734366885338602</v>
      </c>
      <c r="AC92" s="380">
        <f t="shared" si="88"/>
        <v>149.64582251378479</v>
      </c>
      <c r="AD92" s="380">
        <f t="shared" si="88"/>
        <v>149.71665801102785</v>
      </c>
      <c r="AE92" s="380">
        <f t="shared" si="88"/>
        <v>149.7733264088223</v>
      </c>
      <c r="AF92" s="380">
        <f t="shared" si="88"/>
        <v>149.81866112705782</v>
      </c>
      <c r="AG92" s="380">
        <f t="shared" si="88"/>
        <v>239.76788624263403</v>
      </c>
      <c r="AH92" s="380">
        <f t="shared" si="88"/>
        <v>239.81430899410725</v>
      </c>
      <c r="AI92" s="380">
        <f t="shared" si="88"/>
        <v>239.85144719528577</v>
      </c>
      <c r="AJ92" s="380">
        <f t="shared" si="88"/>
        <v>239.88115775622865</v>
      </c>
      <c r="AK92" s="380">
        <f t="shared" si="88"/>
        <v>299.88115775622867</v>
      </c>
      <c r="AL92" s="380">
        <f t="shared" si="88"/>
        <v>299.90492620498293</v>
      </c>
      <c r="AM92" s="380">
        <f t="shared" si="88"/>
        <v>299.92394096398641</v>
      </c>
      <c r="AN92" s="380">
        <f t="shared" si="88"/>
        <v>299.93915277118907</v>
      </c>
      <c r="AP92" s="105"/>
    </row>
    <row r="93" spans="2:42" x14ac:dyDescent="0.25">
      <c r="C93" s="20" t="s">
        <v>600</v>
      </c>
      <c r="D93" s="34" t="s">
        <v>162</v>
      </c>
      <c r="E93" s="28">
        <f>MIN('3.1 Market'!$F84,'1.1 Control Panel'!E$631*'1.1 Control Panel'!E634)</f>
        <v>0</v>
      </c>
      <c r="F93" s="28">
        <f>MIN('3.1 Market'!$F84,'1.1 Control Panel'!F$631*'1.1 Control Panel'!F634)</f>
        <v>0</v>
      </c>
      <c r="G93" s="28">
        <f>MIN('3.1 Market'!$F84,'1.1 Control Panel'!G$631*'1.1 Control Panel'!G634)</f>
        <v>0</v>
      </c>
      <c r="H93" s="28">
        <f>MIN('3.1 Market'!$F84,'1.1 Control Panel'!H$631*'1.1 Control Panel'!H634)</f>
        <v>0</v>
      </c>
      <c r="I93" s="28">
        <f>MIN('3.1 Market'!$F84,'1.1 Control Panel'!I$631*'1.1 Control Panel'!I634)</f>
        <v>5</v>
      </c>
      <c r="J93" s="28">
        <f>MIN('3.1 Market'!$F84,'1.1 Control Panel'!J$631*'1.1 Control Panel'!J634)</f>
        <v>5</v>
      </c>
      <c r="K93" s="28">
        <f>MIN('3.1 Market'!$F84,'1.1 Control Panel'!K$631*'1.1 Control Panel'!K634)</f>
        <v>5</v>
      </c>
      <c r="L93" s="28">
        <f>MIN('3.1 Market'!$F84,'1.1 Control Panel'!L$631*'1.1 Control Panel'!L634)</f>
        <v>5</v>
      </c>
      <c r="M93" s="28">
        <f>MIN('3.1 Market'!$F84,'1.1 Control Panel'!M$631*'1.1 Control Panel'!M634)</f>
        <v>5</v>
      </c>
      <c r="N93" s="28">
        <f>MIN('3.1 Market'!$F84,'1.1 Control Panel'!N$631*'1.1 Control Panel'!N634)</f>
        <v>5</v>
      </c>
      <c r="O93" s="28">
        <f>MIN('3.1 Market'!$F84,'1.1 Control Panel'!O$631*'1.1 Control Panel'!O634)</f>
        <v>5</v>
      </c>
      <c r="P93" s="28">
        <f>MIN('3.1 Market'!$F84,'1.1 Control Panel'!P$631*'1.1 Control Panel'!P634)</f>
        <v>5</v>
      </c>
      <c r="Q93" s="28">
        <f>MIN('3.1 Market'!$G84,'1.1 Control Panel'!Q$631*'1.1 Control Panel'!Q634)</f>
        <v>10</v>
      </c>
      <c r="R93" s="28">
        <f>MIN('3.1 Market'!$G84,'1.1 Control Panel'!R$631*'1.1 Control Panel'!R634)</f>
        <v>10</v>
      </c>
      <c r="S93" s="28">
        <f>MIN('3.1 Market'!$G84,'1.1 Control Panel'!S$631*'1.1 Control Panel'!S634)</f>
        <v>10</v>
      </c>
      <c r="T93" s="28">
        <f>MIN('3.1 Market'!$G84,'1.1 Control Panel'!T$631*'1.1 Control Panel'!T634)</f>
        <v>10</v>
      </c>
      <c r="U93" s="28">
        <f>MIN('3.1 Market'!$G84,'1.1 Control Panel'!U$631*'1.1 Control Panel'!U634)</f>
        <v>15</v>
      </c>
      <c r="V93" s="28">
        <f>MIN('3.1 Market'!$G84,'1.1 Control Panel'!V$631*'1.1 Control Panel'!V634)</f>
        <v>15</v>
      </c>
      <c r="W93" s="28">
        <f>MIN('3.1 Market'!$G84,'1.1 Control Panel'!W$631*'1.1 Control Panel'!W634)</f>
        <v>15</v>
      </c>
      <c r="X93" s="28">
        <f>MIN('3.1 Market'!$G84,'1.1 Control Panel'!X$631*'1.1 Control Panel'!X634)</f>
        <v>15</v>
      </c>
      <c r="Y93" s="28">
        <f>MIN('3.1 Market'!$G84,'1.1 Control Panel'!Y$631*'1.1 Control Panel'!Y634)</f>
        <v>15</v>
      </c>
      <c r="Z93" s="28">
        <f>MIN('3.1 Market'!$G84,'1.1 Control Panel'!Z$631*'1.1 Control Panel'!Z634)</f>
        <v>15</v>
      </c>
      <c r="AA93" s="28">
        <f>MIN('3.1 Market'!$G84,'1.1 Control Panel'!AA$631*'1.1 Control Panel'!AA634)</f>
        <v>15</v>
      </c>
      <c r="AB93" s="28">
        <f>MIN('3.1 Market'!$G84,'1.1 Control Panel'!AB$631*'1.1 Control Panel'!AB634)</f>
        <v>15</v>
      </c>
      <c r="AC93" s="28">
        <f>MIN('3.1 Market'!$H84,'1.1 Control Panel'!AC$631*'1.1 Control Panel'!AC634)</f>
        <v>25</v>
      </c>
      <c r="AD93" s="28">
        <f>MIN('3.1 Market'!$H84,'1.1 Control Panel'!AD$631*'1.1 Control Panel'!AD634)</f>
        <v>25</v>
      </c>
      <c r="AE93" s="28">
        <f>MIN('3.1 Market'!$H84,'1.1 Control Panel'!AE$631*'1.1 Control Panel'!AE634)</f>
        <v>25</v>
      </c>
      <c r="AF93" s="28">
        <f>MIN('3.1 Market'!$H84,'1.1 Control Panel'!AF$631*'1.1 Control Panel'!AF634)</f>
        <v>25</v>
      </c>
      <c r="AG93" s="28">
        <f>MIN('3.1 Market'!$H84,'1.1 Control Panel'!AG$631*'1.1 Control Panel'!AG634)</f>
        <v>40</v>
      </c>
      <c r="AH93" s="28">
        <f>MIN('3.1 Market'!$H84,'1.1 Control Panel'!AH$631*'1.1 Control Panel'!AH634)</f>
        <v>40</v>
      </c>
      <c r="AI93" s="28">
        <f>MIN('3.1 Market'!$H84,'1.1 Control Panel'!AI$631*'1.1 Control Panel'!AI634)</f>
        <v>40</v>
      </c>
      <c r="AJ93" s="28">
        <f>MIN('3.1 Market'!$H84,'1.1 Control Panel'!AJ$631*'1.1 Control Panel'!AJ634)</f>
        <v>40</v>
      </c>
      <c r="AK93" s="28">
        <f>MIN('3.1 Market'!$H84,'1.1 Control Panel'!AK$631*'1.1 Control Panel'!AK634)</f>
        <v>50</v>
      </c>
      <c r="AL93" s="28">
        <f>MIN('3.1 Market'!$H84,'1.1 Control Panel'!AL$631*'1.1 Control Panel'!AL634)</f>
        <v>50</v>
      </c>
      <c r="AM93" s="28">
        <f>MIN('3.1 Market'!$H84,'1.1 Control Panel'!AM$631*'1.1 Control Panel'!AM634)</f>
        <v>50</v>
      </c>
      <c r="AN93" s="28">
        <f>MIN('3.1 Market'!$H84,'1.1 Control Panel'!AN$631*'1.1 Control Panel'!AN634)</f>
        <v>50</v>
      </c>
      <c r="AP93" s="20"/>
    </row>
    <row r="94" spans="2:42" x14ac:dyDescent="0.25">
      <c r="C94" s="20" t="s">
        <v>392</v>
      </c>
      <c r="D94" s="34" t="s">
        <v>162</v>
      </c>
      <c r="E94" s="28">
        <f>MIN('3.1 Market'!$F85,'1.1 Control Panel'!E$631*'1.1 Control Panel'!E635)</f>
        <v>0</v>
      </c>
      <c r="F94" s="28">
        <f>MIN('3.1 Market'!$F85,'1.1 Control Panel'!F$631*'1.1 Control Panel'!F635)</f>
        <v>0</v>
      </c>
      <c r="G94" s="28">
        <f>MIN('3.1 Market'!$F85,'1.1 Control Panel'!G$631*'1.1 Control Panel'!G635)</f>
        <v>0</v>
      </c>
      <c r="H94" s="28">
        <f>MIN('3.1 Market'!$F85,'1.1 Control Panel'!H$631*'1.1 Control Panel'!H635)</f>
        <v>0</v>
      </c>
      <c r="I94" s="28">
        <f>MIN('3.1 Market'!$F85,'1.1 Control Panel'!I$631*'1.1 Control Panel'!I635)</f>
        <v>4.5904000000000007</v>
      </c>
      <c r="J94" s="28">
        <f>MIN('3.1 Market'!$F85,'1.1 Control Panel'!J$631*'1.1 Control Panel'!J635)</f>
        <v>4.6723200000000009</v>
      </c>
      <c r="K94" s="28">
        <f>MIN('3.1 Market'!$F85,'1.1 Control Panel'!K$631*'1.1 Control Panel'!K635)</f>
        <v>4.7378560000000007</v>
      </c>
      <c r="L94" s="28">
        <f>MIN('3.1 Market'!$F85,'1.1 Control Panel'!L$631*'1.1 Control Panel'!L635)</f>
        <v>4.7902848000000002</v>
      </c>
      <c r="M94" s="28">
        <f>MIN('3.1 Market'!$F85,'1.1 Control Panel'!M$631*'1.1 Control Panel'!M635)</f>
        <v>4.8322278399999998</v>
      </c>
      <c r="N94" s="28">
        <f>MIN('3.1 Market'!$F85,'1.1 Control Panel'!N$631*'1.1 Control Panel'!N635)</f>
        <v>4.8657822720000006</v>
      </c>
      <c r="O94" s="28">
        <f>MIN('3.1 Market'!$F85,'1.1 Control Panel'!O$631*'1.1 Control Panel'!O635)</f>
        <v>4.8926258176000008</v>
      </c>
      <c r="P94" s="28">
        <f>MIN('3.1 Market'!$F85,'1.1 Control Panel'!P$631*'1.1 Control Panel'!P635)</f>
        <v>4.9141006540800003</v>
      </c>
      <c r="Q94" s="28">
        <f>MIN('3.1 Market'!$G85,'1.1 Control Panel'!Q$631*'1.1 Control Panel'!Q635)</f>
        <v>9.8625610465280005</v>
      </c>
      <c r="R94" s="28">
        <f>MIN('3.1 Market'!$G85,'1.1 Control Panel'!R$631*'1.1 Control Panel'!R635)</f>
        <v>9.8900488372224018</v>
      </c>
      <c r="S94" s="28">
        <f>MIN('3.1 Market'!$G85,'1.1 Control Panel'!S$631*'1.1 Control Panel'!S635)</f>
        <v>9.9120390697779222</v>
      </c>
      <c r="T94" s="28">
        <f>MIN('3.1 Market'!$G85,'1.1 Control Panel'!T$631*'1.1 Control Panel'!T635)</f>
        <v>9.9296312558223381</v>
      </c>
      <c r="U94" s="28">
        <f>MIN('3.1 Market'!$G85,'1.1 Control Panel'!U$631*'1.1 Control Panel'!U635)</f>
        <v>14.915557506986808</v>
      </c>
      <c r="V94" s="28">
        <f>MIN('3.1 Market'!$G85,'1.1 Control Panel'!V$631*'1.1 Control Panel'!V635)</f>
        <v>14.932446005589448</v>
      </c>
      <c r="W94" s="28">
        <f>MIN('3.1 Market'!$G85,'1.1 Control Panel'!W$631*'1.1 Control Panel'!W635)</f>
        <v>14.945956804471558</v>
      </c>
      <c r="X94" s="28">
        <f>MIN('3.1 Market'!$G85,'1.1 Control Panel'!X$631*'1.1 Control Panel'!X635)</f>
        <v>14.956765443577247</v>
      </c>
      <c r="Y94" s="28">
        <f>MIN('3.1 Market'!$G85,'1.1 Control Panel'!Y$631*'1.1 Control Panel'!Y635)</f>
        <v>14.965412354861797</v>
      </c>
      <c r="Z94" s="28">
        <f>MIN('3.1 Market'!$G85,'1.1 Control Panel'!Z$631*'1.1 Control Panel'!Z635)</f>
        <v>14.97232988388944</v>
      </c>
      <c r="AA94" s="28">
        <f>MIN('3.1 Market'!$G85,'1.1 Control Panel'!AA$631*'1.1 Control Panel'!AA635)</f>
        <v>14.977863907111553</v>
      </c>
      <c r="AB94" s="28">
        <f>MIN('3.1 Market'!$G85,'1.1 Control Panel'!AB$631*'1.1 Control Panel'!AB635)</f>
        <v>14.982291125689244</v>
      </c>
      <c r="AC94" s="28">
        <f>MIN('3.1 Market'!$H85,'1.1 Control Panel'!AC$631*'1.1 Control Panel'!AC635)</f>
        <v>24.976388167585661</v>
      </c>
      <c r="AD94" s="28">
        <f>MIN('3.1 Market'!$H85,'1.1 Control Panel'!AD$631*'1.1 Control Panel'!AD635)</f>
        <v>24.981110534068527</v>
      </c>
      <c r="AE94" s="28">
        <f>MIN('3.1 Market'!$H85,'1.1 Control Panel'!AE$631*'1.1 Control Panel'!AE635)</f>
        <v>24.984888427254823</v>
      </c>
      <c r="AF94" s="28">
        <f>MIN('3.1 Market'!$H85,'1.1 Control Panel'!AF$631*'1.1 Control Panel'!AF635)</f>
        <v>24.987910741803859</v>
      </c>
      <c r="AG94" s="28">
        <f>MIN('3.1 Market'!$H85,'1.1 Control Panel'!AG$631*'1.1 Control Panel'!AG635)</f>
        <v>39.984525749508947</v>
      </c>
      <c r="AH94" s="28">
        <f>MIN('3.1 Market'!$H85,'1.1 Control Panel'!AH$631*'1.1 Control Panel'!AH635)</f>
        <v>39.987620599607155</v>
      </c>
      <c r="AI94" s="28">
        <f>MIN('3.1 Market'!$H85,'1.1 Control Panel'!AI$631*'1.1 Control Panel'!AI635)</f>
        <v>39.990096479685725</v>
      </c>
      <c r="AJ94" s="28">
        <f>MIN('3.1 Market'!$H85,'1.1 Control Panel'!AJ$631*'1.1 Control Panel'!AJ635)</f>
        <v>39.992077183748577</v>
      </c>
      <c r="AK94" s="28">
        <f>MIN('3.1 Market'!$H85,'1.1 Control Panel'!AK$631*'1.1 Control Panel'!AK635)</f>
        <v>49.992077183748584</v>
      </c>
      <c r="AL94" s="28">
        <f>MIN('3.1 Market'!$H85,'1.1 Control Panel'!AL$631*'1.1 Control Panel'!AL635)</f>
        <v>49.993661746998868</v>
      </c>
      <c r="AM94" s="28">
        <f>MIN('3.1 Market'!$H85,'1.1 Control Panel'!AM$631*'1.1 Control Panel'!AM635)</f>
        <v>49.994929397599094</v>
      </c>
      <c r="AN94" s="28">
        <f>MIN('3.1 Market'!$H85,'1.1 Control Panel'!AN$631*'1.1 Control Panel'!AN635)</f>
        <v>49.995943518079272</v>
      </c>
      <c r="AP94" s="20"/>
    </row>
    <row r="95" spans="2:42" x14ac:dyDescent="0.25">
      <c r="C95" s="20" t="s">
        <v>454</v>
      </c>
      <c r="D95" s="34" t="s">
        <v>162</v>
      </c>
      <c r="E95" s="28">
        <f>MIN('3.1 Market'!$F86,'1.1 Control Panel'!E$631*'1.1 Control Panel'!E636)</f>
        <v>0</v>
      </c>
      <c r="F95" s="28">
        <f>MIN('3.1 Market'!$F86,'1.1 Control Panel'!F$631*'1.1 Control Panel'!F636)</f>
        <v>0</v>
      </c>
      <c r="G95" s="28">
        <f>MIN('3.1 Market'!$F86,'1.1 Control Panel'!G$631*'1.1 Control Panel'!G636)</f>
        <v>0</v>
      </c>
      <c r="H95" s="28">
        <f>MIN('3.1 Market'!$F86,'1.1 Control Panel'!H$631*'1.1 Control Panel'!H636)</f>
        <v>0</v>
      </c>
      <c r="I95" s="28">
        <f>MIN('3.1 Market'!$F86,'1.1 Control Panel'!I$631*'1.1 Control Panel'!I636)</f>
        <v>4.1808000000000014</v>
      </c>
      <c r="J95" s="28">
        <f>MIN('3.1 Market'!$F86,'1.1 Control Panel'!J$631*'1.1 Control Panel'!J636)</f>
        <v>4.3446400000000018</v>
      </c>
      <c r="K95" s="28">
        <f>MIN('3.1 Market'!$F86,'1.1 Control Panel'!K$631*'1.1 Control Panel'!K636)</f>
        <v>4.4757120000000015</v>
      </c>
      <c r="L95" s="28">
        <f>MIN('3.1 Market'!$F86,'1.1 Control Panel'!L$631*'1.1 Control Panel'!L636)</f>
        <v>4.5805696000000014</v>
      </c>
      <c r="M95" s="28">
        <f>MIN('3.1 Market'!$F86,'1.1 Control Panel'!M$631*'1.1 Control Panel'!M636)</f>
        <v>4.6644556800000014</v>
      </c>
      <c r="N95" s="28">
        <f>MIN('3.1 Market'!$F86,'1.1 Control Panel'!N$631*'1.1 Control Panel'!N636)</f>
        <v>4.7315645440000011</v>
      </c>
      <c r="O95" s="28">
        <f>MIN('3.1 Market'!$F86,'1.1 Control Panel'!O$631*'1.1 Control Panel'!O636)</f>
        <v>4.7852516352000016</v>
      </c>
      <c r="P95" s="28">
        <f>MIN('3.1 Market'!$F86,'1.1 Control Panel'!P$631*'1.1 Control Panel'!P636)</f>
        <v>4.8282013081600015</v>
      </c>
      <c r="Q95" s="28">
        <f>MIN('3.1 Market'!$G86,'1.1 Control Panel'!Q$631*'1.1 Control Panel'!Q636)</f>
        <v>9.7251220930560027</v>
      </c>
      <c r="R95" s="28">
        <f>MIN('3.1 Market'!$G86,'1.1 Control Panel'!R$631*'1.1 Control Panel'!R636)</f>
        <v>9.7800976744448036</v>
      </c>
      <c r="S95" s="28">
        <f>MIN('3.1 Market'!$G86,'1.1 Control Panel'!S$631*'1.1 Control Panel'!S636)</f>
        <v>9.8240781395558443</v>
      </c>
      <c r="T95" s="28">
        <f>MIN('3.1 Market'!$G86,'1.1 Control Panel'!T$631*'1.1 Control Panel'!T636)</f>
        <v>9.8592625116446762</v>
      </c>
      <c r="U95" s="28">
        <f>MIN('3.1 Market'!$G86,'1.1 Control Panel'!U$631*'1.1 Control Panel'!U636)</f>
        <v>14.83111501397361</v>
      </c>
      <c r="V95" s="28">
        <f>MIN('3.1 Market'!$G86,'1.1 Control Panel'!V$631*'1.1 Control Panel'!V636)</f>
        <v>14.864892011178888</v>
      </c>
      <c r="W95" s="28">
        <f>MIN('3.1 Market'!$G86,'1.1 Control Panel'!W$631*'1.1 Control Panel'!W636)</f>
        <v>14.891913608943112</v>
      </c>
      <c r="X95" s="28">
        <f>MIN('3.1 Market'!$G86,'1.1 Control Panel'!X$631*'1.1 Control Panel'!X636)</f>
        <v>14.913530887154488</v>
      </c>
      <c r="Y95" s="28">
        <f>MIN('3.1 Market'!$G86,'1.1 Control Panel'!Y$631*'1.1 Control Panel'!Y636)</f>
        <v>14.93082470972359</v>
      </c>
      <c r="Z95" s="28">
        <f>MIN('3.1 Market'!$G86,'1.1 Control Panel'!Z$631*'1.1 Control Panel'!Z636)</f>
        <v>14.944659767778873</v>
      </c>
      <c r="AA95" s="28">
        <f>MIN('3.1 Market'!$G86,'1.1 Control Panel'!AA$631*'1.1 Control Panel'!AA636)</f>
        <v>14.955727814223099</v>
      </c>
      <c r="AB95" s="28">
        <f>MIN('3.1 Market'!$G86,'1.1 Control Panel'!AB$631*'1.1 Control Panel'!AB636)</f>
        <v>14.964582251378481</v>
      </c>
      <c r="AC95" s="28">
        <f>MIN('3.1 Market'!$H86,'1.1 Control Panel'!AC$631*'1.1 Control Panel'!AC636)</f>
        <v>24.952776335171308</v>
      </c>
      <c r="AD95" s="28">
        <f>MIN('3.1 Market'!$H86,'1.1 Control Panel'!AD$631*'1.1 Control Panel'!AD636)</f>
        <v>24.962221068137048</v>
      </c>
      <c r="AE95" s="28">
        <f>MIN('3.1 Market'!$H86,'1.1 Control Panel'!AE$631*'1.1 Control Panel'!AE636)</f>
        <v>24.969776854509639</v>
      </c>
      <c r="AF95" s="28">
        <f>MIN('3.1 Market'!$H86,'1.1 Control Panel'!AF$631*'1.1 Control Panel'!AF636)</f>
        <v>24.97582148360771</v>
      </c>
      <c r="AG95" s="28">
        <f>MIN('3.1 Market'!$H86,'1.1 Control Panel'!AG$631*'1.1 Control Panel'!AG636)</f>
        <v>39.969051499017873</v>
      </c>
      <c r="AH95" s="28">
        <f>MIN('3.1 Market'!$H86,'1.1 Control Panel'!AH$631*'1.1 Control Panel'!AH636)</f>
        <v>39.975241199214295</v>
      </c>
      <c r="AI95" s="28">
        <f>MIN('3.1 Market'!$H86,'1.1 Control Panel'!AI$631*'1.1 Control Panel'!AI636)</f>
        <v>39.980192959371436</v>
      </c>
      <c r="AJ95" s="28">
        <f>MIN('3.1 Market'!$H86,'1.1 Control Panel'!AJ$631*'1.1 Control Panel'!AJ636)</f>
        <v>39.984154367497155</v>
      </c>
      <c r="AK95" s="28">
        <f>MIN('3.1 Market'!$H86,'1.1 Control Panel'!AK$631*'1.1 Control Panel'!AK636)</f>
        <v>49.984154367497155</v>
      </c>
      <c r="AL95" s="28">
        <f>MIN('3.1 Market'!$H86,'1.1 Control Panel'!AL$631*'1.1 Control Panel'!AL636)</f>
        <v>49.987323493997721</v>
      </c>
      <c r="AM95" s="28">
        <f>MIN('3.1 Market'!$H86,'1.1 Control Panel'!AM$631*'1.1 Control Panel'!AM636)</f>
        <v>49.989858795198181</v>
      </c>
      <c r="AN95" s="28">
        <f>MIN('3.1 Market'!$H86,'1.1 Control Panel'!AN$631*'1.1 Control Panel'!AN636)</f>
        <v>49.991887036158545</v>
      </c>
      <c r="AP95" s="20"/>
    </row>
    <row r="96" spans="2:42" x14ac:dyDescent="0.25">
      <c r="C96" s="21" t="s">
        <v>455</v>
      </c>
      <c r="D96" s="38" t="s">
        <v>162</v>
      </c>
      <c r="E96" s="376">
        <f>MIN('3.1 Market'!$F87,'1.1 Control Panel'!E$631*'1.1 Control Panel'!E637)</f>
        <v>0</v>
      </c>
      <c r="F96" s="376">
        <f>MIN('3.1 Market'!$F87,'1.1 Control Panel'!F$631*'1.1 Control Panel'!F637)</f>
        <v>0</v>
      </c>
      <c r="G96" s="376">
        <f>MIN('3.1 Market'!$F87,'1.1 Control Panel'!G$631*'1.1 Control Panel'!G637)</f>
        <v>0</v>
      </c>
      <c r="H96" s="376">
        <f>MIN('3.1 Market'!$F87,'1.1 Control Panel'!H$631*'1.1 Control Panel'!H637)</f>
        <v>0</v>
      </c>
      <c r="I96" s="376">
        <f>MIN('3.1 Market'!$F87,'1.1 Control Panel'!I$631*'1.1 Control Panel'!I637)</f>
        <v>3.7712000000000003</v>
      </c>
      <c r="J96" s="376">
        <f>MIN('3.1 Market'!$F87,'1.1 Control Panel'!J$631*'1.1 Control Panel'!J637)</f>
        <v>4.016960000000001</v>
      </c>
      <c r="K96" s="376">
        <f>MIN('3.1 Market'!$F87,'1.1 Control Panel'!K$631*'1.1 Control Panel'!K637)</f>
        <v>4.2135680000000004</v>
      </c>
      <c r="L96" s="376">
        <f>MIN('3.1 Market'!$F87,'1.1 Control Panel'!L$631*'1.1 Control Panel'!L637)</f>
        <v>4.3708544000000007</v>
      </c>
      <c r="M96" s="376">
        <f>MIN('3.1 Market'!$F87,'1.1 Control Panel'!M$631*'1.1 Control Panel'!M637)</f>
        <v>4.4966835200000013</v>
      </c>
      <c r="N96" s="376">
        <f>MIN('3.1 Market'!$F87,'1.1 Control Panel'!N$631*'1.1 Control Panel'!N637)</f>
        <v>4.5973468160000017</v>
      </c>
      <c r="O96" s="376">
        <f>MIN('3.1 Market'!$F87,'1.1 Control Panel'!O$631*'1.1 Control Panel'!O637)</f>
        <v>4.6778774528000016</v>
      </c>
      <c r="P96" s="376">
        <f>MIN('3.1 Market'!$F87,'1.1 Control Panel'!P$631*'1.1 Control Panel'!P637)</f>
        <v>4.7423019622400009</v>
      </c>
      <c r="Q96" s="376">
        <f>MIN('3.1 Market'!$G87,'1.1 Control Panel'!Q$631*'1.1 Control Panel'!Q637)</f>
        <v>9.5876831395840014</v>
      </c>
      <c r="R96" s="376">
        <f>MIN('3.1 Market'!$G87,'1.1 Control Panel'!R$631*'1.1 Control Panel'!R637)</f>
        <v>9.6701465116672018</v>
      </c>
      <c r="S96" s="376">
        <f>MIN('3.1 Market'!$G87,'1.1 Control Panel'!S$631*'1.1 Control Panel'!S637)</f>
        <v>9.7361172093337629</v>
      </c>
      <c r="T96" s="376">
        <f>MIN('3.1 Market'!$G87,'1.1 Control Panel'!T$631*'1.1 Control Panel'!T637)</f>
        <v>9.7888937674670107</v>
      </c>
      <c r="U96" s="376">
        <f>MIN('3.1 Market'!$G87,'1.1 Control Panel'!U$631*'1.1 Control Panel'!U637)</f>
        <v>14.746672520960413</v>
      </c>
      <c r="V96" s="376">
        <f>MIN('3.1 Market'!$G87,'1.1 Control Panel'!V$631*'1.1 Control Panel'!V637)</f>
        <v>14.797338016768332</v>
      </c>
      <c r="W96" s="376">
        <f>MIN('3.1 Market'!$G87,'1.1 Control Panel'!W$631*'1.1 Control Panel'!W637)</f>
        <v>14.837870413414665</v>
      </c>
      <c r="X96" s="376">
        <f>MIN('3.1 Market'!$G87,'1.1 Control Panel'!X$631*'1.1 Control Panel'!X637)</f>
        <v>14.870296330731733</v>
      </c>
      <c r="Y96" s="376">
        <f>MIN('3.1 Market'!$G87,'1.1 Control Panel'!Y$631*'1.1 Control Panel'!Y637)</f>
        <v>14.896237064585387</v>
      </c>
      <c r="Z96" s="376">
        <f>MIN('3.1 Market'!$G87,'1.1 Control Panel'!Z$631*'1.1 Control Panel'!Z637)</f>
        <v>14.91698965166831</v>
      </c>
      <c r="AA96" s="376">
        <f>MIN('3.1 Market'!$G87,'1.1 Control Panel'!AA$631*'1.1 Control Panel'!AA637)</f>
        <v>14.933591721334649</v>
      </c>
      <c r="AB96" s="376">
        <f>MIN('3.1 Market'!$G87,'1.1 Control Panel'!AB$631*'1.1 Control Panel'!AB637)</f>
        <v>14.946873377067721</v>
      </c>
      <c r="AC96" s="376">
        <f>MIN('3.1 Market'!$H87,'1.1 Control Panel'!AC$631*'1.1 Control Panel'!AC637)</f>
        <v>24.929164502756961</v>
      </c>
      <c r="AD96" s="376">
        <f>MIN('3.1 Market'!$H87,'1.1 Control Panel'!AD$631*'1.1 Control Panel'!AD637)</f>
        <v>24.943331602205568</v>
      </c>
      <c r="AE96" s="376">
        <f>MIN('3.1 Market'!$H87,'1.1 Control Panel'!AE$631*'1.1 Control Panel'!AE637)</f>
        <v>24.954665281764456</v>
      </c>
      <c r="AF96" s="376">
        <f>MIN('3.1 Market'!$H87,'1.1 Control Panel'!AF$631*'1.1 Control Panel'!AF637)</f>
        <v>24.963732225411562</v>
      </c>
      <c r="AG96" s="376">
        <f>MIN('3.1 Market'!$H87,'1.1 Control Panel'!AG$631*'1.1 Control Panel'!AG637)</f>
        <v>39.953577248526798</v>
      </c>
      <c r="AH96" s="376">
        <f>MIN('3.1 Market'!$H87,'1.1 Control Panel'!AH$631*'1.1 Control Panel'!AH637)</f>
        <v>39.962861798821436</v>
      </c>
      <c r="AI96" s="376">
        <f>MIN('3.1 Market'!$H87,'1.1 Control Panel'!AI$631*'1.1 Control Panel'!AI637)</f>
        <v>39.970289439057154</v>
      </c>
      <c r="AJ96" s="376">
        <f>MIN('3.1 Market'!$H87,'1.1 Control Panel'!AJ$631*'1.1 Control Panel'!AJ637)</f>
        <v>39.976231551245725</v>
      </c>
      <c r="AK96" s="376">
        <f>MIN('3.1 Market'!$H87,'1.1 Control Panel'!AK$631*'1.1 Control Panel'!AK637)</f>
        <v>49.976231551245725</v>
      </c>
      <c r="AL96" s="376">
        <f>MIN('3.1 Market'!$H87,'1.1 Control Panel'!AL$631*'1.1 Control Panel'!AL637)</f>
        <v>49.980985240996588</v>
      </c>
      <c r="AM96" s="376">
        <f>MIN('3.1 Market'!$H87,'1.1 Control Panel'!AM$631*'1.1 Control Panel'!AM637)</f>
        <v>49.984788192797268</v>
      </c>
      <c r="AN96" s="376">
        <f>MIN('3.1 Market'!$H87,'1.1 Control Panel'!AN$631*'1.1 Control Panel'!AN637)</f>
        <v>49.987830554237824</v>
      </c>
      <c r="AP96" s="21"/>
    </row>
    <row r="97" spans="2:42" x14ac:dyDescent="0.25">
      <c r="C97" s="21" t="s">
        <v>393</v>
      </c>
      <c r="D97" s="38" t="s">
        <v>162</v>
      </c>
      <c r="E97" s="376">
        <f>MIN('3.1 Market'!$F88,'1.1 Control Panel'!E$631*'1.1 Control Panel'!E638)</f>
        <v>0</v>
      </c>
      <c r="F97" s="376">
        <f>MIN('3.1 Market'!$F88,'1.1 Control Panel'!F$631*'1.1 Control Panel'!F638)</f>
        <v>0</v>
      </c>
      <c r="G97" s="376">
        <f>MIN('3.1 Market'!$F88,'1.1 Control Panel'!G$631*'1.1 Control Panel'!G638)</f>
        <v>0</v>
      </c>
      <c r="H97" s="376">
        <f>MIN('3.1 Market'!$F88,'1.1 Control Panel'!H$631*'1.1 Control Panel'!H638)</f>
        <v>0</v>
      </c>
      <c r="I97" s="376">
        <f>MIN('3.1 Market'!$F88,'1.1 Control Panel'!I$631*'1.1 Control Panel'!I638)</f>
        <v>3.3616000000000006</v>
      </c>
      <c r="J97" s="376">
        <f>MIN('3.1 Market'!$F88,'1.1 Control Panel'!J$631*'1.1 Control Panel'!J638)</f>
        <v>3.6892800000000006</v>
      </c>
      <c r="K97" s="376">
        <f>MIN('3.1 Market'!$F88,'1.1 Control Panel'!K$631*'1.1 Control Panel'!K638)</f>
        <v>3.9514240000000007</v>
      </c>
      <c r="L97" s="376">
        <f>MIN('3.1 Market'!$F88,'1.1 Control Panel'!L$631*'1.1 Control Panel'!L638)</f>
        <v>4.1611392000000009</v>
      </c>
      <c r="M97" s="376">
        <f>MIN('3.1 Market'!$F88,'1.1 Control Panel'!M$631*'1.1 Control Panel'!M638)</f>
        <v>4.3289113600000011</v>
      </c>
      <c r="N97" s="376">
        <f>MIN('3.1 Market'!$F88,'1.1 Control Panel'!N$631*'1.1 Control Panel'!N638)</f>
        <v>4.4631290880000005</v>
      </c>
      <c r="O97" s="376">
        <f>MIN('3.1 Market'!$F88,'1.1 Control Panel'!O$631*'1.1 Control Panel'!O638)</f>
        <v>4.5705032704000006</v>
      </c>
      <c r="P97" s="376">
        <f>MIN('3.1 Market'!$F88,'1.1 Control Panel'!P$631*'1.1 Control Panel'!P638)</f>
        <v>4.6564026163200012</v>
      </c>
      <c r="Q97" s="376">
        <f>MIN('3.1 Market'!$G88,'1.1 Control Panel'!Q$631*'1.1 Control Panel'!Q638)</f>
        <v>9.4502441861120019</v>
      </c>
      <c r="R97" s="376">
        <f>MIN('3.1 Market'!$G88,'1.1 Control Panel'!R$631*'1.1 Control Panel'!R638)</f>
        <v>9.5601953488896019</v>
      </c>
      <c r="S97" s="376">
        <f>MIN('3.1 Market'!$G88,'1.1 Control Panel'!S$631*'1.1 Control Panel'!S638)</f>
        <v>9.6481562791116815</v>
      </c>
      <c r="T97" s="376">
        <f>MIN('3.1 Market'!$G88,'1.1 Control Panel'!T$631*'1.1 Control Panel'!T638)</f>
        <v>9.7185250232893452</v>
      </c>
      <c r="U97" s="376">
        <f>MIN('3.1 Market'!$G88,'1.1 Control Panel'!U$631*'1.1 Control Panel'!U638)</f>
        <v>14.662230027947215</v>
      </c>
      <c r="V97" s="376">
        <f>MIN('3.1 Market'!$G88,'1.1 Control Panel'!V$631*'1.1 Control Panel'!V638)</f>
        <v>14.729784022357771</v>
      </c>
      <c r="W97" s="376">
        <f>MIN('3.1 Market'!$G88,'1.1 Control Panel'!W$631*'1.1 Control Panel'!W638)</f>
        <v>14.783827217886218</v>
      </c>
      <c r="X97" s="376">
        <f>MIN('3.1 Market'!$G88,'1.1 Control Panel'!X$631*'1.1 Control Panel'!X638)</f>
        <v>14.827061774308977</v>
      </c>
      <c r="Y97" s="376">
        <f>MIN('3.1 Market'!$G88,'1.1 Control Panel'!Y$631*'1.1 Control Panel'!Y638)</f>
        <v>14.861649419447183</v>
      </c>
      <c r="Z97" s="376">
        <f>MIN('3.1 Market'!$G88,'1.1 Control Panel'!Z$631*'1.1 Control Panel'!Z638)</f>
        <v>14.889319535557744</v>
      </c>
      <c r="AA97" s="376">
        <f>MIN('3.1 Market'!$G88,'1.1 Control Panel'!AA$631*'1.1 Control Panel'!AA638)</f>
        <v>14.911455628446197</v>
      </c>
      <c r="AB97" s="376">
        <f>MIN('3.1 Market'!$G88,'1.1 Control Panel'!AB$631*'1.1 Control Panel'!AB638)</f>
        <v>14.929164502756956</v>
      </c>
      <c r="AC97" s="376">
        <f>MIN('3.1 Market'!$H88,'1.1 Control Panel'!AC$631*'1.1 Control Panel'!AC638)</f>
        <v>24.905552670342608</v>
      </c>
      <c r="AD97" s="376">
        <f>MIN('3.1 Market'!$H88,'1.1 Control Panel'!AD$631*'1.1 Control Panel'!AD638)</f>
        <v>24.924442136274088</v>
      </c>
      <c r="AE97" s="376">
        <f>MIN('3.1 Market'!$H88,'1.1 Control Panel'!AE$631*'1.1 Control Panel'!AE638)</f>
        <v>24.939553709019275</v>
      </c>
      <c r="AF97" s="376">
        <f>MIN('3.1 Market'!$H88,'1.1 Control Panel'!AF$631*'1.1 Control Panel'!AF638)</f>
        <v>24.951642967215424</v>
      </c>
      <c r="AG97" s="376">
        <f>MIN('3.1 Market'!$H88,'1.1 Control Panel'!AG$631*'1.1 Control Panel'!AG638)</f>
        <v>39.938102998035745</v>
      </c>
      <c r="AH97" s="376">
        <f>MIN('3.1 Market'!$H88,'1.1 Control Panel'!AH$631*'1.1 Control Panel'!AH638)</f>
        <v>39.950482398428598</v>
      </c>
      <c r="AI97" s="376">
        <f>MIN('3.1 Market'!$H88,'1.1 Control Panel'!AI$631*'1.1 Control Panel'!AI638)</f>
        <v>39.96038591874288</v>
      </c>
      <c r="AJ97" s="376">
        <f>MIN('3.1 Market'!$H88,'1.1 Control Panel'!AJ$631*'1.1 Control Panel'!AJ638)</f>
        <v>39.968308734994309</v>
      </c>
      <c r="AK97" s="376">
        <f>MIN('3.1 Market'!$H88,'1.1 Control Panel'!AK$631*'1.1 Control Panel'!AK638)</f>
        <v>49.968308734994309</v>
      </c>
      <c r="AL97" s="376">
        <f>MIN('3.1 Market'!$H88,'1.1 Control Panel'!AL$631*'1.1 Control Panel'!AL638)</f>
        <v>49.974646987995456</v>
      </c>
      <c r="AM97" s="376">
        <f>MIN('3.1 Market'!$H88,'1.1 Control Panel'!AM$631*'1.1 Control Panel'!AM638)</f>
        <v>49.979717590396362</v>
      </c>
      <c r="AN97" s="376">
        <f>MIN('3.1 Market'!$H88,'1.1 Control Panel'!AN$631*'1.1 Control Panel'!AN638)</f>
        <v>49.98377407231709</v>
      </c>
      <c r="AP97" s="21"/>
    </row>
    <row r="98" spans="2:42" x14ac:dyDescent="0.25">
      <c r="C98" s="21" t="s">
        <v>456</v>
      </c>
      <c r="D98" s="38" t="s">
        <v>162</v>
      </c>
      <c r="E98" s="376">
        <f>MIN('3.1 Market'!$F89,'1.1 Control Panel'!E$631*'1.1 Control Panel'!E639)</f>
        <v>0</v>
      </c>
      <c r="F98" s="376">
        <f>MIN('3.1 Market'!$F89,'1.1 Control Panel'!F$631*'1.1 Control Panel'!F639)</f>
        <v>0</v>
      </c>
      <c r="G98" s="376">
        <f>MIN('3.1 Market'!$F89,'1.1 Control Panel'!G$631*'1.1 Control Panel'!G639)</f>
        <v>0</v>
      </c>
      <c r="H98" s="376">
        <f>MIN('3.1 Market'!$F89,'1.1 Control Panel'!H$631*'1.1 Control Panel'!H639)</f>
        <v>0</v>
      </c>
      <c r="I98" s="376">
        <f>MIN('3.1 Market'!$F89,'1.1 Control Panel'!I$631*'1.1 Control Panel'!I639)</f>
        <v>2.9520000000000004</v>
      </c>
      <c r="J98" s="376">
        <f>MIN('3.1 Market'!$F89,'1.1 Control Panel'!J$631*'1.1 Control Panel'!J639)</f>
        <v>3.3616000000000006</v>
      </c>
      <c r="K98" s="376">
        <f>MIN('3.1 Market'!$F89,'1.1 Control Panel'!K$631*'1.1 Control Panel'!K639)</f>
        <v>3.6892800000000006</v>
      </c>
      <c r="L98" s="376">
        <f>MIN('3.1 Market'!$F89,'1.1 Control Panel'!L$631*'1.1 Control Panel'!L639)</f>
        <v>3.9514240000000007</v>
      </c>
      <c r="M98" s="376">
        <f>MIN('3.1 Market'!$F89,'1.1 Control Panel'!M$631*'1.1 Control Panel'!M639)</f>
        <v>4.1611392000000009</v>
      </c>
      <c r="N98" s="376">
        <f>MIN('3.1 Market'!$F89,'1.1 Control Panel'!N$631*'1.1 Control Panel'!N639)</f>
        <v>4.3289113600000011</v>
      </c>
      <c r="O98" s="376">
        <f>MIN('3.1 Market'!$F89,'1.1 Control Panel'!O$631*'1.1 Control Panel'!O639)</f>
        <v>4.4631290880000005</v>
      </c>
      <c r="P98" s="376">
        <f>MIN('3.1 Market'!$F89,'1.1 Control Panel'!P$631*'1.1 Control Panel'!P639)</f>
        <v>4.5705032704000006</v>
      </c>
      <c r="Q98" s="376">
        <f>MIN('3.1 Market'!$G89,'1.1 Control Panel'!Q$631*'1.1 Control Panel'!Q639)</f>
        <v>9.3128052326400024</v>
      </c>
      <c r="R98" s="376">
        <f>MIN('3.1 Market'!$G89,'1.1 Control Panel'!R$631*'1.1 Control Panel'!R639)</f>
        <v>9.4502441861120019</v>
      </c>
      <c r="S98" s="376">
        <f>MIN('3.1 Market'!$G89,'1.1 Control Panel'!S$631*'1.1 Control Panel'!S639)</f>
        <v>9.5601953488896019</v>
      </c>
      <c r="T98" s="376">
        <f>MIN('3.1 Market'!$G89,'1.1 Control Panel'!T$631*'1.1 Control Panel'!T639)</f>
        <v>9.6481562791116815</v>
      </c>
      <c r="U98" s="376">
        <f>MIN('3.1 Market'!$G89,'1.1 Control Panel'!U$631*'1.1 Control Panel'!U639)</f>
        <v>14.577787534934018</v>
      </c>
      <c r="V98" s="376">
        <f>MIN('3.1 Market'!$G89,'1.1 Control Panel'!V$631*'1.1 Control Panel'!V639)</f>
        <v>14.662230027947215</v>
      </c>
      <c r="W98" s="376">
        <f>MIN('3.1 Market'!$G89,'1.1 Control Panel'!W$631*'1.1 Control Panel'!W639)</f>
        <v>14.729784022357771</v>
      </c>
      <c r="X98" s="376">
        <f>MIN('3.1 Market'!$G89,'1.1 Control Panel'!X$631*'1.1 Control Panel'!X639)</f>
        <v>14.783827217886218</v>
      </c>
      <c r="Y98" s="376">
        <f>MIN('3.1 Market'!$G89,'1.1 Control Panel'!Y$631*'1.1 Control Panel'!Y639)</f>
        <v>14.827061774308977</v>
      </c>
      <c r="Z98" s="376">
        <f>MIN('3.1 Market'!$G89,'1.1 Control Panel'!Z$631*'1.1 Control Panel'!Z639)</f>
        <v>14.861649419447183</v>
      </c>
      <c r="AA98" s="376">
        <f>MIN('3.1 Market'!$G89,'1.1 Control Panel'!AA$631*'1.1 Control Panel'!AA639)</f>
        <v>14.889319535557744</v>
      </c>
      <c r="AB98" s="376">
        <f>MIN('3.1 Market'!$G89,'1.1 Control Panel'!AB$631*'1.1 Control Panel'!AB639)</f>
        <v>14.911455628446197</v>
      </c>
      <c r="AC98" s="376">
        <f>MIN('3.1 Market'!$H89,'1.1 Control Panel'!AC$631*'1.1 Control Panel'!AC639)</f>
        <v>24.881940837928262</v>
      </c>
      <c r="AD98" s="376">
        <f>MIN('3.1 Market'!$H89,'1.1 Control Panel'!AD$631*'1.1 Control Panel'!AD639)</f>
        <v>24.905552670342608</v>
      </c>
      <c r="AE98" s="376">
        <f>MIN('3.1 Market'!$H89,'1.1 Control Panel'!AE$631*'1.1 Control Panel'!AE639)</f>
        <v>24.924442136274088</v>
      </c>
      <c r="AF98" s="376">
        <f>MIN('3.1 Market'!$H89,'1.1 Control Panel'!AF$631*'1.1 Control Panel'!AF639)</f>
        <v>24.939553709019275</v>
      </c>
      <c r="AG98" s="376">
        <f>MIN('3.1 Market'!$H89,'1.1 Control Panel'!AG$631*'1.1 Control Panel'!AG639)</f>
        <v>39.922628747544678</v>
      </c>
      <c r="AH98" s="376">
        <f>MIN('3.1 Market'!$H89,'1.1 Control Panel'!AH$631*'1.1 Control Panel'!AH639)</f>
        <v>39.938102998035745</v>
      </c>
      <c r="AI98" s="376">
        <f>MIN('3.1 Market'!$H89,'1.1 Control Panel'!AI$631*'1.1 Control Panel'!AI639)</f>
        <v>39.950482398428598</v>
      </c>
      <c r="AJ98" s="376">
        <f>MIN('3.1 Market'!$H89,'1.1 Control Panel'!AJ$631*'1.1 Control Panel'!AJ639)</f>
        <v>39.96038591874288</v>
      </c>
      <c r="AK98" s="376">
        <f>MIN('3.1 Market'!$H89,'1.1 Control Panel'!AK$631*'1.1 Control Panel'!AK639)</f>
        <v>49.960385918742887</v>
      </c>
      <c r="AL98" s="376">
        <f>MIN('3.1 Market'!$H89,'1.1 Control Panel'!AL$631*'1.1 Control Panel'!AL639)</f>
        <v>49.968308734994309</v>
      </c>
      <c r="AM98" s="376">
        <f>MIN('3.1 Market'!$H89,'1.1 Control Panel'!AM$631*'1.1 Control Panel'!AM639)</f>
        <v>49.974646987995456</v>
      </c>
      <c r="AN98" s="376">
        <f>MIN('3.1 Market'!$H89,'1.1 Control Panel'!AN$631*'1.1 Control Panel'!AN639)</f>
        <v>49.979717590396362</v>
      </c>
      <c r="AP98" s="21"/>
    </row>
    <row r="99" spans="2:42" x14ac:dyDescent="0.25">
      <c r="B99" s="99" t="s">
        <v>9</v>
      </c>
      <c r="C99" s="105" t="str">
        <f>'4.2 Sector Mapping'!$B$16</f>
        <v>Transportation and Services</v>
      </c>
      <c r="D99" s="106" t="s">
        <v>162</v>
      </c>
      <c r="E99" s="380">
        <f>SUM(E100:E105)</f>
        <v>0</v>
      </c>
      <c r="F99" s="380">
        <f t="shared" ref="F99:H99" si="89">SUM(F100:F105)</f>
        <v>0</v>
      </c>
      <c r="G99" s="380">
        <f t="shared" si="89"/>
        <v>0</v>
      </c>
      <c r="H99" s="380">
        <f t="shared" si="89"/>
        <v>0</v>
      </c>
      <c r="I99" s="380">
        <f t="shared" ref="I99:AN99" si="90">SUM(I100:I105)</f>
        <v>0</v>
      </c>
      <c r="J99" s="380">
        <f t="shared" si="90"/>
        <v>0</v>
      </c>
      <c r="K99" s="380">
        <f t="shared" si="90"/>
        <v>0</v>
      </c>
      <c r="L99" s="380">
        <f t="shared" si="90"/>
        <v>0</v>
      </c>
      <c r="M99" s="380">
        <f t="shared" si="90"/>
        <v>0</v>
      </c>
      <c r="N99" s="380">
        <f t="shared" si="90"/>
        <v>0</v>
      </c>
      <c r="O99" s="380">
        <f t="shared" si="90"/>
        <v>0</v>
      </c>
      <c r="P99" s="380">
        <f t="shared" si="90"/>
        <v>0</v>
      </c>
      <c r="Q99" s="380">
        <f t="shared" si="90"/>
        <v>28.969207848960004</v>
      </c>
      <c r="R99" s="380">
        <f t="shared" si="90"/>
        <v>29.175366279168006</v>
      </c>
      <c r="S99" s="380">
        <f t="shared" si="90"/>
        <v>29.340293023334404</v>
      </c>
      <c r="T99" s="380">
        <f t="shared" si="90"/>
        <v>29.472234418667526</v>
      </c>
      <c r="U99" s="380">
        <f t="shared" si="90"/>
        <v>59.155575069868036</v>
      </c>
      <c r="V99" s="380">
        <f t="shared" si="90"/>
        <v>59.324460055894434</v>
      </c>
      <c r="W99" s="380">
        <f t="shared" si="90"/>
        <v>59.459568044715553</v>
      </c>
      <c r="X99" s="380">
        <f t="shared" si="90"/>
        <v>59.56765443577244</v>
      </c>
      <c r="Y99" s="380">
        <f t="shared" si="90"/>
        <v>59.654123548617953</v>
      </c>
      <c r="Z99" s="380">
        <f t="shared" si="90"/>
        <v>59.723298838894358</v>
      </c>
      <c r="AA99" s="380">
        <f t="shared" si="90"/>
        <v>59.778639071115492</v>
      </c>
      <c r="AB99" s="380">
        <f t="shared" si="90"/>
        <v>59.822911256892397</v>
      </c>
      <c r="AC99" s="380">
        <f t="shared" si="90"/>
        <v>119.71665801102785</v>
      </c>
      <c r="AD99" s="380">
        <f t="shared" si="90"/>
        <v>119.77332640882227</v>
      </c>
      <c r="AE99" s="380">
        <f t="shared" si="90"/>
        <v>119.81866112705782</v>
      </c>
      <c r="AF99" s="380">
        <f t="shared" si="90"/>
        <v>119.85492890164628</v>
      </c>
      <c r="AG99" s="380">
        <f t="shared" si="90"/>
        <v>179.82591468197552</v>
      </c>
      <c r="AH99" s="380">
        <f t="shared" si="90"/>
        <v>179.86073174558044</v>
      </c>
      <c r="AI99" s="380">
        <f t="shared" si="90"/>
        <v>179.88858539646435</v>
      </c>
      <c r="AJ99" s="380">
        <f t="shared" si="90"/>
        <v>179.91086831717149</v>
      </c>
      <c r="AK99" s="380">
        <f t="shared" si="90"/>
        <v>209.91681042936008</v>
      </c>
      <c r="AL99" s="380">
        <f t="shared" si="90"/>
        <v>209.93344834348807</v>
      </c>
      <c r="AM99" s="380">
        <f t="shared" si="90"/>
        <v>209.94675867479043</v>
      </c>
      <c r="AN99" s="380">
        <f t="shared" si="90"/>
        <v>209.95740693983237</v>
      </c>
      <c r="AP99" s="105"/>
    </row>
    <row r="100" spans="2:42" x14ac:dyDescent="0.25">
      <c r="C100" s="20" t="s">
        <v>600</v>
      </c>
      <c r="D100" s="34" t="s">
        <v>162</v>
      </c>
      <c r="E100" s="28">
        <f>MIN('3.1 Market'!$F91,'1.1 Control Panel'!E$662*'1.1 Control Panel'!E665)</f>
        <v>0</v>
      </c>
      <c r="F100" s="28">
        <f>MIN('3.1 Market'!$F91,'1.1 Control Panel'!F$662*'1.1 Control Panel'!F665)</f>
        <v>0</v>
      </c>
      <c r="G100" s="28">
        <f>MIN('3.1 Market'!$F91,'1.1 Control Panel'!G$662*'1.1 Control Panel'!G665)</f>
        <v>0</v>
      </c>
      <c r="H100" s="28">
        <f>MIN('3.1 Market'!$F91,'1.1 Control Panel'!H$662*'1.1 Control Panel'!H665)</f>
        <v>0</v>
      </c>
      <c r="I100" s="28">
        <f>MIN('3.1 Market'!$F91,'1.1 Control Panel'!I$662*'1.1 Control Panel'!I665)</f>
        <v>0</v>
      </c>
      <c r="J100" s="28">
        <f>MIN('3.1 Market'!$F91,'1.1 Control Panel'!J$662*'1.1 Control Panel'!J665)</f>
        <v>0</v>
      </c>
      <c r="K100" s="28">
        <f>MIN('3.1 Market'!$F91,'1.1 Control Panel'!K$662*'1.1 Control Panel'!K665)</f>
        <v>0</v>
      </c>
      <c r="L100" s="28">
        <f>MIN('3.1 Market'!$F91,'1.1 Control Panel'!L$662*'1.1 Control Panel'!L665)</f>
        <v>0</v>
      </c>
      <c r="M100" s="28">
        <f>MIN('3.1 Market'!$F91,'1.1 Control Panel'!M$662*'1.1 Control Panel'!M665)</f>
        <v>0</v>
      </c>
      <c r="N100" s="28">
        <f>MIN('3.1 Market'!$F91,'1.1 Control Panel'!N$662*'1.1 Control Panel'!N665)</f>
        <v>0</v>
      </c>
      <c r="O100" s="28">
        <f>MIN('3.1 Market'!$F91,'1.1 Control Panel'!O$662*'1.1 Control Panel'!O665)</f>
        <v>0</v>
      </c>
      <c r="P100" s="28">
        <f>MIN('3.1 Market'!$F91,'1.1 Control Panel'!P$662*'1.1 Control Panel'!P665)</f>
        <v>0</v>
      </c>
      <c r="Q100" s="28">
        <f>MIN('3.1 Market'!$G91,'1.1 Control Panel'!Q$662*'1.1 Control Panel'!Q665)</f>
        <v>5</v>
      </c>
      <c r="R100" s="28">
        <f>MIN('3.1 Market'!$G91,'1.1 Control Panel'!R$662*'1.1 Control Panel'!R665)</f>
        <v>5</v>
      </c>
      <c r="S100" s="28">
        <f>MIN('3.1 Market'!$G91,'1.1 Control Panel'!S$662*'1.1 Control Panel'!S665)</f>
        <v>5</v>
      </c>
      <c r="T100" s="28">
        <f>MIN('3.1 Market'!$G91,'1.1 Control Panel'!T$662*'1.1 Control Panel'!T665)</f>
        <v>5</v>
      </c>
      <c r="U100" s="28">
        <f>MIN('3.1 Market'!$G91,'1.1 Control Panel'!U$662*'1.1 Control Panel'!U665)</f>
        <v>10</v>
      </c>
      <c r="V100" s="28">
        <f>MIN('3.1 Market'!$G91,'1.1 Control Panel'!V$662*'1.1 Control Panel'!V665)</f>
        <v>10</v>
      </c>
      <c r="W100" s="28">
        <f>MIN('3.1 Market'!$G91,'1.1 Control Panel'!W$662*'1.1 Control Panel'!W665)</f>
        <v>10</v>
      </c>
      <c r="X100" s="28">
        <f>MIN('3.1 Market'!$G91,'1.1 Control Panel'!X$662*'1.1 Control Panel'!X665)</f>
        <v>10</v>
      </c>
      <c r="Y100" s="28">
        <f>MIN('3.1 Market'!$G91,'1.1 Control Panel'!Y$662*'1.1 Control Panel'!Y665)</f>
        <v>10</v>
      </c>
      <c r="Z100" s="28">
        <f>MIN('3.1 Market'!$G91,'1.1 Control Panel'!Z$662*'1.1 Control Panel'!Z665)</f>
        <v>10</v>
      </c>
      <c r="AA100" s="28">
        <f>MIN('3.1 Market'!$G91,'1.1 Control Panel'!AA$662*'1.1 Control Panel'!AA665)</f>
        <v>10</v>
      </c>
      <c r="AB100" s="28">
        <f>MIN('3.1 Market'!$G91,'1.1 Control Panel'!AB$662*'1.1 Control Panel'!AB665)</f>
        <v>10</v>
      </c>
      <c r="AC100" s="28">
        <f>MIN('3.1 Market'!$H91,'1.1 Control Panel'!AC$662*'1.1 Control Panel'!AC665)</f>
        <v>20</v>
      </c>
      <c r="AD100" s="28">
        <f>MIN('3.1 Market'!$H91,'1.1 Control Panel'!AD$662*'1.1 Control Panel'!AD665)</f>
        <v>20</v>
      </c>
      <c r="AE100" s="28">
        <f>MIN('3.1 Market'!$H91,'1.1 Control Panel'!AE$662*'1.1 Control Panel'!AE665)</f>
        <v>20</v>
      </c>
      <c r="AF100" s="28">
        <f>MIN('3.1 Market'!$H91,'1.1 Control Panel'!AF$662*'1.1 Control Panel'!AF665)</f>
        <v>20</v>
      </c>
      <c r="AG100" s="28">
        <f>MIN('3.1 Market'!$H91,'1.1 Control Panel'!AG$662*'1.1 Control Panel'!AG665)</f>
        <v>30</v>
      </c>
      <c r="AH100" s="28">
        <f>MIN('3.1 Market'!$H91,'1.1 Control Panel'!AH$662*'1.1 Control Panel'!AH665)</f>
        <v>30</v>
      </c>
      <c r="AI100" s="28">
        <f>MIN('3.1 Market'!$H91,'1.1 Control Panel'!AI$662*'1.1 Control Panel'!AI665)</f>
        <v>30</v>
      </c>
      <c r="AJ100" s="28">
        <f>MIN('3.1 Market'!$H91,'1.1 Control Panel'!AJ$662*'1.1 Control Panel'!AJ665)</f>
        <v>30</v>
      </c>
      <c r="AK100" s="28">
        <f>MIN('3.1 Market'!$H91,'1.1 Control Panel'!AK$662*'1.1 Control Panel'!AK665)</f>
        <v>35</v>
      </c>
      <c r="AL100" s="28">
        <f>MIN('3.1 Market'!$H91,'1.1 Control Panel'!AL$662*'1.1 Control Panel'!AL665)</f>
        <v>35</v>
      </c>
      <c r="AM100" s="28">
        <f>MIN('3.1 Market'!$H91,'1.1 Control Panel'!AM$662*'1.1 Control Panel'!AM665)</f>
        <v>35</v>
      </c>
      <c r="AN100" s="28">
        <f>MIN('3.1 Market'!$H91,'1.1 Control Panel'!AN$662*'1.1 Control Panel'!AN665)</f>
        <v>35</v>
      </c>
      <c r="AP100" s="20"/>
    </row>
    <row r="101" spans="2:42" x14ac:dyDescent="0.25">
      <c r="C101" s="20" t="s">
        <v>392</v>
      </c>
      <c r="D101" s="34" t="s">
        <v>162</v>
      </c>
      <c r="E101" s="28">
        <f>MIN('3.1 Market'!$F92,'1.1 Control Panel'!E$662*'1.1 Control Panel'!E666)</f>
        <v>0</v>
      </c>
      <c r="F101" s="28">
        <f>MIN('3.1 Market'!$F92,'1.1 Control Panel'!F$662*'1.1 Control Panel'!F666)</f>
        <v>0</v>
      </c>
      <c r="G101" s="28">
        <f>MIN('3.1 Market'!$F92,'1.1 Control Panel'!G$662*'1.1 Control Panel'!G666)</f>
        <v>0</v>
      </c>
      <c r="H101" s="28">
        <f>MIN('3.1 Market'!$F92,'1.1 Control Panel'!H$662*'1.1 Control Panel'!H666)</f>
        <v>0</v>
      </c>
      <c r="I101" s="28">
        <f>MIN('3.1 Market'!$F92,'1.1 Control Panel'!I$662*'1.1 Control Panel'!I666)</f>
        <v>0</v>
      </c>
      <c r="J101" s="28">
        <f>MIN('3.1 Market'!$F92,'1.1 Control Panel'!J$662*'1.1 Control Panel'!J666)</f>
        <v>0</v>
      </c>
      <c r="K101" s="28">
        <f>MIN('3.1 Market'!$F92,'1.1 Control Panel'!K$662*'1.1 Control Panel'!K666)</f>
        <v>0</v>
      </c>
      <c r="L101" s="28">
        <f>MIN('3.1 Market'!$F92,'1.1 Control Panel'!L$662*'1.1 Control Panel'!L666)</f>
        <v>0</v>
      </c>
      <c r="M101" s="28">
        <f>MIN('3.1 Market'!$F92,'1.1 Control Panel'!M$662*'1.1 Control Panel'!M666)</f>
        <v>0</v>
      </c>
      <c r="N101" s="28">
        <f>MIN('3.1 Market'!$F92,'1.1 Control Panel'!N$662*'1.1 Control Panel'!N666)</f>
        <v>0</v>
      </c>
      <c r="O101" s="28">
        <f>MIN('3.1 Market'!$F92,'1.1 Control Panel'!O$662*'1.1 Control Panel'!O666)</f>
        <v>0</v>
      </c>
      <c r="P101" s="28">
        <f>MIN('3.1 Market'!$F92,'1.1 Control Panel'!P$662*'1.1 Control Panel'!P666)</f>
        <v>0</v>
      </c>
      <c r="Q101" s="28">
        <f>MIN('3.1 Market'!$G92,'1.1 Control Panel'!Q$662*'1.1 Control Panel'!Q666)</f>
        <v>4.9312805232640002</v>
      </c>
      <c r="R101" s="28">
        <f>MIN('3.1 Market'!$G92,'1.1 Control Panel'!R$662*'1.1 Control Panel'!R666)</f>
        <v>4.9450244186112009</v>
      </c>
      <c r="S101" s="28">
        <f>MIN('3.1 Market'!$G92,'1.1 Control Panel'!S$662*'1.1 Control Panel'!S666)</f>
        <v>4.9560195348889611</v>
      </c>
      <c r="T101" s="28">
        <f>MIN('3.1 Market'!$G92,'1.1 Control Panel'!T$662*'1.1 Control Panel'!T666)</f>
        <v>4.964815627911169</v>
      </c>
      <c r="U101" s="28">
        <f>MIN('3.1 Market'!$G92,'1.1 Control Panel'!U$662*'1.1 Control Panel'!U666)</f>
        <v>9.9437050046578719</v>
      </c>
      <c r="V101" s="28">
        <f>MIN('3.1 Market'!$G92,'1.1 Control Panel'!V$662*'1.1 Control Panel'!V666)</f>
        <v>9.9549640037262979</v>
      </c>
      <c r="W101" s="28">
        <f>MIN('3.1 Market'!$G92,'1.1 Control Panel'!W$662*'1.1 Control Panel'!W666)</f>
        <v>9.963971202981039</v>
      </c>
      <c r="X101" s="28">
        <f>MIN('3.1 Market'!$G92,'1.1 Control Panel'!X$662*'1.1 Control Panel'!X666)</f>
        <v>9.9711769623848312</v>
      </c>
      <c r="Y101" s="28">
        <f>MIN('3.1 Market'!$G92,'1.1 Control Panel'!Y$662*'1.1 Control Panel'!Y666)</f>
        <v>9.976941569907865</v>
      </c>
      <c r="Z101" s="28">
        <f>MIN('3.1 Market'!$G92,'1.1 Control Panel'!Z$662*'1.1 Control Panel'!Z666)</f>
        <v>9.9815532559262934</v>
      </c>
      <c r="AA101" s="28">
        <f>MIN('3.1 Market'!$G92,'1.1 Control Panel'!AA$662*'1.1 Control Panel'!AA666)</f>
        <v>9.9852426047410354</v>
      </c>
      <c r="AB101" s="28">
        <f>MIN('3.1 Market'!$G92,'1.1 Control Panel'!AB$662*'1.1 Control Panel'!AB666)</f>
        <v>9.9881940837928287</v>
      </c>
      <c r="AC101" s="28">
        <f>MIN('3.1 Market'!$H92,'1.1 Control Panel'!AC$662*'1.1 Control Panel'!AC666)</f>
        <v>19.981110534068527</v>
      </c>
      <c r="AD101" s="28">
        <f>MIN('3.1 Market'!$H92,'1.1 Control Panel'!AD$662*'1.1 Control Panel'!AD666)</f>
        <v>19.984888427254823</v>
      </c>
      <c r="AE101" s="28">
        <f>MIN('3.1 Market'!$H92,'1.1 Control Panel'!AE$662*'1.1 Control Panel'!AE666)</f>
        <v>19.987910741803859</v>
      </c>
      <c r="AF101" s="28">
        <f>MIN('3.1 Market'!$H92,'1.1 Control Panel'!AF$662*'1.1 Control Panel'!AF666)</f>
        <v>19.990328593443088</v>
      </c>
      <c r="AG101" s="28">
        <f>MIN('3.1 Market'!$H92,'1.1 Control Panel'!AG$662*'1.1 Control Panel'!AG666)</f>
        <v>29.98839431213171</v>
      </c>
      <c r="AH101" s="28">
        <f>MIN('3.1 Market'!$H92,'1.1 Control Panel'!AH$662*'1.1 Control Panel'!AH666)</f>
        <v>29.990715449705366</v>
      </c>
      <c r="AI101" s="28">
        <f>MIN('3.1 Market'!$H92,'1.1 Control Panel'!AI$662*'1.1 Control Panel'!AI666)</f>
        <v>29.992572359764296</v>
      </c>
      <c r="AJ101" s="28">
        <f>MIN('3.1 Market'!$H92,'1.1 Control Panel'!AJ$662*'1.1 Control Panel'!AJ666)</f>
        <v>29.994057887811433</v>
      </c>
      <c r="AK101" s="28">
        <f>MIN('3.1 Market'!$H92,'1.1 Control Panel'!AK$662*'1.1 Control Panel'!AK666)</f>
        <v>34.994454028624006</v>
      </c>
      <c r="AL101" s="28">
        <f>MIN('3.1 Market'!$H92,'1.1 Control Panel'!AL$662*'1.1 Control Panel'!AL666)</f>
        <v>34.995563222899207</v>
      </c>
      <c r="AM101" s="28">
        <f>MIN('3.1 Market'!$H92,'1.1 Control Panel'!AM$662*'1.1 Control Panel'!AM666)</f>
        <v>34.996450578319362</v>
      </c>
      <c r="AN101" s="28">
        <f>MIN('3.1 Market'!$H92,'1.1 Control Panel'!AN$662*'1.1 Control Panel'!AN666)</f>
        <v>34.997160462655486</v>
      </c>
      <c r="AP101" s="20"/>
    </row>
    <row r="102" spans="2:42" x14ac:dyDescent="0.25">
      <c r="C102" s="20" t="s">
        <v>454</v>
      </c>
      <c r="D102" s="34" t="s">
        <v>162</v>
      </c>
      <c r="E102" s="28">
        <f>MIN('3.1 Market'!$F93,'1.1 Control Panel'!E$662*'1.1 Control Panel'!E667)</f>
        <v>0</v>
      </c>
      <c r="F102" s="28">
        <f>MIN('3.1 Market'!$F93,'1.1 Control Panel'!F$662*'1.1 Control Panel'!F667)</f>
        <v>0</v>
      </c>
      <c r="G102" s="28">
        <f>MIN('3.1 Market'!$F93,'1.1 Control Panel'!G$662*'1.1 Control Panel'!G667)</f>
        <v>0</v>
      </c>
      <c r="H102" s="28">
        <f>MIN('3.1 Market'!$F93,'1.1 Control Panel'!H$662*'1.1 Control Panel'!H667)</f>
        <v>0</v>
      </c>
      <c r="I102" s="28">
        <f>MIN('3.1 Market'!$F93,'1.1 Control Panel'!I$662*'1.1 Control Panel'!I667)</f>
        <v>0</v>
      </c>
      <c r="J102" s="28">
        <f>MIN('3.1 Market'!$F93,'1.1 Control Panel'!J$662*'1.1 Control Panel'!J667)</f>
        <v>0</v>
      </c>
      <c r="K102" s="28">
        <f>MIN('3.1 Market'!$F93,'1.1 Control Panel'!K$662*'1.1 Control Panel'!K667)</f>
        <v>0</v>
      </c>
      <c r="L102" s="28">
        <f>MIN('3.1 Market'!$F93,'1.1 Control Panel'!L$662*'1.1 Control Panel'!L667)</f>
        <v>0</v>
      </c>
      <c r="M102" s="28">
        <f>MIN('3.1 Market'!$F93,'1.1 Control Panel'!M$662*'1.1 Control Panel'!M667)</f>
        <v>0</v>
      </c>
      <c r="N102" s="28">
        <f>MIN('3.1 Market'!$F93,'1.1 Control Panel'!N$662*'1.1 Control Panel'!N667)</f>
        <v>0</v>
      </c>
      <c r="O102" s="28">
        <f>MIN('3.1 Market'!$F93,'1.1 Control Panel'!O$662*'1.1 Control Panel'!O667)</f>
        <v>0</v>
      </c>
      <c r="P102" s="28">
        <f>MIN('3.1 Market'!$F93,'1.1 Control Panel'!P$662*'1.1 Control Panel'!P667)</f>
        <v>0</v>
      </c>
      <c r="Q102" s="28">
        <f>MIN('3.1 Market'!$G93,'1.1 Control Panel'!Q$662*'1.1 Control Panel'!Q667)</f>
        <v>4.8625610465280014</v>
      </c>
      <c r="R102" s="28">
        <f>MIN('3.1 Market'!$G93,'1.1 Control Panel'!R$662*'1.1 Control Panel'!R667)</f>
        <v>4.8900488372224018</v>
      </c>
      <c r="S102" s="28">
        <f>MIN('3.1 Market'!$G93,'1.1 Control Panel'!S$662*'1.1 Control Panel'!S667)</f>
        <v>4.9120390697779222</v>
      </c>
      <c r="T102" s="28">
        <f>MIN('3.1 Market'!$G93,'1.1 Control Panel'!T$662*'1.1 Control Panel'!T667)</f>
        <v>4.9296312558223381</v>
      </c>
      <c r="U102" s="28">
        <f>MIN('3.1 Market'!$G93,'1.1 Control Panel'!U$662*'1.1 Control Panel'!U667)</f>
        <v>9.8874100093157402</v>
      </c>
      <c r="V102" s="28">
        <f>MIN('3.1 Market'!$G93,'1.1 Control Panel'!V$662*'1.1 Control Panel'!V667)</f>
        <v>9.9099280074525922</v>
      </c>
      <c r="W102" s="28">
        <f>MIN('3.1 Market'!$G93,'1.1 Control Panel'!W$662*'1.1 Control Panel'!W667)</f>
        <v>9.9279424059620744</v>
      </c>
      <c r="X102" s="28">
        <f>MIN('3.1 Market'!$G93,'1.1 Control Panel'!X$662*'1.1 Control Panel'!X667)</f>
        <v>9.9423539247696588</v>
      </c>
      <c r="Y102" s="28">
        <f>MIN('3.1 Market'!$G93,'1.1 Control Panel'!Y$662*'1.1 Control Panel'!Y667)</f>
        <v>9.9538831398157264</v>
      </c>
      <c r="Z102" s="28">
        <f>MIN('3.1 Market'!$G93,'1.1 Control Panel'!Z$662*'1.1 Control Panel'!Z667)</f>
        <v>9.9631065118525814</v>
      </c>
      <c r="AA102" s="28">
        <f>MIN('3.1 Market'!$G93,'1.1 Control Panel'!AA$662*'1.1 Control Panel'!AA667)</f>
        <v>9.9704852094820655</v>
      </c>
      <c r="AB102" s="28">
        <f>MIN('3.1 Market'!$G93,'1.1 Control Panel'!AB$662*'1.1 Control Panel'!AB667)</f>
        <v>9.9763881675856538</v>
      </c>
      <c r="AC102" s="28">
        <f>MIN('3.1 Market'!$H93,'1.1 Control Panel'!AC$662*'1.1 Control Panel'!AC667)</f>
        <v>19.962221068137048</v>
      </c>
      <c r="AD102" s="28">
        <f>MIN('3.1 Market'!$H93,'1.1 Control Panel'!AD$662*'1.1 Control Panel'!AD667)</f>
        <v>19.969776854509639</v>
      </c>
      <c r="AE102" s="28">
        <f>MIN('3.1 Market'!$H93,'1.1 Control Panel'!AE$662*'1.1 Control Panel'!AE667)</f>
        <v>19.97582148360771</v>
      </c>
      <c r="AF102" s="28">
        <f>MIN('3.1 Market'!$H93,'1.1 Control Panel'!AF$662*'1.1 Control Panel'!AF667)</f>
        <v>19.98065718688617</v>
      </c>
      <c r="AG102" s="28">
        <f>MIN('3.1 Market'!$H93,'1.1 Control Panel'!AG$662*'1.1 Control Panel'!AG667)</f>
        <v>29.976788624263406</v>
      </c>
      <c r="AH102" s="28">
        <f>MIN('3.1 Market'!$H93,'1.1 Control Panel'!AH$662*'1.1 Control Panel'!AH667)</f>
        <v>29.981430899410721</v>
      </c>
      <c r="AI102" s="28">
        <f>MIN('3.1 Market'!$H93,'1.1 Control Panel'!AI$662*'1.1 Control Panel'!AI667)</f>
        <v>29.985144719528577</v>
      </c>
      <c r="AJ102" s="28">
        <f>MIN('3.1 Market'!$H93,'1.1 Control Panel'!AJ$662*'1.1 Control Panel'!AJ667)</f>
        <v>29.988115775622866</v>
      </c>
      <c r="AK102" s="28">
        <f>MIN('3.1 Market'!$H93,'1.1 Control Panel'!AK$662*'1.1 Control Panel'!AK667)</f>
        <v>34.988908057248004</v>
      </c>
      <c r="AL102" s="28">
        <f>MIN('3.1 Market'!$H93,'1.1 Control Panel'!AL$662*'1.1 Control Panel'!AL667)</f>
        <v>34.9911264457984</v>
      </c>
      <c r="AM102" s="28">
        <f>MIN('3.1 Market'!$H93,'1.1 Control Panel'!AM$662*'1.1 Control Panel'!AM667)</f>
        <v>34.992901156638723</v>
      </c>
      <c r="AN102" s="28">
        <f>MIN('3.1 Market'!$H93,'1.1 Control Panel'!AN$662*'1.1 Control Panel'!AN667)</f>
        <v>34.99432092531098</v>
      </c>
      <c r="AP102" s="20"/>
    </row>
    <row r="103" spans="2:42" x14ac:dyDescent="0.25">
      <c r="C103" s="21" t="s">
        <v>455</v>
      </c>
      <c r="D103" s="38" t="s">
        <v>162</v>
      </c>
      <c r="E103" s="376">
        <f>MIN('3.1 Market'!$F94,'1.1 Control Panel'!E$662*'1.1 Control Panel'!E668)</f>
        <v>0</v>
      </c>
      <c r="F103" s="376">
        <f>MIN('3.1 Market'!$F94,'1.1 Control Panel'!F$662*'1.1 Control Panel'!F668)</f>
        <v>0</v>
      </c>
      <c r="G103" s="376">
        <f>MIN('3.1 Market'!$F94,'1.1 Control Panel'!G$662*'1.1 Control Panel'!G668)</f>
        <v>0</v>
      </c>
      <c r="H103" s="376">
        <f>MIN('3.1 Market'!$F94,'1.1 Control Panel'!H$662*'1.1 Control Panel'!H668)</f>
        <v>0</v>
      </c>
      <c r="I103" s="376">
        <f>MIN('3.1 Market'!$F94,'1.1 Control Panel'!I$662*'1.1 Control Panel'!I668)</f>
        <v>0</v>
      </c>
      <c r="J103" s="376">
        <f>MIN('3.1 Market'!$F94,'1.1 Control Panel'!J$662*'1.1 Control Panel'!J668)</f>
        <v>0</v>
      </c>
      <c r="K103" s="376">
        <f>MIN('3.1 Market'!$F94,'1.1 Control Panel'!K$662*'1.1 Control Panel'!K668)</f>
        <v>0</v>
      </c>
      <c r="L103" s="376">
        <f>MIN('3.1 Market'!$F94,'1.1 Control Panel'!L$662*'1.1 Control Panel'!L668)</f>
        <v>0</v>
      </c>
      <c r="M103" s="376">
        <f>MIN('3.1 Market'!$F94,'1.1 Control Panel'!M$662*'1.1 Control Panel'!M668)</f>
        <v>0</v>
      </c>
      <c r="N103" s="376">
        <f>MIN('3.1 Market'!$F94,'1.1 Control Panel'!N$662*'1.1 Control Panel'!N668)</f>
        <v>0</v>
      </c>
      <c r="O103" s="376">
        <f>MIN('3.1 Market'!$F94,'1.1 Control Panel'!O$662*'1.1 Control Panel'!O668)</f>
        <v>0</v>
      </c>
      <c r="P103" s="376">
        <f>MIN('3.1 Market'!$F94,'1.1 Control Panel'!P$662*'1.1 Control Panel'!P668)</f>
        <v>0</v>
      </c>
      <c r="Q103" s="376">
        <f>MIN('3.1 Market'!$G94,'1.1 Control Panel'!Q$662*'1.1 Control Panel'!Q668)</f>
        <v>4.7938415697920007</v>
      </c>
      <c r="R103" s="376">
        <f>MIN('3.1 Market'!$G94,'1.1 Control Panel'!R$662*'1.1 Control Panel'!R668)</f>
        <v>4.8350732558336009</v>
      </c>
      <c r="S103" s="376">
        <f>MIN('3.1 Market'!$G94,'1.1 Control Panel'!S$662*'1.1 Control Panel'!S668)</f>
        <v>4.8680586046668815</v>
      </c>
      <c r="T103" s="376">
        <f>MIN('3.1 Market'!$G94,'1.1 Control Panel'!T$662*'1.1 Control Panel'!T668)</f>
        <v>4.8944468837335053</v>
      </c>
      <c r="U103" s="376">
        <f>MIN('3.1 Market'!$G94,'1.1 Control Panel'!U$662*'1.1 Control Panel'!U668)</f>
        <v>9.8311150139736085</v>
      </c>
      <c r="V103" s="376">
        <f>MIN('3.1 Market'!$G94,'1.1 Control Panel'!V$662*'1.1 Control Panel'!V668)</f>
        <v>9.8648920111788883</v>
      </c>
      <c r="W103" s="376">
        <f>MIN('3.1 Market'!$G94,'1.1 Control Panel'!W$662*'1.1 Control Panel'!W668)</f>
        <v>9.8919136089431099</v>
      </c>
      <c r="X103" s="376">
        <f>MIN('3.1 Market'!$G94,'1.1 Control Panel'!X$662*'1.1 Control Panel'!X668)</f>
        <v>9.9135308871544883</v>
      </c>
      <c r="Y103" s="376">
        <f>MIN('3.1 Market'!$G94,'1.1 Control Panel'!Y$662*'1.1 Control Panel'!Y668)</f>
        <v>9.9308247097235913</v>
      </c>
      <c r="Z103" s="376">
        <f>MIN('3.1 Market'!$G94,'1.1 Control Panel'!Z$662*'1.1 Control Panel'!Z668)</f>
        <v>9.9446597677788731</v>
      </c>
      <c r="AA103" s="376">
        <f>MIN('3.1 Market'!$G94,'1.1 Control Panel'!AA$662*'1.1 Control Panel'!AA668)</f>
        <v>9.9557278142230992</v>
      </c>
      <c r="AB103" s="376">
        <f>MIN('3.1 Market'!$G94,'1.1 Control Panel'!AB$662*'1.1 Control Panel'!AB668)</f>
        <v>9.9645822513784807</v>
      </c>
      <c r="AC103" s="376">
        <f>MIN('3.1 Market'!$H94,'1.1 Control Panel'!AC$662*'1.1 Control Panel'!AC668)</f>
        <v>19.943331602205568</v>
      </c>
      <c r="AD103" s="376">
        <f>MIN('3.1 Market'!$H94,'1.1 Control Panel'!AD$662*'1.1 Control Panel'!AD668)</f>
        <v>19.954665281764456</v>
      </c>
      <c r="AE103" s="376">
        <f>MIN('3.1 Market'!$H94,'1.1 Control Panel'!AE$662*'1.1 Control Panel'!AE668)</f>
        <v>19.963732225411565</v>
      </c>
      <c r="AF103" s="376">
        <f>MIN('3.1 Market'!$H94,'1.1 Control Panel'!AF$662*'1.1 Control Panel'!AF668)</f>
        <v>19.970985780329251</v>
      </c>
      <c r="AG103" s="376">
        <f>MIN('3.1 Market'!$H94,'1.1 Control Panel'!AG$662*'1.1 Control Panel'!AG668)</f>
        <v>29.965182936395099</v>
      </c>
      <c r="AH103" s="376">
        <f>MIN('3.1 Market'!$H94,'1.1 Control Panel'!AH$662*'1.1 Control Panel'!AH668)</f>
        <v>29.972146349116077</v>
      </c>
      <c r="AI103" s="376">
        <f>MIN('3.1 Market'!$H94,'1.1 Control Panel'!AI$662*'1.1 Control Panel'!AI668)</f>
        <v>29.977717079292866</v>
      </c>
      <c r="AJ103" s="376">
        <f>MIN('3.1 Market'!$H94,'1.1 Control Panel'!AJ$662*'1.1 Control Panel'!AJ668)</f>
        <v>29.982173663434295</v>
      </c>
      <c r="AK103" s="376">
        <f>MIN('3.1 Market'!$H94,'1.1 Control Panel'!AK$662*'1.1 Control Panel'!AK668)</f>
        <v>34.98336208587201</v>
      </c>
      <c r="AL103" s="376">
        <f>MIN('3.1 Market'!$H94,'1.1 Control Panel'!AL$662*'1.1 Control Panel'!AL668)</f>
        <v>34.986689668697608</v>
      </c>
      <c r="AM103" s="376">
        <f>MIN('3.1 Market'!$H94,'1.1 Control Panel'!AM$662*'1.1 Control Panel'!AM668)</f>
        <v>34.989351734958092</v>
      </c>
      <c r="AN103" s="376">
        <f>MIN('3.1 Market'!$H94,'1.1 Control Panel'!AN$662*'1.1 Control Panel'!AN668)</f>
        <v>34.991481387966473</v>
      </c>
      <c r="AP103" s="21"/>
    </row>
    <row r="104" spans="2:42" x14ac:dyDescent="0.25">
      <c r="C104" s="21" t="s">
        <v>393</v>
      </c>
      <c r="D104" s="38" t="s">
        <v>162</v>
      </c>
      <c r="E104" s="376">
        <f>MIN('3.1 Market'!$F95,'1.1 Control Panel'!E$662*'1.1 Control Panel'!E669)</f>
        <v>0</v>
      </c>
      <c r="F104" s="376">
        <f>MIN('3.1 Market'!$F95,'1.1 Control Panel'!F$662*'1.1 Control Panel'!F669)</f>
        <v>0</v>
      </c>
      <c r="G104" s="376">
        <f>MIN('3.1 Market'!$F95,'1.1 Control Panel'!G$662*'1.1 Control Panel'!G669)</f>
        <v>0</v>
      </c>
      <c r="H104" s="376">
        <f>MIN('3.1 Market'!$F95,'1.1 Control Panel'!H$662*'1.1 Control Panel'!H669)</f>
        <v>0</v>
      </c>
      <c r="I104" s="376">
        <f>MIN('3.1 Market'!$F95,'1.1 Control Panel'!I$662*'1.1 Control Panel'!I669)</f>
        <v>0</v>
      </c>
      <c r="J104" s="376">
        <f>MIN('3.1 Market'!$F95,'1.1 Control Panel'!J$662*'1.1 Control Panel'!J669)</f>
        <v>0</v>
      </c>
      <c r="K104" s="376">
        <f>MIN('3.1 Market'!$F95,'1.1 Control Panel'!K$662*'1.1 Control Panel'!K669)</f>
        <v>0</v>
      </c>
      <c r="L104" s="376">
        <f>MIN('3.1 Market'!$F95,'1.1 Control Panel'!L$662*'1.1 Control Panel'!L669)</f>
        <v>0</v>
      </c>
      <c r="M104" s="376">
        <f>MIN('3.1 Market'!$F95,'1.1 Control Panel'!M$662*'1.1 Control Panel'!M669)</f>
        <v>0</v>
      </c>
      <c r="N104" s="376">
        <f>MIN('3.1 Market'!$F95,'1.1 Control Panel'!N$662*'1.1 Control Panel'!N669)</f>
        <v>0</v>
      </c>
      <c r="O104" s="376">
        <f>MIN('3.1 Market'!$F95,'1.1 Control Panel'!O$662*'1.1 Control Panel'!O669)</f>
        <v>0</v>
      </c>
      <c r="P104" s="376">
        <f>MIN('3.1 Market'!$F95,'1.1 Control Panel'!P$662*'1.1 Control Panel'!P669)</f>
        <v>0</v>
      </c>
      <c r="Q104" s="376">
        <f>MIN('3.1 Market'!$G95,'1.1 Control Panel'!Q$662*'1.1 Control Panel'!Q669)</f>
        <v>4.7251220930560009</v>
      </c>
      <c r="R104" s="376">
        <f>MIN('3.1 Market'!$G95,'1.1 Control Panel'!R$662*'1.1 Control Panel'!R669)</f>
        <v>4.7800976744448009</v>
      </c>
      <c r="S104" s="376">
        <f>MIN('3.1 Market'!$G95,'1.1 Control Panel'!S$662*'1.1 Control Panel'!S669)</f>
        <v>4.8240781395558407</v>
      </c>
      <c r="T104" s="376">
        <f>MIN('3.1 Market'!$G95,'1.1 Control Panel'!T$662*'1.1 Control Panel'!T669)</f>
        <v>4.8592625116446726</v>
      </c>
      <c r="U104" s="376">
        <f>MIN('3.1 Market'!$G95,'1.1 Control Panel'!U$662*'1.1 Control Panel'!U669)</f>
        <v>9.7748200186314769</v>
      </c>
      <c r="V104" s="376">
        <f>MIN('3.1 Market'!$G95,'1.1 Control Panel'!V$662*'1.1 Control Panel'!V669)</f>
        <v>9.8198560149051808</v>
      </c>
      <c r="W104" s="376">
        <f>MIN('3.1 Market'!$G95,'1.1 Control Panel'!W$662*'1.1 Control Panel'!W669)</f>
        <v>9.8558848119241453</v>
      </c>
      <c r="X104" s="376">
        <f>MIN('3.1 Market'!$G95,'1.1 Control Panel'!X$662*'1.1 Control Panel'!X669)</f>
        <v>9.8847078495393177</v>
      </c>
      <c r="Y104" s="376">
        <f>MIN('3.1 Market'!$G95,'1.1 Control Panel'!Y$662*'1.1 Control Panel'!Y669)</f>
        <v>9.9077662796314545</v>
      </c>
      <c r="Z104" s="376">
        <f>MIN('3.1 Market'!$G95,'1.1 Control Panel'!Z$662*'1.1 Control Panel'!Z669)</f>
        <v>9.9262130237051629</v>
      </c>
      <c r="AA104" s="376">
        <f>MIN('3.1 Market'!$G95,'1.1 Control Panel'!AA$662*'1.1 Control Panel'!AA669)</f>
        <v>9.940970418964131</v>
      </c>
      <c r="AB104" s="376">
        <f>MIN('3.1 Market'!$G95,'1.1 Control Panel'!AB$662*'1.1 Control Panel'!AB669)</f>
        <v>9.9527763351713041</v>
      </c>
      <c r="AC104" s="376">
        <f>MIN('3.1 Market'!$H95,'1.1 Control Panel'!AC$662*'1.1 Control Panel'!AC669)</f>
        <v>19.924442136274088</v>
      </c>
      <c r="AD104" s="376">
        <f>MIN('3.1 Market'!$H95,'1.1 Control Panel'!AD$662*'1.1 Control Panel'!AD669)</f>
        <v>19.939553709019272</v>
      </c>
      <c r="AE104" s="376">
        <f>MIN('3.1 Market'!$H95,'1.1 Control Panel'!AE$662*'1.1 Control Panel'!AE669)</f>
        <v>19.95164296721542</v>
      </c>
      <c r="AF104" s="376">
        <f>MIN('3.1 Market'!$H95,'1.1 Control Panel'!AF$662*'1.1 Control Panel'!AF669)</f>
        <v>19.961314373772339</v>
      </c>
      <c r="AG104" s="376">
        <f>MIN('3.1 Market'!$H95,'1.1 Control Panel'!AG$662*'1.1 Control Panel'!AG669)</f>
        <v>29.953577248526809</v>
      </c>
      <c r="AH104" s="376">
        <f>MIN('3.1 Market'!$H95,'1.1 Control Panel'!AH$662*'1.1 Control Panel'!AH669)</f>
        <v>29.96286179882145</v>
      </c>
      <c r="AI104" s="376">
        <f>MIN('3.1 Market'!$H95,'1.1 Control Panel'!AI$662*'1.1 Control Panel'!AI669)</f>
        <v>29.970289439057161</v>
      </c>
      <c r="AJ104" s="376">
        <f>MIN('3.1 Market'!$H95,'1.1 Control Panel'!AJ$662*'1.1 Control Panel'!AJ669)</f>
        <v>29.976231551245732</v>
      </c>
      <c r="AK104" s="376">
        <f>MIN('3.1 Market'!$H95,'1.1 Control Panel'!AK$662*'1.1 Control Panel'!AK669)</f>
        <v>34.977816114496015</v>
      </c>
      <c r="AL104" s="376">
        <f>MIN('3.1 Market'!$H95,'1.1 Control Panel'!AL$662*'1.1 Control Panel'!AL669)</f>
        <v>34.982252891596815</v>
      </c>
      <c r="AM104" s="376">
        <f>MIN('3.1 Market'!$H95,'1.1 Control Panel'!AM$662*'1.1 Control Panel'!AM669)</f>
        <v>34.985802313277453</v>
      </c>
      <c r="AN104" s="376">
        <f>MIN('3.1 Market'!$H95,'1.1 Control Panel'!AN$662*'1.1 Control Panel'!AN669)</f>
        <v>34.988641850621967</v>
      </c>
      <c r="AP104" s="21"/>
    </row>
    <row r="105" spans="2:42" x14ac:dyDescent="0.25">
      <c r="C105" s="21" t="s">
        <v>456</v>
      </c>
      <c r="D105" s="38" t="s">
        <v>162</v>
      </c>
      <c r="E105" s="376">
        <f>MIN('3.1 Market'!$F96,'1.1 Control Panel'!E$662*'1.1 Control Panel'!E670)</f>
        <v>0</v>
      </c>
      <c r="F105" s="376">
        <f>MIN('3.1 Market'!$F96,'1.1 Control Panel'!F$662*'1.1 Control Panel'!F670)</f>
        <v>0</v>
      </c>
      <c r="G105" s="376">
        <f>MIN('3.1 Market'!$F96,'1.1 Control Panel'!G$662*'1.1 Control Panel'!G670)</f>
        <v>0</v>
      </c>
      <c r="H105" s="376">
        <f>MIN('3.1 Market'!$F96,'1.1 Control Panel'!H$662*'1.1 Control Panel'!H670)</f>
        <v>0</v>
      </c>
      <c r="I105" s="376">
        <f>MIN('3.1 Market'!$F96,'1.1 Control Panel'!I$662*'1.1 Control Panel'!I670)</f>
        <v>0</v>
      </c>
      <c r="J105" s="376">
        <f>MIN('3.1 Market'!$F96,'1.1 Control Panel'!J$662*'1.1 Control Panel'!J670)</f>
        <v>0</v>
      </c>
      <c r="K105" s="376">
        <f>MIN('3.1 Market'!$F96,'1.1 Control Panel'!K$662*'1.1 Control Panel'!K670)</f>
        <v>0</v>
      </c>
      <c r="L105" s="376">
        <f>MIN('3.1 Market'!$F96,'1.1 Control Panel'!L$662*'1.1 Control Panel'!L670)</f>
        <v>0</v>
      </c>
      <c r="M105" s="376">
        <f>MIN('3.1 Market'!$F96,'1.1 Control Panel'!M$662*'1.1 Control Panel'!M670)</f>
        <v>0</v>
      </c>
      <c r="N105" s="376">
        <f>MIN('3.1 Market'!$F96,'1.1 Control Panel'!N$662*'1.1 Control Panel'!N670)</f>
        <v>0</v>
      </c>
      <c r="O105" s="376">
        <f>MIN('3.1 Market'!$F96,'1.1 Control Panel'!O$662*'1.1 Control Panel'!O670)</f>
        <v>0</v>
      </c>
      <c r="P105" s="376">
        <f>MIN('3.1 Market'!$F96,'1.1 Control Panel'!P$662*'1.1 Control Panel'!P670)</f>
        <v>0</v>
      </c>
      <c r="Q105" s="376">
        <f>MIN('3.1 Market'!$G96,'1.1 Control Panel'!Q$662*'1.1 Control Panel'!Q670)</f>
        <v>4.6564026163200012</v>
      </c>
      <c r="R105" s="376">
        <f>MIN('3.1 Market'!$G96,'1.1 Control Panel'!R$662*'1.1 Control Panel'!R670)</f>
        <v>4.7251220930560009</v>
      </c>
      <c r="S105" s="376">
        <f>MIN('3.1 Market'!$G96,'1.1 Control Panel'!S$662*'1.1 Control Panel'!S670)</f>
        <v>4.7800976744448009</v>
      </c>
      <c r="T105" s="376">
        <f>MIN('3.1 Market'!$G96,'1.1 Control Panel'!T$662*'1.1 Control Panel'!T670)</f>
        <v>4.8240781395558407</v>
      </c>
      <c r="U105" s="376">
        <f>MIN('3.1 Market'!$G96,'1.1 Control Panel'!U$662*'1.1 Control Panel'!U670)</f>
        <v>9.7185250232893452</v>
      </c>
      <c r="V105" s="376">
        <f>MIN('3.1 Market'!$G96,'1.1 Control Panel'!V$662*'1.1 Control Panel'!V670)</f>
        <v>9.7748200186314769</v>
      </c>
      <c r="W105" s="376">
        <f>MIN('3.1 Market'!$G96,'1.1 Control Panel'!W$662*'1.1 Control Panel'!W670)</f>
        <v>9.8198560149051808</v>
      </c>
      <c r="X105" s="376">
        <f>MIN('3.1 Market'!$G96,'1.1 Control Panel'!X$662*'1.1 Control Panel'!X670)</f>
        <v>9.8558848119241453</v>
      </c>
      <c r="Y105" s="376">
        <f>MIN('3.1 Market'!$G96,'1.1 Control Panel'!Y$662*'1.1 Control Panel'!Y670)</f>
        <v>9.8847078495393177</v>
      </c>
      <c r="Z105" s="376">
        <f>MIN('3.1 Market'!$G96,'1.1 Control Panel'!Z$662*'1.1 Control Panel'!Z670)</f>
        <v>9.9077662796314545</v>
      </c>
      <c r="AA105" s="376">
        <f>MIN('3.1 Market'!$G96,'1.1 Control Panel'!AA$662*'1.1 Control Panel'!AA670)</f>
        <v>9.9262130237051629</v>
      </c>
      <c r="AB105" s="376">
        <f>MIN('3.1 Market'!$G96,'1.1 Control Panel'!AB$662*'1.1 Control Panel'!AB670)</f>
        <v>9.940970418964131</v>
      </c>
      <c r="AC105" s="376">
        <f>MIN('3.1 Market'!$H96,'1.1 Control Panel'!AC$662*'1.1 Control Panel'!AC670)</f>
        <v>19.905552670342608</v>
      </c>
      <c r="AD105" s="376">
        <f>MIN('3.1 Market'!$H96,'1.1 Control Panel'!AD$662*'1.1 Control Panel'!AD670)</f>
        <v>19.924442136274088</v>
      </c>
      <c r="AE105" s="376">
        <f>MIN('3.1 Market'!$H96,'1.1 Control Panel'!AE$662*'1.1 Control Panel'!AE670)</f>
        <v>19.939553709019272</v>
      </c>
      <c r="AF105" s="376">
        <f>MIN('3.1 Market'!$H96,'1.1 Control Panel'!AF$662*'1.1 Control Panel'!AF670)</f>
        <v>19.95164296721542</v>
      </c>
      <c r="AG105" s="376">
        <f>MIN('3.1 Market'!$H96,'1.1 Control Panel'!AG$662*'1.1 Control Panel'!AG670)</f>
        <v>29.941971560658509</v>
      </c>
      <c r="AH105" s="376">
        <f>MIN('3.1 Market'!$H96,'1.1 Control Panel'!AH$662*'1.1 Control Panel'!AH670)</f>
        <v>29.953577248526809</v>
      </c>
      <c r="AI105" s="376">
        <f>MIN('3.1 Market'!$H96,'1.1 Control Panel'!AI$662*'1.1 Control Panel'!AI670)</f>
        <v>29.96286179882145</v>
      </c>
      <c r="AJ105" s="376">
        <f>MIN('3.1 Market'!$H96,'1.1 Control Panel'!AJ$662*'1.1 Control Panel'!AJ670)</f>
        <v>29.970289439057161</v>
      </c>
      <c r="AK105" s="376">
        <f>MIN('3.1 Market'!$H96,'1.1 Control Panel'!AK$662*'1.1 Control Panel'!AK670)</f>
        <v>34.972270143120021</v>
      </c>
      <c r="AL105" s="376">
        <f>MIN('3.1 Market'!$H96,'1.1 Control Panel'!AL$662*'1.1 Control Panel'!AL670)</f>
        <v>34.977816114496015</v>
      </c>
      <c r="AM105" s="376">
        <f>MIN('3.1 Market'!$H96,'1.1 Control Panel'!AM$662*'1.1 Control Panel'!AM670)</f>
        <v>34.982252891596815</v>
      </c>
      <c r="AN105" s="376">
        <f>MIN('3.1 Market'!$H96,'1.1 Control Panel'!AN$662*'1.1 Control Panel'!AN670)</f>
        <v>34.985802313277453</v>
      </c>
      <c r="AP105" s="21"/>
    </row>
    <row r="106" spans="2:42" x14ac:dyDescent="0.25">
      <c r="B106" s="269" t="s">
        <v>9</v>
      </c>
      <c r="C106" s="267" t="s">
        <v>430</v>
      </c>
      <c r="D106" s="271" t="s">
        <v>162</v>
      </c>
      <c r="E106" s="381">
        <f>E107+E114+E121+E128+E135+E142+E149+E156+E163+E170+E177+E184</f>
        <v>120</v>
      </c>
      <c r="F106" s="379">
        <f t="shared" ref="F106:H106" si="91">F107+F114+F121+F128+F135+F142+F149+F156+F163+F170+F177+F184</f>
        <v>141</v>
      </c>
      <c r="G106" s="379">
        <f t="shared" si="91"/>
        <v>157.80000000000004</v>
      </c>
      <c r="H106" s="379">
        <f t="shared" si="91"/>
        <v>171.24</v>
      </c>
      <c r="I106" s="379">
        <f t="shared" ref="I106:AN106" si="92">I107+I114+I121+I128+I135+I142+I149+I156+I163+I170+I177+I184</f>
        <v>253.56</v>
      </c>
      <c r="J106" s="379">
        <f t="shared" si="92"/>
        <v>356.1024000000001</v>
      </c>
      <c r="K106" s="379">
        <f t="shared" si="92"/>
        <v>368.88191999999998</v>
      </c>
      <c r="L106" s="379">
        <f t="shared" si="92"/>
        <v>379.10553600000009</v>
      </c>
      <c r="M106" s="379">
        <f t="shared" si="92"/>
        <v>469.7346816000001</v>
      </c>
      <c r="N106" s="379">
        <f t="shared" si="92"/>
        <v>505.77447936000016</v>
      </c>
      <c r="O106" s="379">
        <f t="shared" si="92"/>
        <v>541.0089707520001</v>
      </c>
      <c r="P106" s="379">
        <f t="shared" si="92"/>
        <v>575.51868641280009</v>
      </c>
      <c r="Q106" s="379">
        <f t="shared" si="92"/>
        <v>885.1070276198401</v>
      </c>
      <c r="R106" s="379">
        <f t="shared" si="92"/>
        <v>891.08562209587217</v>
      </c>
      <c r="S106" s="379">
        <f t="shared" si="92"/>
        <v>895.86849767669787</v>
      </c>
      <c r="T106" s="379">
        <f t="shared" si="92"/>
        <v>899.69479814135832</v>
      </c>
      <c r="U106" s="379">
        <f t="shared" si="92"/>
        <v>1302.2670764672289</v>
      </c>
      <c r="V106" s="379">
        <f t="shared" si="92"/>
        <v>1305.8136611737834</v>
      </c>
      <c r="W106" s="379">
        <f t="shared" si="92"/>
        <v>1308.6509289390265</v>
      </c>
      <c r="X106" s="379">
        <f t="shared" si="92"/>
        <v>1310.9207431512214</v>
      </c>
      <c r="Y106" s="379">
        <f t="shared" si="92"/>
        <v>1417.2177798439041</v>
      </c>
      <c r="Z106" s="379">
        <f t="shared" si="92"/>
        <v>1418.774223875123</v>
      </c>
      <c r="AA106" s="379">
        <f t="shared" si="92"/>
        <v>1420.0193791000986</v>
      </c>
      <c r="AB106" s="379">
        <f t="shared" si="92"/>
        <v>1421.015503280079</v>
      </c>
      <c r="AC106" s="379">
        <f t="shared" si="92"/>
        <v>2379.6873377067723</v>
      </c>
      <c r="AD106" s="379">
        <f t="shared" si="92"/>
        <v>2380.7498701654176</v>
      </c>
      <c r="AE106" s="379">
        <f t="shared" si="92"/>
        <v>2381.5998961323344</v>
      </c>
      <c r="AF106" s="379">
        <f t="shared" si="92"/>
        <v>2382.279916905868</v>
      </c>
      <c r="AG106" s="379">
        <f t="shared" si="92"/>
        <v>3431.8664642755593</v>
      </c>
      <c r="AH106" s="379">
        <f t="shared" si="92"/>
        <v>3432.4931714204472</v>
      </c>
      <c r="AI106" s="379">
        <f t="shared" si="92"/>
        <v>3432.9945371363578</v>
      </c>
      <c r="AJ106" s="379">
        <f t="shared" si="92"/>
        <v>3433.3956297090876</v>
      </c>
      <c r="AK106" s="379">
        <f t="shared" si="92"/>
        <v>4243.419398157841</v>
      </c>
      <c r="AL106" s="379">
        <f t="shared" si="92"/>
        <v>4243.7355185262732</v>
      </c>
      <c r="AM106" s="379">
        <f t="shared" si="92"/>
        <v>4243.9884148210185</v>
      </c>
      <c r="AN106" s="379">
        <f t="shared" si="92"/>
        <v>4244.1907318568146</v>
      </c>
      <c r="AP106" s="267"/>
    </row>
    <row r="107" spans="2:42" x14ac:dyDescent="0.25">
      <c r="B107" s="99" t="s">
        <v>9</v>
      </c>
      <c r="C107" s="105" t="str">
        <f>'4.2 Sector Mapping'!$B$5</f>
        <v>Agriculture</v>
      </c>
      <c r="D107" s="106" t="s">
        <v>162</v>
      </c>
      <c r="E107" s="380">
        <f>SUM(E108:E113)</f>
        <v>0</v>
      </c>
      <c r="F107" s="380">
        <f t="shared" ref="F107:H107" si="93">SUM(F108:F113)</f>
        <v>0</v>
      </c>
      <c r="G107" s="380">
        <f t="shared" si="93"/>
        <v>0</v>
      </c>
      <c r="H107" s="380">
        <f t="shared" si="93"/>
        <v>0</v>
      </c>
      <c r="I107" s="380">
        <f t="shared" ref="I107:AN107" si="94">SUM(I108:I113)</f>
        <v>0</v>
      </c>
      <c r="J107" s="380">
        <f t="shared" si="94"/>
        <v>0</v>
      </c>
      <c r="K107" s="380">
        <f t="shared" si="94"/>
        <v>0</v>
      </c>
      <c r="L107" s="380">
        <f t="shared" si="94"/>
        <v>0</v>
      </c>
      <c r="M107" s="380">
        <f t="shared" si="94"/>
        <v>0</v>
      </c>
      <c r="N107" s="380">
        <f t="shared" si="94"/>
        <v>0</v>
      </c>
      <c r="O107" s="380">
        <f t="shared" si="94"/>
        <v>0</v>
      </c>
      <c r="P107" s="380">
        <f t="shared" si="94"/>
        <v>0</v>
      </c>
      <c r="Q107" s="380">
        <f t="shared" si="94"/>
        <v>0</v>
      </c>
      <c r="R107" s="380">
        <f t="shared" si="94"/>
        <v>0</v>
      </c>
      <c r="S107" s="380">
        <f t="shared" si="94"/>
        <v>0</v>
      </c>
      <c r="T107" s="380">
        <f t="shared" si="94"/>
        <v>0</v>
      </c>
      <c r="U107" s="380">
        <f t="shared" si="94"/>
        <v>29.577787534934018</v>
      </c>
      <c r="V107" s="380">
        <f t="shared" si="94"/>
        <v>29.662230027947217</v>
      </c>
      <c r="W107" s="380">
        <f t="shared" si="94"/>
        <v>29.729784022357777</v>
      </c>
      <c r="X107" s="380">
        <f t="shared" si="94"/>
        <v>29.78382721788622</v>
      </c>
      <c r="Y107" s="380">
        <f t="shared" si="94"/>
        <v>29.827061774308977</v>
      </c>
      <c r="Z107" s="380">
        <f t="shared" si="94"/>
        <v>29.861649419447179</v>
      </c>
      <c r="AA107" s="380">
        <f t="shared" si="94"/>
        <v>29.889319535557746</v>
      </c>
      <c r="AB107" s="380">
        <f t="shared" si="94"/>
        <v>29.911455628446198</v>
      </c>
      <c r="AC107" s="380">
        <f t="shared" si="94"/>
        <v>59.858329005513923</v>
      </c>
      <c r="AD107" s="380">
        <f t="shared" si="94"/>
        <v>59.886663204411136</v>
      </c>
      <c r="AE107" s="380">
        <f t="shared" si="94"/>
        <v>59.909330563528911</v>
      </c>
      <c r="AF107" s="380">
        <f t="shared" si="94"/>
        <v>59.927464450823138</v>
      </c>
      <c r="AG107" s="380">
        <f t="shared" si="94"/>
        <v>89.912957340987759</v>
      </c>
      <c r="AH107" s="380">
        <f t="shared" si="94"/>
        <v>89.930365872790219</v>
      </c>
      <c r="AI107" s="380">
        <f t="shared" si="94"/>
        <v>89.944292698232175</v>
      </c>
      <c r="AJ107" s="380">
        <f t="shared" si="94"/>
        <v>89.955434158585746</v>
      </c>
      <c r="AK107" s="380">
        <f t="shared" si="94"/>
        <v>89.964347326868619</v>
      </c>
      <c r="AL107" s="380">
        <f t="shared" si="94"/>
        <v>89.97147786149489</v>
      </c>
      <c r="AM107" s="380">
        <f t="shared" si="94"/>
        <v>89.977182289195909</v>
      </c>
      <c r="AN107" s="380">
        <f t="shared" si="94"/>
        <v>89.981745831356733</v>
      </c>
      <c r="AP107" s="105"/>
    </row>
    <row r="108" spans="2:42" x14ac:dyDescent="0.25">
      <c r="C108" s="20" t="s">
        <v>600</v>
      </c>
      <c r="D108" s="34" t="s">
        <v>162</v>
      </c>
      <c r="E108" s="20">
        <f>MIN('3.1 Market'!$F99,'1.1 Control Panel'!E331*'1.1 Control Panel'!E$321)</f>
        <v>0</v>
      </c>
      <c r="F108" s="20">
        <f>MIN('3.1 Market'!$F99,'1.1 Control Panel'!F331*'1.1 Control Panel'!F$321)</f>
        <v>0</v>
      </c>
      <c r="G108" s="20">
        <f>MIN('3.1 Market'!$F99,'1.1 Control Panel'!G331*'1.1 Control Panel'!G$321)</f>
        <v>0</v>
      </c>
      <c r="H108" s="20">
        <f>MIN('3.1 Market'!$F99,'1.1 Control Panel'!H331*'1.1 Control Panel'!H$321)</f>
        <v>0</v>
      </c>
      <c r="I108" s="20">
        <f>MIN('3.1 Market'!$F99,'1.1 Control Panel'!I331*'1.1 Control Panel'!I$321)</f>
        <v>0</v>
      </c>
      <c r="J108" s="20">
        <f>MIN('3.1 Market'!$F99,'1.1 Control Panel'!J331*'1.1 Control Panel'!J$321)</f>
        <v>0</v>
      </c>
      <c r="K108" s="20">
        <f>MIN('3.1 Market'!$F99,'1.1 Control Panel'!K331*'1.1 Control Panel'!K$321)</f>
        <v>0</v>
      </c>
      <c r="L108" s="20">
        <f>MIN('3.1 Market'!$F99,'1.1 Control Panel'!L331*'1.1 Control Panel'!L$321)</f>
        <v>0</v>
      </c>
      <c r="M108" s="20">
        <f>MIN('3.1 Market'!$F99,'1.1 Control Panel'!M331*'1.1 Control Panel'!M$321)</f>
        <v>0</v>
      </c>
      <c r="N108" s="20">
        <f>MIN('3.1 Market'!$F99,'1.1 Control Panel'!N331*'1.1 Control Panel'!N$321)</f>
        <v>0</v>
      </c>
      <c r="O108" s="20">
        <f>MIN('3.1 Market'!$F99,'1.1 Control Panel'!O331*'1.1 Control Panel'!O$321)</f>
        <v>0</v>
      </c>
      <c r="P108" s="20">
        <f>MIN('3.1 Market'!$F99,'1.1 Control Panel'!P331*'1.1 Control Panel'!P$321)</f>
        <v>0</v>
      </c>
      <c r="Q108" s="20">
        <f>MIN('3.1 Market'!$G99,'1.1 Control Panel'!Q331*'1.1 Control Panel'!Q$321)</f>
        <v>0</v>
      </c>
      <c r="R108" s="20">
        <f>MIN('3.1 Market'!$G99,'1.1 Control Panel'!R331*'1.1 Control Panel'!R$321)</f>
        <v>0</v>
      </c>
      <c r="S108" s="20">
        <f>MIN('3.1 Market'!$G99,'1.1 Control Panel'!S331*'1.1 Control Panel'!S$321)</f>
        <v>0</v>
      </c>
      <c r="T108" s="20">
        <f>MIN('3.1 Market'!$G99,'1.1 Control Panel'!T331*'1.1 Control Panel'!T$321)</f>
        <v>0</v>
      </c>
      <c r="U108" s="20">
        <f>MIN('3.1 Market'!$G99,'1.1 Control Panel'!U331*'1.1 Control Panel'!U$321)</f>
        <v>5</v>
      </c>
      <c r="V108" s="20">
        <f>MIN('3.1 Market'!$G99,'1.1 Control Panel'!V331*'1.1 Control Panel'!V$321)</f>
        <v>5</v>
      </c>
      <c r="W108" s="20">
        <f>MIN('3.1 Market'!$G99,'1.1 Control Panel'!W331*'1.1 Control Panel'!W$321)</f>
        <v>5</v>
      </c>
      <c r="X108" s="20">
        <f>MIN('3.1 Market'!$G99,'1.1 Control Panel'!X331*'1.1 Control Panel'!X$321)</f>
        <v>5</v>
      </c>
      <c r="Y108" s="20">
        <f>MIN('3.1 Market'!$G99,'1.1 Control Panel'!Y331*'1.1 Control Panel'!Y$321)</f>
        <v>5</v>
      </c>
      <c r="Z108" s="20">
        <f>MIN('3.1 Market'!$G99,'1.1 Control Panel'!Z331*'1.1 Control Panel'!Z$321)</f>
        <v>5</v>
      </c>
      <c r="AA108" s="20">
        <f>MIN('3.1 Market'!$G99,'1.1 Control Panel'!AA331*'1.1 Control Panel'!AA$321)</f>
        <v>5</v>
      </c>
      <c r="AB108" s="20">
        <f>MIN('3.1 Market'!$G99,'1.1 Control Panel'!AB331*'1.1 Control Panel'!AB$321)</f>
        <v>5</v>
      </c>
      <c r="AC108" s="20">
        <f>MIN('3.1 Market'!$H99,'1.1 Control Panel'!AC331*'1.1 Control Panel'!AC$321)</f>
        <v>10</v>
      </c>
      <c r="AD108" s="20">
        <f>MIN('3.1 Market'!$H99,'1.1 Control Panel'!AD331*'1.1 Control Panel'!AD$321)</f>
        <v>10</v>
      </c>
      <c r="AE108" s="20">
        <f>MIN('3.1 Market'!$H99,'1.1 Control Panel'!AE331*'1.1 Control Panel'!AE$321)</f>
        <v>10</v>
      </c>
      <c r="AF108" s="20">
        <f>MIN('3.1 Market'!$H99,'1.1 Control Panel'!AF331*'1.1 Control Panel'!AF$321)</f>
        <v>10</v>
      </c>
      <c r="AG108" s="20">
        <f>MIN('3.1 Market'!$H99,'1.1 Control Panel'!AG331*'1.1 Control Panel'!AG$321)</f>
        <v>15</v>
      </c>
      <c r="AH108" s="20">
        <f>MIN('3.1 Market'!$H99,'1.1 Control Panel'!AH331*'1.1 Control Panel'!AH$321)</f>
        <v>15</v>
      </c>
      <c r="AI108" s="20">
        <f>MIN('3.1 Market'!$H99,'1.1 Control Panel'!AI331*'1.1 Control Panel'!AI$321)</f>
        <v>15</v>
      </c>
      <c r="AJ108" s="20">
        <f>MIN('3.1 Market'!$H99,'1.1 Control Panel'!AJ331*'1.1 Control Panel'!AJ$321)</f>
        <v>15</v>
      </c>
      <c r="AK108" s="20">
        <f>MIN('3.1 Market'!$H99,'1.1 Control Panel'!AK331*'1.1 Control Panel'!AK$321)</f>
        <v>15</v>
      </c>
      <c r="AL108" s="20">
        <f>MIN('3.1 Market'!$H99,'1.1 Control Panel'!AL331*'1.1 Control Panel'!AL$321)</f>
        <v>15</v>
      </c>
      <c r="AM108" s="20">
        <f>MIN('3.1 Market'!$H99,'1.1 Control Panel'!AM331*'1.1 Control Panel'!AM$321)</f>
        <v>15</v>
      </c>
      <c r="AN108" s="20">
        <f>MIN('3.1 Market'!$H99,'1.1 Control Panel'!AN331*'1.1 Control Panel'!AN$321)</f>
        <v>15</v>
      </c>
      <c r="AP108" s="20"/>
    </row>
    <row r="109" spans="2:42" x14ac:dyDescent="0.25">
      <c r="C109" s="20" t="s">
        <v>392</v>
      </c>
      <c r="D109" s="34" t="s">
        <v>162</v>
      </c>
      <c r="E109" s="20">
        <f>MIN('3.1 Market'!$F100,'1.1 Control Panel'!E332*'1.1 Control Panel'!E$321)</f>
        <v>0</v>
      </c>
      <c r="F109" s="20">
        <f>MIN('3.1 Market'!$F100,'1.1 Control Panel'!F332*'1.1 Control Panel'!F$321)</f>
        <v>0</v>
      </c>
      <c r="G109" s="20">
        <f>MIN('3.1 Market'!$F100,'1.1 Control Panel'!G332*'1.1 Control Panel'!G$321)</f>
        <v>0</v>
      </c>
      <c r="H109" s="20">
        <f>MIN('3.1 Market'!$F100,'1.1 Control Panel'!H332*'1.1 Control Panel'!H$321)</f>
        <v>0</v>
      </c>
      <c r="I109" s="20">
        <f>MIN('3.1 Market'!$F100,'1.1 Control Panel'!I332*'1.1 Control Panel'!I$321)</f>
        <v>0</v>
      </c>
      <c r="J109" s="20">
        <f>MIN('3.1 Market'!$F100,'1.1 Control Panel'!J332*'1.1 Control Panel'!J$321)</f>
        <v>0</v>
      </c>
      <c r="K109" s="20">
        <f>MIN('3.1 Market'!$F100,'1.1 Control Panel'!K332*'1.1 Control Panel'!K$321)</f>
        <v>0</v>
      </c>
      <c r="L109" s="20">
        <f>MIN('3.1 Market'!$F100,'1.1 Control Panel'!L332*'1.1 Control Panel'!L$321)</f>
        <v>0</v>
      </c>
      <c r="M109" s="20">
        <f>MIN('3.1 Market'!$F100,'1.1 Control Panel'!M332*'1.1 Control Panel'!M$321)</f>
        <v>0</v>
      </c>
      <c r="N109" s="20">
        <f>MIN('3.1 Market'!$F100,'1.1 Control Panel'!N332*'1.1 Control Panel'!N$321)</f>
        <v>0</v>
      </c>
      <c r="O109" s="20">
        <f>MIN('3.1 Market'!$F100,'1.1 Control Panel'!O332*'1.1 Control Panel'!O$321)</f>
        <v>0</v>
      </c>
      <c r="P109" s="20">
        <f>MIN('3.1 Market'!$F100,'1.1 Control Panel'!P332*'1.1 Control Panel'!P$321)</f>
        <v>0</v>
      </c>
      <c r="Q109" s="20">
        <f>MIN('3.1 Market'!$G100,'1.1 Control Panel'!Q332*'1.1 Control Panel'!Q$321)</f>
        <v>0</v>
      </c>
      <c r="R109" s="20">
        <f>MIN('3.1 Market'!$G100,'1.1 Control Panel'!R332*'1.1 Control Panel'!R$321)</f>
        <v>0</v>
      </c>
      <c r="S109" s="20">
        <f>MIN('3.1 Market'!$G100,'1.1 Control Panel'!S332*'1.1 Control Panel'!S$321)</f>
        <v>0</v>
      </c>
      <c r="T109" s="20">
        <f>MIN('3.1 Market'!$G100,'1.1 Control Panel'!T332*'1.1 Control Panel'!T$321)</f>
        <v>0</v>
      </c>
      <c r="U109" s="20">
        <f>MIN('3.1 Market'!$G100,'1.1 Control Panel'!U332*'1.1 Control Panel'!U$321)</f>
        <v>4.9718525023289359</v>
      </c>
      <c r="V109" s="20">
        <f>MIN('3.1 Market'!$G100,'1.1 Control Panel'!V332*'1.1 Control Panel'!V$321)</f>
        <v>4.9774820018631489</v>
      </c>
      <c r="W109" s="20">
        <f>MIN('3.1 Market'!$G100,'1.1 Control Panel'!W332*'1.1 Control Panel'!W$321)</f>
        <v>4.9819856014905195</v>
      </c>
      <c r="X109" s="20">
        <f>MIN('3.1 Market'!$G100,'1.1 Control Panel'!X332*'1.1 Control Panel'!X$321)</f>
        <v>4.9855884811924156</v>
      </c>
      <c r="Y109" s="20">
        <f>MIN('3.1 Market'!$G100,'1.1 Control Panel'!Y332*'1.1 Control Panel'!Y$321)</f>
        <v>4.9884707849539325</v>
      </c>
      <c r="Z109" s="20">
        <f>MIN('3.1 Market'!$G100,'1.1 Control Panel'!Z332*'1.1 Control Panel'!Z$321)</f>
        <v>4.9907766279631467</v>
      </c>
      <c r="AA109" s="20">
        <f>MIN('3.1 Market'!$G100,'1.1 Control Panel'!AA332*'1.1 Control Panel'!AA$321)</f>
        <v>4.9926213023705177</v>
      </c>
      <c r="AB109" s="20">
        <f>MIN('3.1 Market'!$G100,'1.1 Control Panel'!AB332*'1.1 Control Panel'!AB$321)</f>
        <v>4.9940970418964143</v>
      </c>
      <c r="AC109" s="20">
        <f>MIN('3.1 Market'!$H100,'1.1 Control Panel'!AC332*'1.1 Control Panel'!AC$321)</f>
        <v>9.9905552670342637</v>
      </c>
      <c r="AD109" s="20">
        <f>MIN('3.1 Market'!$H100,'1.1 Control Panel'!AD332*'1.1 Control Panel'!AD$321)</f>
        <v>9.9924442136274116</v>
      </c>
      <c r="AE109" s="20">
        <f>MIN('3.1 Market'!$H100,'1.1 Control Panel'!AE332*'1.1 Control Panel'!AE$321)</f>
        <v>9.9939553709019293</v>
      </c>
      <c r="AF109" s="20">
        <f>MIN('3.1 Market'!$H100,'1.1 Control Panel'!AF332*'1.1 Control Panel'!AF$321)</f>
        <v>9.9951642967215442</v>
      </c>
      <c r="AG109" s="20">
        <f>MIN('3.1 Market'!$H100,'1.1 Control Panel'!AG332*'1.1 Control Panel'!AG$321)</f>
        <v>14.994197156065855</v>
      </c>
      <c r="AH109" s="20">
        <f>MIN('3.1 Market'!$H100,'1.1 Control Panel'!AH332*'1.1 Control Panel'!AH$321)</f>
        <v>14.995357724852683</v>
      </c>
      <c r="AI109" s="20">
        <f>MIN('3.1 Market'!$H100,'1.1 Control Panel'!AI332*'1.1 Control Panel'!AI$321)</f>
        <v>14.996286179882148</v>
      </c>
      <c r="AJ109" s="20">
        <f>MIN('3.1 Market'!$H100,'1.1 Control Panel'!AJ332*'1.1 Control Panel'!AJ$321)</f>
        <v>14.997028943905717</v>
      </c>
      <c r="AK109" s="20">
        <f>MIN('3.1 Market'!$H100,'1.1 Control Panel'!AK332*'1.1 Control Panel'!AK$321)</f>
        <v>14.997623155124575</v>
      </c>
      <c r="AL109" s="20">
        <f>MIN('3.1 Market'!$H100,'1.1 Control Panel'!AL332*'1.1 Control Panel'!AL$321)</f>
        <v>14.99809852409966</v>
      </c>
      <c r="AM109" s="20">
        <f>MIN('3.1 Market'!$H100,'1.1 Control Panel'!AM332*'1.1 Control Panel'!AM$321)</f>
        <v>14.998478819279727</v>
      </c>
      <c r="AN109" s="20">
        <f>MIN('3.1 Market'!$H100,'1.1 Control Panel'!AN332*'1.1 Control Panel'!AN$321)</f>
        <v>14.998783055423781</v>
      </c>
      <c r="AP109" s="20"/>
    </row>
    <row r="110" spans="2:42" x14ac:dyDescent="0.25">
      <c r="C110" s="20" t="s">
        <v>454</v>
      </c>
      <c r="D110" s="34" t="s">
        <v>162</v>
      </c>
      <c r="E110" s="20">
        <f>MIN('3.1 Market'!$F101,'1.1 Control Panel'!E333*'1.1 Control Panel'!E$321)</f>
        <v>0</v>
      </c>
      <c r="F110" s="20">
        <f>MIN('3.1 Market'!$F101,'1.1 Control Panel'!F333*'1.1 Control Panel'!F$321)</f>
        <v>0</v>
      </c>
      <c r="G110" s="20">
        <f>MIN('3.1 Market'!$F101,'1.1 Control Panel'!G333*'1.1 Control Panel'!G$321)</f>
        <v>0</v>
      </c>
      <c r="H110" s="20">
        <f>MIN('3.1 Market'!$F101,'1.1 Control Panel'!H333*'1.1 Control Panel'!H$321)</f>
        <v>0</v>
      </c>
      <c r="I110" s="20">
        <f>MIN('3.1 Market'!$F101,'1.1 Control Panel'!I333*'1.1 Control Panel'!I$321)</f>
        <v>0</v>
      </c>
      <c r="J110" s="20">
        <f>MIN('3.1 Market'!$F101,'1.1 Control Panel'!J333*'1.1 Control Panel'!J$321)</f>
        <v>0</v>
      </c>
      <c r="K110" s="20">
        <f>MIN('3.1 Market'!$F101,'1.1 Control Panel'!K333*'1.1 Control Panel'!K$321)</f>
        <v>0</v>
      </c>
      <c r="L110" s="20">
        <f>MIN('3.1 Market'!$F101,'1.1 Control Panel'!L333*'1.1 Control Panel'!L$321)</f>
        <v>0</v>
      </c>
      <c r="M110" s="20">
        <f>MIN('3.1 Market'!$F101,'1.1 Control Panel'!M333*'1.1 Control Panel'!M$321)</f>
        <v>0</v>
      </c>
      <c r="N110" s="20">
        <f>MIN('3.1 Market'!$F101,'1.1 Control Panel'!N333*'1.1 Control Panel'!N$321)</f>
        <v>0</v>
      </c>
      <c r="O110" s="20">
        <f>MIN('3.1 Market'!$F101,'1.1 Control Panel'!O333*'1.1 Control Panel'!O$321)</f>
        <v>0</v>
      </c>
      <c r="P110" s="20">
        <f>MIN('3.1 Market'!$F101,'1.1 Control Panel'!P333*'1.1 Control Panel'!P$321)</f>
        <v>0</v>
      </c>
      <c r="Q110" s="20">
        <f>MIN('3.1 Market'!$G101,'1.1 Control Panel'!Q333*'1.1 Control Panel'!Q$321)</f>
        <v>0</v>
      </c>
      <c r="R110" s="20">
        <f>MIN('3.1 Market'!$G101,'1.1 Control Panel'!R333*'1.1 Control Panel'!R$321)</f>
        <v>0</v>
      </c>
      <c r="S110" s="20">
        <f>MIN('3.1 Market'!$G101,'1.1 Control Panel'!S333*'1.1 Control Panel'!S$321)</f>
        <v>0</v>
      </c>
      <c r="T110" s="20">
        <f>MIN('3.1 Market'!$G101,'1.1 Control Panel'!T333*'1.1 Control Panel'!T$321)</f>
        <v>0</v>
      </c>
      <c r="U110" s="20">
        <f>MIN('3.1 Market'!$G101,'1.1 Control Panel'!U333*'1.1 Control Panel'!U$321)</f>
        <v>4.9437050046578701</v>
      </c>
      <c r="V110" s="20">
        <f>MIN('3.1 Market'!$G101,'1.1 Control Panel'!V333*'1.1 Control Panel'!V$321)</f>
        <v>4.9549640037262961</v>
      </c>
      <c r="W110" s="20">
        <f>MIN('3.1 Market'!$G101,'1.1 Control Panel'!W333*'1.1 Control Panel'!W$321)</f>
        <v>4.9639712029810372</v>
      </c>
      <c r="X110" s="20">
        <f>MIN('3.1 Market'!$G101,'1.1 Control Panel'!X333*'1.1 Control Panel'!X$321)</f>
        <v>4.9711769623848294</v>
      </c>
      <c r="Y110" s="20">
        <f>MIN('3.1 Market'!$G101,'1.1 Control Panel'!Y333*'1.1 Control Panel'!Y$321)</f>
        <v>4.9769415699078632</v>
      </c>
      <c r="Z110" s="20">
        <f>MIN('3.1 Market'!$G101,'1.1 Control Panel'!Z333*'1.1 Control Panel'!Z$321)</f>
        <v>4.9815532559262907</v>
      </c>
      <c r="AA110" s="20">
        <f>MIN('3.1 Market'!$G101,'1.1 Control Panel'!AA333*'1.1 Control Panel'!AA$321)</f>
        <v>4.9852426047410328</v>
      </c>
      <c r="AB110" s="20">
        <f>MIN('3.1 Market'!$G101,'1.1 Control Panel'!AB333*'1.1 Control Panel'!AB$321)</f>
        <v>4.9881940837928269</v>
      </c>
      <c r="AC110" s="20">
        <f>MIN('3.1 Market'!$H101,'1.1 Control Panel'!AC333*'1.1 Control Panel'!AC$321)</f>
        <v>9.9811105340685238</v>
      </c>
      <c r="AD110" s="20">
        <f>MIN('3.1 Market'!$H101,'1.1 Control Panel'!AD333*'1.1 Control Panel'!AD$321)</f>
        <v>9.9848884272548197</v>
      </c>
      <c r="AE110" s="20">
        <f>MIN('3.1 Market'!$H101,'1.1 Control Panel'!AE333*'1.1 Control Panel'!AE$321)</f>
        <v>9.9879107418038551</v>
      </c>
      <c r="AF110" s="20">
        <f>MIN('3.1 Market'!$H101,'1.1 Control Panel'!AF333*'1.1 Control Panel'!AF$321)</f>
        <v>9.9903285934430848</v>
      </c>
      <c r="AG110" s="20">
        <f>MIN('3.1 Market'!$H101,'1.1 Control Panel'!AG333*'1.1 Control Panel'!AG$321)</f>
        <v>14.988394312131703</v>
      </c>
      <c r="AH110" s="20">
        <f>MIN('3.1 Market'!$H101,'1.1 Control Panel'!AH333*'1.1 Control Panel'!AH$321)</f>
        <v>14.990715449705361</v>
      </c>
      <c r="AI110" s="20">
        <f>MIN('3.1 Market'!$H101,'1.1 Control Panel'!AI333*'1.1 Control Panel'!AI$321)</f>
        <v>14.992572359764289</v>
      </c>
      <c r="AJ110" s="20">
        <f>MIN('3.1 Market'!$H101,'1.1 Control Panel'!AJ333*'1.1 Control Panel'!AJ$321)</f>
        <v>14.994057887811433</v>
      </c>
      <c r="AK110" s="20">
        <f>MIN('3.1 Market'!$H101,'1.1 Control Panel'!AK333*'1.1 Control Panel'!AK$321)</f>
        <v>14.995246310249145</v>
      </c>
      <c r="AL110" s="20">
        <f>MIN('3.1 Market'!$H101,'1.1 Control Panel'!AL333*'1.1 Control Panel'!AL$321)</f>
        <v>14.996197048199315</v>
      </c>
      <c r="AM110" s="20">
        <f>MIN('3.1 Market'!$H101,'1.1 Control Panel'!AM333*'1.1 Control Panel'!AM$321)</f>
        <v>14.996957638559454</v>
      </c>
      <c r="AN110" s="20">
        <f>MIN('3.1 Market'!$H101,'1.1 Control Panel'!AN333*'1.1 Control Panel'!AN$321)</f>
        <v>14.997566110847565</v>
      </c>
      <c r="AP110" s="20"/>
    </row>
    <row r="111" spans="2:42" x14ac:dyDescent="0.25">
      <c r="C111" s="21" t="s">
        <v>455</v>
      </c>
      <c r="D111" s="38" t="s">
        <v>162</v>
      </c>
      <c r="E111" s="21">
        <f>MIN('3.1 Market'!$F102,'1.1 Control Panel'!E334*'1.1 Control Panel'!E$321)</f>
        <v>0</v>
      </c>
      <c r="F111" s="21">
        <f>MIN('3.1 Market'!$F102,'1.1 Control Panel'!F334*'1.1 Control Panel'!F$321)</f>
        <v>0</v>
      </c>
      <c r="G111" s="21">
        <f>MIN('3.1 Market'!$F102,'1.1 Control Panel'!G334*'1.1 Control Panel'!G$321)</f>
        <v>0</v>
      </c>
      <c r="H111" s="21">
        <f>MIN('3.1 Market'!$F102,'1.1 Control Panel'!H334*'1.1 Control Panel'!H$321)</f>
        <v>0</v>
      </c>
      <c r="I111" s="21">
        <f>MIN('3.1 Market'!$F102,'1.1 Control Panel'!I334*'1.1 Control Panel'!I$321)</f>
        <v>0</v>
      </c>
      <c r="J111" s="21">
        <f>MIN('3.1 Market'!$F102,'1.1 Control Panel'!J334*'1.1 Control Panel'!J$321)</f>
        <v>0</v>
      </c>
      <c r="K111" s="21">
        <f>MIN('3.1 Market'!$F102,'1.1 Control Panel'!K334*'1.1 Control Panel'!K$321)</f>
        <v>0</v>
      </c>
      <c r="L111" s="21">
        <f>MIN('3.1 Market'!$F102,'1.1 Control Panel'!L334*'1.1 Control Panel'!L$321)</f>
        <v>0</v>
      </c>
      <c r="M111" s="21">
        <f>MIN('3.1 Market'!$F102,'1.1 Control Panel'!M334*'1.1 Control Panel'!M$321)</f>
        <v>0</v>
      </c>
      <c r="N111" s="21">
        <f>MIN('3.1 Market'!$F102,'1.1 Control Panel'!N334*'1.1 Control Panel'!N$321)</f>
        <v>0</v>
      </c>
      <c r="O111" s="21">
        <f>MIN('3.1 Market'!$F102,'1.1 Control Panel'!O334*'1.1 Control Panel'!O$321)</f>
        <v>0</v>
      </c>
      <c r="P111" s="21">
        <f>MIN('3.1 Market'!$F102,'1.1 Control Panel'!P334*'1.1 Control Panel'!P$321)</f>
        <v>0</v>
      </c>
      <c r="Q111" s="21">
        <f>MIN('3.1 Market'!$G102,'1.1 Control Panel'!Q334*'1.1 Control Panel'!Q$321)</f>
        <v>0</v>
      </c>
      <c r="R111" s="21">
        <f>MIN('3.1 Market'!$G102,'1.1 Control Panel'!R334*'1.1 Control Panel'!R$321)</f>
        <v>0</v>
      </c>
      <c r="S111" s="21">
        <f>MIN('3.1 Market'!$G102,'1.1 Control Panel'!S334*'1.1 Control Panel'!S$321)</f>
        <v>0</v>
      </c>
      <c r="T111" s="21">
        <f>MIN('3.1 Market'!$G102,'1.1 Control Panel'!T334*'1.1 Control Panel'!T$321)</f>
        <v>0</v>
      </c>
      <c r="U111" s="21">
        <f>MIN('3.1 Market'!$G102,'1.1 Control Panel'!U334*'1.1 Control Panel'!U$321)</f>
        <v>4.9155575069868043</v>
      </c>
      <c r="V111" s="21">
        <f>MIN('3.1 Market'!$G102,'1.1 Control Panel'!V334*'1.1 Control Panel'!V$321)</f>
        <v>4.9324460055894441</v>
      </c>
      <c r="W111" s="21">
        <f>MIN('3.1 Market'!$G102,'1.1 Control Panel'!W334*'1.1 Control Panel'!W$321)</f>
        <v>4.9459568044715549</v>
      </c>
      <c r="X111" s="21">
        <f>MIN('3.1 Market'!$G102,'1.1 Control Panel'!X334*'1.1 Control Panel'!X$321)</f>
        <v>4.9567654435772441</v>
      </c>
      <c r="Y111" s="21">
        <f>MIN('3.1 Market'!$G102,'1.1 Control Panel'!Y334*'1.1 Control Panel'!Y$321)</f>
        <v>4.9654123548617957</v>
      </c>
      <c r="Z111" s="21">
        <f>MIN('3.1 Market'!$G102,'1.1 Control Panel'!Z334*'1.1 Control Panel'!Z$321)</f>
        <v>4.9723298838894365</v>
      </c>
      <c r="AA111" s="21">
        <f>MIN('3.1 Market'!$G102,'1.1 Control Panel'!AA334*'1.1 Control Panel'!AA$321)</f>
        <v>4.9778639071115496</v>
      </c>
      <c r="AB111" s="21">
        <f>MIN('3.1 Market'!$G102,'1.1 Control Panel'!AB334*'1.1 Control Panel'!AB$321)</f>
        <v>4.9822911256892404</v>
      </c>
      <c r="AC111" s="21">
        <f>MIN('3.1 Market'!$H102,'1.1 Control Panel'!AC334*'1.1 Control Panel'!AC$321)</f>
        <v>9.9716658011027839</v>
      </c>
      <c r="AD111" s="21">
        <f>MIN('3.1 Market'!$H102,'1.1 Control Panel'!AD334*'1.1 Control Panel'!AD$321)</f>
        <v>9.9773326408822278</v>
      </c>
      <c r="AE111" s="21">
        <f>MIN('3.1 Market'!$H102,'1.1 Control Panel'!AE334*'1.1 Control Panel'!AE$321)</f>
        <v>9.9818661127057826</v>
      </c>
      <c r="AF111" s="21">
        <f>MIN('3.1 Market'!$H102,'1.1 Control Panel'!AF334*'1.1 Control Panel'!AF$321)</f>
        <v>9.9854928901646254</v>
      </c>
      <c r="AG111" s="21">
        <f>MIN('3.1 Market'!$H102,'1.1 Control Panel'!AG334*'1.1 Control Panel'!AG$321)</f>
        <v>14.982591468197549</v>
      </c>
      <c r="AH111" s="21">
        <f>MIN('3.1 Market'!$H102,'1.1 Control Panel'!AH334*'1.1 Control Panel'!AH$321)</f>
        <v>14.986073174558038</v>
      </c>
      <c r="AI111" s="21">
        <f>MIN('3.1 Market'!$H102,'1.1 Control Panel'!AI334*'1.1 Control Panel'!AI$321)</f>
        <v>14.988858539646433</v>
      </c>
      <c r="AJ111" s="21">
        <f>MIN('3.1 Market'!$H102,'1.1 Control Panel'!AJ334*'1.1 Control Panel'!AJ$321)</f>
        <v>14.991086831717148</v>
      </c>
      <c r="AK111" s="21">
        <f>MIN('3.1 Market'!$H102,'1.1 Control Panel'!AK334*'1.1 Control Panel'!AK$321)</f>
        <v>14.992869465373719</v>
      </c>
      <c r="AL111" s="21">
        <f>MIN('3.1 Market'!$H102,'1.1 Control Panel'!AL334*'1.1 Control Panel'!AL$321)</f>
        <v>14.994295572298975</v>
      </c>
      <c r="AM111" s="21">
        <f>MIN('3.1 Market'!$H102,'1.1 Control Panel'!AM334*'1.1 Control Panel'!AM$321)</f>
        <v>14.995436457839181</v>
      </c>
      <c r="AN111" s="21">
        <f>MIN('3.1 Market'!$H102,'1.1 Control Panel'!AN334*'1.1 Control Panel'!AN$321)</f>
        <v>14.996349166271347</v>
      </c>
      <c r="AP111" s="21"/>
    </row>
    <row r="112" spans="2:42" x14ac:dyDescent="0.25">
      <c r="C112" s="21" t="s">
        <v>393</v>
      </c>
      <c r="D112" s="38" t="s">
        <v>162</v>
      </c>
      <c r="E112" s="21">
        <f>MIN('3.1 Market'!$F103,'1.1 Control Panel'!E335*'1.1 Control Panel'!E$321)</f>
        <v>0</v>
      </c>
      <c r="F112" s="21">
        <f>MIN('3.1 Market'!$F103,'1.1 Control Panel'!F335*'1.1 Control Panel'!F$321)</f>
        <v>0</v>
      </c>
      <c r="G112" s="21">
        <f>MIN('3.1 Market'!$F103,'1.1 Control Panel'!G335*'1.1 Control Panel'!G$321)</f>
        <v>0</v>
      </c>
      <c r="H112" s="21">
        <f>MIN('3.1 Market'!$F103,'1.1 Control Panel'!H335*'1.1 Control Panel'!H$321)</f>
        <v>0</v>
      </c>
      <c r="I112" s="21">
        <f>MIN('3.1 Market'!$F103,'1.1 Control Panel'!I335*'1.1 Control Panel'!I$321)</f>
        <v>0</v>
      </c>
      <c r="J112" s="21">
        <f>MIN('3.1 Market'!$F103,'1.1 Control Panel'!J335*'1.1 Control Panel'!J$321)</f>
        <v>0</v>
      </c>
      <c r="K112" s="21">
        <f>MIN('3.1 Market'!$F103,'1.1 Control Panel'!K335*'1.1 Control Panel'!K$321)</f>
        <v>0</v>
      </c>
      <c r="L112" s="21">
        <f>MIN('3.1 Market'!$F103,'1.1 Control Panel'!L335*'1.1 Control Panel'!L$321)</f>
        <v>0</v>
      </c>
      <c r="M112" s="21">
        <f>MIN('3.1 Market'!$F103,'1.1 Control Panel'!M335*'1.1 Control Panel'!M$321)</f>
        <v>0</v>
      </c>
      <c r="N112" s="21">
        <f>MIN('3.1 Market'!$F103,'1.1 Control Panel'!N335*'1.1 Control Panel'!N$321)</f>
        <v>0</v>
      </c>
      <c r="O112" s="21">
        <f>MIN('3.1 Market'!$F103,'1.1 Control Panel'!O335*'1.1 Control Panel'!O$321)</f>
        <v>0</v>
      </c>
      <c r="P112" s="21">
        <f>MIN('3.1 Market'!$F103,'1.1 Control Panel'!P335*'1.1 Control Panel'!P$321)</f>
        <v>0</v>
      </c>
      <c r="Q112" s="21">
        <f>MIN('3.1 Market'!$G103,'1.1 Control Panel'!Q335*'1.1 Control Panel'!Q$321)</f>
        <v>0</v>
      </c>
      <c r="R112" s="21">
        <f>MIN('3.1 Market'!$G103,'1.1 Control Panel'!R335*'1.1 Control Panel'!R$321)</f>
        <v>0</v>
      </c>
      <c r="S112" s="21">
        <f>MIN('3.1 Market'!$G103,'1.1 Control Panel'!S335*'1.1 Control Panel'!S$321)</f>
        <v>0</v>
      </c>
      <c r="T112" s="21">
        <f>MIN('3.1 Market'!$G103,'1.1 Control Panel'!T335*'1.1 Control Panel'!T$321)</f>
        <v>0</v>
      </c>
      <c r="U112" s="21">
        <f>MIN('3.1 Market'!$G103,'1.1 Control Panel'!U335*'1.1 Control Panel'!U$321)</f>
        <v>4.8874100093157384</v>
      </c>
      <c r="V112" s="21">
        <f>MIN('3.1 Market'!$G103,'1.1 Control Panel'!V335*'1.1 Control Panel'!V$321)</f>
        <v>4.9099280074525904</v>
      </c>
      <c r="W112" s="21">
        <f>MIN('3.1 Market'!$G103,'1.1 Control Panel'!W335*'1.1 Control Panel'!W$321)</f>
        <v>4.9279424059620727</v>
      </c>
      <c r="X112" s="21">
        <f>MIN('3.1 Market'!$G103,'1.1 Control Panel'!X335*'1.1 Control Panel'!X$321)</f>
        <v>4.9423539247696588</v>
      </c>
      <c r="Y112" s="21">
        <f>MIN('3.1 Market'!$G103,'1.1 Control Panel'!Y335*'1.1 Control Panel'!Y$321)</f>
        <v>4.9538831398157273</v>
      </c>
      <c r="Z112" s="21">
        <f>MIN('3.1 Market'!$G103,'1.1 Control Panel'!Z335*'1.1 Control Panel'!Z$321)</f>
        <v>4.9631065118525814</v>
      </c>
      <c r="AA112" s="21">
        <f>MIN('3.1 Market'!$G103,'1.1 Control Panel'!AA335*'1.1 Control Panel'!AA$321)</f>
        <v>4.9704852094820655</v>
      </c>
      <c r="AB112" s="21">
        <f>MIN('3.1 Market'!$G103,'1.1 Control Panel'!AB335*'1.1 Control Panel'!AB$321)</f>
        <v>4.9763881675856521</v>
      </c>
      <c r="AC112" s="21">
        <f>MIN('3.1 Market'!$H103,'1.1 Control Panel'!AC335*'1.1 Control Panel'!AC$321)</f>
        <v>9.962221068137044</v>
      </c>
      <c r="AD112" s="21">
        <f>MIN('3.1 Market'!$H103,'1.1 Control Panel'!AD335*'1.1 Control Panel'!AD$321)</f>
        <v>9.9697768545096359</v>
      </c>
      <c r="AE112" s="21">
        <f>MIN('3.1 Market'!$H103,'1.1 Control Panel'!AE335*'1.1 Control Panel'!AE$321)</f>
        <v>9.9758214836077101</v>
      </c>
      <c r="AF112" s="21">
        <f>MIN('3.1 Market'!$H103,'1.1 Control Panel'!AF335*'1.1 Control Panel'!AF$321)</f>
        <v>9.9806571868861695</v>
      </c>
      <c r="AG112" s="21">
        <f>MIN('3.1 Market'!$H103,'1.1 Control Panel'!AG335*'1.1 Control Panel'!AG$321)</f>
        <v>14.976788624263405</v>
      </c>
      <c r="AH112" s="21">
        <f>MIN('3.1 Market'!$H103,'1.1 Control Panel'!AH335*'1.1 Control Panel'!AH$321)</f>
        <v>14.981430899410725</v>
      </c>
      <c r="AI112" s="21">
        <f>MIN('3.1 Market'!$H103,'1.1 Control Panel'!AI335*'1.1 Control Panel'!AI$321)</f>
        <v>14.985144719528581</v>
      </c>
      <c r="AJ112" s="21">
        <f>MIN('3.1 Market'!$H103,'1.1 Control Panel'!AJ335*'1.1 Control Panel'!AJ$321)</f>
        <v>14.988115775622866</v>
      </c>
      <c r="AK112" s="21">
        <f>MIN('3.1 Market'!$H103,'1.1 Control Panel'!AK335*'1.1 Control Panel'!AK$321)</f>
        <v>14.990492620498294</v>
      </c>
      <c r="AL112" s="21">
        <f>MIN('3.1 Market'!$H103,'1.1 Control Panel'!AL335*'1.1 Control Panel'!AL$321)</f>
        <v>14.992394096398636</v>
      </c>
      <c r="AM112" s="21">
        <f>MIN('3.1 Market'!$H103,'1.1 Control Panel'!AM335*'1.1 Control Panel'!AM$321)</f>
        <v>14.993915277118909</v>
      </c>
      <c r="AN112" s="21">
        <f>MIN('3.1 Market'!$H103,'1.1 Control Panel'!AN335*'1.1 Control Panel'!AN$321)</f>
        <v>14.995132221695128</v>
      </c>
      <c r="AP112" s="21"/>
    </row>
    <row r="113" spans="2:42" x14ac:dyDescent="0.25">
      <c r="C113" s="21" t="s">
        <v>456</v>
      </c>
      <c r="D113" s="38" t="s">
        <v>162</v>
      </c>
      <c r="E113" s="21">
        <f>MIN('3.1 Market'!$F104,'1.1 Control Panel'!E336*'1.1 Control Panel'!E$321)</f>
        <v>0</v>
      </c>
      <c r="F113" s="21">
        <f>MIN('3.1 Market'!$F104,'1.1 Control Panel'!F336*'1.1 Control Panel'!F$321)</f>
        <v>0</v>
      </c>
      <c r="G113" s="21">
        <f>MIN('3.1 Market'!$F104,'1.1 Control Panel'!G336*'1.1 Control Panel'!G$321)</f>
        <v>0</v>
      </c>
      <c r="H113" s="21">
        <f>MIN('3.1 Market'!$F104,'1.1 Control Panel'!H336*'1.1 Control Panel'!H$321)</f>
        <v>0</v>
      </c>
      <c r="I113" s="21">
        <f>MIN('3.1 Market'!$F104,'1.1 Control Panel'!I336*'1.1 Control Panel'!I$321)</f>
        <v>0</v>
      </c>
      <c r="J113" s="21">
        <f>MIN('3.1 Market'!$F104,'1.1 Control Panel'!J336*'1.1 Control Panel'!J$321)</f>
        <v>0</v>
      </c>
      <c r="K113" s="21">
        <f>MIN('3.1 Market'!$F104,'1.1 Control Panel'!K336*'1.1 Control Panel'!K$321)</f>
        <v>0</v>
      </c>
      <c r="L113" s="21">
        <f>MIN('3.1 Market'!$F104,'1.1 Control Panel'!L336*'1.1 Control Panel'!L$321)</f>
        <v>0</v>
      </c>
      <c r="M113" s="21">
        <f>MIN('3.1 Market'!$F104,'1.1 Control Panel'!M336*'1.1 Control Panel'!M$321)</f>
        <v>0</v>
      </c>
      <c r="N113" s="21">
        <f>MIN('3.1 Market'!$F104,'1.1 Control Panel'!N336*'1.1 Control Panel'!N$321)</f>
        <v>0</v>
      </c>
      <c r="O113" s="21">
        <f>MIN('3.1 Market'!$F104,'1.1 Control Panel'!O336*'1.1 Control Panel'!O$321)</f>
        <v>0</v>
      </c>
      <c r="P113" s="21">
        <f>MIN('3.1 Market'!$F104,'1.1 Control Panel'!P336*'1.1 Control Panel'!P$321)</f>
        <v>0</v>
      </c>
      <c r="Q113" s="21">
        <f>MIN('3.1 Market'!$G104,'1.1 Control Panel'!Q336*'1.1 Control Panel'!Q$321)</f>
        <v>0</v>
      </c>
      <c r="R113" s="21">
        <f>MIN('3.1 Market'!$G104,'1.1 Control Panel'!R336*'1.1 Control Panel'!R$321)</f>
        <v>0</v>
      </c>
      <c r="S113" s="21">
        <f>MIN('3.1 Market'!$G104,'1.1 Control Panel'!S336*'1.1 Control Panel'!S$321)</f>
        <v>0</v>
      </c>
      <c r="T113" s="21">
        <f>MIN('3.1 Market'!$G104,'1.1 Control Panel'!T336*'1.1 Control Panel'!T$321)</f>
        <v>0</v>
      </c>
      <c r="U113" s="21">
        <f>MIN('3.1 Market'!$G104,'1.1 Control Panel'!U336*'1.1 Control Panel'!U$321)</f>
        <v>4.8592625116446726</v>
      </c>
      <c r="V113" s="21">
        <f>MIN('3.1 Market'!$G104,'1.1 Control Panel'!V336*'1.1 Control Panel'!V$321)</f>
        <v>4.8874100093157384</v>
      </c>
      <c r="W113" s="21">
        <f>MIN('3.1 Market'!$G104,'1.1 Control Panel'!W336*'1.1 Control Panel'!W$321)</f>
        <v>4.9099280074525904</v>
      </c>
      <c r="X113" s="21">
        <f>MIN('3.1 Market'!$G104,'1.1 Control Panel'!X336*'1.1 Control Panel'!X$321)</f>
        <v>4.9279424059620727</v>
      </c>
      <c r="Y113" s="21">
        <f>MIN('3.1 Market'!$G104,'1.1 Control Panel'!Y336*'1.1 Control Panel'!Y$321)</f>
        <v>4.9423539247696588</v>
      </c>
      <c r="Z113" s="21">
        <f>MIN('3.1 Market'!$G104,'1.1 Control Panel'!Z336*'1.1 Control Panel'!Z$321)</f>
        <v>4.9538831398157273</v>
      </c>
      <c r="AA113" s="21">
        <f>MIN('3.1 Market'!$G104,'1.1 Control Panel'!AA336*'1.1 Control Panel'!AA$321)</f>
        <v>4.9631065118525814</v>
      </c>
      <c r="AB113" s="21">
        <f>MIN('3.1 Market'!$G104,'1.1 Control Panel'!AB336*'1.1 Control Panel'!AB$321)</f>
        <v>4.9704852094820655</v>
      </c>
      <c r="AC113" s="21">
        <f>MIN('3.1 Market'!$H104,'1.1 Control Panel'!AC336*'1.1 Control Panel'!AC$321)</f>
        <v>9.9527763351713041</v>
      </c>
      <c r="AD113" s="21">
        <f>MIN('3.1 Market'!$H104,'1.1 Control Panel'!AD336*'1.1 Control Panel'!AD$321)</f>
        <v>9.962221068137044</v>
      </c>
      <c r="AE113" s="21">
        <f>MIN('3.1 Market'!$H104,'1.1 Control Panel'!AE336*'1.1 Control Panel'!AE$321)</f>
        <v>9.9697768545096359</v>
      </c>
      <c r="AF113" s="21">
        <f>MIN('3.1 Market'!$H104,'1.1 Control Panel'!AF336*'1.1 Control Panel'!AF$321)</f>
        <v>9.9758214836077101</v>
      </c>
      <c r="AG113" s="21">
        <f>MIN('3.1 Market'!$H104,'1.1 Control Panel'!AG336*'1.1 Control Panel'!AG$321)</f>
        <v>14.970985780329254</v>
      </c>
      <c r="AH113" s="21">
        <f>MIN('3.1 Market'!$H104,'1.1 Control Panel'!AH336*'1.1 Control Panel'!AH$321)</f>
        <v>14.976788624263405</v>
      </c>
      <c r="AI113" s="21">
        <f>MIN('3.1 Market'!$H104,'1.1 Control Panel'!AI336*'1.1 Control Panel'!AI$321)</f>
        <v>14.981430899410725</v>
      </c>
      <c r="AJ113" s="21">
        <f>MIN('3.1 Market'!$H104,'1.1 Control Panel'!AJ336*'1.1 Control Panel'!AJ$321)</f>
        <v>14.985144719528581</v>
      </c>
      <c r="AK113" s="21">
        <f>MIN('3.1 Market'!$H104,'1.1 Control Panel'!AK336*'1.1 Control Panel'!AK$321)</f>
        <v>14.988115775622866</v>
      </c>
      <c r="AL113" s="21">
        <f>MIN('3.1 Market'!$H104,'1.1 Control Panel'!AL336*'1.1 Control Panel'!AL$321)</f>
        <v>14.990492620498294</v>
      </c>
      <c r="AM113" s="21">
        <f>MIN('3.1 Market'!$H104,'1.1 Control Panel'!AM336*'1.1 Control Panel'!AM$321)</f>
        <v>14.992394096398636</v>
      </c>
      <c r="AN113" s="21">
        <f>MIN('3.1 Market'!$H104,'1.1 Control Panel'!AN336*'1.1 Control Panel'!AN$321)</f>
        <v>14.993915277118909</v>
      </c>
      <c r="AP113" s="21"/>
    </row>
    <row r="114" spans="2:42" x14ac:dyDescent="0.25">
      <c r="B114" s="99" t="s">
        <v>9</v>
      </c>
      <c r="C114" s="105" t="str">
        <f>'4.2 Sector Mapping'!$B$6</f>
        <v>Communication, Media and Technology</v>
      </c>
      <c r="D114" s="106" t="s">
        <v>162</v>
      </c>
      <c r="E114" s="105">
        <f>SUM(E115:E120)</f>
        <v>15</v>
      </c>
      <c r="F114" s="105">
        <f t="shared" ref="F114:H114" si="95">SUM(F115:F120)</f>
        <v>15</v>
      </c>
      <c r="G114" s="105">
        <f t="shared" si="95"/>
        <v>15</v>
      </c>
      <c r="H114" s="105">
        <f t="shared" si="95"/>
        <v>15</v>
      </c>
      <c r="I114" s="105">
        <f t="shared" ref="I114:AN114" si="96">SUM(I115:I120)</f>
        <v>15</v>
      </c>
      <c r="J114" s="105">
        <f t="shared" si="96"/>
        <v>30</v>
      </c>
      <c r="K114" s="105">
        <f t="shared" si="96"/>
        <v>30</v>
      </c>
      <c r="L114" s="105">
        <f t="shared" si="96"/>
        <v>30</v>
      </c>
      <c r="M114" s="105">
        <f t="shared" si="96"/>
        <v>30</v>
      </c>
      <c r="N114" s="105">
        <f t="shared" si="96"/>
        <v>30</v>
      </c>
      <c r="O114" s="105">
        <f t="shared" si="96"/>
        <v>30</v>
      </c>
      <c r="P114" s="105">
        <f t="shared" si="96"/>
        <v>30</v>
      </c>
      <c r="Q114" s="105">
        <f t="shared" si="96"/>
        <v>45</v>
      </c>
      <c r="R114" s="105">
        <f t="shared" si="96"/>
        <v>45</v>
      </c>
      <c r="S114" s="105">
        <f t="shared" si="96"/>
        <v>45</v>
      </c>
      <c r="T114" s="105">
        <f t="shared" si="96"/>
        <v>45</v>
      </c>
      <c r="U114" s="105">
        <f t="shared" si="96"/>
        <v>60</v>
      </c>
      <c r="V114" s="105">
        <f t="shared" si="96"/>
        <v>60</v>
      </c>
      <c r="W114" s="105">
        <f t="shared" si="96"/>
        <v>60</v>
      </c>
      <c r="X114" s="105">
        <f t="shared" si="96"/>
        <v>60</v>
      </c>
      <c r="Y114" s="105">
        <f t="shared" si="96"/>
        <v>75</v>
      </c>
      <c r="Z114" s="105">
        <f t="shared" si="96"/>
        <v>75</v>
      </c>
      <c r="AA114" s="105">
        <f t="shared" si="96"/>
        <v>75</v>
      </c>
      <c r="AB114" s="105">
        <f t="shared" si="96"/>
        <v>75</v>
      </c>
      <c r="AC114" s="105">
        <f t="shared" si="96"/>
        <v>135</v>
      </c>
      <c r="AD114" s="105">
        <f t="shared" si="96"/>
        <v>135</v>
      </c>
      <c r="AE114" s="105">
        <f t="shared" si="96"/>
        <v>135</v>
      </c>
      <c r="AF114" s="105">
        <f t="shared" si="96"/>
        <v>135</v>
      </c>
      <c r="AG114" s="105">
        <f t="shared" si="96"/>
        <v>195</v>
      </c>
      <c r="AH114" s="105">
        <f t="shared" si="96"/>
        <v>195</v>
      </c>
      <c r="AI114" s="105">
        <f t="shared" si="96"/>
        <v>195</v>
      </c>
      <c r="AJ114" s="105">
        <f t="shared" si="96"/>
        <v>195</v>
      </c>
      <c r="AK114" s="105">
        <f t="shared" si="96"/>
        <v>255</v>
      </c>
      <c r="AL114" s="105">
        <f t="shared" si="96"/>
        <v>255</v>
      </c>
      <c r="AM114" s="105">
        <f t="shared" si="96"/>
        <v>255</v>
      </c>
      <c r="AN114" s="105">
        <f t="shared" si="96"/>
        <v>255</v>
      </c>
      <c r="AP114" s="105"/>
    </row>
    <row r="115" spans="2:42" x14ac:dyDescent="0.25">
      <c r="C115" s="20" t="s">
        <v>600</v>
      </c>
      <c r="D115" s="34" t="s">
        <v>162</v>
      </c>
      <c r="E115" s="20">
        <f>MIN('3.1 Market'!$F106,'1.1 Control Panel'!E$352*'1.1 Control Panel'!E362)</f>
        <v>5</v>
      </c>
      <c r="F115" s="20">
        <f>MIN('3.1 Market'!$F106,'1.1 Control Panel'!F$352*'1.1 Control Panel'!F362)</f>
        <v>5</v>
      </c>
      <c r="G115" s="20">
        <f>MIN('3.1 Market'!$F106,'1.1 Control Panel'!G$352*'1.1 Control Panel'!G362)</f>
        <v>5</v>
      </c>
      <c r="H115" s="20">
        <f>MIN('3.1 Market'!$F106,'1.1 Control Panel'!H$352*'1.1 Control Panel'!H362)</f>
        <v>5</v>
      </c>
      <c r="I115" s="20">
        <f>MIN('3.1 Market'!$F106,'1.1 Control Panel'!I$352*'1.1 Control Panel'!I362)</f>
        <v>5</v>
      </c>
      <c r="J115" s="20">
        <f>MIN('3.1 Market'!$F106,'1.1 Control Panel'!J$352*'1.1 Control Panel'!J362)</f>
        <v>10</v>
      </c>
      <c r="K115" s="20">
        <f>MIN('3.1 Market'!$F106,'1.1 Control Panel'!K$352*'1.1 Control Panel'!K362)</f>
        <v>10</v>
      </c>
      <c r="L115" s="20">
        <f>MIN('3.1 Market'!$F106,'1.1 Control Panel'!L$352*'1.1 Control Panel'!L362)</f>
        <v>10</v>
      </c>
      <c r="M115" s="20">
        <f>MIN('3.1 Market'!$F106,'1.1 Control Panel'!M$352*'1.1 Control Panel'!M362)</f>
        <v>10</v>
      </c>
      <c r="N115" s="20">
        <f>MIN('3.1 Market'!$F106,'1.1 Control Panel'!N$352*'1.1 Control Panel'!N362)</f>
        <v>10</v>
      </c>
      <c r="O115" s="20">
        <f>MIN('3.1 Market'!$F106,'1.1 Control Panel'!O$352*'1.1 Control Panel'!O362)</f>
        <v>10</v>
      </c>
      <c r="P115" s="20">
        <f>MIN('3.1 Market'!$F106,'1.1 Control Panel'!P$352*'1.1 Control Panel'!P362)</f>
        <v>10</v>
      </c>
      <c r="Q115" s="20">
        <f>MIN('3.1 Market'!$G106,'1.1 Control Panel'!Q$352*'1.1 Control Panel'!Q362)</f>
        <v>15</v>
      </c>
      <c r="R115" s="20">
        <f>MIN('3.1 Market'!$G106,'1.1 Control Panel'!R$352*'1.1 Control Panel'!R362)</f>
        <v>15</v>
      </c>
      <c r="S115" s="20">
        <f>MIN('3.1 Market'!$G106,'1.1 Control Panel'!S$352*'1.1 Control Panel'!S362)</f>
        <v>15</v>
      </c>
      <c r="T115" s="20">
        <f>MIN('3.1 Market'!$G106,'1.1 Control Panel'!T$352*'1.1 Control Panel'!T362)</f>
        <v>15</v>
      </c>
      <c r="U115" s="20">
        <f>MIN('3.1 Market'!$G106,'1.1 Control Panel'!U$352*'1.1 Control Panel'!U362)</f>
        <v>20</v>
      </c>
      <c r="V115" s="20">
        <f>MIN('3.1 Market'!$G106,'1.1 Control Panel'!V$352*'1.1 Control Panel'!V362)</f>
        <v>20</v>
      </c>
      <c r="W115" s="20">
        <f>MIN('3.1 Market'!$G106,'1.1 Control Panel'!W$352*'1.1 Control Panel'!W362)</f>
        <v>20</v>
      </c>
      <c r="X115" s="20">
        <f>MIN('3.1 Market'!$G106,'1.1 Control Panel'!X$352*'1.1 Control Panel'!X362)</f>
        <v>20</v>
      </c>
      <c r="Y115" s="20">
        <f>MIN('3.1 Market'!$G106,'1.1 Control Panel'!Y$352*'1.1 Control Panel'!Y362)</f>
        <v>25</v>
      </c>
      <c r="Z115" s="20">
        <f>MIN('3.1 Market'!$G106,'1.1 Control Panel'!Z$352*'1.1 Control Panel'!Z362)</f>
        <v>25</v>
      </c>
      <c r="AA115" s="20">
        <f>MIN('3.1 Market'!$G106,'1.1 Control Panel'!AA$352*'1.1 Control Panel'!AA362)</f>
        <v>25</v>
      </c>
      <c r="AB115" s="20">
        <f>MIN('3.1 Market'!$G106,'1.1 Control Panel'!AB$352*'1.1 Control Panel'!AB362)</f>
        <v>25</v>
      </c>
      <c r="AC115" s="20">
        <f>MIN('3.1 Market'!$H106,'1.1 Control Panel'!AC$352*'1.1 Control Panel'!AC362)</f>
        <v>45</v>
      </c>
      <c r="AD115" s="20">
        <f>MIN('3.1 Market'!$H106,'1.1 Control Panel'!AD$352*'1.1 Control Panel'!AD362)</f>
        <v>45</v>
      </c>
      <c r="AE115" s="20">
        <f>MIN('3.1 Market'!$H106,'1.1 Control Panel'!AE$352*'1.1 Control Panel'!AE362)</f>
        <v>45</v>
      </c>
      <c r="AF115" s="20">
        <f>MIN('3.1 Market'!$H106,'1.1 Control Panel'!AF$352*'1.1 Control Panel'!AF362)</f>
        <v>45</v>
      </c>
      <c r="AG115" s="20">
        <f>MIN('3.1 Market'!$H106,'1.1 Control Panel'!AG$352*'1.1 Control Panel'!AG362)</f>
        <v>65</v>
      </c>
      <c r="AH115" s="20">
        <f>MIN('3.1 Market'!$H106,'1.1 Control Panel'!AH$352*'1.1 Control Panel'!AH362)</f>
        <v>65</v>
      </c>
      <c r="AI115" s="20">
        <f>MIN('3.1 Market'!$H106,'1.1 Control Panel'!AI$352*'1.1 Control Panel'!AI362)</f>
        <v>65</v>
      </c>
      <c r="AJ115" s="20">
        <f>MIN('3.1 Market'!$H106,'1.1 Control Panel'!AJ$352*'1.1 Control Panel'!AJ362)</f>
        <v>65</v>
      </c>
      <c r="AK115" s="20">
        <f>MIN('3.1 Market'!$H106,'1.1 Control Panel'!AK$352*'1.1 Control Panel'!AK362)</f>
        <v>85</v>
      </c>
      <c r="AL115" s="20">
        <f>MIN('3.1 Market'!$H106,'1.1 Control Panel'!AL$352*'1.1 Control Panel'!AL362)</f>
        <v>85</v>
      </c>
      <c r="AM115" s="20">
        <f>MIN('3.1 Market'!$H106,'1.1 Control Panel'!AM$352*'1.1 Control Panel'!AM362)</f>
        <v>85</v>
      </c>
      <c r="AN115" s="20">
        <f>MIN('3.1 Market'!$H106,'1.1 Control Panel'!AN$352*'1.1 Control Panel'!AN362)</f>
        <v>85</v>
      </c>
      <c r="AP115" s="20"/>
    </row>
    <row r="116" spans="2:42" x14ac:dyDescent="0.25">
      <c r="C116" s="20" t="s">
        <v>392</v>
      </c>
      <c r="D116" s="34" t="s">
        <v>162</v>
      </c>
      <c r="E116" s="20">
        <f>MIN('3.1 Market'!$F107,'1.1 Control Panel'!E$352*'1.1 Control Panel'!E363)</f>
        <v>4</v>
      </c>
      <c r="F116" s="20">
        <f>MIN('3.1 Market'!$F107,'1.1 Control Panel'!F$352*'1.1 Control Panel'!F363)</f>
        <v>4</v>
      </c>
      <c r="G116" s="20">
        <f>MIN('3.1 Market'!$F107,'1.1 Control Panel'!G$352*'1.1 Control Panel'!G363)</f>
        <v>4</v>
      </c>
      <c r="H116" s="20">
        <f>MIN('3.1 Market'!$F107,'1.1 Control Panel'!H$352*'1.1 Control Panel'!H363)</f>
        <v>4</v>
      </c>
      <c r="I116" s="20">
        <f>MIN('3.1 Market'!$F107,'1.1 Control Panel'!I$352*'1.1 Control Panel'!I363)</f>
        <v>4</v>
      </c>
      <c r="J116" s="20">
        <f>MIN('3.1 Market'!$F107,'1.1 Control Panel'!J$352*'1.1 Control Panel'!J363)</f>
        <v>8</v>
      </c>
      <c r="K116" s="20">
        <f>MIN('3.1 Market'!$F107,'1.1 Control Panel'!K$352*'1.1 Control Panel'!K363)</f>
        <v>8</v>
      </c>
      <c r="L116" s="20">
        <f>MIN('3.1 Market'!$F107,'1.1 Control Panel'!L$352*'1.1 Control Panel'!L363)</f>
        <v>8</v>
      </c>
      <c r="M116" s="20">
        <f>MIN('3.1 Market'!$F107,'1.1 Control Panel'!M$352*'1.1 Control Panel'!M363)</f>
        <v>8</v>
      </c>
      <c r="N116" s="20">
        <f>MIN('3.1 Market'!$F107,'1.1 Control Panel'!N$352*'1.1 Control Panel'!N363)</f>
        <v>8</v>
      </c>
      <c r="O116" s="20">
        <f>MIN('3.1 Market'!$F107,'1.1 Control Panel'!O$352*'1.1 Control Panel'!O363)</f>
        <v>8</v>
      </c>
      <c r="P116" s="20">
        <f>MIN('3.1 Market'!$F107,'1.1 Control Panel'!P$352*'1.1 Control Panel'!P363)</f>
        <v>8</v>
      </c>
      <c r="Q116" s="20">
        <f>MIN('3.1 Market'!$G107,'1.1 Control Panel'!Q$352*'1.1 Control Panel'!Q363)</f>
        <v>12</v>
      </c>
      <c r="R116" s="20">
        <f>MIN('3.1 Market'!$G107,'1.1 Control Panel'!R$352*'1.1 Control Panel'!R363)</f>
        <v>12</v>
      </c>
      <c r="S116" s="20">
        <f>MIN('3.1 Market'!$G107,'1.1 Control Panel'!S$352*'1.1 Control Panel'!S363)</f>
        <v>12</v>
      </c>
      <c r="T116" s="20">
        <f>MIN('3.1 Market'!$G107,'1.1 Control Panel'!T$352*'1.1 Control Panel'!T363)</f>
        <v>12</v>
      </c>
      <c r="U116" s="20">
        <f>MIN('3.1 Market'!$G107,'1.1 Control Panel'!U$352*'1.1 Control Panel'!U363)</f>
        <v>16</v>
      </c>
      <c r="V116" s="20">
        <f>MIN('3.1 Market'!$G107,'1.1 Control Panel'!V$352*'1.1 Control Panel'!V363)</f>
        <v>16</v>
      </c>
      <c r="W116" s="20">
        <f>MIN('3.1 Market'!$G107,'1.1 Control Panel'!W$352*'1.1 Control Panel'!W363)</f>
        <v>16</v>
      </c>
      <c r="X116" s="20">
        <f>MIN('3.1 Market'!$G107,'1.1 Control Panel'!X$352*'1.1 Control Panel'!X363)</f>
        <v>16</v>
      </c>
      <c r="Y116" s="20">
        <f>MIN('3.1 Market'!$G107,'1.1 Control Panel'!Y$352*'1.1 Control Panel'!Y363)</f>
        <v>20</v>
      </c>
      <c r="Z116" s="20">
        <f>MIN('3.1 Market'!$G107,'1.1 Control Panel'!Z$352*'1.1 Control Panel'!Z363)</f>
        <v>20</v>
      </c>
      <c r="AA116" s="20">
        <f>MIN('3.1 Market'!$G107,'1.1 Control Panel'!AA$352*'1.1 Control Panel'!AA363)</f>
        <v>20</v>
      </c>
      <c r="AB116" s="20">
        <f>MIN('3.1 Market'!$G107,'1.1 Control Panel'!AB$352*'1.1 Control Panel'!AB363)</f>
        <v>20</v>
      </c>
      <c r="AC116" s="20">
        <f>MIN('3.1 Market'!$H107,'1.1 Control Panel'!AC$352*'1.1 Control Panel'!AC363)</f>
        <v>36</v>
      </c>
      <c r="AD116" s="20">
        <f>MIN('3.1 Market'!$H107,'1.1 Control Panel'!AD$352*'1.1 Control Panel'!AD363)</f>
        <v>36</v>
      </c>
      <c r="AE116" s="20">
        <f>MIN('3.1 Market'!$H107,'1.1 Control Panel'!AE$352*'1.1 Control Panel'!AE363)</f>
        <v>36</v>
      </c>
      <c r="AF116" s="20">
        <f>MIN('3.1 Market'!$H107,'1.1 Control Panel'!AF$352*'1.1 Control Panel'!AF363)</f>
        <v>36</v>
      </c>
      <c r="AG116" s="20">
        <f>MIN('3.1 Market'!$H107,'1.1 Control Panel'!AG$352*'1.1 Control Panel'!AG363)</f>
        <v>52</v>
      </c>
      <c r="AH116" s="20">
        <f>MIN('3.1 Market'!$H107,'1.1 Control Panel'!AH$352*'1.1 Control Panel'!AH363)</f>
        <v>52</v>
      </c>
      <c r="AI116" s="20">
        <f>MIN('3.1 Market'!$H107,'1.1 Control Panel'!AI$352*'1.1 Control Panel'!AI363)</f>
        <v>52</v>
      </c>
      <c r="AJ116" s="20">
        <f>MIN('3.1 Market'!$H107,'1.1 Control Panel'!AJ$352*'1.1 Control Panel'!AJ363)</f>
        <v>52</v>
      </c>
      <c r="AK116" s="20">
        <f>MIN('3.1 Market'!$H107,'1.1 Control Panel'!AK$352*'1.1 Control Panel'!AK363)</f>
        <v>68</v>
      </c>
      <c r="AL116" s="20">
        <f>MIN('3.1 Market'!$H107,'1.1 Control Panel'!AL$352*'1.1 Control Panel'!AL363)</f>
        <v>68</v>
      </c>
      <c r="AM116" s="20">
        <f>MIN('3.1 Market'!$H107,'1.1 Control Panel'!AM$352*'1.1 Control Panel'!AM363)</f>
        <v>68</v>
      </c>
      <c r="AN116" s="20">
        <f>MIN('3.1 Market'!$H107,'1.1 Control Panel'!AN$352*'1.1 Control Panel'!AN363)</f>
        <v>68</v>
      </c>
      <c r="AP116" s="20"/>
    </row>
    <row r="117" spans="2:42" x14ac:dyDescent="0.25">
      <c r="C117" s="20" t="s">
        <v>454</v>
      </c>
      <c r="D117" s="34" t="s">
        <v>162</v>
      </c>
      <c r="E117" s="20">
        <f>MIN('3.1 Market'!$F108,'1.1 Control Panel'!E$352*'1.1 Control Panel'!E364)</f>
        <v>3</v>
      </c>
      <c r="F117" s="20">
        <f>MIN('3.1 Market'!$F108,'1.1 Control Panel'!F$352*'1.1 Control Panel'!F364)</f>
        <v>3</v>
      </c>
      <c r="G117" s="20">
        <f>MIN('3.1 Market'!$F108,'1.1 Control Panel'!G$352*'1.1 Control Panel'!G364)</f>
        <v>3</v>
      </c>
      <c r="H117" s="20">
        <f>MIN('3.1 Market'!$F108,'1.1 Control Panel'!H$352*'1.1 Control Panel'!H364)</f>
        <v>3</v>
      </c>
      <c r="I117" s="20">
        <f>MIN('3.1 Market'!$F108,'1.1 Control Panel'!I$352*'1.1 Control Panel'!I364)</f>
        <v>3</v>
      </c>
      <c r="J117" s="20">
        <f>MIN('3.1 Market'!$F108,'1.1 Control Panel'!J$352*'1.1 Control Panel'!J364)</f>
        <v>6</v>
      </c>
      <c r="K117" s="20">
        <f>MIN('3.1 Market'!$F108,'1.1 Control Panel'!K$352*'1.1 Control Panel'!K364)</f>
        <v>6</v>
      </c>
      <c r="L117" s="20">
        <f>MIN('3.1 Market'!$F108,'1.1 Control Panel'!L$352*'1.1 Control Panel'!L364)</f>
        <v>6</v>
      </c>
      <c r="M117" s="20">
        <f>MIN('3.1 Market'!$F108,'1.1 Control Panel'!M$352*'1.1 Control Panel'!M364)</f>
        <v>6</v>
      </c>
      <c r="N117" s="20">
        <f>MIN('3.1 Market'!$F108,'1.1 Control Panel'!N$352*'1.1 Control Panel'!N364)</f>
        <v>6</v>
      </c>
      <c r="O117" s="20">
        <f>MIN('3.1 Market'!$F108,'1.1 Control Panel'!O$352*'1.1 Control Panel'!O364)</f>
        <v>6</v>
      </c>
      <c r="P117" s="20">
        <f>MIN('3.1 Market'!$F108,'1.1 Control Panel'!P$352*'1.1 Control Panel'!P364)</f>
        <v>6</v>
      </c>
      <c r="Q117" s="20">
        <f>MIN('3.1 Market'!$G108,'1.1 Control Panel'!Q$352*'1.1 Control Panel'!Q364)</f>
        <v>9</v>
      </c>
      <c r="R117" s="20">
        <f>MIN('3.1 Market'!$G108,'1.1 Control Panel'!R$352*'1.1 Control Panel'!R364)</f>
        <v>9</v>
      </c>
      <c r="S117" s="20">
        <f>MIN('3.1 Market'!$G108,'1.1 Control Panel'!S$352*'1.1 Control Panel'!S364)</f>
        <v>9</v>
      </c>
      <c r="T117" s="20">
        <f>MIN('3.1 Market'!$G108,'1.1 Control Panel'!T$352*'1.1 Control Panel'!T364)</f>
        <v>9</v>
      </c>
      <c r="U117" s="20">
        <f>MIN('3.1 Market'!$G108,'1.1 Control Panel'!U$352*'1.1 Control Panel'!U364)</f>
        <v>12</v>
      </c>
      <c r="V117" s="20">
        <f>MIN('3.1 Market'!$G108,'1.1 Control Panel'!V$352*'1.1 Control Panel'!V364)</f>
        <v>12</v>
      </c>
      <c r="W117" s="20">
        <f>MIN('3.1 Market'!$G108,'1.1 Control Panel'!W$352*'1.1 Control Panel'!W364)</f>
        <v>12</v>
      </c>
      <c r="X117" s="20">
        <f>MIN('3.1 Market'!$G108,'1.1 Control Panel'!X$352*'1.1 Control Panel'!X364)</f>
        <v>12</v>
      </c>
      <c r="Y117" s="20">
        <f>MIN('3.1 Market'!$G108,'1.1 Control Panel'!Y$352*'1.1 Control Panel'!Y364)</f>
        <v>15</v>
      </c>
      <c r="Z117" s="20">
        <f>MIN('3.1 Market'!$G108,'1.1 Control Panel'!Z$352*'1.1 Control Panel'!Z364)</f>
        <v>15</v>
      </c>
      <c r="AA117" s="20">
        <f>MIN('3.1 Market'!$G108,'1.1 Control Panel'!AA$352*'1.1 Control Panel'!AA364)</f>
        <v>15</v>
      </c>
      <c r="AB117" s="20">
        <f>MIN('3.1 Market'!$G108,'1.1 Control Panel'!AB$352*'1.1 Control Panel'!AB364)</f>
        <v>15</v>
      </c>
      <c r="AC117" s="20">
        <f>MIN('3.1 Market'!$H108,'1.1 Control Panel'!AC$352*'1.1 Control Panel'!AC364)</f>
        <v>27</v>
      </c>
      <c r="AD117" s="20">
        <f>MIN('3.1 Market'!$H108,'1.1 Control Panel'!AD$352*'1.1 Control Panel'!AD364)</f>
        <v>27</v>
      </c>
      <c r="AE117" s="20">
        <f>MIN('3.1 Market'!$H108,'1.1 Control Panel'!AE$352*'1.1 Control Panel'!AE364)</f>
        <v>27</v>
      </c>
      <c r="AF117" s="20">
        <f>MIN('3.1 Market'!$H108,'1.1 Control Panel'!AF$352*'1.1 Control Panel'!AF364)</f>
        <v>27</v>
      </c>
      <c r="AG117" s="20">
        <f>MIN('3.1 Market'!$H108,'1.1 Control Panel'!AG$352*'1.1 Control Panel'!AG364)</f>
        <v>39</v>
      </c>
      <c r="AH117" s="20">
        <f>MIN('3.1 Market'!$H108,'1.1 Control Panel'!AH$352*'1.1 Control Panel'!AH364)</f>
        <v>39</v>
      </c>
      <c r="AI117" s="20">
        <f>MIN('3.1 Market'!$H108,'1.1 Control Panel'!AI$352*'1.1 Control Panel'!AI364)</f>
        <v>39</v>
      </c>
      <c r="AJ117" s="20">
        <f>MIN('3.1 Market'!$H108,'1.1 Control Panel'!AJ$352*'1.1 Control Panel'!AJ364)</f>
        <v>39</v>
      </c>
      <c r="AK117" s="20">
        <f>MIN('3.1 Market'!$H108,'1.1 Control Panel'!AK$352*'1.1 Control Panel'!AK364)</f>
        <v>51</v>
      </c>
      <c r="AL117" s="20">
        <f>MIN('3.1 Market'!$H108,'1.1 Control Panel'!AL$352*'1.1 Control Panel'!AL364)</f>
        <v>51</v>
      </c>
      <c r="AM117" s="20">
        <f>MIN('3.1 Market'!$H108,'1.1 Control Panel'!AM$352*'1.1 Control Panel'!AM364)</f>
        <v>51</v>
      </c>
      <c r="AN117" s="20">
        <f>MIN('3.1 Market'!$H108,'1.1 Control Panel'!AN$352*'1.1 Control Panel'!AN364)</f>
        <v>51</v>
      </c>
      <c r="AP117" s="20"/>
    </row>
    <row r="118" spans="2:42" x14ac:dyDescent="0.25">
      <c r="C118" s="21" t="s">
        <v>455</v>
      </c>
      <c r="D118" s="38" t="s">
        <v>162</v>
      </c>
      <c r="E118" s="21">
        <f>MIN('3.1 Market'!$F109,'1.1 Control Panel'!E$352*'1.1 Control Panel'!E365)</f>
        <v>2</v>
      </c>
      <c r="F118" s="21">
        <f>MIN('3.1 Market'!$F109,'1.1 Control Panel'!F$352*'1.1 Control Panel'!F365)</f>
        <v>2</v>
      </c>
      <c r="G118" s="21">
        <f>MIN('3.1 Market'!$F109,'1.1 Control Panel'!G$352*'1.1 Control Panel'!G365)</f>
        <v>2</v>
      </c>
      <c r="H118" s="21">
        <f>MIN('3.1 Market'!$F109,'1.1 Control Panel'!H$352*'1.1 Control Panel'!H365)</f>
        <v>2</v>
      </c>
      <c r="I118" s="21">
        <f>MIN('3.1 Market'!$F109,'1.1 Control Panel'!I$352*'1.1 Control Panel'!I365)</f>
        <v>2</v>
      </c>
      <c r="J118" s="21">
        <f>MIN('3.1 Market'!$F109,'1.1 Control Panel'!J$352*'1.1 Control Panel'!J365)</f>
        <v>4</v>
      </c>
      <c r="K118" s="21">
        <f>MIN('3.1 Market'!$F109,'1.1 Control Panel'!K$352*'1.1 Control Panel'!K365)</f>
        <v>4</v>
      </c>
      <c r="L118" s="21">
        <f>MIN('3.1 Market'!$F109,'1.1 Control Panel'!L$352*'1.1 Control Panel'!L365)</f>
        <v>4</v>
      </c>
      <c r="M118" s="21">
        <f>MIN('3.1 Market'!$F109,'1.1 Control Panel'!M$352*'1.1 Control Panel'!M365)</f>
        <v>4</v>
      </c>
      <c r="N118" s="21">
        <f>MIN('3.1 Market'!$F109,'1.1 Control Panel'!N$352*'1.1 Control Panel'!N365)</f>
        <v>4</v>
      </c>
      <c r="O118" s="21">
        <f>MIN('3.1 Market'!$F109,'1.1 Control Panel'!O$352*'1.1 Control Panel'!O365)</f>
        <v>4</v>
      </c>
      <c r="P118" s="21">
        <f>MIN('3.1 Market'!$F109,'1.1 Control Panel'!P$352*'1.1 Control Panel'!P365)</f>
        <v>4</v>
      </c>
      <c r="Q118" s="21">
        <f>MIN('3.1 Market'!$G109,'1.1 Control Panel'!Q$352*'1.1 Control Panel'!Q365)</f>
        <v>6</v>
      </c>
      <c r="R118" s="21">
        <f>MIN('3.1 Market'!$G109,'1.1 Control Panel'!R$352*'1.1 Control Panel'!R365)</f>
        <v>6</v>
      </c>
      <c r="S118" s="21">
        <f>MIN('3.1 Market'!$G109,'1.1 Control Panel'!S$352*'1.1 Control Panel'!S365)</f>
        <v>6</v>
      </c>
      <c r="T118" s="21">
        <f>MIN('3.1 Market'!$G109,'1.1 Control Panel'!T$352*'1.1 Control Panel'!T365)</f>
        <v>6</v>
      </c>
      <c r="U118" s="21">
        <f>MIN('3.1 Market'!$G109,'1.1 Control Panel'!U$352*'1.1 Control Panel'!U365)</f>
        <v>8</v>
      </c>
      <c r="V118" s="21">
        <f>MIN('3.1 Market'!$G109,'1.1 Control Panel'!V$352*'1.1 Control Panel'!V365)</f>
        <v>8</v>
      </c>
      <c r="W118" s="21">
        <f>MIN('3.1 Market'!$G109,'1.1 Control Panel'!W$352*'1.1 Control Panel'!W365)</f>
        <v>8</v>
      </c>
      <c r="X118" s="21">
        <f>MIN('3.1 Market'!$G109,'1.1 Control Panel'!X$352*'1.1 Control Panel'!X365)</f>
        <v>8</v>
      </c>
      <c r="Y118" s="21">
        <f>MIN('3.1 Market'!$G109,'1.1 Control Panel'!Y$352*'1.1 Control Panel'!Y365)</f>
        <v>10</v>
      </c>
      <c r="Z118" s="21">
        <f>MIN('3.1 Market'!$G109,'1.1 Control Panel'!Z$352*'1.1 Control Panel'!Z365)</f>
        <v>10</v>
      </c>
      <c r="AA118" s="21">
        <f>MIN('3.1 Market'!$G109,'1.1 Control Panel'!AA$352*'1.1 Control Panel'!AA365)</f>
        <v>10</v>
      </c>
      <c r="AB118" s="21">
        <f>MIN('3.1 Market'!$G109,'1.1 Control Panel'!AB$352*'1.1 Control Panel'!AB365)</f>
        <v>10</v>
      </c>
      <c r="AC118" s="21">
        <f>MIN('3.1 Market'!$H109,'1.1 Control Panel'!AC$352*'1.1 Control Panel'!AC365)</f>
        <v>18</v>
      </c>
      <c r="AD118" s="21">
        <f>MIN('3.1 Market'!$H109,'1.1 Control Panel'!AD$352*'1.1 Control Panel'!AD365)</f>
        <v>18</v>
      </c>
      <c r="AE118" s="21">
        <f>MIN('3.1 Market'!$H109,'1.1 Control Panel'!AE$352*'1.1 Control Panel'!AE365)</f>
        <v>18</v>
      </c>
      <c r="AF118" s="21">
        <f>MIN('3.1 Market'!$H109,'1.1 Control Panel'!AF$352*'1.1 Control Panel'!AF365)</f>
        <v>18</v>
      </c>
      <c r="AG118" s="21">
        <f>MIN('3.1 Market'!$H109,'1.1 Control Panel'!AG$352*'1.1 Control Panel'!AG365)</f>
        <v>26</v>
      </c>
      <c r="AH118" s="21">
        <f>MIN('3.1 Market'!$H109,'1.1 Control Panel'!AH$352*'1.1 Control Panel'!AH365)</f>
        <v>26</v>
      </c>
      <c r="AI118" s="21">
        <f>MIN('3.1 Market'!$H109,'1.1 Control Panel'!AI$352*'1.1 Control Panel'!AI365)</f>
        <v>26</v>
      </c>
      <c r="AJ118" s="21">
        <f>MIN('3.1 Market'!$H109,'1.1 Control Panel'!AJ$352*'1.1 Control Panel'!AJ365)</f>
        <v>26</v>
      </c>
      <c r="AK118" s="21">
        <f>MIN('3.1 Market'!$H109,'1.1 Control Panel'!AK$352*'1.1 Control Panel'!AK365)</f>
        <v>34</v>
      </c>
      <c r="AL118" s="21">
        <f>MIN('3.1 Market'!$H109,'1.1 Control Panel'!AL$352*'1.1 Control Panel'!AL365)</f>
        <v>34</v>
      </c>
      <c r="AM118" s="21">
        <f>MIN('3.1 Market'!$H109,'1.1 Control Panel'!AM$352*'1.1 Control Panel'!AM365)</f>
        <v>34</v>
      </c>
      <c r="AN118" s="21">
        <f>MIN('3.1 Market'!$H109,'1.1 Control Panel'!AN$352*'1.1 Control Panel'!AN365)</f>
        <v>34</v>
      </c>
      <c r="AP118" s="21"/>
    </row>
    <row r="119" spans="2:42" x14ac:dyDescent="0.25">
      <c r="C119" s="21" t="s">
        <v>393</v>
      </c>
      <c r="D119" s="38" t="s">
        <v>162</v>
      </c>
      <c r="E119" s="21">
        <f>MIN('3.1 Market'!$F110,'1.1 Control Panel'!E$352*'1.1 Control Panel'!E366)</f>
        <v>1</v>
      </c>
      <c r="F119" s="21">
        <f>MIN('3.1 Market'!$F110,'1.1 Control Panel'!F$352*'1.1 Control Panel'!F366)</f>
        <v>1</v>
      </c>
      <c r="G119" s="21">
        <f>MIN('3.1 Market'!$F110,'1.1 Control Panel'!G$352*'1.1 Control Panel'!G366)</f>
        <v>1</v>
      </c>
      <c r="H119" s="21">
        <f>MIN('3.1 Market'!$F110,'1.1 Control Panel'!H$352*'1.1 Control Panel'!H366)</f>
        <v>1</v>
      </c>
      <c r="I119" s="21">
        <f>MIN('3.1 Market'!$F110,'1.1 Control Panel'!I$352*'1.1 Control Panel'!I366)</f>
        <v>1</v>
      </c>
      <c r="J119" s="21">
        <f>MIN('3.1 Market'!$F110,'1.1 Control Panel'!J$352*'1.1 Control Panel'!J366)</f>
        <v>2</v>
      </c>
      <c r="K119" s="21">
        <f>MIN('3.1 Market'!$F110,'1.1 Control Panel'!K$352*'1.1 Control Panel'!K366)</f>
        <v>2</v>
      </c>
      <c r="L119" s="21">
        <f>MIN('3.1 Market'!$F110,'1.1 Control Panel'!L$352*'1.1 Control Panel'!L366)</f>
        <v>2</v>
      </c>
      <c r="M119" s="21">
        <f>MIN('3.1 Market'!$F110,'1.1 Control Panel'!M$352*'1.1 Control Panel'!M366)</f>
        <v>2</v>
      </c>
      <c r="N119" s="21">
        <f>MIN('3.1 Market'!$F110,'1.1 Control Panel'!N$352*'1.1 Control Panel'!N366)</f>
        <v>2</v>
      </c>
      <c r="O119" s="21">
        <f>MIN('3.1 Market'!$F110,'1.1 Control Panel'!O$352*'1.1 Control Panel'!O366)</f>
        <v>2</v>
      </c>
      <c r="P119" s="21">
        <f>MIN('3.1 Market'!$F110,'1.1 Control Panel'!P$352*'1.1 Control Panel'!P366)</f>
        <v>2</v>
      </c>
      <c r="Q119" s="21">
        <f>MIN('3.1 Market'!$G110,'1.1 Control Panel'!Q$352*'1.1 Control Panel'!Q366)</f>
        <v>3</v>
      </c>
      <c r="R119" s="21">
        <f>MIN('3.1 Market'!$G110,'1.1 Control Panel'!R$352*'1.1 Control Panel'!R366)</f>
        <v>3</v>
      </c>
      <c r="S119" s="21">
        <f>MIN('3.1 Market'!$G110,'1.1 Control Panel'!S$352*'1.1 Control Panel'!S366)</f>
        <v>3</v>
      </c>
      <c r="T119" s="21">
        <f>MIN('3.1 Market'!$G110,'1.1 Control Panel'!T$352*'1.1 Control Panel'!T366)</f>
        <v>3</v>
      </c>
      <c r="U119" s="21">
        <f>MIN('3.1 Market'!$G110,'1.1 Control Panel'!U$352*'1.1 Control Panel'!U366)</f>
        <v>4</v>
      </c>
      <c r="V119" s="21">
        <f>MIN('3.1 Market'!$G110,'1.1 Control Panel'!V$352*'1.1 Control Panel'!V366)</f>
        <v>4</v>
      </c>
      <c r="W119" s="21">
        <f>MIN('3.1 Market'!$G110,'1.1 Control Panel'!W$352*'1.1 Control Panel'!W366)</f>
        <v>4</v>
      </c>
      <c r="X119" s="21">
        <f>MIN('3.1 Market'!$G110,'1.1 Control Panel'!X$352*'1.1 Control Panel'!X366)</f>
        <v>4</v>
      </c>
      <c r="Y119" s="21">
        <f>MIN('3.1 Market'!$G110,'1.1 Control Panel'!Y$352*'1.1 Control Panel'!Y366)</f>
        <v>5</v>
      </c>
      <c r="Z119" s="21">
        <f>MIN('3.1 Market'!$G110,'1.1 Control Panel'!Z$352*'1.1 Control Panel'!Z366)</f>
        <v>5</v>
      </c>
      <c r="AA119" s="21">
        <f>MIN('3.1 Market'!$G110,'1.1 Control Panel'!AA$352*'1.1 Control Panel'!AA366)</f>
        <v>5</v>
      </c>
      <c r="AB119" s="21">
        <f>MIN('3.1 Market'!$G110,'1.1 Control Panel'!AB$352*'1.1 Control Panel'!AB366)</f>
        <v>5</v>
      </c>
      <c r="AC119" s="21">
        <f>MIN('3.1 Market'!$H110,'1.1 Control Panel'!AC$352*'1.1 Control Panel'!AC366)</f>
        <v>9</v>
      </c>
      <c r="AD119" s="21">
        <f>MIN('3.1 Market'!$H110,'1.1 Control Panel'!AD$352*'1.1 Control Panel'!AD366)</f>
        <v>9</v>
      </c>
      <c r="AE119" s="21">
        <f>MIN('3.1 Market'!$H110,'1.1 Control Panel'!AE$352*'1.1 Control Panel'!AE366)</f>
        <v>9</v>
      </c>
      <c r="AF119" s="21">
        <f>MIN('3.1 Market'!$H110,'1.1 Control Panel'!AF$352*'1.1 Control Panel'!AF366)</f>
        <v>9</v>
      </c>
      <c r="AG119" s="21">
        <f>MIN('3.1 Market'!$H110,'1.1 Control Panel'!AG$352*'1.1 Control Panel'!AG366)</f>
        <v>13</v>
      </c>
      <c r="AH119" s="21">
        <f>MIN('3.1 Market'!$H110,'1.1 Control Panel'!AH$352*'1.1 Control Panel'!AH366)</f>
        <v>13</v>
      </c>
      <c r="AI119" s="21">
        <f>MIN('3.1 Market'!$H110,'1.1 Control Panel'!AI$352*'1.1 Control Panel'!AI366)</f>
        <v>13</v>
      </c>
      <c r="AJ119" s="21">
        <f>MIN('3.1 Market'!$H110,'1.1 Control Panel'!AJ$352*'1.1 Control Panel'!AJ366)</f>
        <v>13</v>
      </c>
      <c r="AK119" s="21">
        <f>MIN('3.1 Market'!$H110,'1.1 Control Panel'!AK$352*'1.1 Control Panel'!AK366)</f>
        <v>17</v>
      </c>
      <c r="AL119" s="21">
        <f>MIN('3.1 Market'!$H110,'1.1 Control Panel'!AL$352*'1.1 Control Panel'!AL366)</f>
        <v>17</v>
      </c>
      <c r="AM119" s="21">
        <f>MIN('3.1 Market'!$H110,'1.1 Control Panel'!AM$352*'1.1 Control Panel'!AM366)</f>
        <v>17</v>
      </c>
      <c r="AN119" s="21">
        <f>MIN('3.1 Market'!$H110,'1.1 Control Panel'!AN$352*'1.1 Control Panel'!AN366)</f>
        <v>17</v>
      </c>
      <c r="AP119" s="21"/>
    </row>
    <row r="120" spans="2:42" x14ac:dyDescent="0.25">
      <c r="C120" s="21" t="s">
        <v>456</v>
      </c>
      <c r="D120" s="38" t="s">
        <v>162</v>
      </c>
      <c r="E120" s="21">
        <f>MIN('3.1 Market'!$F111,'1.1 Control Panel'!E$352*'1.1 Control Panel'!E367)</f>
        <v>0</v>
      </c>
      <c r="F120" s="21">
        <f>MIN('3.1 Market'!$F111,'1.1 Control Panel'!F$352*'1.1 Control Panel'!F367)</f>
        <v>0</v>
      </c>
      <c r="G120" s="21">
        <f>MIN('3.1 Market'!$F111,'1.1 Control Panel'!G$352*'1.1 Control Panel'!G367)</f>
        <v>0</v>
      </c>
      <c r="H120" s="21">
        <f>MIN('3.1 Market'!$F111,'1.1 Control Panel'!H$352*'1.1 Control Panel'!H367)</f>
        <v>0</v>
      </c>
      <c r="I120" s="21">
        <f>MIN('3.1 Market'!$F111,'1.1 Control Panel'!I$352*'1.1 Control Panel'!I367)</f>
        <v>0</v>
      </c>
      <c r="J120" s="21">
        <f>MIN('3.1 Market'!$F111,'1.1 Control Panel'!J$352*'1.1 Control Panel'!J367)</f>
        <v>0</v>
      </c>
      <c r="K120" s="21">
        <f>MIN('3.1 Market'!$F111,'1.1 Control Panel'!K$352*'1.1 Control Panel'!K367)</f>
        <v>0</v>
      </c>
      <c r="L120" s="21">
        <f>MIN('3.1 Market'!$F111,'1.1 Control Panel'!L$352*'1.1 Control Panel'!L367)</f>
        <v>0</v>
      </c>
      <c r="M120" s="21">
        <f>MIN('3.1 Market'!$F111,'1.1 Control Panel'!M$352*'1.1 Control Panel'!M367)</f>
        <v>0</v>
      </c>
      <c r="N120" s="21">
        <f>MIN('3.1 Market'!$F111,'1.1 Control Panel'!N$352*'1.1 Control Panel'!N367)</f>
        <v>0</v>
      </c>
      <c r="O120" s="21">
        <f>MIN('3.1 Market'!$F111,'1.1 Control Panel'!O$352*'1.1 Control Panel'!O367)</f>
        <v>0</v>
      </c>
      <c r="P120" s="21">
        <f>MIN('3.1 Market'!$F111,'1.1 Control Panel'!P$352*'1.1 Control Panel'!P367)</f>
        <v>0</v>
      </c>
      <c r="Q120" s="21">
        <f>MIN('3.1 Market'!$G111,'1.1 Control Panel'!Q$352*'1.1 Control Panel'!Q367)</f>
        <v>0</v>
      </c>
      <c r="R120" s="21">
        <f>MIN('3.1 Market'!$G111,'1.1 Control Panel'!R$352*'1.1 Control Panel'!R367)</f>
        <v>0</v>
      </c>
      <c r="S120" s="21">
        <f>MIN('3.1 Market'!$G111,'1.1 Control Panel'!S$352*'1.1 Control Panel'!S367)</f>
        <v>0</v>
      </c>
      <c r="T120" s="21">
        <f>MIN('3.1 Market'!$G111,'1.1 Control Panel'!T$352*'1.1 Control Panel'!T367)</f>
        <v>0</v>
      </c>
      <c r="U120" s="21">
        <f>MIN('3.1 Market'!$G111,'1.1 Control Panel'!U$352*'1.1 Control Panel'!U367)</f>
        <v>0</v>
      </c>
      <c r="V120" s="21">
        <f>MIN('3.1 Market'!$G111,'1.1 Control Panel'!V$352*'1.1 Control Panel'!V367)</f>
        <v>0</v>
      </c>
      <c r="W120" s="21">
        <f>MIN('3.1 Market'!$G111,'1.1 Control Panel'!W$352*'1.1 Control Panel'!W367)</f>
        <v>0</v>
      </c>
      <c r="X120" s="21">
        <f>MIN('3.1 Market'!$G111,'1.1 Control Panel'!X$352*'1.1 Control Panel'!X367)</f>
        <v>0</v>
      </c>
      <c r="Y120" s="21">
        <f>MIN('3.1 Market'!$G111,'1.1 Control Panel'!Y$352*'1.1 Control Panel'!Y367)</f>
        <v>0</v>
      </c>
      <c r="Z120" s="21">
        <f>MIN('3.1 Market'!$G111,'1.1 Control Panel'!Z$352*'1.1 Control Panel'!Z367)</f>
        <v>0</v>
      </c>
      <c r="AA120" s="21">
        <f>MIN('3.1 Market'!$G111,'1.1 Control Panel'!AA$352*'1.1 Control Panel'!AA367)</f>
        <v>0</v>
      </c>
      <c r="AB120" s="21">
        <f>MIN('3.1 Market'!$G111,'1.1 Control Panel'!AB$352*'1.1 Control Panel'!AB367)</f>
        <v>0</v>
      </c>
      <c r="AC120" s="21">
        <f>MIN('3.1 Market'!$H111,'1.1 Control Panel'!AC$352*'1.1 Control Panel'!AC367)</f>
        <v>0</v>
      </c>
      <c r="AD120" s="21">
        <f>MIN('3.1 Market'!$H111,'1.1 Control Panel'!AD$352*'1.1 Control Panel'!AD367)</f>
        <v>0</v>
      </c>
      <c r="AE120" s="21">
        <f>MIN('3.1 Market'!$H111,'1.1 Control Panel'!AE$352*'1.1 Control Panel'!AE367)</f>
        <v>0</v>
      </c>
      <c r="AF120" s="21">
        <f>MIN('3.1 Market'!$H111,'1.1 Control Panel'!AF$352*'1.1 Control Panel'!AF367)</f>
        <v>0</v>
      </c>
      <c r="AG120" s="21">
        <f>MIN('3.1 Market'!$H111,'1.1 Control Panel'!AG$352*'1.1 Control Panel'!AG367)</f>
        <v>0</v>
      </c>
      <c r="AH120" s="21">
        <f>MIN('3.1 Market'!$H111,'1.1 Control Panel'!AH$352*'1.1 Control Panel'!AH367)</f>
        <v>0</v>
      </c>
      <c r="AI120" s="21">
        <f>MIN('3.1 Market'!$H111,'1.1 Control Panel'!AI$352*'1.1 Control Panel'!AI367)</f>
        <v>0</v>
      </c>
      <c r="AJ120" s="21">
        <f>MIN('3.1 Market'!$H111,'1.1 Control Panel'!AJ$352*'1.1 Control Panel'!AJ367)</f>
        <v>0</v>
      </c>
      <c r="AK120" s="21">
        <f>MIN('3.1 Market'!$H111,'1.1 Control Panel'!AK$352*'1.1 Control Panel'!AK367)</f>
        <v>0</v>
      </c>
      <c r="AL120" s="21">
        <f>MIN('3.1 Market'!$H111,'1.1 Control Panel'!AL$352*'1.1 Control Panel'!AL367)</f>
        <v>0</v>
      </c>
      <c r="AM120" s="21">
        <f>MIN('3.1 Market'!$H111,'1.1 Control Panel'!AM$352*'1.1 Control Panel'!AM367)</f>
        <v>0</v>
      </c>
      <c r="AN120" s="21">
        <f>MIN('3.1 Market'!$H111,'1.1 Control Panel'!AN$352*'1.1 Control Panel'!AN367)</f>
        <v>0</v>
      </c>
      <c r="AP120" s="21"/>
    </row>
    <row r="121" spans="2:42" x14ac:dyDescent="0.25">
      <c r="B121" s="99" t="s">
        <v>9</v>
      </c>
      <c r="C121" s="105" t="str">
        <f>'4.2 Sector Mapping'!$B$7</f>
        <v>Energy and Environment</v>
      </c>
      <c r="D121" s="106" t="s">
        <v>162</v>
      </c>
      <c r="E121" s="105">
        <f>SUM(E122:E127)</f>
        <v>0</v>
      </c>
      <c r="F121" s="105">
        <f t="shared" ref="F121:H121" si="97">SUM(F122:F127)</f>
        <v>0</v>
      </c>
      <c r="G121" s="105">
        <f t="shared" si="97"/>
        <v>0</v>
      </c>
      <c r="H121" s="105">
        <f t="shared" si="97"/>
        <v>0</v>
      </c>
      <c r="I121" s="105">
        <f t="shared" ref="I121:AN121" si="98">SUM(I122:I127)</f>
        <v>0</v>
      </c>
      <c r="J121" s="105">
        <f t="shared" si="98"/>
        <v>0</v>
      </c>
      <c r="K121" s="105">
        <f t="shared" si="98"/>
        <v>0</v>
      </c>
      <c r="L121" s="105">
        <f t="shared" si="98"/>
        <v>0</v>
      </c>
      <c r="M121" s="105">
        <f t="shared" si="98"/>
        <v>0</v>
      </c>
      <c r="N121" s="105">
        <f t="shared" si="98"/>
        <v>0</v>
      </c>
      <c r="O121" s="105">
        <f t="shared" si="98"/>
        <v>0</v>
      </c>
      <c r="P121" s="105">
        <f t="shared" si="98"/>
        <v>0</v>
      </c>
      <c r="Q121" s="105">
        <f t="shared" si="98"/>
        <v>28.969207848960004</v>
      </c>
      <c r="R121" s="105">
        <f t="shared" si="98"/>
        <v>29.175366279168006</v>
      </c>
      <c r="S121" s="105">
        <f t="shared" si="98"/>
        <v>29.340293023334404</v>
      </c>
      <c r="T121" s="105">
        <f t="shared" si="98"/>
        <v>29.472234418667526</v>
      </c>
      <c r="U121" s="105">
        <f t="shared" si="98"/>
        <v>59.155575069868036</v>
      </c>
      <c r="V121" s="105">
        <f t="shared" si="98"/>
        <v>59.324460055894434</v>
      </c>
      <c r="W121" s="105">
        <f t="shared" si="98"/>
        <v>59.459568044715553</v>
      </c>
      <c r="X121" s="105">
        <f t="shared" si="98"/>
        <v>59.56765443577244</v>
      </c>
      <c r="Y121" s="105">
        <f t="shared" si="98"/>
        <v>59.654123548617953</v>
      </c>
      <c r="Z121" s="105">
        <f t="shared" si="98"/>
        <v>59.723298838894358</v>
      </c>
      <c r="AA121" s="105">
        <f t="shared" si="98"/>
        <v>59.778639071115492</v>
      </c>
      <c r="AB121" s="105">
        <f t="shared" si="98"/>
        <v>59.822911256892397</v>
      </c>
      <c r="AC121" s="105">
        <f t="shared" si="98"/>
        <v>89.787493508270884</v>
      </c>
      <c r="AD121" s="105">
        <f t="shared" si="98"/>
        <v>89.82999480661671</v>
      </c>
      <c r="AE121" s="105">
        <f t="shared" si="98"/>
        <v>89.86399584529336</v>
      </c>
      <c r="AF121" s="105">
        <f t="shared" si="98"/>
        <v>89.891196676234699</v>
      </c>
      <c r="AG121" s="105">
        <f t="shared" si="98"/>
        <v>119.88394312131702</v>
      </c>
      <c r="AH121" s="105">
        <f t="shared" si="98"/>
        <v>119.90715449705363</v>
      </c>
      <c r="AI121" s="105">
        <f t="shared" si="98"/>
        <v>119.92572359764289</v>
      </c>
      <c r="AJ121" s="105">
        <f t="shared" si="98"/>
        <v>119.94057887811432</v>
      </c>
      <c r="AK121" s="105">
        <f t="shared" si="98"/>
        <v>149.94057887811434</v>
      </c>
      <c r="AL121" s="105">
        <f t="shared" si="98"/>
        <v>149.95246310249146</v>
      </c>
      <c r="AM121" s="105">
        <f t="shared" si="98"/>
        <v>149.96197048199321</v>
      </c>
      <c r="AN121" s="105">
        <f t="shared" si="98"/>
        <v>149.96957638559454</v>
      </c>
      <c r="AP121" s="105"/>
    </row>
    <row r="122" spans="2:42" x14ac:dyDescent="0.25">
      <c r="C122" s="20" t="s">
        <v>600</v>
      </c>
      <c r="D122" s="34" t="s">
        <v>162</v>
      </c>
      <c r="E122" s="20">
        <f>MIN('3.1 Market'!$F113,'1.1 Control Panel'!E$383*'1.1 Control Panel'!E393)</f>
        <v>0</v>
      </c>
      <c r="F122" s="20">
        <f>MIN('3.1 Market'!$F113,'1.1 Control Panel'!F$383*'1.1 Control Panel'!F393)</f>
        <v>0</v>
      </c>
      <c r="G122" s="20">
        <f>MIN('3.1 Market'!$F113,'1.1 Control Panel'!G$383*'1.1 Control Panel'!G393)</f>
        <v>0</v>
      </c>
      <c r="H122" s="20">
        <f>MIN('3.1 Market'!$F113,'1.1 Control Panel'!H$383*'1.1 Control Panel'!H393)</f>
        <v>0</v>
      </c>
      <c r="I122" s="20">
        <f>MIN('3.1 Market'!$F113,'1.1 Control Panel'!I$383*'1.1 Control Panel'!I393)</f>
        <v>0</v>
      </c>
      <c r="J122" s="20">
        <f>MIN('3.1 Market'!$F113,'1.1 Control Panel'!J$383*'1.1 Control Panel'!J393)</f>
        <v>0</v>
      </c>
      <c r="K122" s="20">
        <f>MIN('3.1 Market'!$F113,'1.1 Control Panel'!K$383*'1.1 Control Panel'!K393)</f>
        <v>0</v>
      </c>
      <c r="L122" s="20">
        <f>MIN('3.1 Market'!$F113,'1.1 Control Panel'!L$383*'1.1 Control Panel'!L393)</f>
        <v>0</v>
      </c>
      <c r="M122" s="20">
        <f>MIN('3.1 Market'!$F113,'1.1 Control Panel'!M$383*'1.1 Control Panel'!M393)</f>
        <v>0</v>
      </c>
      <c r="N122" s="20">
        <f>MIN('3.1 Market'!$F113,'1.1 Control Panel'!N$383*'1.1 Control Panel'!N393)</f>
        <v>0</v>
      </c>
      <c r="O122" s="20">
        <f>MIN('3.1 Market'!$F113,'1.1 Control Panel'!O$383*'1.1 Control Panel'!O393)</f>
        <v>0</v>
      </c>
      <c r="P122" s="20">
        <f>MIN('3.1 Market'!$F113,'1.1 Control Panel'!P$383*'1.1 Control Panel'!P393)</f>
        <v>0</v>
      </c>
      <c r="Q122" s="20">
        <f>MIN('3.1 Market'!$G113,'1.1 Control Panel'!Q$383*'1.1 Control Panel'!Q393)</f>
        <v>5</v>
      </c>
      <c r="R122" s="20">
        <f>MIN('3.1 Market'!$G113,'1.1 Control Panel'!R$383*'1.1 Control Panel'!R393)</f>
        <v>5</v>
      </c>
      <c r="S122" s="20">
        <f>MIN('3.1 Market'!$G113,'1.1 Control Panel'!S$383*'1.1 Control Panel'!S393)</f>
        <v>5</v>
      </c>
      <c r="T122" s="20">
        <f>MIN('3.1 Market'!$G113,'1.1 Control Panel'!T$383*'1.1 Control Panel'!T393)</f>
        <v>5</v>
      </c>
      <c r="U122" s="20">
        <f>MIN('3.1 Market'!$G113,'1.1 Control Panel'!U$383*'1.1 Control Panel'!U393)</f>
        <v>10</v>
      </c>
      <c r="V122" s="20">
        <f>MIN('3.1 Market'!$G113,'1.1 Control Panel'!V$383*'1.1 Control Panel'!V393)</f>
        <v>10</v>
      </c>
      <c r="W122" s="20">
        <f>MIN('3.1 Market'!$G113,'1.1 Control Panel'!W$383*'1.1 Control Panel'!W393)</f>
        <v>10</v>
      </c>
      <c r="X122" s="20">
        <f>MIN('3.1 Market'!$G113,'1.1 Control Panel'!X$383*'1.1 Control Panel'!X393)</f>
        <v>10</v>
      </c>
      <c r="Y122" s="20">
        <f>MIN('3.1 Market'!$G113,'1.1 Control Panel'!Y$383*'1.1 Control Panel'!Y393)</f>
        <v>10</v>
      </c>
      <c r="Z122" s="20">
        <f>MIN('3.1 Market'!$G113,'1.1 Control Panel'!Z$383*'1.1 Control Panel'!Z393)</f>
        <v>10</v>
      </c>
      <c r="AA122" s="20">
        <f>MIN('3.1 Market'!$G113,'1.1 Control Panel'!AA$383*'1.1 Control Panel'!AA393)</f>
        <v>10</v>
      </c>
      <c r="AB122" s="20">
        <f>MIN('3.1 Market'!$G113,'1.1 Control Panel'!AB$383*'1.1 Control Panel'!AB393)</f>
        <v>10</v>
      </c>
      <c r="AC122" s="20">
        <f>MIN('3.1 Market'!$H113,'1.1 Control Panel'!AC$383*'1.1 Control Panel'!AC393)</f>
        <v>15</v>
      </c>
      <c r="AD122" s="20">
        <f>MIN('3.1 Market'!$H113,'1.1 Control Panel'!AD$383*'1.1 Control Panel'!AD393)</f>
        <v>15</v>
      </c>
      <c r="AE122" s="20">
        <f>MIN('3.1 Market'!$H113,'1.1 Control Panel'!AE$383*'1.1 Control Panel'!AE393)</f>
        <v>15</v>
      </c>
      <c r="AF122" s="20">
        <f>MIN('3.1 Market'!$H113,'1.1 Control Panel'!AF$383*'1.1 Control Panel'!AF393)</f>
        <v>15</v>
      </c>
      <c r="AG122" s="20">
        <f>MIN('3.1 Market'!$H113,'1.1 Control Panel'!AG$383*'1.1 Control Panel'!AG393)</f>
        <v>20</v>
      </c>
      <c r="AH122" s="20">
        <f>MIN('3.1 Market'!$H113,'1.1 Control Panel'!AH$383*'1.1 Control Panel'!AH393)</f>
        <v>20</v>
      </c>
      <c r="AI122" s="20">
        <f>MIN('3.1 Market'!$H113,'1.1 Control Panel'!AI$383*'1.1 Control Panel'!AI393)</f>
        <v>20</v>
      </c>
      <c r="AJ122" s="20">
        <f>MIN('3.1 Market'!$H113,'1.1 Control Panel'!AJ$383*'1.1 Control Panel'!AJ393)</f>
        <v>20</v>
      </c>
      <c r="AK122" s="20">
        <f>MIN('3.1 Market'!$H113,'1.1 Control Panel'!AK$383*'1.1 Control Panel'!AK393)</f>
        <v>25</v>
      </c>
      <c r="AL122" s="20">
        <f>MIN('3.1 Market'!$H113,'1.1 Control Panel'!AL$383*'1.1 Control Panel'!AL393)</f>
        <v>25</v>
      </c>
      <c r="AM122" s="20">
        <f>MIN('3.1 Market'!$H113,'1.1 Control Panel'!AM$383*'1.1 Control Panel'!AM393)</f>
        <v>25</v>
      </c>
      <c r="AN122" s="20">
        <f>MIN('3.1 Market'!$H113,'1.1 Control Panel'!AN$383*'1.1 Control Panel'!AN393)</f>
        <v>25</v>
      </c>
      <c r="AP122" s="20"/>
    </row>
    <row r="123" spans="2:42" x14ac:dyDescent="0.25">
      <c r="C123" s="20" t="s">
        <v>392</v>
      </c>
      <c r="D123" s="34" t="s">
        <v>162</v>
      </c>
      <c r="E123" s="20">
        <f>MIN('3.1 Market'!$F114,'1.1 Control Panel'!E$383*'1.1 Control Panel'!E394)</f>
        <v>0</v>
      </c>
      <c r="F123" s="20">
        <f>MIN('3.1 Market'!$F114,'1.1 Control Panel'!F$383*'1.1 Control Panel'!F394)</f>
        <v>0</v>
      </c>
      <c r="G123" s="20">
        <f>MIN('3.1 Market'!$F114,'1.1 Control Panel'!G$383*'1.1 Control Panel'!G394)</f>
        <v>0</v>
      </c>
      <c r="H123" s="20">
        <f>MIN('3.1 Market'!$F114,'1.1 Control Panel'!H$383*'1.1 Control Panel'!H394)</f>
        <v>0</v>
      </c>
      <c r="I123" s="20">
        <f>MIN('3.1 Market'!$F114,'1.1 Control Panel'!I$383*'1.1 Control Panel'!I394)</f>
        <v>0</v>
      </c>
      <c r="J123" s="20">
        <f>MIN('3.1 Market'!$F114,'1.1 Control Panel'!J$383*'1.1 Control Panel'!J394)</f>
        <v>0</v>
      </c>
      <c r="K123" s="20">
        <f>MIN('3.1 Market'!$F114,'1.1 Control Panel'!K$383*'1.1 Control Panel'!K394)</f>
        <v>0</v>
      </c>
      <c r="L123" s="20">
        <f>MIN('3.1 Market'!$F114,'1.1 Control Panel'!L$383*'1.1 Control Panel'!L394)</f>
        <v>0</v>
      </c>
      <c r="M123" s="20">
        <f>MIN('3.1 Market'!$F114,'1.1 Control Panel'!M$383*'1.1 Control Panel'!M394)</f>
        <v>0</v>
      </c>
      <c r="N123" s="20">
        <f>MIN('3.1 Market'!$F114,'1.1 Control Panel'!N$383*'1.1 Control Panel'!N394)</f>
        <v>0</v>
      </c>
      <c r="O123" s="20">
        <f>MIN('3.1 Market'!$F114,'1.1 Control Panel'!O$383*'1.1 Control Panel'!O394)</f>
        <v>0</v>
      </c>
      <c r="P123" s="20">
        <f>MIN('3.1 Market'!$F114,'1.1 Control Panel'!P$383*'1.1 Control Panel'!P394)</f>
        <v>0</v>
      </c>
      <c r="Q123" s="20">
        <f>MIN('3.1 Market'!$G114,'1.1 Control Panel'!Q$383*'1.1 Control Panel'!Q394)</f>
        <v>4.9312805232640002</v>
      </c>
      <c r="R123" s="20">
        <f>MIN('3.1 Market'!$G114,'1.1 Control Panel'!R$383*'1.1 Control Panel'!R394)</f>
        <v>4.9450244186112009</v>
      </c>
      <c r="S123" s="20">
        <f>MIN('3.1 Market'!$G114,'1.1 Control Panel'!S$383*'1.1 Control Panel'!S394)</f>
        <v>4.9560195348889611</v>
      </c>
      <c r="T123" s="20">
        <f>MIN('3.1 Market'!$G114,'1.1 Control Panel'!T$383*'1.1 Control Panel'!T394)</f>
        <v>4.964815627911169</v>
      </c>
      <c r="U123" s="20">
        <f>MIN('3.1 Market'!$G114,'1.1 Control Panel'!U$383*'1.1 Control Panel'!U394)</f>
        <v>9.9437050046578719</v>
      </c>
      <c r="V123" s="20">
        <f>MIN('3.1 Market'!$G114,'1.1 Control Panel'!V$383*'1.1 Control Panel'!V394)</f>
        <v>9.9549640037262979</v>
      </c>
      <c r="W123" s="20">
        <f>MIN('3.1 Market'!$G114,'1.1 Control Panel'!W$383*'1.1 Control Panel'!W394)</f>
        <v>9.963971202981039</v>
      </c>
      <c r="X123" s="20">
        <f>MIN('3.1 Market'!$G114,'1.1 Control Panel'!X$383*'1.1 Control Panel'!X394)</f>
        <v>9.9711769623848312</v>
      </c>
      <c r="Y123" s="20">
        <f>MIN('3.1 Market'!$G114,'1.1 Control Panel'!Y$383*'1.1 Control Panel'!Y394)</f>
        <v>9.976941569907865</v>
      </c>
      <c r="Z123" s="20">
        <f>MIN('3.1 Market'!$G114,'1.1 Control Panel'!Z$383*'1.1 Control Panel'!Z394)</f>
        <v>9.9815532559262934</v>
      </c>
      <c r="AA123" s="20">
        <f>MIN('3.1 Market'!$G114,'1.1 Control Panel'!AA$383*'1.1 Control Panel'!AA394)</f>
        <v>9.9852426047410354</v>
      </c>
      <c r="AB123" s="20">
        <f>MIN('3.1 Market'!$G114,'1.1 Control Panel'!AB$383*'1.1 Control Panel'!AB394)</f>
        <v>9.9881940837928287</v>
      </c>
      <c r="AC123" s="20">
        <f>MIN('3.1 Market'!$H114,'1.1 Control Panel'!AC$383*'1.1 Control Panel'!AC394)</f>
        <v>14.985832900551395</v>
      </c>
      <c r="AD123" s="20">
        <f>MIN('3.1 Market'!$H114,'1.1 Control Panel'!AD$383*'1.1 Control Panel'!AD394)</f>
        <v>14.988666320441117</v>
      </c>
      <c r="AE123" s="20">
        <f>MIN('3.1 Market'!$H114,'1.1 Control Panel'!AE$383*'1.1 Control Panel'!AE394)</f>
        <v>14.990933056352894</v>
      </c>
      <c r="AF123" s="20">
        <f>MIN('3.1 Market'!$H114,'1.1 Control Panel'!AF$383*'1.1 Control Panel'!AF394)</f>
        <v>14.992746445082316</v>
      </c>
      <c r="AG123" s="20">
        <f>MIN('3.1 Market'!$H114,'1.1 Control Panel'!AG$383*'1.1 Control Panel'!AG394)</f>
        <v>19.992262874754474</v>
      </c>
      <c r="AH123" s="20">
        <f>MIN('3.1 Market'!$H114,'1.1 Control Panel'!AH$383*'1.1 Control Panel'!AH394)</f>
        <v>19.993810299803577</v>
      </c>
      <c r="AI123" s="20">
        <f>MIN('3.1 Market'!$H114,'1.1 Control Panel'!AI$383*'1.1 Control Panel'!AI394)</f>
        <v>19.995048239842863</v>
      </c>
      <c r="AJ123" s="20">
        <f>MIN('3.1 Market'!$H114,'1.1 Control Panel'!AJ$383*'1.1 Control Panel'!AJ394)</f>
        <v>19.996038591874289</v>
      </c>
      <c r="AK123" s="20">
        <f>MIN('3.1 Market'!$H114,'1.1 Control Panel'!AK$383*'1.1 Control Panel'!AK394)</f>
        <v>24.996038591874292</v>
      </c>
      <c r="AL123" s="20">
        <f>MIN('3.1 Market'!$H114,'1.1 Control Panel'!AL$383*'1.1 Control Panel'!AL394)</f>
        <v>24.996830873499434</v>
      </c>
      <c r="AM123" s="20">
        <f>MIN('3.1 Market'!$H114,'1.1 Control Panel'!AM$383*'1.1 Control Panel'!AM394)</f>
        <v>24.997464698799547</v>
      </c>
      <c r="AN123" s="20">
        <f>MIN('3.1 Market'!$H114,'1.1 Control Panel'!AN$383*'1.1 Control Panel'!AN394)</f>
        <v>24.997971759039636</v>
      </c>
      <c r="AP123" s="20"/>
    </row>
    <row r="124" spans="2:42" x14ac:dyDescent="0.25">
      <c r="C124" s="20" t="s">
        <v>454</v>
      </c>
      <c r="D124" s="34" t="s">
        <v>162</v>
      </c>
      <c r="E124" s="20">
        <f>MIN('3.1 Market'!$F115,'1.1 Control Panel'!E$383*'1.1 Control Panel'!E395)</f>
        <v>0</v>
      </c>
      <c r="F124" s="20">
        <f>MIN('3.1 Market'!$F115,'1.1 Control Panel'!F$383*'1.1 Control Panel'!F395)</f>
        <v>0</v>
      </c>
      <c r="G124" s="20">
        <f>MIN('3.1 Market'!$F115,'1.1 Control Panel'!G$383*'1.1 Control Panel'!G395)</f>
        <v>0</v>
      </c>
      <c r="H124" s="20">
        <f>MIN('3.1 Market'!$F115,'1.1 Control Panel'!H$383*'1.1 Control Panel'!H395)</f>
        <v>0</v>
      </c>
      <c r="I124" s="20">
        <f>MIN('3.1 Market'!$F115,'1.1 Control Panel'!I$383*'1.1 Control Panel'!I395)</f>
        <v>0</v>
      </c>
      <c r="J124" s="20">
        <f>MIN('3.1 Market'!$F115,'1.1 Control Panel'!J$383*'1.1 Control Panel'!J395)</f>
        <v>0</v>
      </c>
      <c r="K124" s="20">
        <f>MIN('3.1 Market'!$F115,'1.1 Control Panel'!K$383*'1.1 Control Panel'!K395)</f>
        <v>0</v>
      </c>
      <c r="L124" s="20">
        <f>MIN('3.1 Market'!$F115,'1.1 Control Panel'!L$383*'1.1 Control Panel'!L395)</f>
        <v>0</v>
      </c>
      <c r="M124" s="20">
        <f>MIN('3.1 Market'!$F115,'1.1 Control Panel'!M$383*'1.1 Control Panel'!M395)</f>
        <v>0</v>
      </c>
      <c r="N124" s="20">
        <f>MIN('3.1 Market'!$F115,'1.1 Control Panel'!N$383*'1.1 Control Panel'!N395)</f>
        <v>0</v>
      </c>
      <c r="O124" s="20">
        <f>MIN('3.1 Market'!$F115,'1.1 Control Panel'!O$383*'1.1 Control Panel'!O395)</f>
        <v>0</v>
      </c>
      <c r="P124" s="20">
        <f>MIN('3.1 Market'!$F115,'1.1 Control Panel'!P$383*'1.1 Control Panel'!P395)</f>
        <v>0</v>
      </c>
      <c r="Q124" s="20">
        <f>MIN('3.1 Market'!$G115,'1.1 Control Panel'!Q$383*'1.1 Control Panel'!Q395)</f>
        <v>4.8625610465280014</v>
      </c>
      <c r="R124" s="20">
        <f>MIN('3.1 Market'!$G115,'1.1 Control Panel'!R$383*'1.1 Control Panel'!R395)</f>
        <v>4.8900488372224018</v>
      </c>
      <c r="S124" s="20">
        <f>MIN('3.1 Market'!$G115,'1.1 Control Panel'!S$383*'1.1 Control Panel'!S395)</f>
        <v>4.9120390697779222</v>
      </c>
      <c r="T124" s="20">
        <f>MIN('3.1 Market'!$G115,'1.1 Control Panel'!T$383*'1.1 Control Panel'!T395)</f>
        <v>4.9296312558223381</v>
      </c>
      <c r="U124" s="20">
        <f>MIN('3.1 Market'!$G115,'1.1 Control Panel'!U$383*'1.1 Control Panel'!U395)</f>
        <v>9.8874100093157402</v>
      </c>
      <c r="V124" s="20">
        <f>MIN('3.1 Market'!$G115,'1.1 Control Panel'!V$383*'1.1 Control Panel'!V395)</f>
        <v>9.9099280074525922</v>
      </c>
      <c r="W124" s="20">
        <f>MIN('3.1 Market'!$G115,'1.1 Control Panel'!W$383*'1.1 Control Panel'!W395)</f>
        <v>9.9279424059620744</v>
      </c>
      <c r="X124" s="20">
        <f>MIN('3.1 Market'!$G115,'1.1 Control Panel'!X$383*'1.1 Control Panel'!X395)</f>
        <v>9.9423539247696588</v>
      </c>
      <c r="Y124" s="20">
        <f>MIN('3.1 Market'!$G115,'1.1 Control Panel'!Y$383*'1.1 Control Panel'!Y395)</f>
        <v>9.9538831398157264</v>
      </c>
      <c r="Z124" s="20">
        <f>MIN('3.1 Market'!$G115,'1.1 Control Panel'!Z$383*'1.1 Control Panel'!Z395)</f>
        <v>9.9631065118525814</v>
      </c>
      <c r="AA124" s="20">
        <f>MIN('3.1 Market'!$G115,'1.1 Control Panel'!AA$383*'1.1 Control Panel'!AA395)</f>
        <v>9.9704852094820655</v>
      </c>
      <c r="AB124" s="20">
        <f>MIN('3.1 Market'!$G115,'1.1 Control Panel'!AB$383*'1.1 Control Panel'!AB395)</f>
        <v>9.9763881675856538</v>
      </c>
      <c r="AC124" s="20">
        <f>MIN('3.1 Market'!$H115,'1.1 Control Panel'!AC$383*'1.1 Control Panel'!AC395)</f>
        <v>14.971665801102786</v>
      </c>
      <c r="AD124" s="20">
        <f>MIN('3.1 Market'!$H115,'1.1 Control Panel'!AD$383*'1.1 Control Panel'!AD395)</f>
        <v>14.97733264088223</v>
      </c>
      <c r="AE124" s="20">
        <f>MIN('3.1 Market'!$H115,'1.1 Control Panel'!AE$383*'1.1 Control Panel'!AE395)</f>
        <v>14.981866112705783</v>
      </c>
      <c r="AF124" s="20">
        <f>MIN('3.1 Market'!$H115,'1.1 Control Panel'!AF$383*'1.1 Control Panel'!AF395)</f>
        <v>14.985492890164627</v>
      </c>
      <c r="AG124" s="20">
        <f>MIN('3.1 Market'!$H115,'1.1 Control Panel'!AG$383*'1.1 Control Panel'!AG395)</f>
        <v>19.984525749508936</v>
      </c>
      <c r="AH124" s="20">
        <f>MIN('3.1 Market'!$H115,'1.1 Control Panel'!AH$383*'1.1 Control Panel'!AH395)</f>
        <v>19.987620599607148</v>
      </c>
      <c r="AI124" s="20">
        <f>MIN('3.1 Market'!$H115,'1.1 Control Panel'!AI$383*'1.1 Control Panel'!AI395)</f>
        <v>19.990096479685718</v>
      </c>
      <c r="AJ124" s="20">
        <f>MIN('3.1 Market'!$H115,'1.1 Control Panel'!AJ$383*'1.1 Control Panel'!AJ395)</f>
        <v>19.992077183748577</v>
      </c>
      <c r="AK124" s="20">
        <f>MIN('3.1 Market'!$H115,'1.1 Control Panel'!AK$383*'1.1 Control Panel'!AK395)</f>
        <v>24.992077183748577</v>
      </c>
      <c r="AL124" s="20">
        <f>MIN('3.1 Market'!$H115,'1.1 Control Panel'!AL$383*'1.1 Control Panel'!AL395)</f>
        <v>24.99366174699886</v>
      </c>
      <c r="AM124" s="20">
        <f>MIN('3.1 Market'!$H115,'1.1 Control Panel'!AM$383*'1.1 Control Panel'!AM395)</f>
        <v>24.99492939759909</v>
      </c>
      <c r="AN124" s="20">
        <f>MIN('3.1 Market'!$H115,'1.1 Control Panel'!AN$383*'1.1 Control Panel'!AN395)</f>
        <v>24.995943518079272</v>
      </c>
      <c r="AP124" s="20"/>
    </row>
    <row r="125" spans="2:42" x14ac:dyDescent="0.25">
      <c r="C125" s="21" t="s">
        <v>455</v>
      </c>
      <c r="D125" s="38" t="s">
        <v>162</v>
      </c>
      <c r="E125" s="21">
        <f>MIN('3.1 Market'!$F116,'1.1 Control Panel'!E$383*'1.1 Control Panel'!E396)</f>
        <v>0</v>
      </c>
      <c r="F125" s="21">
        <f>MIN('3.1 Market'!$F116,'1.1 Control Panel'!F$383*'1.1 Control Panel'!F396)</f>
        <v>0</v>
      </c>
      <c r="G125" s="21">
        <f>MIN('3.1 Market'!$F116,'1.1 Control Panel'!G$383*'1.1 Control Panel'!G396)</f>
        <v>0</v>
      </c>
      <c r="H125" s="21">
        <f>MIN('3.1 Market'!$F116,'1.1 Control Panel'!H$383*'1.1 Control Panel'!H396)</f>
        <v>0</v>
      </c>
      <c r="I125" s="21">
        <f>MIN('3.1 Market'!$F116,'1.1 Control Panel'!I$383*'1.1 Control Panel'!I396)</f>
        <v>0</v>
      </c>
      <c r="J125" s="21">
        <f>MIN('3.1 Market'!$F116,'1.1 Control Panel'!J$383*'1.1 Control Panel'!J396)</f>
        <v>0</v>
      </c>
      <c r="K125" s="21">
        <f>MIN('3.1 Market'!$F116,'1.1 Control Panel'!K$383*'1.1 Control Panel'!K396)</f>
        <v>0</v>
      </c>
      <c r="L125" s="21">
        <f>MIN('3.1 Market'!$F116,'1.1 Control Panel'!L$383*'1.1 Control Panel'!L396)</f>
        <v>0</v>
      </c>
      <c r="M125" s="21">
        <f>MIN('3.1 Market'!$F116,'1.1 Control Panel'!M$383*'1.1 Control Panel'!M396)</f>
        <v>0</v>
      </c>
      <c r="N125" s="21">
        <f>MIN('3.1 Market'!$F116,'1.1 Control Panel'!N$383*'1.1 Control Panel'!N396)</f>
        <v>0</v>
      </c>
      <c r="O125" s="21">
        <f>MIN('3.1 Market'!$F116,'1.1 Control Panel'!O$383*'1.1 Control Panel'!O396)</f>
        <v>0</v>
      </c>
      <c r="P125" s="21">
        <f>MIN('3.1 Market'!$F116,'1.1 Control Panel'!P$383*'1.1 Control Panel'!P396)</f>
        <v>0</v>
      </c>
      <c r="Q125" s="21">
        <f>MIN('3.1 Market'!$G116,'1.1 Control Panel'!Q$383*'1.1 Control Panel'!Q396)</f>
        <v>4.7938415697920007</v>
      </c>
      <c r="R125" s="21">
        <f>MIN('3.1 Market'!$G116,'1.1 Control Panel'!R$383*'1.1 Control Panel'!R396)</f>
        <v>4.8350732558336009</v>
      </c>
      <c r="S125" s="21">
        <f>MIN('3.1 Market'!$G116,'1.1 Control Panel'!S$383*'1.1 Control Panel'!S396)</f>
        <v>4.8680586046668815</v>
      </c>
      <c r="T125" s="21">
        <f>MIN('3.1 Market'!$G116,'1.1 Control Panel'!T$383*'1.1 Control Panel'!T396)</f>
        <v>4.8944468837335053</v>
      </c>
      <c r="U125" s="21">
        <f>MIN('3.1 Market'!$G116,'1.1 Control Panel'!U$383*'1.1 Control Panel'!U396)</f>
        <v>9.8311150139736085</v>
      </c>
      <c r="V125" s="21">
        <f>MIN('3.1 Market'!$G116,'1.1 Control Panel'!V$383*'1.1 Control Panel'!V396)</f>
        <v>9.8648920111788883</v>
      </c>
      <c r="W125" s="21">
        <f>MIN('3.1 Market'!$G116,'1.1 Control Panel'!W$383*'1.1 Control Panel'!W396)</f>
        <v>9.8919136089431099</v>
      </c>
      <c r="X125" s="21">
        <f>MIN('3.1 Market'!$G116,'1.1 Control Panel'!X$383*'1.1 Control Panel'!X396)</f>
        <v>9.9135308871544883</v>
      </c>
      <c r="Y125" s="21">
        <f>MIN('3.1 Market'!$G116,'1.1 Control Panel'!Y$383*'1.1 Control Panel'!Y396)</f>
        <v>9.9308247097235913</v>
      </c>
      <c r="Z125" s="21">
        <f>MIN('3.1 Market'!$G116,'1.1 Control Panel'!Z$383*'1.1 Control Panel'!Z396)</f>
        <v>9.9446597677788731</v>
      </c>
      <c r="AA125" s="21">
        <f>MIN('3.1 Market'!$G116,'1.1 Control Panel'!AA$383*'1.1 Control Panel'!AA396)</f>
        <v>9.9557278142230992</v>
      </c>
      <c r="AB125" s="21">
        <f>MIN('3.1 Market'!$G116,'1.1 Control Panel'!AB$383*'1.1 Control Panel'!AB396)</f>
        <v>9.9645822513784807</v>
      </c>
      <c r="AC125" s="21">
        <f>MIN('3.1 Market'!$H116,'1.1 Control Panel'!AC$383*'1.1 Control Panel'!AC396)</f>
        <v>14.957498701654176</v>
      </c>
      <c r="AD125" s="21">
        <f>MIN('3.1 Market'!$H116,'1.1 Control Panel'!AD$383*'1.1 Control Panel'!AD396)</f>
        <v>14.965998961323342</v>
      </c>
      <c r="AE125" s="21">
        <f>MIN('3.1 Market'!$H116,'1.1 Control Panel'!AE$383*'1.1 Control Panel'!AE396)</f>
        <v>14.972799169058675</v>
      </c>
      <c r="AF125" s="21">
        <f>MIN('3.1 Market'!$H116,'1.1 Control Panel'!AF$383*'1.1 Control Panel'!AF396)</f>
        <v>14.978239335246938</v>
      </c>
      <c r="AG125" s="21">
        <f>MIN('3.1 Market'!$H116,'1.1 Control Panel'!AG$383*'1.1 Control Panel'!AG396)</f>
        <v>19.976788624263399</v>
      </c>
      <c r="AH125" s="21">
        <f>MIN('3.1 Market'!$H116,'1.1 Control Panel'!AH$383*'1.1 Control Panel'!AH396)</f>
        <v>19.981430899410718</v>
      </c>
      <c r="AI125" s="21">
        <f>MIN('3.1 Market'!$H116,'1.1 Control Panel'!AI$383*'1.1 Control Panel'!AI396)</f>
        <v>19.985144719528577</v>
      </c>
      <c r="AJ125" s="21">
        <f>MIN('3.1 Market'!$H116,'1.1 Control Panel'!AJ$383*'1.1 Control Panel'!AJ396)</f>
        <v>19.988115775622862</v>
      </c>
      <c r="AK125" s="21">
        <f>MIN('3.1 Market'!$H116,'1.1 Control Panel'!AK$383*'1.1 Control Panel'!AK396)</f>
        <v>24.988115775622862</v>
      </c>
      <c r="AL125" s="21">
        <f>MIN('3.1 Market'!$H116,'1.1 Control Panel'!AL$383*'1.1 Control Panel'!AL396)</f>
        <v>24.990492620498294</v>
      </c>
      <c r="AM125" s="21">
        <f>MIN('3.1 Market'!$H116,'1.1 Control Panel'!AM$383*'1.1 Control Panel'!AM396)</f>
        <v>24.992394096398634</v>
      </c>
      <c r="AN125" s="21">
        <f>MIN('3.1 Market'!$H116,'1.1 Control Panel'!AN$383*'1.1 Control Panel'!AN396)</f>
        <v>24.993915277118912</v>
      </c>
      <c r="AP125" s="21"/>
    </row>
    <row r="126" spans="2:42" x14ac:dyDescent="0.25">
      <c r="C126" s="21" t="s">
        <v>393</v>
      </c>
      <c r="D126" s="38" t="s">
        <v>162</v>
      </c>
      <c r="E126" s="21">
        <f>MIN('3.1 Market'!$F117,'1.1 Control Panel'!E$383*'1.1 Control Panel'!E397)</f>
        <v>0</v>
      </c>
      <c r="F126" s="21">
        <f>MIN('3.1 Market'!$F117,'1.1 Control Panel'!F$383*'1.1 Control Panel'!F397)</f>
        <v>0</v>
      </c>
      <c r="G126" s="21">
        <f>MIN('3.1 Market'!$F117,'1.1 Control Panel'!G$383*'1.1 Control Panel'!G397)</f>
        <v>0</v>
      </c>
      <c r="H126" s="21">
        <f>MIN('3.1 Market'!$F117,'1.1 Control Panel'!H$383*'1.1 Control Panel'!H397)</f>
        <v>0</v>
      </c>
      <c r="I126" s="21">
        <f>MIN('3.1 Market'!$F117,'1.1 Control Panel'!I$383*'1.1 Control Panel'!I397)</f>
        <v>0</v>
      </c>
      <c r="J126" s="21">
        <f>MIN('3.1 Market'!$F117,'1.1 Control Panel'!J$383*'1.1 Control Panel'!J397)</f>
        <v>0</v>
      </c>
      <c r="K126" s="21">
        <f>MIN('3.1 Market'!$F117,'1.1 Control Panel'!K$383*'1.1 Control Panel'!K397)</f>
        <v>0</v>
      </c>
      <c r="L126" s="21">
        <f>MIN('3.1 Market'!$F117,'1.1 Control Panel'!L$383*'1.1 Control Panel'!L397)</f>
        <v>0</v>
      </c>
      <c r="M126" s="21">
        <f>MIN('3.1 Market'!$F117,'1.1 Control Panel'!M$383*'1.1 Control Panel'!M397)</f>
        <v>0</v>
      </c>
      <c r="N126" s="21">
        <f>MIN('3.1 Market'!$F117,'1.1 Control Panel'!N$383*'1.1 Control Panel'!N397)</f>
        <v>0</v>
      </c>
      <c r="O126" s="21">
        <f>MIN('3.1 Market'!$F117,'1.1 Control Panel'!O$383*'1.1 Control Panel'!O397)</f>
        <v>0</v>
      </c>
      <c r="P126" s="21">
        <f>MIN('3.1 Market'!$F117,'1.1 Control Panel'!P$383*'1.1 Control Panel'!P397)</f>
        <v>0</v>
      </c>
      <c r="Q126" s="21">
        <f>MIN('3.1 Market'!$G117,'1.1 Control Panel'!Q$383*'1.1 Control Panel'!Q397)</f>
        <v>4.7251220930560009</v>
      </c>
      <c r="R126" s="21">
        <f>MIN('3.1 Market'!$G117,'1.1 Control Panel'!R$383*'1.1 Control Panel'!R397)</f>
        <v>4.7800976744448009</v>
      </c>
      <c r="S126" s="21">
        <f>MIN('3.1 Market'!$G117,'1.1 Control Panel'!S$383*'1.1 Control Panel'!S397)</f>
        <v>4.8240781395558407</v>
      </c>
      <c r="T126" s="21">
        <f>MIN('3.1 Market'!$G117,'1.1 Control Panel'!T$383*'1.1 Control Panel'!T397)</f>
        <v>4.8592625116446726</v>
      </c>
      <c r="U126" s="21">
        <f>MIN('3.1 Market'!$G117,'1.1 Control Panel'!U$383*'1.1 Control Panel'!U397)</f>
        <v>9.7748200186314769</v>
      </c>
      <c r="V126" s="21">
        <f>MIN('3.1 Market'!$G117,'1.1 Control Panel'!V$383*'1.1 Control Panel'!V397)</f>
        <v>9.8198560149051808</v>
      </c>
      <c r="W126" s="21">
        <f>MIN('3.1 Market'!$G117,'1.1 Control Panel'!W$383*'1.1 Control Panel'!W397)</f>
        <v>9.8558848119241453</v>
      </c>
      <c r="X126" s="21">
        <f>MIN('3.1 Market'!$G117,'1.1 Control Panel'!X$383*'1.1 Control Panel'!X397)</f>
        <v>9.8847078495393177</v>
      </c>
      <c r="Y126" s="21">
        <f>MIN('3.1 Market'!$G117,'1.1 Control Panel'!Y$383*'1.1 Control Panel'!Y397)</f>
        <v>9.9077662796314545</v>
      </c>
      <c r="Z126" s="21">
        <f>MIN('3.1 Market'!$G117,'1.1 Control Panel'!Z$383*'1.1 Control Panel'!Z397)</f>
        <v>9.9262130237051629</v>
      </c>
      <c r="AA126" s="21">
        <f>MIN('3.1 Market'!$G117,'1.1 Control Panel'!AA$383*'1.1 Control Panel'!AA397)</f>
        <v>9.940970418964131</v>
      </c>
      <c r="AB126" s="21">
        <f>MIN('3.1 Market'!$G117,'1.1 Control Panel'!AB$383*'1.1 Control Panel'!AB397)</f>
        <v>9.9527763351713041</v>
      </c>
      <c r="AC126" s="21">
        <f>MIN('3.1 Market'!$H117,'1.1 Control Panel'!AC$383*'1.1 Control Panel'!AC397)</f>
        <v>14.943331602205566</v>
      </c>
      <c r="AD126" s="21">
        <f>MIN('3.1 Market'!$H117,'1.1 Control Panel'!AD$383*'1.1 Control Panel'!AD397)</f>
        <v>14.954665281764454</v>
      </c>
      <c r="AE126" s="21">
        <f>MIN('3.1 Market'!$H117,'1.1 Control Panel'!AE$383*'1.1 Control Panel'!AE397)</f>
        <v>14.963732225411565</v>
      </c>
      <c r="AF126" s="21">
        <f>MIN('3.1 Market'!$H117,'1.1 Control Panel'!AF$383*'1.1 Control Panel'!AF397)</f>
        <v>14.970985780329254</v>
      </c>
      <c r="AG126" s="21">
        <f>MIN('3.1 Market'!$H117,'1.1 Control Panel'!AG$383*'1.1 Control Panel'!AG397)</f>
        <v>19.969051499017873</v>
      </c>
      <c r="AH126" s="21">
        <f>MIN('3.1 Market'!$H117,'1.1 Control Panel'!AH$383*'1.1 Control Panel'!AH397)</f>
        <v>19.975241199214299</v>
      </c>
      <c r="AI126" s="21">
        <f>MIN('3.1 Market'!$H117,'1.1 Control Panel'!AI$383*'1.1 Control Panel'!AI397)</f>
        <v>19.98019295937144</v>
      </c>
      <c r="AJ126" s="21">
        <f>MIN('3.1 Market'!$H117,'1.1 Control Panel'!AJ$383*'1.1 Control Panel'!AJ397)</f>
        <v>19.984154367497155</v>
      </c>
      <c r="AK126" s="21">
        <f>MIN('3.1 Market'!$H117,'1.1 Control Panel'!AK$383*'1.1 Control Panel'!AK397)</f>
        <v>24.984154367497155</v>
      </c>
      <c r="AL126" s="21">
        <f>MIN('3.1 Market'!$H117,'1.1 Control Panel'!AL$383*'1.1 Control Panel'!AL397)</f>
        <v>24.987323493997728</v>
      </c>
      <c r="AM126" s="21">
        <f>MIN('3.1 Market'!$H117,'1.1 Control Panel'!AM$383*'1.1 Control Panel'!AM397)</f>
        <v>24.989858795198181</v>
      </c>
      <c r="AN126" s="21">
        <f>MIN('3.1 Market'!$H117,'1.1 Control Panel'!AN$383*'1.1 Control Panel'!AN397)</f>
        <v>24.991887036158545</v>
      </c>
      <c r="AP126" s="21"/>
    </row>
    <row r="127" spans="2:42" x14ac:dyDescent="0.25">
      <c r="C127" s="21" t="s">
        <v>456</v>
      </c>
      <c r="D127" s="38" t="s">
        <v>162</v>
      </c>
      <c r="E127" s="21">
        <f>MIN('3.1 Market'!$F118,'1.1 Control Panel'!E$383*'1.1 Control Panel'!E398)</f>
        <v>0</v>
      </c>
      <c r="F127" s="21">
        <f>MIN('3.1 Market'!$F118,'1.1 Control Panel'!F$383*'1.1 Control Panel'!F398)</f>
        <v>0</v>
      </c>
      <c r="G127" s="21">
        <f>MIN('3.1 Market'!$F118,'1.1 Control Panel'!G$383*'1.1 Control Panel'!G398)</f>
        <v>0</v>
      </c>
      <c r="H127" s="21">
        <f>MIN('3.1 Market'!$F118,'1.1 Control Panel'!H$383*'1.1 Control Panel'!H398)</f>
        <v>0</v>
      </c>
      <c r="I127" s="21">
        <f>MIN('3.1 Market'!$F118,'1.1 Control Panel'!I$383*'1.1 Control Panel'!I398)</f>
        <v>0</v>
      </c>
      <c r="J127" s="21">
        <f>MIN('3.1 Market'!$F118,'1.1 Control Panel'!J$383*'1.1 Control Panel'!J398)</f>
        <v>0</v>
      </c>
      <c r="K127" s="21">
        <f>MIN('3.1 Market'!$F118,'1.1 Control Panel'!K$383*'1.1 Control Panel'!K398)</f>
        <v>0</v>
      </c>
      <c r="L127" s="21">
        <f>MIN('3.1 Market'!$F118,'1.1 Control Panel'!L$383*'1.1 Control Panel'!L398)</f>
        <v>0</v>
      </c>
      <c r="M127" s="21">
        <f>MIN('3.1 Market'!$F118,'1.1 Control Panel'!M$383*'1.1 Control Panel'!M398)</f>
        <v>0</v>
      </c>
      <c r="N127" s="21">
        <f>MIN('3.1 Market'!$F118,'1.1 Control Panel'!N$383*'1.1 Control Panel'!N398)</f>
        <v>0</v>
      </c>
      <c r="O127" s="21">
        <f>MIN('3.1 Market'!$F118,'1.1 Control Panel'!O$383*'1.1 Control Panel'!O398)</f>
        <v>0</v>
      </c>
      <c r="P127" s="21">
        <f>MIN('3.1 Market'!$F118,'1.1 Control Panel'!P$383*'1.1 Control Panel'!P398)</f>
        <v>0</v>
      </c>
      <c r="Q127" s="21">
        <f>MIN('3.1 Market'!$G118,'1.1 Control Panel'!Q$383*'1.1 Control Panel'!Q398)</f>
        <v>4.6564026163200012</v>
      </c>
      <c r="R127" s="21">
        <f>MIN('3.1 Market'!$G118,'1.1 Control Panel'!R$383*'1.1 Control Panel'!R398)</f>
        <v>4.7251220930560009</v>
      </c>
      <c r="S127" s="21">
        <f>MIN('3.1 Market'!$G118,'1.1 Control Panel'!S$383*'1.1 Control Panel'!S398)</f>
        <v>4.7800976744448009</v>
      </c>
      <c r="T127" s="21">
        <f>MIN('3.1 Market'!$G118,'1.1 Control Panel'!T$383*'1.1 Control Panel'!T398)</f>
        <v>4.8240781395558407</v>
      </c>
      <c r="U127" s="21">
        <f>MIN('3.1 Market'!$G118,'1.1 Control Panel'!U$383*'1.1 Control Panel'!U398)</f>
        <v>9.7185250232893452</v>
      </c>
      <c r="V127" s="21">
        <f>MIN('3.1 Market'!$G118,'1.1 Control Panel'!V$383*'1.1 Control Panel'!V398)</f>
        <v>9.7748200186314769</v>
      </c>
      <c r="W127" s="21">
        <f>MIN('3.1 Market'!$G118,'1.1 Control Panel'!W$383*'1.1 Control Panel'!W398)</f>
        <v>9.8198560149051808</v>
      </c>
      <c r="X127" s="21">
        <f>MIN('3.1 Market'!$G118,'1.1 Control Panel'!X$383*'1.1 Control Panel'!X398)</f>
        <v>9.8558848119241453</v>
      </c>
      <c r="Y127" s="21">
        <f>MIN('3.1 Market'!$G118,'1.1 Control Panel'!Y$383*'1.1 Control Panel'!Y398)</f>
        <v>9.8847078495393177</v>
      </c>
      <c r="Z127" s="21">
        <f>MIN('3.1 Market'!$G118,'1.1 Control Panel'!Z$383*'1.1 Control Panel'!Z398)</f>
        <v>9.9077662796314545</v>
      </c>
      <c r="AA127" s="21">
        <f>MIN('3.1 Market'!$G118,'1.1 Control Panel'!AA$383*'1.1 Control Panel'!AA398)</f>
        <v>9.9262130237051629</v>
      </c>
      <c r="AB127" s="21">
        <f>MIN('3.1 Market'!$G118,'1.1 Control Panel'!AB$383*'1.1 Control Panel'!AB398)</f>
        <v>9.940970418964131</v>
      </c>
      <c r="AC127" s="21">
        <f>MIN('3.1 Market'!$H118,'1.1 Control Panel'!AC$383*'1.1 Control Panel'!AC398)</f>
        <v>14.929164502756956</v>
      </c>
      <c r="AD127" s="21">
        <f>MIN('3.1 Market'!$H118,'1.1 Control Panel'!AD$383*'1.1 Control Panel'!AD398)</f>
        <v>14.943331602205566</v>
      </c>
      <c r="AE127" s="21">
        <f>MIN('3.1 Market'!$H118,'1.1 Control Panel'!AE$383*'1.1 Control Panel'!AE398)</f>
        <v>14.954665281764454</v>
      </c>
      <c r="AF127" s="21">
        <f>MIN('3.1 Market'!$H118,'1.1 Control Panel'!AF$383*'1.1 Control Panel'!AF398)</f>
        <v>14.963732225411565</v>
      </c>
      <c r="AG127" s="21">
        <f>MIN('3.1 Market'!$H118,'1.1 Control Panel'!AG$383*'1.1 Control Panel'!AG398)</f>
        <v>19.961314373772339</v>
      </c>
      <c r="AH127" s="21">
        <f>MIN('3.1 Market'!$H118,'1.1 Control Panel'!AH$383*'1.1 Control Panel'!AH398)</f>
        <v>19.969051499017873</v>
      </c>
      <c r="AI127" s="21">
        <f>MIN('3.1 Market'!$H118,'1.1 Control Panel'!AI$383*'1.1 Control Panel'!AI398)</f>
        <v>19.975241199214299</v>
      </c>
      <c r="AJ127" s="21">
        <f>MIN('3.1 Market'!$H118,'1.1 Control Panel'!AJ$383*'1.1 Control Panel'!AJ398)</f>
        <v>19.98019295937144</v>
      </c>
      <c r="AK127" s="21">
        <f>MIN('3.1 Market'!$H118,'1.1 Control Panel'!AK$383*'1.1 Control Panel'!AK398)</f>
        <v>24.980192959371443</v>
      </c>
      <c r="AL127" s="21">
        <f>MIN('3.1 Market'!$H118,'1.1 Control Panel'!AL$383*'1.1 Control Panel'!AL398)</f>
        <v>24.984154367497155</v>
      </c>
      <c r="AM127" s="21">
        <f>MIN('3.1 Market'!$H118,'1.1 Control Panel'!AM$383*'1.1 Control Panel'!AM398)</f>
        <v>24.987323493997728</v>
      </c>
      <c r="AN127" s="21">
        <f>MIN('3.1 Market'!$H118,'1.1 Control Panel'!AN$383*'1.1 Control Panel'!AN398)</f>
        <v>24.989858795198181</v>
      </c>
      <c r="AP127" s="21"/>
    </row>
    <row r="128" spans="2:42" x14ac:dyDescent="0.25">
      <c r="B128" s="99" t="s">
        <v>9</v>
      </c>
      <c r="C128" s="105" t="str">
        <f>'4.2 Sector Mapping'!$B$8</f>
        <v>Financial Services</v>
      </c>
      <c r="D128" s="106" t="s">
        <v>162</v>
      </c>
      <c r="E128" s="105">
        <f>SUM(E129:E134)</f>
        <v>15</v>
      </c>
      <c r="F128" s="105">
        <f t="shared" ref="F128:H128" si="99">SUM(F129:F134)</f>
        <v>18</v>
      </c>
      <c r="G128" s="105">
        <f t="shared" si="99"/>
        <v>20.400000000000002</v>
      </c>
      <c r="H128" s="105">
        <f t="shared" si="99"/>
        <v>22.320000000000004</v>
      </c>
      <c r="I128" s="105">
        <f t="shared" ref="I128:AN128" si="100">SUM(I129:I134)</f>
        <v>23.856000000000002</v>
      </c>
      <c r="J128" s="105">
        <f t="shared" si="100"/>
        <v>50.169600000000003</v>
      </c>
      <c r="K128" s="105">
        <f t="shared" si="100"/>
        <v>52.135680000000008</v>
      </c>
      <c r="L128" s="105">
        <f t="shared" si="100"/>
        <v>53.70854400000001</v>
      </c>
      <c r="M128" s="105">
        <f t="shared" si="100"/>
        <v>54.966835200000006</v>
      </c>
      <c r="N128" s="105">
        <f t="shared" si="100"/>
        <v>55.97346816000001</v>
      </c>
      <c r="O128" s="105">
        <f t="shared" si="100"/>
        <v>56.778774528000014</v>
      </c>
      <c r="P128" s="105">
        <f t="shared" si="100"/>
        <v>57.423019622400012</v>
      </c>
      <c r="Q128" s="105">
        <f t="shared" si="100"/>
        <v>86.907623546880018</v>
      </c>
      <c r="R128" s="105">
        <f t="shared" si="100"/>
        <v>87.526098837504009</v>
      </c>
      <c r="S128" s="105">
        <f t="shared" si="100"/>
        <v>88.020879070003218</v>
      </c>
      <c r="T128" s="105">
        <f t="shared" si="100"/>
        <v>88.416703256002577</v>
      </c>
      <c r="U128" s="105">
        <f t="shared" si="100"/>
        <v>118.31115013973607</v>
      </c>
      <c r="V128" s="105">
        <f t="shared" si="100"/>
        <v>118.64892011178887</v>
      </c>
      <c r="W128" s="105">
        <f t="shared" si="100"/>
        <v>118.91913608943111</v>
      </c>
      <c r="X128" s="105">
        <f t="shared" si="100"/>
        <v>119.13530887154488</v>
      </c>
      <c r="Y128" s="105">
        <f t="shared" si="100"/>
        <v>119.30824709723591</v>
      </c>
      <c r="Z128" s="105">
        <f t="shared" si="100"/>
        <v>119.44659767778872</v>
      </c>
      <c r="AA128" s="105">
        <f t="shared" si="100"/>
        <v>119.55727814223098</v>
      </c>
      <c r="AB128" s="105">
        <f t="shared" si="100"/>
        <v>119.64582251378479</v>
      </c>
      <c r="AC128" s="105">
        <f t="shared" si="100"/>
        <v>239.43331602205569</v>
      </c>
      <c r="AD128" s="105">
        <f t="shared" si="100"/>
        <v>239.54665281764454</v>
      </c>
      <c r="AE128" s="105">
        <f t="shared" si="100"/>
        <v>239.63732225411565</v>
      </c>
      <c r="AF128" s="105">
        <f t="shared" si="100"/>
        <v>239.70985780329255</v>
      </c>
      <c r="AG128" s="105">
        <f t="shared" si="100"/>
        <v>359.65182936395104</v>
      </c>
      <c r="AH128" s="105">
        <f t="shared" si="100"/>
        <v>359.72146349116088</v>
      </c>
      <c r="AI128" s="105">
        <f t="shared" si="100"/>
        <v>359.7771707929287</v>
      </c>
      <c r="AJ128" s="105">
        <f t="shared" si="100"/>
        <v>359.82173663434298</v>
      </c>
      <c r="AK128" s="105">
        <f t="shared" si="100"/>
        <v>479.80985240996586</v>
      </c>
      <c r="AL128" s="105">
        <f t="shared" si="100"/>
        <v>479.84788192797265</v>
      </c>
      <c r="AM128" s="105">
        <f t="shared" si="100"/>
        <v>479.87830554237814</v>
      </c>
      <c r="AN128" s="105">
        <f t="shared" si="100"/>
        <v>479.90264443390254</v>
      </c>
      <c r="AP128" s="105"/>
    </row>
    <row r="129" spans="2:42" x14ac:dyDescent="0.25">
      <c r="C129" s="20" t="s">
        <v>600</v>
      </c>
      <c r="D129" s="34" t="s">
        <v>162</v>
      </c>
      <c r="E129" s="20">
        <f>MIN('3.1 Market'!$F120,'1.1 Control Panel'!E$414*'1.1 Control Panel'!E424)</f>
        <v>5</v>
      </c>
      <c r="F129" s="20">
        <f>MIN('3.1 Market'!$F120,'1.1 Control Panel'!F$414*'1.1 Control Panel'!F424)</f>
        <v>5</v>
      </c>
      <c r="G129" s="20">
        <f>MIN('3.1 Market'!$F120,'1.1 Control Panel'!G$414*'1.1 Control Panel'!G424)</f>
        <v>5</v>
      </c>
      <c r="H129" s="20">
        <f>MIN('3.1 Market'!$F120,'1.1 Control Panel'!H$414*'1.1 Control Panel'!H424)</f>
        <v>5</v>
      </c>
      <c r="I129" s="20">
        <f>MIN('3.1 Market'!$F120,'1.1 Control Panel'!I$414*'1.1 Control Panel'!I424)</f>
        <v>5</v>
      </c>
      <c r="J129" s="20">
        <f>MIN('3.1 Market'!$F120,'1.1 Control Panel'!J$414*'1.1 Control Panel'!J424)</f>
        <v>10</v>
      </c>
      <c r="K129" s="20">
        <f>MIN('3.1 Market'!$F120,'1.1 Control Panel'!K$414*'1.1 Control Panel'!K424)</f>
        <v>10</v>
      </c>
      <c r="L129" s="20">
        <f>MIN('3.1 Market'!$F120,'1.1 Control Panel'!L$414*'1.1 Control Panel'!L424)</f>
        <v>10</v>
      </c>
      <c r="M129" s="20">
        <f>MIN('3.1 Market'!$F120,'1.1 Control Panel'!M$414*'1.1 Control Panel'!M424)</f>
        <v>10</v>
      </c>
      <c r="N129" s="20">
        <f>MIN('3.1 Market'!$F120,'1.1 Control Panel'!N$414*'1.1 Control Panel'!N424)</f>
        <v>10</v>
      </c>
      <c r="O129" s="20">
        <f>MIN('3.1 Market'!$F120,'1.1 Control Panel'!O$414*'1.1 Control Panel'!O424)</f>
        <v>10</v>
      </c>
      <c r="P129" s="20">
        <f>MIN('3.1 Market'!$F120,'1.1 Control Panel'!P$414*'1.1 Control Panel'!P424)</f>
        <v>10</v>
      </c>
      <c r="Q129" s="20">
        <f>MIN('3.1 Market'!$G120,'1.1 Control Panel'!Q$414*'1.1 Control Panel'!Q424)</f>
        <v>15</v>
      </c>
      <c r="R129" s="20">
        <f>MIN('3.1 Market'!$G120,'1.1 Control Panel'!R$414*'1.1 Control Panel'!R424)</f>
        <v>15</v>
      </c>
      <c r="S129" s="20">
        <f>MIN('3.1 Market'!$G120,'1.1 Control Panel'!S$414*'1.1 Control Panel'!S424)</f>
        <v>15</v>
      </c>
      <c r="T129" s="20">
        <f>MIN('3.1 Market'!$G120,'1.1 Control Panel'!T$414*'1.1 Control Panel'!T424)</f>
        <v>15</v>
      </c>
      <c r="U129" s="20">
        <f>MIN('3.1 Market'!$G120,'1.1 Control Panel'!U$414*'1.1 Control Panel'!U424)</f>
        <v>20</v>
      </c>
      <c r="V129" s="20">
        <f>MIN('3.1 Market'!$G120,'1.1 Control Panel'!V$414*'1.1 Control Panel'!V424)</f>
        <v>20</v>
      </c>
      <c r="W129" s="20">
        <f>MIN('3.1 Market'!$G120,'1.1 Control Panel'!W$414*'1.1 Control Panel'!W424)</f>
        <v>20</v>
      </c>
      <c r="X129" s="20">
        <f>MIN('3.1 Market'!$G120,'1.1 Control Panel'!X$414*'1.1 Control Panel'!X424)</f>
        <v>20</v>
      </c>
      <c r="Y129" s="20">
        <f>MIN('3.1 Market'!$G120,'1.1 Control Panel'!Y$414*'1.1 Control Panel'!Y424)</f>
        <v>20</v>
      </c>
      <c r="Z129" s="20">
        <f>MIN('3.1 Market'!$G120,'1.1 Control Panel'!Z$414*'1.1 Control Panel'!Z424)</f>
        <v>20</v>
      </c>
      <c r="AA129" s="20">
        <f>MIN('3.1 Market'!$G120,'1.1 Control Panel'!AA$414*'1.1 Control Panel'!AA424)</f>
        <v>20</v>
      </c>
      <c r="AB129" s="20">
        <f>MIN('3.1 Market'!$G120,'1.1 Control Panel'!AB$414*'1.1 Control Panel'!AB424)</f>
        <v>20</v>
      </c>
      <c r="AC129" s="20">
        <f>MIN('3.1 Market'!$H120,'1.1 Control Panel'!AC$414*'1.1 Control Panel'!AC424)</f>
        <v>40</v>
      </c>
      <c r="AD129" s="20">
        <f>MIN('3.1 Market'!$H120,'1.1 Control Panel'!AD$414*'1.1 Control Panel'!AD424)</f>
        <v>40</v>
      </c>
      <c r="AE129" s="20">
        <f>MIN('3.1 Market'!$H120,'1.1 Control Panel'!AE$414*'1.1 Control Panel'!AE424)</f>
        <v>40</v>
      </c>
      <c r="AF129" s="20">
        <f>MIN('3.1 Market'!$H120,'1.1 Control Panel'!AF$414*'1.1 Control Panel'!AF424)</f>
        <v>40</v>
      </c>
      <c r="AG129" s="20">
        <f>MIN('3.1 Market'!$H120,'1.1 Control Panel'!AG$414*'1.1 Control Panel'!AG424)</f>
        <v>60</v>
      </c>
      <c r="AH129" s="20">
        <f>MIN('3.1 Market'!$H120,'1.1 Control Panel'!AH$414*'1.1 Control Panel'!AH424)</f>
        <v>60</v>
      </c>
      <c r="AI129" s="20">
        <f>MIN('3.1 Market'!$H120,'1.1 Control Panel'!AI$414*'1.1 Control Panel'!AI424)</f>
        <v>60</v>
      </c>
      <c r="AJ129" s="20">
        <f>MIN('3.1 Market'!$H120,'1.1 Control Panel'!AJ$414*'1.1 Control Panel'!AJ424)</f>
        <v>60</v>
      </c>
      <c r="AK129" s="20">
        <f>MIN('3.1 Market'!$H120,'1.1 Control Panel'!AK$414*'1.1 Control Panel'!AK424)</f>
        <v>80</v>
      </c>
      <c r="AL129" s="20">
        <f>MIN('3.1 Market'!$H120,'1.1 Control Panel'!AL$414*'1.1 Control Panel'!AL424)</f>
        <v>80</v>
      </c>
      <c r="AM129" s="20">
        <f>MIN('3.1 Market'!$H120,'1.1 Control Panel'!AM$414*'1.1 Control Panel'!AM424)</f>
        <v>80</v>
      </c>
      <c r="AN129" s="20">
        <f>MIN('3.1 Market'!$H120,'1.1 Control Panel'!AN$414*'1.1 Control Panel'!AN424)</f>
        <v>80</v>
      </c>
      <c r="AP129" s="20"/>
    </row>
    <row r="130" spans="2:42" x14ac:dyDescent="0.25">
      <c r="C130" s="20" t="s">
        <v>392</v>
      </c>
      <c r="D130" s="34" t="s">
        <v>162</v>
      </c>
      <c r="E130" s="20">
        <f>MIN('3.1 Market'!$F121,'1.1 Control Panel'!E$414*'1.1 Control Panel'!E425)</f>
        <v>4</v>
      </c>
      <c r="F130" s="20">
        <f>MIN('3.1 Market'!$F121,'1.1 Control Panel'!F$414*'1.1 Control Panel'!F425)</f>
        <v>4.2</v>
      </c>
      <c r="G130" s="20">
        <f>MIN('3.1 Market'!$F121,'1.1 Control Panel'!G$414*'1.1 Control Panel'!G425)</f>
        <v>4.3600000000000003</v>
      </c>
      <c r="H130" s="20">
        <f>MIN('3.1 Market'!$F121,'1.1 Control Panel'!H$414*'1.1 Control Panel'!H425)</f>
        <v>4.4880000000000004</v>
      </c>
      <c r="I130" s="20">
        <f>MIN('3.1 Market'!$F121,'1.1 Control Panel'!I$414*'1.1 Control Panel'!I425)</f>
        <v>4.5904000000000007</v>
      </c>
      <c r="J130" s="20">
        <f>MIN('3.1 Market'!$F121,'1.1 Control Panel'!J$414*'1.1 Control Panel'!J425)</f>
        <v>9.3446400000000018</v>
      </c>
      <c r="K130" s="20">
        <f>MIN('3.1 Market'!$F121,'1.1 Control Panel'!K$414*'1.1 Control Panel'!K425)</f>
        <v>9.4757120000000015</v>
      </c>
      <c r="L130" s="20">
        <f>MIN('3.1 Market'!$F121,'1.1 Control Panel'!L$414*'1.1 Control Panel'!L425)</f>
        <v>9.5805696000000005</v>
      </c>
      <c r="M130" s="20">
        <f>MIN('3.1 Market'!$F121,'1.1 Control Panel'!M$414*'1.1 Control Panel'!M425)</f>
        <v>9.6644556799999997</v>
      </c>
      <c r="N130" s="20">
        <f>MIN('3.1 Market'!$F121,'1.1 Control Panel'!N$414*'1.1 Control Panel'!N425)</f>
        <v>9.7315645440000011</v>
      </c>
      <c r="O130" s="20">
        <f>MIN('3.1 Market'!$F121,'1.1 Control Panel'!O$414*'1.1 Control Panel'!O425)</f>
        <v>9.7852516352000016</v>
      </c>
      <c r="P130" s="20">
        <f>MIN('3.1 Market'!$F121,'1.1 Control Panel'!P$414*'1.1 Control Panel'!P425)</f>
        <v>9.8282013081600006</v>
      </c>
      <c r="Q130" s="20">
        <f>MIN('3.1 Market'!$G121,'1.1 Control Panel'!Q$414*'1.1 Control Panel'!Q425)</f>
        <v>14.793841569792001</v>
      </c>
      <c r="R130" s="20">
        <f>MIN('3.1 Market'!$G121,'1.1 Control Panel'!R$414*'1.1 Control Panel'!R425)</f>
        <v>14.835073255833603</v>
      </c>
      <c r="S130" s="20">
        <f>MIN('3.1 Market'!$G121,'1.1 Control Panel'!S$414*'1.1 Control Panel'!S425)</f>
        <v>14.868058604666883</v>
      </c>
      <c r="T130" s="20">
        <f>MIN('3.1 Market'!$G121,'1.1 Control Panel'!T$414*'1.1 Control Panel'!T425)</f>
        <v>14.894446883733508</v>
      </c>
      <c r="U130" s="20">
        <f>MIN('3.1 Market'!$G121,'1.1 Control Panel'!U$414*'1.1 Control Panel'!U425)</f>
        <v>19.887410009315744</v>
      </c>
      <c r="V130" s="20">
        <f>MIN('3.1 Market'!$G121,'1.1 Control Panel'!V$414*'1.1 Control Panel'!V425)</f>
        <v>19.909928007452596</v>
      </c>
      <c r="W130" s="20">
        <f>MIN('3.1 Market'!$G121,'1.1 Control Panel'!W$414*'1.1 Control Panel'!W425)</f>
        <v>19.927942405962078</v>
      </c>
      <c r="X130" s="20">
        <f>MIN('3.1 Market'!$G121,'1.1 Control Panel'!X$414*'1.1 Control Panel'!X425)</f>
        <v>19.942353924769662</v>
      </c>
      <c r="Y130" s="20">
        <f>MIN('3.1 Market'!$G121,'1.1 Control Panel'!Y$414*'1.1 Control Panel'!Y425)</f>
        <v>19.95388313981573</v>
      </c>
      <c r="Z130" s="20">
        <f>MIN('3.1 Market'!$G121,'1.1 Control Panel'!Z$414*'1.1 Control Panel'!Z425)</f>
        <v>19.963106511852587</v>
      </c>
      <c r="AA130" s="20">
        <f>MIN('3.1 Market'!$G121,'1.1 Control Panel'!AA$414*'1.1 Control Panel'!AA425)</f>
        <v>19.970485209482071</v>
      </c>
      <c r="AB130" s="20">
        <f>MIN('3.1 Market'!$G121,'1.1 Control Panel'!AB$414*'1.1 Control Panel'!AB425)</f>
        <v>19.976388167585657</v>
      </c>
      <c r="AC130" s="20">
        <f>MIN('3.1 Market'!$H121,'1.1 Control Panel'!AC$414*'1.1 Control Panel'!AC425)</f>
        <v>39.962221068137055</v>
      </c>
      <c r="AD130" s="20">
        <f>MIN('3.1 Market'!$H121,'1.1 Control Panel'!AD$414*'1.1 Control Panel'!AD425)</f>
        <v>39.969776854509647</v>
      </c>
      <c r="AE130" s="20">
        <f>MIN('3.1 Market'!$H121,'1.1 Control Panel'!AE$414*'1.1 Control Panel'!AE425)</f>
        <v>39.975821483607717</v>
      </c>
      <c r="AF130" s="20">
        <f>MIN('3.1 Market'!$H121,'1.1 Control Panel'!AF$414*'1.1 Control Panel'!AF425)</f>
        <v>39.980657186886177</v>
      </c>
      <c r="AG130" s="20">
        <f>MIN('3.1 Market'!$H121,'1.1 Control Panel'!AG$414*'1.1 Control Panel'!AG425)</f>
        <v>59.976788624263421</v>
      </c>
      <c r="AH130" s="20">
        <f>MIN('3.1 Market'!$H121,'1.1 Control Panel'!AH$414*'1.1 Control Panel'!AH425)</f>
        <v>59.981430899410732</v>
      </c>
      <c r="AI130" s="20">
        <f>MIN('3.1 Market'!$H121,'1.1 Control Panel'!AI$414*'1.1 Control Panel'!AI425)</f>
        <v>59.985144719528591</v>
      </c>
      <c r="AJ130" s="20">
        <f>MIN('3.1 Market'!$H121,'1.1 Control Panel'!AJ$414*'1.1 Control Panel'!AJ425)</f>
        <v>59.988115775622866</v>
      </c>
      <c r="AK130" s="20">
        <f>MIN('3.1 Market'!$H121,'1.1 Control Panel'!AK$414*'1.1 Control Panel'!AK425)</f>
        <v>79.987323493997735</v>
      </c>
      <c r="AL130" s="20">
        <f>MIN('3.1 Market'!$H121,'1.1 Control Panel'!AL$414*'1.1 Control Panel'!AL425)</f>
        <v>79.989858795198188</v>
      </c>
      <c r="AM130" s="20">
        <f>MIN('3.1 Market'!$H121,'1.1 Control Panel'!AM$414*'1.1 Control Panel'!AM425)</f>
        <v>79.991887036158545</v>
      </c>
      <c r="AN130" s="20">
        <f>MIN('3.1 Market'!$H121,'1.1 Control Panel'!AN$414*'1.1 Control Panel'!AN425)</f>
        <v>79.99350962892683</v>
      </c>
      <c r="AP130" s="20"/>
    </row>
    <row r="131" spans="2:42" x14ac:dyDescent="0.25">
      <c r="C131" s="20" t="s">
        <v>454</v>
      </c>
      <c r="D131" s="34" t="s">
        <v>162</v>
      </c>
      <c r="E131" s="20">
        <f>MIN('3.1 Market'!$F122,'1.1 Control Panel'!E$414*'1.1 Control Panel'!E426)</f>
        <v>3</v>
      </c>
      <c r="F131" s="20">
        <f>MIN('3.1 Market'!$F122,'1.1 Control Panel'!F$414*'1.1 Control Panel'!F426)</f>
        <v>3.4000000000000004</v>
      </c>
      <c r="G131" s="20">
        <f>MIN('3.1 Market'!$F122,'1.1 Control Panel'!G$414*'1.1 Control Panel'!G426)</f>
        <v>3.7200000000000006</v>
      </c>
      <c r="H131" s="20">
        <f>MIN('3.1 Market'!$F122,'1.1 Control Panel'!H$414*'1.1 Control Panel'!H426)</f>
        <v>3.9760000000000009</v>
      </c>
      <c r="I131" s="20">
        <f>MIN('3.1 Market'!$F122,'1.1 Control Panel'!I$414*'1.1 Control Panel'!I426)</f>
        <v>4.1808000000000014</v>
      </c>
      <c r="J131" s="20">
        <f>MIN('3.1 Market'!$F122,'1.1 Control Panel'!J$414*'1.1 Control Panel'!J426)</f>
        <v>8.6892800000000037</v>
      </c>
      <c r="K131" s="20">
        <f>MIN('3.1 Market'!$F122,'1.1 Control Panel'!K$414*'1.1 Control Panel'!K426)</f>
        <v>8.9514240000000029</v>
      </c>
      <c r="L131" s="20">
        <f>MIN('3.1 Market'!$F122,'1.1 Control Panel'!L$414*'1.1 Control Panel'!L426)</f>
        <v>9.1611392000000027</v>
      </c>
      <c r="M131" s="20">
        <f>MIN('3.1 Market'!$F122,'1.1 Control Panel'!M$414*'1.1 Control Panel'!M426)</f>
        <v>9.3289113600000029</v>
      </c>
      <c r="N131" s="20">
        <f>MIN('3.1 Market'!$F122,'1.1 Control Panel'!N$414*'1.1 Control Panel'!N426)</f>
        <v>9.4631290880000023</v>
      </c>
      <c r="O131" s="20">
        <f>MIN('3.1 Market'!$F122,'1.1 Control Panel'!O$414*'1.1 Control Panel'!O426)</f>
        <v>9.5705032704000033</v>
      </c>
      <c r="P131" s="20">
        <f>MIN('3.1 Market'!$F122,'1.1 Control Panel'!P$414*'1.1 Control Panel'!P426)</f>
        <v>9.656402616320003</v>
      </c>
      <c r="Q131" s="20">
        <f>MIN('3.1 Market'!$G122,'1.1 Control Panel'!Q$414*'1.1 Control Panel'!Q426)</f>
        <v>14.587683139584005</v>
      </c>
      <c r="R131" s="20">
        <f>MIN('3.1 Market'!$G122,'1.1 Control Panel'!R$414*'1.1 Control Panel'!R426)</f>
        <v>14.670146511667205</v>
      </c>
      <c r="S131" s="20">
        <f>MIN('3.1 Market'!$G122,'1.1 Control Panel'!S$414*'1.1 Control Panel'!S426)</f>
        <v>14.736117209333766</v>
      </c>
      <c r="T131" s="20">
        <f>MIN('3.1 Market'!$G122,'1.1 Control Panel'!T$414*'1.1 Control Panel'!T426)</f>
        <v>14.788893767467014</v>
      </c>
      <c r="U131" s="20">
        <f>MIN('3.1 Market'!$G122,'1.1 Control Panel'!U$414*'1.1 Control Panel'!U426)</f>
        <v>19.77482001863148</v>
      </c>
      <c r="V131" s="20">
        <f>MIN('3.1 Market'!$G122,'1.1 Control Panel'!V$414*'1.1 Control Panel'!V426)</f>
        <v>19.819856014905184</v>
      </c>
      <c r="W131" s="20">
        <f>MIN('3.1 Market'!$G122,'1.1 Control Panel'!W$414*'1.1 Control Panel'!W426)</f>
        <v>19.855884811924149</v>
      </c>
      <c r="X131" s="20">
        <f>MIN('3.1 Market'!$G122,'1.1 Control Panel'!X$414*'1.1 Control Panel'!X426)</f>
        <v>19.884707849539318</v>
      </c>
      <c r="Y131" s="20">
        <f>MIN('3.1 Market'!$G122,'1.1 Control Panel'!Y$414*'1.1 Control Panel'!Y426)</f>
        <v>19.907766279631453</v>
      </c>
      <c r="Z131" s="20">
        <f>MIN('3.1 Market'!$G122,'1.1 Control Panel'!Z$414*'1.1 Control Panel'!Z426)</f>
        <v>19.926213023705163</v>
      </c>
      <c r="AA131" s="20">
        <f>MIN('3.1 Market'!$G122,'1.1 Control Panel'!AA$414*'1.1 Control Panel'!AA426)</f>
        <v>19.940970418964131</v>
      </c>
      <c r="AB131" s="20">
        <f>MIN('3.1 Market'!$G122,'1.1 Control Panel'!AB$414*'1.1 Control Panel'!AB426)</f>
        <v>19.952776335171308</v>
      </c>
      <c r="AC131" s="20">
        <f>MIN('3.1 Market'!$H122,'1.1 Control Panel'!AC$414*'1.1 Control Panel'!AC426)</f>
        <v>39.924442136274095</v>
      </c>
      <c r="AD131" s="20">
        <f>MIN('3.1 Market'!$H122,'1.1 Control Panel'!AD$414*'1.1 Control Panel'!AD426)</f>
        <v>39.939553709019279</v>
      </c>
      <c r="AE131" s="20">
        <f>MIN('3.1 Market'!$H122,'1.1 Control Panel'!AE$414*'1.1 Control Panel'!AE426)</f>
        <v>39.95164296721542</v>
      </c>
      <c r="AF131" s="20">
        <f>MIN('3.1 Market'!$H122,'1.1 Control Panel'!AF$414*'1.1 Control Panel'!AF426)</f>
        <v>39.961314373772339</v>
      </c>
      <c r="AG131" s="20">
        <f>MIN('3.1 Market'!$H122,'1.1 Control Panel'!AG$414*'1.1 Control Panel'!AG426)</f>
        <v>59.953577248526813</v>
      </c>
      <c r="AH131" s="20">
        <f>MIN('3.1 Market'!$H122,'1.1 Control Panel'!AH$414*'1.1 Control Panel'!AH426)</f>
        <v>59.962861798821443</v>
      </c>
      <c r="AI131" s="20">
        <f>MIN('3.1 Market'!$H122,'1.1 Control Panel'!AI$414*'1.1 Control Panel'!AI426)</f>
        <v>59.970289439057154</v>
      </c>
      <c r="AJ131" s="20">
        <f>MIN('3.1 Market'!$H122,'1.1 Control Panel'!AJ$414*'1.1 Control Panel'!AJ426)</f>
        <v>59.976231551245732</v>
      </c>
      <c r="AK131" s="20">
        <f>MIN('3.1 Market'!$H122,'1.1 Control Panel'!AK$414*'1.1 Control Panel'!AK426)</f>
        <v>79.974646987995442</v>
      </c>
      <c r="AL131" s="20">
        <f>MIN('3.1 Market'!$H122,'1.1 Control Panel'!AL$414*'1.1 Control Panel'!AL426)</f>
        <v>79.979717590396348</v>
      </c>
      <c r="AM131" s="20">
        <f>MIN('3.1 Market'!$H122,'1.1 Control Panel'!AM$414*'1.1 Control Panel'!AM426)</f>
        <v>79.98377407231709</v>
      </c>
      <c r="AN131" s="20">
        <f>MIN('3.1 Market'!$H122,'1.1 Control Panel'!AN$414*'1.1 Control Panel'!AN426)</f>
        <v>79.987019257853675</v>
      </c>
      <c r="AP131" s="20"/>
    </row>
    <row r="132" spans="2:42" x14ac:dyDescent="0.25">
      <c r="C132" s="21" t="s">
        <v>455</v>
      </c>
      <c r="D132" s="38" t="s">
        <v>162</v>
      </c>
      <c r="E132" s="21">
        <f>MIN('3.1 Market'!$F123,'1.1 Control Panel'!E$414*'1.1 Control Panel'!E427)</f>
        <v>2</v>
      </c>
      <c r="F132" s="21">
        <f>MIN('3.1 Market'!$F123,'1.1 Control Panel'!F$414*'1.1 Control Panel'!F427)</f>
        <v>2.6</v>
      </c>
      <c r="G132" s="21">
        <f>MIN('3.1 Market'!$F123,'1.1 Control Panel'!G$414*'1.1 Control Panel'!G427)</f>
        <v>3.08</v>
      </c>
      <c r="H132" s="21">
        <f>MIN('3.1 Market'!$F123,'1.1 Control Panel'!H$414*'1.1 Control Panel'!H427)</f>
        <v>3.4640000000000004</v>
      </c>
      <c r="I132" s="21">
        <f>MIN('3.1 Market'!$F123,'1.1 Control Panel'!I$414*'1.1 Control Panel'!I427)</f>
        <v>3.7712000000000003</v>
      </c>
      <c r="J132" s="21">
        <f>MIN('3.1 Market'!$F123,'1.1 Control Panel'!J$414*'1.1 Control Panel'!J427)</f>
        <v>8.0339200000000019</v>
      </c>
      <c r="K132" s="21">
        <f>MIN('3.1 Market'!$F123,'1.1 Control Panel'!K$414*'1.1 Control Panel'!K427)</f>
        <v>8.4271360000000008</v>
      </c>
      <c r="L132" s="21">
        <f>MIN('3.1 Market'!$F123,'1.1 Control Panel'!L$414*'1.1 Control Panel'!L427)</f>
        <v>8.7417088000000014</v>
      </c>
      <c r="M132" s="21">
        <f>MIN('3.1 Market'!$F123,'1.1 Control Panel'!M$414*'1.1 Control Panel'!M427)</f>
        <v>8.9933670400000025</v>
      </c>
      <c r="N132" s="21">
        <f>MIN('3.1 Market'!$F123,'1.1 Control Panel'!N$414*'1.1 Control Panel'!N427)</f>
        <v>9.1946936320000034</v>
      </c>
      <c r="O132" s="21">
        <f>MIN('3.1 Market'!$F123,'1.1 Control Panel'!O$414*'1.1 Control Panel'!O427)</f>
        <v>9.3557549056000031</v>
      </c>
      <c r="P132" s="21">
        <f>MIN('3.1 Market'!$F123,'1.1 Control Panel'!P$414*'1.1 Control Panel'!P427)</f>
        <v>9.4846039244800018</v>
      </c>
      <c r="Q132" s="21">
        <f>MIN('3.1 Market'!$G123,'1.1 Control Panel'!Q$414*'1.1 Control Panel'!Q427)</f>
        <v>14.381524709376002</v>
      </c>
      <c r="R132" s="21">
        <f>MIN('3.1 Market'!$G123,'1.1 Control Panel'!R$414*'1.1 Control Panel'!R427)</f>
        <v>14.505219767500803</v>
      </c>
      <c r="S132" s="21">
        <f>MIN('3.1 Market'!$G123,'1.1 Control Panel'!S$414*'1.1 Control Panel'!S427)</f>
        <v>14.604175814000644</v>
      </c>
      <c r="T132" s="21">
        <f>MIN('3.1 Market'!$G123,'1.1 Control Panel'!T$414*'1.1 Control Panel'!T427)</f>
        <v>14.683340651200517</v>
      </c>
      <c r="U132" s="21">
        <f>MIN('3.1 Market'!$G123,'1.1 Control Panel'!U$414*'1.1 Control Panel'!U427)</f>
        <v>19.662230027947217</v>
      </c>
      <c r="V132" s="21">
        <f>MIN('3.1 Market'!$G123,'1.1 Control Panel'!V$414*'1.1 Control Panel'!V427)</f>
        <v>19.729784022357777</v>
      </c>
      <c r="W132" s="21">
        <f>MIN('3.1 Market'!$G123,'1.1 Control Panel'!W$414*'1.1 Control Panel'!W427)</f>
        <v>19.78382721788622</v>
      </c>
      <c r="X132" s="21">
        <f>MIN('3.1 Market'!$G123,'1.1 Control Panel'!X$414*'1.1 Control Panel'!X427)</f>
        <v>19.827061774308977</v>
      </c>
      <c r="Y132" s="21">
        <f>MIN('3.1 Market'!$G123,'1.1 Control Panel'!Y$414*'1.1 Control Panel'!Y427)</f>
        <v>19.861649419447183</v>
      </c>
      <c r="Z132" s="21">
        <f>MIN('3.1 Market'!$G123,'1.1 Control Panel'!Z$414*'1.1 Control Panel'!Z427)</f>
        <v>19.889319535557746</v>
      </c>
      <c r="AA132" s="21">
        <f>MIN('3.1 Market'!$G123,'1.1 Control Panel'!AA$414*'1.1 Control Panel'!AA427)</f>
        <v>19.911455628446198</v>
      </c>
      <c r="AB132" s="21">
        <f>MIN('3.1 Market'!$G123,'1.1 Control Panel'!AB$414*'1.1 Control Panel'!AB427)</f>
        <v>19.929164502756961</v>
      </c>
      <c r="AC132" s="21">
        <f>MIN('3.1 Market'!$H123,'1.1 Control Panel'!AC$414*'1.1 Control Panel'!AC427)</f>
        <v>39.886663204411136</v>
      </c>
      <c r="AD132" s="21">
        <f>MIN('3.1 Market'!$H123,'1.1 Control Panel'!AD$414*'1.1 Control Panel'!AD427)</f>
        <v>39.909330563528911</v>
      </c>
      <c r="AE132" s="21">
        <f>MIN('3.1 Market'!$H123,'1.1 Control Panel'!AE$414*'1.1 Control Panel'!AE427)</f>
        <v>39.92746445082313</v>
      </c>
      <c r="AF132" s="21">
        <f>MIN('3.1 Market'!$H123,'1.1 Control Panel'!AF$414*'1.1 Control Panel'!AF427)</f>
        <v>39.941971560658502</v>
      </c>
      <c r="AG132" s="21">
        <f>MIN('3.1 Market'!$H123,'1.1 Control Panel'!AG$414*'1.1 Control Panel'!AG427)</f>
        <v>59.930365872790198</v>
      </c>
      <c r="AH132" s="21">
        <f>MIN('3.1 Market'!$H123,'1.1 Control Panel'!AH$414*'1.1 Control Panel'!AH427)</f>
        <v>59.944292698232154</v>
      </c>
      <c r="AI132" s="21">
        <f>MIN('3.1 Market'!$H123,'1.1 Control Panel'!AI$414*'1.1 Control Panel'!AI427)</f>
        <v>59.955434158585732</v>
      </c>
      <c r="AJ132" s="21">
        <f>MIN('3.1 Market'!$H123,'1.1 Control Panel'!AJ$414*'1.1 Control Panel'!AJ427)</f>
        <v>59.964347326868591</v>
      </c>
      <c r="AK132" s="21">
        <f>MIN('3.1 Market'!$H123,'1.1 Control Panel'!AK$414*'1.1 Control Panel'!AK427)</f>
        <v>79.961970481993163</v>
      </c>
      <c r="AL132" s="21">
        <f>MIN('3.1 Market'!$H123,'1.1 Control Panel'!AL$414*'1.1 Control Panel'!AL427)</f>
        <v>79.969576385594536</v>
      </c>
      <c r="AM132" s="21">
        <f>MIN('3.1 Market'!$H123,'1.1 Control Panel'!AM$414*'1.1 Control Panel'!AM427)</f>
        <v>79.975661108475634</v>
      </c>
      <c r="AN132" s="21">
        <f>MIN('3.1 Market'!$H123,'1.1 Control Panel'!AN$414*'1.1 Control Panel'!AN427)</f>
        <v>79.980528886780519</v>
      </c>
      <c r="AP132" s="21"/>
    </row>
    <row r="133" spans="2:42" x14ac:dyDescent="0.25">
      <c r="C133" s="21" t="s">
        <v>393</v>
      </c>
      <c r="D133" s="38" t="s">
        <v>162</v>
      </c>
      <c r="E133" s="21">
        <f>MIN('3.1 Market'!$F124,'1.1 Control Panel'!E$414*'1.1 Control Panel'!E428)</f>
        <v>1</v>
      </c>
      <c r="F133" s="21">
        <f>MIN('3.1 Market'!$F124,'1.1 Control Panel'!F$414*'1.1 Control Panel'!F428)</f>
        <v>1.8</v>
      </c>
      <c r="G133" s="21">
        <f>MIN('3.1 Market'!$F124,'1.1 Control Panel'!G$414*'1.1 Control Panel'!G428)</f>
        <v>2.4400000000000004</v>
      </c>
      <c r="H133" s="21">
        <f>MIN('3.1 Market'!$F124,'1.1 Control Panel'!H$414*'1.1 Control Panel'!H428)</f>
        <v>2.9520000000000004</v>
      </c>
      <c r="I133" s="21">
        <f>MIN('3.1 Market'!$F124,'1.1 Control Panel'!I$414*'1.1 Control Panel'!I428)</f>
        <v>3.3616000000000006</v>
      </c>
      <c r="J133" s="21">
        <f>MIN('3.1 Market'!$F124,'1.1 Control Panel'!J$414*'1.1 Control Panel'!J428)</f>
        <v>7.3785600000000011</v>
      </c>
      <c r="K133" s="21">
        <f>MIN('3.1 Market'!$F124,'1.1 Control Panel'!K$414*'1.1 Control Panel'!K428)</f>
        <v>7.9028480000000014</v>
      </c>
      <c r="L133" s="21">
        <f>MIN('3.1 Market'!$F124,'1.1 Control Panel'!L$414*'1.1 Control Panel'!L428)</f>
        <v>8.3222784000000019</v>
      </c>
      <c r="M133" s="21">
        <f>MIN('3.1 Market'!$F124,'1.1 Control Panel'!M$414*'1.1 Control Panel'!M428)</f>
        <v>8.6578227200000022</v>
      </c>
      <c r="N133" s="21">
        <f>MIN('3.1 Market'!$F124,'1.1 Control Panel'!N$414*'1.1 Control Panel'!N428)</f>
        <v>8.926258176000001</v>
      </c>
      <c r="O133" s="21">
        <f>MIN('3.1 Market'!$F124,'1.1 Control Panel'!O$414*'1.1 Control Panel'!O428)</f>
        <v>9.1410065408000012</v>
      </c>
      <c r="P133" s="21">
        <f>MIN('3.1 Market'!$F124,'1.1 Control Panel'!P$414*'1.1 Control Panel'!P428)</f>
        <v>9.3128052326400024</v>
      </c>
      <c r="Q133" s="21">
        <f>MIN('3.1 Market'!$G124,'1.1 Control Panel'!Q$414*'1.1 Control Panel'!Q428)</f>
        <v>14.175366279168003</v>
      </c>
      <c r="R133" s="21">
        <f>MIN('3.1 Market'!$G124,'1.1 Control Panel'!R$414*'1.1 Control Panel'!R428)</f>
        <v>14.340293023334404</v>
      </c>
      <c r="S133" s="21">
        <f>MIN('3.1 Market'!$G124,'1.1 Control Panel'!S$414*'1.1 Control Panel'!S428)</f>
        <v>14.472234418667522</v>
      </c>
      <c r="T133" s="21">
        <f>MIN('3.1 Market'!$G124,'1.1 Control Panel'!T$414*'1.1 Control Panel'!T428)</f>
        <v>14.577787534934018</v>
      </c>
      <c r="U133" s="21">
        <f>MIN('3.1 Market'!$G124,'1.1 Control Panel'!U$414*'1.1 Control Panel'!U428)</f>
        <v>19.549640037262954</v>
      </c>
      <c r="V133" s="21">
        <f>MIN('3.1 Market'!$G124,'1.1 Control Panel'!V$414*'1.1 Control Panel'!V428)</f>
        <v>19.639712029810362</v>
      </c>
      <c r="W133" s="21">
        <f>MIN('3.1 Market'!$G124,'1.1 Control Panel'!W$414*'1.1 Control Panel'!W428)</f>
        <v>19.711769623848291</v>
      </c>
      <c r="X133" s="21">
        <f>MIN('3.1 Market'!$G124,'1.1 Control Panel'!X$414*'1.1 Control Panel'!X428)</f>
        <v>19.769415699078635</v>
      </c>
      <c r="Y133" s="21">
        <f>MIN('3.1 Market'!$G124,'1.1 Control Panel'!Y$414*'1.1 Control Panel'!Y428)</f>
        <v>19.815532559262909</v>
      </c>
      <c r="Z133" s="21">
        <f>MIN('3.1 Market'!$G124,'1.1 Control Panel'!Z$414*'1.1 Control Panel'!Z428)</f>
        <v>19.852426047410326</v>
      </c>
      <c r="AA133" s="21">
        <f>MIN('3.1 Market'!$G124,'1.1 Control Panel'!AA$414*'1.1 Control Panel'!AA428)</f>
        <v>19.881940837928262</v>
      </c>
      <c r="AB133" s="21">
        <f>MIN('3.1 Market'!$G124,'1.1 Control Panel'!AB$414*'1.1 Control Panel'!AB428)</f>
        <v>19.905552670342608</v>
      </c>
      <c r="AC133" s="21">
        <f>MIN('3.1 Market'!$H124,'1.1 Control Panel'!AC$414*'1.1 Control Panel'!AC428)</f>
        <v>39.848884272548176</v>
      </c>
      <c r="AD133" s="21">
        <f>MIN('3.1 Market'!$H124,'1.1 Control Panel'!AD$414*'1.1 Control Panel'!AD428)</f>
        <v>39.879107418038544</v>
      </c>
      <c r="AE133" s="21">
        <f>MIN('3.1 Market'!$H124,'1.1 Control Panel'!AE$414*'1.1 Control Panel'!AE428)</f>
        <v>39.903285934430841</v>
      </c>
      <c r="AF133" s="21">
        <f>MIN('3.1 Market'!$H124,'1.1 Control Panel'!AF$414*'1.1 Control Panel'!AF428)</f>
        <v>39.922628747544678</v>
      </c>
      <c r="AG133" s="21">
        <f>MIN('3.1 Market'!$H124,'1.1 Control Panel'!AG$414*'1.1 Control Panel'!AG428)</f>
        <v>59.907154497053618</v>
      </c>
      <c r="AH133" s="21">
        <f>MIN('3.1 Market'!$H124,'1.1 Control Panel'!AH$414*'1.1 Control Panel'!AH428)</f>
        <v>59.9257235976429</v>
      </c>
      <c r="AI133" s="21">
        <f>MIN('3.1 Market'!$H124,'1.1 Control Panel'!AI$414*'1.1 Control Panel'!AI428)</f>
        <v>59.940578878114323</v>
      </c>
      <c r="AJ133" s="21">
        <f>MIN('3.1 Market'!$H124,'1.1 Control Panel'!AJ$414*'1.1 Control Panel'!AJ428)</f>
        <v>59.952463102491464</v>
      </c>
      <c r="AK133" s="21">
        <f>MIN('3.1 Market'!$H124,'1.1 Control Panel'!AK$414*'1.1 Control Panel'!AK428)</f>
        <v>79.949293975990898</v>
      </c>
      <c r="AL133" s="21">
        <f>MIN('3.1 Market'!$H124,'1.1 Control Panel'!AL$414*'1.1 Control Panel'!AL428)</f>
        <v>79.959435180792724</v>
      </c>
      <c r="AM133" s="21">
        <f>MIN('3.1 Market'!$H124,'1.1 Control Panel'!AM$414*'1.1 Control Panel'!AM428)</f>
        <v>79.967548144634179</v>
      </c>
      <c r="AN133" s="21">
        <f>MIN('3.1 Market'!$H124,'1.1 Control Panel'!AN$414*'1.1 Control Panel'!AN428)</f>
        <v>79.974038515707349</v>
      </c>
      <c r="AP133" s="21"/>
    </row>
    <row r="134" spans="2:42" x14ac:dyDescent="0.25">
      <c r="C134" s="21" t="s">
        <v>456</v>
      </c>
      <c r="D134" s="38" t="s">
        <v>162</v>
      </c>
      <c r="E134" s="21">
        <f>MIN('3.1 Market'!$F125,'1.1 Control Panel'!E$414*'1.1 Control Panel'!E429)</f>
        <v>0</v>
      </c>
      <c r="F134" s="21">
        <f>MIN('3.1 Market'!$F125,'1.1 Control Panel'!F$414*'1.1 Control Panel'!F429)</f>
        <v>1</v>
      </c>
      <c r="G134" s="21">
        <f>MIN('3.1 Market'!$F125,'1.1 Control Panel'!G$414*'1.1 Control Panel'!G429)</f>
        <v>1.8</v>
      </c>
      <c r="H134" s="21">
        <f>MIN('3.1 Market'!$F125,'1.1 Control Panel'!H$414*'1.1 Control Panel'!H429)</f>
        <v>2.4400000000000004</v>
      </c>
      <c r="I134" s="21">
        <f>MIN('3.1 Market'!$F125,'1.1 Control Panel'!I$414*'1.1 Control Panel'!I429)</f>
        <v>2.9520000000000004</v>
      </c>
      <c r="J134" s="21">
        <f>MIN('3.1 Market'!$F125,'1.1 Control Panel'!J$414*'1.1 Control Panel'!J429)</f>
        <v>6.7232000000000012</v>
      </c>
      <c r="K134" s="21">
        <f>MIN('3.1 Market'!$F125,'1.1 Control Panel'!K$414*'1.1 Control Panel'!K429)</f>
        <v>7.3785600000000011</v>
      </c>
      <c r="L134" s="21">
        <f>MIN('3.1 Market'!$F125,'1.1 Control Panel'!L$414*'1.1 Control Panel'!L429)</f>
        <v>7.9028480000000014</v>
      </c>
      <c r="M134" s="21">
        <f>MIN('3.1 Market'!$F125,'1.1 Control Panel'!M$414*'1.1 Control Panel'!M429)</f>
        <v>8.3222784000000019</v>
      </c>
      <c r="N134" s="21">
        <f>MIN('3.1 Market'!$F125,'1.1 Control Panel'!N$414*'1.1 Control Panel'!N429)</f>
        <v>8.6578227200000022</v>
      </c>
      <c r="O134" s="21">
        <f>MIN('3.1 Market'!$F125,'1.1 Control Panel'!O$414*'1.1 Control Panel'!O429)</f>
        <v>8.926258176000001</v>
      </c>
      <c r="P134" s="21">
        <f>MIN('3.1 Market'!$F125,'1.1 Control Panel'!P$414*'1.1 Control Panel'!P429)</f>
        <v>9.1410065408000012</v>
      </c>
      <c r="Q134" s="21">
        <f>MIN('3.1 Market'!$G125,'1.1 Control Panel'!Q$414*'1.1 Control Panel'!Q429)</f>
        <v>13.969207848960004</v>
      </c>
      <c r="R134" s="21">
        <f>MIN('3.1 Market'!$G125,'1.1 Control Panel'!R$414*'1.1 Control Panel'!R429)</f>
        <v>14.175366279168003</v>
      </c>
      <c r="S134" s="21">
        <f>MIN('3.1 Market'!$G125,'1.1 Control Panel'!S$414*'1.1 Control Panel'!S429)</f>
        <v>14.340293023334404</v>
      </c>
      <c r="T134" s="21">
        <f>MIN('3.1 Market'!$G125,'1.1 Control Panel'!T$414*'1.1 Control Panel'!T429)</f>
        <v>14.472234418667522</v>
      </c>
      <c r="U134" s="21">
        <f>MIN('3.1 Market'!$G125,'1.1 Control Panel'!U$414*'1.1 Control Panel'!U429)</f>
        <v>19.43705004657869</v>
      </c>
      <c r="V134" s="21">
        <f>MIN('3.1 Market'!$G125,'1.1 Control Panel'!V$414*'1.1 Control Panel'!V429)</f>
        <v>19.549640037262954</v>
      </c>
      <c r="W134" s="21">
        <f>MIN('3.1 Market'!$G125,'1.1 Control Panel'!W$414*'1.1 Control Panel'!W429)</f>
        <v>19.639712029810362</v>
      </c>
      <c r="X134" s="21">
        <f>MIN('3.1 Market'!$G125,'1.1 Control Panel'!X$414*'1.1 Control Panel'!X429)</f>
        <v>19.711769623848291</v>
      </c>
      <c r="Y134" s="21">
        <f>MIN('3.1 Market'!$G125,'1.1 Control Panel'!Y$414*'1.1 Control Panel'!Y429)</f>
        <v>19.769415699078635</v>
      </c>
      <c r="Z134" s="21">
        <f>MIN('3.1 Market'!$G125,'1.1 Control Panel'!Z$414*'1.1 Control Panel'!Z429)</f>
        <v>19.815532559262909</v>
      </c>
      <c r="AA134" s="21">
        <f>MIN('3.1 Market'!$G125,'1.1 Control Panel'!AA$414*'1.1 Control Panel'!AA429)</f>
        <v>19.852426047410326</v>
      </c>
      <c r="AB134" s="21">
        <f>MIN('3.1 Market'!$G125,'1.1 Control Panel'!AB$414*'1.1 Control Panel'!AB429)</f>
        <v>19.881940837928262</v>
      </c>
      <c r="AC134" s="21">
        <f>MIN('3.1 Market'!$H125,'1.1 Control Panel'!AC$414*'1.1 Control Panel'!AC429)</f>
        <v>39.811105340685216</v>
      </c>
      <c r="AD134" s="21">
        <f>MIN('3.1 Market'!$H125,'1.1 Control Panel'!AD$414*'1.1 Control Panel'!AD429)</f>
        <v>39.848884272548176</v>
      </c>
      <c r="AE134" s="21">
        <f>MIN('3.1 Market'!$H125,'1.1 Control Panel'!AE$414*'1.1 Control Panel'!AE429)</f>
        <v>39.879107418038544</v>
      </c>
      <c r="AF134" s="21">
        <f>MIN('3.1 Market'!$H125,'1.1 Control Panel'!AF$414*'1.1 Control Panel'!AF429)</f>
        <v>39.903285934430841</v>
      </c>
      <c r="AG134" s="21">
        <f>MIN('3.1 Market'!$H125,'1.1 Control Panel'!AG$414*'1.1 Control Panel'!AG429)</f>
        <v>59.883943121317017</v>
      </c>
      <c r="AH134" s="21">
        <f>MIN('3.1 Market'!$H125,'1.1 Control Panel'!AH$414*'1.1 Control Panel'!AH429)</f>
        <v>59.907154497053618</v>
      </c>
      <c r="AI134" s="21">
        <f>MIN('3.1 Market'!$H125,'1.1 Control Panel'!AI$414*'1.1 Control Panel'!AI429)</f>
        <v>59.9257235976429</v>
      </c>
      <c r="AJ134" s="21">
        <f>MIN('3.1 Market'!$H125,'1.1 Control Panel'!AJ$414*'1.1 Control Panel'!AJ429)</f>
        <v>59.940578878114323</v>
      </c>
      <c r="AK134" s="21">
        <f>MIN('3.1 Market'!$H125,'1.1 Control Panel'!AK$414*'1.1 Control Panel'!AK429)</f>
        <v>79.936617469988619</v>
      </c>
      <c r="AL134" s="21">
        <f>MIN('3.1 Market'!$H125,'1.1 Control Panel'!AL$414*'1.1 Control Panel'!AL429)</f>
        <v>79.949293975990898</v>
      </c>
      <c r="AM134" s="21">
        <f>MIN('3.1 Market'!$H125,'1.1 Control Panel'!AM$414*'1.1 Control Panel'!AM429)</f>
        <v>79.959435180792724</v>
      </c>
      <c r="AN134" s="21">
        <f>MIN('3.1 Market'!$H125,'1.1 Control Panel'!AN$414*'1.1 Control Panel'!AN429)</f>
        <v>79.967548144634179</v>
      </c>
      <c r="AP134" s="21"/>
    </row>
    <row r="135" spans="2:42" x14ac:dyDescent="0.25">
      <c r="B135" s="99" t="s">
        <v>9</v>
      </c>
      <c r="C135" s="105" t="str">
        <f>'4.2 Sector Mapping'!$B$9</f>
        <v>Healthcare</v>
      </c>
      <c r="D135" s="106" t="s">
        <v>162</v>
      </c>
      <c r="E135" s="105">
        <f>SUM(E136:E141)</f>
        <v>0</v>
      </c>
      <c r="F135" s="105">
        <f t="shared" ref="F135:H135" si="101">SUM(F136:F141)</f>
        <v>0</v>
      </c>
      <c r="G135" s="105">
        <f t="shared" si="101"/>
        <v>20.400000000000002</v>
      </c>
      <c r="H135" s="105">
        <f t="shared" si="101"/>
        <v>22.320000000000004</v>
      </c>
      <c r="I135" s="105">
        <f t="shared" ref="I135:AN135" si="102">SUM(I136:I141)</f>
        <v>23.856000000000002</v>
      </c>
      <c r="J135" s="105">
        <f t="shared" si="102"/>
        <v>25.084800000000001</v>
      </c>
      <c r="K135" s="105">
        <f t="shared" si="102"/>
        <v>26.067840000000004</v>
      </c>
      <c r="L135" s="105">
        <f t="shared" si="102"/>
        <v>26.854272000000005</v>
      </c>
      <c r="M135" s="105">
        <f t="shared" si="102"/>
        <v>27.483417600000003</v>
      </c>
      <c r="N135" s="105">
        <f t="shared" si="102"/>
        <v>27.986734080000005</v>
      </c>
      <c r="O135" s="105">
        <f t="shared" si="102"/>
        <v>28.389387264000007</v>
      </c>
      <c r="P135" s="105">
        <f t="shared" si="102"/>
        <v>28.711509811200006</v>
      </c>
      <c r="Q135" s="105">
        <f t="shared" si="102"/>
        <v>57.938415697920007</v>
      </c>
      <c r="R135" s="105">
        <f t="shared" si="102"/>
        <v>58.350732558336013</v>
      </c>
      <c r="S135" s="105">
        <f t="shared" si="102"/>
        <v>58.680586046668807</v>
      </c>
      <c r="T135" s="105">
        <f t="shared" si="102"/>
        <v>58.944468837335052</v>
      </c>
      <c r="U135" s="105">
        <f t="shared" si="102"/>
        <v>88.733362604802068</v>
      </c>
      <c r="V135" s="105">
        <f t="shared" si="102"/>
        <v>88.986690083841665</v>
      </c>
      <c r="W135" s="105">
        <f t="shared" si="102"/>
        <v>89.18935206707333</v>
      </c>
      <c r="X135" s="105">
        <f t="shared" si="102"/>
        <v>89.351481653658652</v>
      </c>
      <c r="Y135" s="105">
        <f t="shared" si="102"/>
        <v>89.481185322926919</v>
      </c>
      <c r="Z135" s="105">
        <f t="shared" si="102"/>
        <v>89.584948258341541</v>
      </c>
      <c r="AA135" s="105">
        <f t="shared" si="102"/>
        <v>89.667958606673238</v>
      </c>
      <c r="AB135" s="105">
        <f t="shared" si="102"/>
        <v>89.734366885338602</v>
      </c>
      <c r="AC135" s="105">
        <f t="shared" si="102"/>
        <v>149.64582251378479</v>
      </c>
      <c r="AD135" s="105">
        <f t="shared" si="102"/>
        <v>149.71665801102785</v>
      </c>
      <c r="AE135" s="105">
        <f t="shared" si="102"/>
        <v>149.7733264088223</v>
      </c>
      <c r="AF135" s="105">
        <f t="shared" si="102"/>
        <v>149.81866112705782</v>
      </c>
      <c r="AG135" s="105">
        <f t="shared" si="102"/>
        <v>209.79690046230476</v>
      </c>
      <c r="AH135" s="105">
        <f t="shared" si="102"/>
        <v>209.83752036984382</v>
      </c>
      <c r="AI135" s="105">
        <f t="shared" si="102"/>
        <v>209.87001629587508</v>
      </c>
      <c r="AJ135" s="105">
        <f t="shared" si="102"/>
        <v>209.89601303670008</v>
      </c>
      <c r="AK135" s="105">
        <f t="shared" si="102"/>
        <v>239.90492620498293</v>
      </c>
      <c r="AL135" s="105">
        <f t="shared" si="102"/>
        <v>239.92394096398633</v>
      </c>
      <c r="AM135" s="105">
        <f t="shared" si="102"/>
        <v>239.93915277118907</v>
      </c>
      <c r="AN135" s="105">
        <f t="shared" si="102"/>
        <v>239.95132221695127</v>
      </c>
      <c r="AP135" s="105"/>
    </row>
    <row r="136" spans="2:42" x14ac:dyDescent="0.25">
      <c r="C136" s="20" t="s">
        <v>600</v>
      </c>
      <c r="D136" s="34" t="s">
        <v>162</v>
      </c>
      <c r="E136" s="20">
        <f>MIN('3.1 Market'!$F127,'1.1 Control Panel'!E$445*'1.1 Control Panel'!E455)</f>
        <v>0</v>
      </c>
      <c r="F136" s="20">
        <f>MIN('3.1 Market'!$F127,'1.1 Control Panel'!F$445*'1.1 Control Panel'!F455)</f>
        <v>0</v>
      </c>
      <c r="G136" s="20">
        <f>MIN('3.1 Market'!$F127,'1.1 Control Panel'!G$445*'1.1 Control Panel'!G455)</f>
        <v>5</v>
      </c>
      <c r="H136" s="20">
        <f>MIN('3.1 Market'!$F127,'1.1 Control Panel'!H$445*'1.1 Control Panel'!H455)</f>
        <v>5</v>
      </c>
      <c r="I136" s="20">
        <f>MIN('3.1 Market'!$F127,'1.1 Control Panel'!I$445*'1.1 Control Panel'!I455)</f>
        <v>5</v>
      </c>
      <c r="J136" s="20">
        <f>MIN('3.1 Market'!$F127,'1.1 Control Panel'!J$445*'1.1 Control Panel'!J455)</f>
        <v>5</v>
      </c>
      <c r="K136" s="20">
        <f>MIN('3.1 Market'!$F127,'1.1 Control Panel'!K$445*'1.1 Control Panel'!K455)</f>
        <v>5</v>
      </c>
      <c r="L136" s="20">
        <f>MIN('3.1 Market'!$F127,'1.1 Control Panel'!L$445*'1.1 Control Panel'!L455)</f>
        <v>5</v>
      </c>
      <c r="M136" s="20">
        <f>MIN('3.1 Market'!$F127,'1.1 Control Panel'!M$445*'1.1 Control Panel'!M455)</f>
        <v>5</v>
      </c>
      <c r="N136" s="20">
        <f>MIN('3.1 Market'!$F127,'1.1 Control Panel'!N$445*'1.1 Control Panel'!N455)</f>
        <v>5</v>
      </c>
      <c r="O136" s="20">
        <f>MIN('3.1 Market'!$F127,'1.1 Control Panel'!O$445*'1.1 Control Panel'!O455)</f>
        <v>5</v>
      </c>
      <c r="P136" s="20">
        <f>MIN('3.1 Market'!$F127,'1.1 Control Panel'!P$445*'1.1 Control Panel'!P455)</f>
        <v>5</v>
      </c>
      <c r="Q136" s="20">
        <f>MIN('3.1 Market'!$G127,'1.1 Control Panel'!Q$445*'1.1 Control Panel'!Q455)</f>
        <v>10</v>
      </c>
      <c r="R136" s="20">
        <f>MIN('3.1 Market'!$G127,'1.1 Control Panel'!R$445*'1.1 Control Panel'!R455)</f>
        <v>10</v>
      </c>
      <c r="S136" s="20">
        <f>MIN('3.1 Market'!$G127,'1.1 Control Panel'!S$445*'1.1 Control Panel'!S455)</f>
        <v>10</v>
      </c>
      <c r="T136" s="20">
        <f>MIN('3.1 Market'!$G127,'1.1 Control Panel'!T$445*'1.1 Control Panel'!T455)</f>
        <v>10</v>
      </c>
      <c r="U136" s="20">
        <f>MIN('3.1 Market'!$G127,'1.1 Control Panel'!U$445*'1.1 Control Panel'!U455)</f>
        <v>15</v>
      </c>
      <c r="V136" s="20">
        <f>MIN('3.1 Market'!$G127,'1.1 Control Panel'!V$445*'1.1 Control Panel'!V455)</f>
        <v>15</v>
      </c>
      <c r="W136" s="20">
        <f>MIN('3.1 Market'!$G127,'1.1 Control Panel'!W$445*'1.1 Control Panel'!W455)</f>
        <v>15</v>
      </c>
      <c r="X136" s="20">
        <f>MIN('3.1 Market'!$G127,'1.1 Control Panel'!X$445*'1.1 Control Panel'!X455)</f>
        <v>15</v>
      </c>
      <c r="Y136" s="20">
        <f>MIN('3.1 Market'!$G127,'1.1 Control Panel'!Y$445*'1.1 Control Panel'!Y455)</f>
        <v>15</v>
      </c>
      <c r="Z136" s="20">
        <f>MIN('3.1 Market'!$G127,'1.1 Control Panel'!Z$445*'1.1 Control Panel'!Z455)</f>
        <v>15</v>
      </c>
      <c r="AA136" s="20">
        <f>MIN('3.1 Market'!$G127,'1.1 Control Panel'!AA$445*'1.1 Control Panel'!AA455)</f>
        <v>15</v>
      </c>
      <c r="AB136" s="20">
        <f>MIN('3.1 Market'!$G127,'1.1 Control Panel'!AB$445*'1.1 Control Panel'!AB455)</f>
        <v>15</v>
      </c>
      <c r="AC136" s="20">
        <f>MIN('3.1 Market'!$H127,'1.1 Control Panel'!AC$445*'1.1 Control Panel'!AC455)</f>
        <v>25</v>
      </c>
      <c r="AD136" s="20">
        <f>MIN('3.1 Market'!$H127,'1.1 Control Panel'!AD$445*'1.1 Control Panel'!AD455)</f>
        <v>25</v>
      </c>
      <c r="AE136" s="20">
        <f>MIN('3.1 Market'!$H127,'1.1 Control Panel'!AE$445*'1.1 Control Panel'!AE455)</f>
        <v>25</v>
      </c>
      <c r="AF136" s="20">
        <f>MIN('3.1 Market'!$H127,'1.1 Control Panel'!AF$445*'1.1 Control Panel'!AF455)</f>
        <v>25</v>
      </c>
      <c r="AG136" s="20">
        <f>MIN('3.1 Market'!$H127,'1.1 Control Panel'!AG$445*'1.1 Control Panel'!AG455)</f>
        <v>35</v>
      </c>
      <c r="AH136" s="20">
        <f>MIN('3.1 Market'!$H127,'1.1 Control Panel'!AH$445*'1.1 Control Panel'!AH455)</f>
        <v>35</v>
      </c>
      <c r="AI136" s="20">
        <f>MIN('3.1 Market'!$H127,'1.1 Control Panel'!AI$445*'1.1 Control Panel'!AI455)</f>
        <v>35</v>
      </c>
      <c r="AJ136" s="20">
        <f>MIN('3.1 Market'!$H127,'1.1 Control Panel'!AJ$445*'1.1 Control Panel'!AJ455)</f>
        <v>35</v>
      </c>
      <c r="AK136" s="20">
        <f>MIN('3.1 Market'!$H127,'1.1 Control Panel'!AK$445*'1.1 Control Panel'!AK455)</f>
        <v>40</v>
      </c>
      <c r="AL136" s="20">
        <f>MIN('3.1 Market'!$H127,'1.1 Control Panel'!AL$445*'1.1 Control Panel'!AL455)</f>
        <v>40</v>
      </c>
      <c r="AM136" s="20">
        <f>MIN('3.1 Market'!$H127,'1.1 Control Panel'!AM$445*'1.1 Control Panel'!AM455)</f>
        <v>40</v>
      </c>
      <c r="AN136" s="20">
        <f>MIN('3.1 Market'!$H127,'1.1 Control Panel'!AN$445*'1.1 Control Panel'!AN455)</f>
        <v>40</v>
      </c>
      <c r="AP136" s="20"/>
    </row>
    <row r="137" spans="2:42" x14ac:dyDescent="0.25">
      <c r="C137" s="20" t="s">
        <v>392</v>
      </c>
      <c r="D137" s="34" t="s">
        <v>162</v>
      </c>
      <c r="E137" s="20">
        <f>MIN('3.1 Market'!$F128,'1.1 Control Panel'!E$445*'1.1 Control Panel'!E456)</f>
        <v>0</v>
      </c>
      <c r="F137" s="20">
        <f>MIN('3.1 Market'!$F128,'1.1 Control Panel'!F$445*'1.1 Control Panel'!F456)</f>
        <v>0</v>
      </c>
      <c r="G137" s="20">
        <f>MIN('3.1 Market'!$F128,'1.1 Control Panel'!G$445*'1.1 Control Panel'!G456)</f>
        <v>4.3600000000000003</v>
      </c>
      <c r="H137" s="20">
        <f>MIN('3.1 Market'!$F128,'1.1 Control Panel'!H$445*'1.1 Control Panel'!H456)</f>
        <v>4.4880000000000004</v>
      </c>
      <c r="I137" s="20">
        <f>MIN('3.1 Market'!$F128,'1.1 Control Panel'!I$445*'1.1 Control Panel'!I456)</f>
        <v>4.5904000000000007</v>
      </c>
      <c r="J137" s="20">
        <f>MIN('3.1 Market'!$F128,'1.1 Control Panel'!J$445*'1.1 Control Panel'!J456)</f>
        <v>4.6723200000000009</v>
      </c>
      <c r="K137" s="20">
        <f>MIN('3.1 Market'!$F128,'1.1 Control Panel'!K$445*'1.1 Control Panel'!K456)</f>
        <v>4.7378560000000007</v>
      </c>
      <c r="L137" s="20">
        <f>MIN('3.1 Market'!$F128,'1.1 Control Panel'!L$445*'1.1 Control Panel'!L456)</f>
        <v>4.7902848000000002</v>
      </c>
      <c r="M137" s="20">
        <f>MIN('3.1 Market'!$F128,'1.1 Control Panel'!M$445*'1.1 Control Panel'!M456)</f>
        <v>4.8322278399999998</v>
      </c>
      <c r="N137" s="20">
        <f>MIN('3.1 Market'!$F128,'1.1 Control Panel'!N$445*'1.1 Control Panel'!N456)</f>
        <v>4.8657822720000006</v>
      </c>
      <c r="O137" s="20">
        <f>MIN('3.1 Market'!$F128,'1.1 Control Panel'!O$445*'1.1 Control Panel'!O456)</f>
        <v>4.8926258176000008</v>
      </c>
      <c r="P137" s="20">
        <f>MIN('3.1 Market'!$F128,'1.1 Control Panel'!P$445*'1.1 Control Panel'!P456)</f>
        <v>4.9141006540800003</v>
      </c>
      <c r="Q137" s="20">
        <f>MIN('3.1 Market'!$G128,'1.1 Control Panel'!Q$445*'1.1 Control Panel'!Q456)</f>
        <v>9.8625610465280005</v>
      </c>
      <c r="R137" s="20">
        <f>MIN('3.1 Market'!$G128,'1.1 Control Panel'!R$445*'1.1 Control Panel'!R456)</f>
        <v>9.8900488372224018</v>
      </c>
      <c r="S137" s="20">
        <f>MIN('3.1 Market'!$G128,'1.1 Control Panel'!S$445*'1.1 Control Panel'!S456)</f>
        <v>9.9120390697779222</v>
      </c>
      <c r="T137" s="20">
        <f>MIN('3.1 Market'!$G128,'1.1 Control Panel'!T$445*'1.1 Control Panel'!T456)</f>
        <v>9.9296312558223381</v>
      </c>
      <c r="U137" s="20">
        <f>MIN('3.1 Market'!$G128,'1.1 Control Panel'!U$445*'1.1 Control Panel'!U456)</f>
        <v>14.915557506986808</v>
      </c>
      <c r="V137" s="20">
        <f>MIN('3.1 Market'!$G128,'1.1 Control Panel'!V$445*'1.1 Control Panel'!V456)</f>
        <v>14.932446005589448</v>
      </c>
      <c r="W137" s="20">
        <f>MIN('3.1 Market'!$G128,'1.1 Control Panel'!W$445*'1.1 Control Panel'!W456)</f>
        <v>14.945956804471558</v>
      </c>
      <c r="X137" s="20">
        <f>MIN('3.1 Market'!$G128,'1.1 Control Panel'!X$445*'1.1 Control Panel'!X456)</f>
        <v>14.956765443577247</v>
      </c>
      <c r="Y137" s="20">
        <f>MIN('3.1 Market'!$G128,'1.1 Control Panel'!Y$445*'1.1 Control Panel'!Y456)</f>
        <v>14.965412354861797</v>
      </c>
      <c r="Z137" s="20">
        <f>MIN('3.1 Market'!$G128,'1.1 Control Panel'!Z$445*'1.1 Control Panel'!Z456)</f>
        <v>14.97232988388944</v>
      </c>
      <c r="AA137" s="20">
        <f>MIN('3.1 Market'!$G128,'1.1 Control Panel'!AA$445*'1.1 Control Panel'!AA456)</f>
        <v>14.977863907111553</v>
      </c>
      <c r="AB137" s="20">
        <f>MIN('3.1 Market'!$G128,'1.1 Control Panel'!AB$445*'1.1 Control Panel'!AB456)</f>
        <v>14.982291125689244</v>
      </c>
      <c r="AC137" s="20">
        <f>MIN('3.1 Market'!$H128,'1.1 Control Panel'!AC$445*'1.1 Control Panel'!AC456)</f>
        <v>24.976388167585661</v>
      </c>
      <c r="AD137" s="20">
        <f>MIN('3.1 Market'!$H128,'1.1 Control Panel'!AD$445*'1.1 Control Panel'!AD456)</f>
        <v>24.981110534068527</v>
      </c>
      <c r="AE137" s="20">
        <f>MIN('3.1 Market'!$H128,'1.1 Control Panel'!AE$445*'1.1 Control Panel'!AE456)</f>
        <v>24.984888427254823</v>
      </c>
      <c r="AF137" s="20">
        <f>MIN('3.1 Market'!$H128,'1.1 Control Panel'!AF$445*'1.1 Control Panel'!AF456)</f>
        <v>24.987910741803859</v>
      </c>
      <c r="AG137" s="20">
        <f>MIN('3.1 Market'!$H128,'1.1 Control Panel'!AG$445*'1.1 Control Panel'!AG456)</f>
        <v>34.986460030820325</v>
      </c>
      <c r="AH137" s="20">
        <f>MIN('3.1 Market'!$H128,'1.1 Control Panel'!AH$445*'1.1 Control Panel'!AH456)</f>
        <v>34.989168024656259</v>
      </c>
      <c r="AI137" s="20">
        <f>MIN('3.1 Market'!$H128,'1.1 Control Panel'!AI$445*'1.1 Control Panel'!AI456)</f>
        <v>34.991334419725007</v>
      </c>
      <c r="AJ137" s="20">
        <f>MIN('3.1 Market'!$H128,'1.1 Control Panel'!AJ$445*'1.1 Control Panel'!AJ456)</f>
        <v>34.993067535780007</v>
      </c>
      <c r="AK137" s="20">
        <f>MIN('3.1 Market'!$H128,'1.1 Control Panel'!AK$445*'1.1 Control Panel'!AK456)</f>
        <v>39.993661746998868</v>
      </c>
      <c r="AL137" s="20">
        <f>MIN('3.1 Market'!$H128,'1.1 Control Panel'!AL$445*'1.1 Control Panel'!AL456)</f>
        <v>39.994929397599094</v>
      </c>
      <c r="AM137" s="20">
        <f>MIN('3.1 Market'!$H128,'1.1 Control Panel'!AM$445*'1.1 Control Panel'!AM456)</f>
        <v>39.995943518079272</v>
      </c>
      <c r="AN137" s="20">
        <f>MIN('3.1 Market'!$H128,'1.1 Control Panel'!AN$445*'1.1 Control Panel'!AN456)</f>
        <v>39.996754814463415</v>
      </c>
      <c r="AP137" s="20"/>
    </row>
    <row r="138" spans="2:42" x14ac:dyDescent="0.25">
      <c r="C138" s="20" t="s">
        <v>454</v>
      </c>
      <c r="D138" s="34" t="s">
        <v>162</v>
      </c>
      <c r="E138" s="20">
        <f>MIN('3.1 Market'!$F129,'1.1 Control Panel'!E$445*'1.1 Control Panel'!E457)</f>
        <v>0</v>
      </c>
      <c r="F138" s="20">
        <f>MIN('3.1 Market'!$F129,'1.1 Control Panel'!F$445*'1.1 Control Panel'!F457)</f>
        <v>0</v>
      </c>
      <c r="G138" s="20">
        <f>MIN('3.1 Market'!$F129,'1.1 Control Panel'!G$445*'1.1 Control Panel'!G457)</f>
        <v>3.7200000000000006</v>
      </c>
      <c r="H138" s="20">
        <f>MIN('3.1 Market'!$F129,'1.1 Control Panel'!H$445*'1.1 Control Panel'!H457)</f>
        <v>3.9760000000000009</v>
      </c>
      <c r="I138" s="20">
        <f>MIN('3.1 Market'!$F129,'1.1 Control Panel'!I$445*'1.1 Control Panel'!I457)</f>
        <v>4.1808000000000014</v>
      </c>
      <c r="J138" s="20">
        <f>MIN('3.1 Market'!$F129,'1.1 Control Panel'!J$445*'1.1 Control Panel'!J457)</f>
        <v>4.3446400000000018</v>
      </c>
      <c r="K138" s="20">
        <f>MIN('3.1 Market'!$F129,'1.1 Control Panel'!K$445*'1.1 Control Panel'!K457)</f>
        <v>4.4757120000000015</v>
      </c>
      <c r="L138" s="20">
        <f>MIN('3.1 Market'!$F129,'1.1 Control Panel'!L$445*'1.1 Control Panel'!L457)</f>
        <v>4.5805696000000014</v>
      </c>
      <c r="M138" s="20">
        <f>MIN('3.1 Market'!$F129,'1.1 Control Panel'!M$445*'1.1 Control Panel'!M457)</f>
        <v>4.6644556800000014</v>
      </c>
      <c r="N138" s="20">
        <f>MIN('3.1 Market'!$F129,'1.1 Control Panel'!N$445*'1.1 Control Panel'!N457)</f>
        <v>4.7315645440000011</v>
      </c>
      <c r="O138" s="20">
        <f>MIN('3.1 Market'!$F129,'1.1 Control Panel'!O$445*'1.1 Control Panel'!O457)</f>
        <v>4.7852516352000016</v>
      </c>
      <c r="P138" s="20">
        <f>MIN('3.1 Market'!$F129,'1.1 Control Panel'!P$445*'1.1 Control Panel'!P457)</f>
        <v>4.8282013081600015</v>
      </c>
      <c r="Q138" s="20">
        <f>MIN('3.1 Market'!$G129,'1.1 Control Panel'!Q$445*'1.1 Control Panel'!Q457)</f>
        <v>9.7251220930560027</v>
      </c>
      <c r="R138" s="20">
        <f>MIN('3.1 Market'!$G129,'1.1 Control Panel'!R$445*'1.1 Control Panel'!R457)</f>
        <v>9.7800976744448036</v>
      </c>
      <c r="S138" s="20">
        <f>MIN('3.1 Market'!$G129,'1.1 Control Panel'!S$445*'1.1 Control Panel'!S457)</f>
        <v>9.8240781395558443</v>
      </c>
      <c r="T138" s="20">
        <f>MIN('3.1 Market'!$G129,'1.1 Control Panel'!T$445*'1.1 Control Panel'!T457)</f>
        <v>9.8592625116446762</v>
      </c>
      <c r="U138" s="20">
        <f>MIN('3.1 Market'!$G129,'1.1 Control Panel'!U$445*'1.1 Control Panel'!U457)</f>
        <v>14.83111501397361</v>
      </c>
      <c r="V138" s="20">
        <f>MIN('3.1 Market'!$G129,'1.1 Control Panel'!V$445*'1.1 Control Panel'!V457)</f>
        <v>14.864892011178888</v>
      </c>
      <c r="W138" s="20">
        <f>MIN('3.1 Market'!$G129,'1.1 Control Panel'!W$445*'1.1 Control Panel'!W457)</f>
        <v>14.891913608943112</v>
      </c>
      <c r="X138" s="20">
        <f>MIN('3.1 Market'!$G129,'1.1 Control Panel'!X$445*'1.1 Control Panel'!X457)</f>
        <v>14.913530887154488</v>
      </c>
      <c r="Y138" s="20">
        <f>MIN('3.1 Market'!$G129,'1.1 Control Panel'!Y$445*'1.1 Control Panel'!Y457)</f>
        <v>14.93082470972359</v>
      </c>
      <c r="Z138" s="20">
        <f>MIN('3.1 Market'!$G129,'1.1 Control Panel'!Z$445*'1.1 Control Panel'!Z457)</f>
        <v>14.944659767778873</v>
      </c>
      <c r="AA138" s="20">
        <f>MIN('3.1 Market'!$G129,'1.1 Control Panel'!AA$445*'1.1 Control Panel'!AA457)</f>
        <v>14.955727814223099</v>
      </c>
      <c r="AB138" s="20">
        <f>MIN('3.1 Market'!$G129,'1.1 Control Panel'!AB$445*'1.1 Control Panel'!AB457)</f>
        <v>14.964582251378481</v>
      </c>
      <c r="AC138" s="20">
        <f>MIN('3.1 Market'!$H129,'1.1 Control Panel'!AC$445*'1.1 Control Panel'!AC457)</f>
        <v>24.952776335171308</v>
      </c>
      <c r="AD138" s="20">
        <f>MIN('3.1 Market'!$H129,'1.1 Control Panel'!AD$445*'1.1 Control Panel'!AD457)</f>
        <v>24.962221068137048</v>
      </c>
      <c r="AE138" s="20">
        <f>MIN('3.1 Market'!$H129,'1.1 Control Panel'!AE$445*'1.1 Control Panel'!AE457)</f>
        <v>24.969776854509639</v>
      </c>
      <c r="AF138" s="20">
        <f>MIN('3.1 Market'!$H129,'1.1 Control Panel'!AF$445*'1.1 Control Panel'!AF457)</f>
        <v>24.97582148360771</v>
      </c>
      <c r="AG138" s="20">
        <f>MIN('3.1 Market'!$H129,'1.1 Control Panel'!AG$445*'1.1 Control Panel'!AG457)</f>
        <v>34.972920061640636</v>
      </c>
      <c r="AH138" s="20">
        <f>MIN('3.1 Market'!$H129,'1.1 Control Panel'!AH$445*'1.1 Control Panel'!AH457)</f>
        <v>34.97833604931251</v>
      </c>
      <c r="AI138" s="20">
        <f>MIN('3.1 Market'!$H129,'1.1 Control Panel'!AI$445*'1.1 Control Panel'!AI457)</f>
        <v>34.982668839450007</v>
      </c>
      <c r="AJ138" s="20">
        <f>MIN('3.1 Market'!$H129,'1.1 Control Panel'!AJ$445*'1.1 Control Panel'!AJ457)</f>
        <v>34.986135071560014</v>
      </c>
      <c r="AK138" s="20">
        <f>MIN('3.1 Market'!$H129,'1.1 Control Panel'!AK$445*'1.1 Control Panel'!AK457)</f>
        <v>39.987323493997721</v>
      </c>
      <c r="AL138" s="20">
        <f>MIN('3.1 Market'!$H129,'1.1 Control Panel'!AL$445*'1.1 Control Panel'!AL457)</f>
        <v>39.989858795198174</v>
      </c>
      <c r="AM138" s="20">
        <f>MIN('3.1 Market'!$H129,'1.1 Control Panel'!AM$445*'1.1 Control Panel'!AM457)</f>
        <v>39.991887036158545</v>
      </c>
      <c r="AN138" s="20">
        <f>MIN('3.1 Market'!$H129,'1.1 Control Panel'!AN$445*'1.1 Control Panel'!AN457)</f>
        <v>39.993509628926837</v>
      </c>
      <c r="AP138" s="20"/>
    </row>
    <row r="139" spans="2:42" x14ac:dyDescent="0.25">
      <c r="C139" s="21" t="s">
        <v>455</v>
      </c>
      <c r="D139" s="38" t="s">
        <v>162</v>
      </c>
      <c r="E139" s="21">
        <f>MIN('3.1 Market'!$F130,'1.1 Control Panel'!E$445*'1.1 Control Panel'!E458)</f>
        <v>0</v>
      </c>
      <c r="F139" s="21">
        <f>MIN('3.1 Market'!$F130,'1.1 Control Panel'!F$445*'1.1 Control Panel'!F458)</f>
        <v>0</v>
      </c>
      <c r="G139" s="21">
        <f>MIN('3.1 Market'!$F130,'1.1 Control Panel'!G$445*'1.1 Control Panel'!G458)</f>
        <v>3.08</v>
      </c>
      <c r="H139" s="21">
        <f>MIN('3.1 Market'!$F130,'1.1 Control Panel'!H$445*'1.1 Control Panel'!H458)</f>
        <v>3.4640000000000004</v>
      </c>
      <c r="I139" s="21">
        <f>MIN('3.1 Market'!$F130,'1.1 Control Panel'!I$445*'1.1 Control Panel'!I458)</f>
        <v>3.7712000000000003</v>
      </c>
      <c r="J139" s="21">
        <f>MIN('3.1 Market'!$F130,'1.1 Control Panel'!J$445*'1.1 Control Panel'!J458)</f>
        <v>4.016960000000001</v>
      </c>
      <c r="K139" s="21">
        <f>MIN('3.1 Market'!$F130,'1.1 Control Panel'!K$445*'1.1 Control Panel'!K458)</f>
        <v>4.2135680000000004</v>
      </c>
      <c r="L139" s="21">
        <f>MIN('3.1 Market'!$F130,'1.1 Control Panel'!L$445*'1.1 Control Panel'!L458)</f>
        <v>4.3708544000000007</v>
      </c>
      <c r="M139" s="21">
        <f>MIN('3.1 Market'!$F130,'1.1 Control Panel'!M$445*'1.1 Control Panel'!M458)</f>
        <v>4.4966835200000013</v>
      </c>
      <c r="N139" s="21">
        <f>MIN('3.1 Market'!$F130,'1.1 Control Panel'!N$445*'1.1 Control Panel'!N458)</f>
        <v>4.5973468160000017</v>
      </c>
      <c r="O139" s="21">
        <f>MIN('3.1 Market'!$F130,'1.1 Control Panel'!O$445*'1.1 Control Panel'!O458)</f>
        <v>4.6778774528000016</v>
      </c>
      <c r="P139" s="21">
        <f>MIN('3.1 Market'!$F130,'1.1 Control Panel'!P$445*'1.1 Control Panel'!P458)</f>
        <v>4.7423019622400009</v>
      </c>
      <c r="Q139" s="21">
        <f>MIN('3.1 Market'!$G130,'1.1 Control Panel'!Q$445*'1.1 Control Panel'!Q458)</f>
        <v>9.5876831395840014</v>
      </c>
      <c r="R139" s="21">
        <f>MIN('3.1 Market'!$G130,'1.1 Control Panel'!R$445*'1.1 Control Panel'!R458)</f>
        <v>9.6701465116672018</v>
      </c>
      <c r="S139" s="21">
        <f>MIN('3.1 Market'!$G130,'1.1 Control Panel'!S$445*'1.1 Control Panel'!S458)</f>
        <v>9.7361172093337629</v>
      </c>
      <c r="T139" s="21">
        <f>MIN('3.1 Market'!$G130,'1.1 Control Panel'!T$445*'1.1 Control Panel'!T458)</f>
        <v>9.7888937674670107</v>
      </c>
      <c r="U139" s="21">
        <f>MIN('3.1 Market'!$G130,'1.1 Control Panel'!U$445*'1.1 Control Panel'!U458)</f>
        <v>14.746672520960413</v>
      </c>
      <c r="V139" s="21">
        <f>MIN('3.1 Market'!$G130,'1.1 Control Panel'!V$445*'1.1 Control Panel'!V458)</f>
        <v>14.797338016768332</v>
      </c>
      <c r="W139" s="21">
        <f>MIN('3.1 Market'!$G130,'1.1 Control Panel'!W$445*'1.1 Control Panel'!W458)</f>
        <v>14.837870413414665</v>
      </c>
      <c r="X139" s="21">
        <f>MIN('3.1 Market'!$G130,'1.1 Control Panel'!X$445*'1.1 Control Panel'!X458)</f>
        <v>14.870296330731733</v>
      </c>
      <c r="Y139" s="21">
        <f>MIN('3.1 Market'!$G130,'1.1 Control Panel'!Y$445*'1.1 Control Panel'!Y458)</f>
        <v>14.896237064585387</v>
      </c>
      <c r="Z139" s="21">
        <f>MIN('3.1 Market'!$G130,'1.1 Control Panel'!Z$445*'1.1 Control Panel'!Z458)</f>
        <v>14.91698965166831</v>
      </c>
      <c r="AA139" s="21">
        <f>MIN('3.1 Market'!$G130,'1.1 Control Panel'!AA$445*'1.1 Control Panel'!AA458)</f>
        <v>14.933591721334649</v>
      </c>
      <c r="AB139" s="21">
        <f>MIN('3.1 Market'!$G130,'1.1 Control Panel'!AB$445*'1.1 Control Panel'!AB458)</f>
        <v>14.946873377067721</v>
      </c>
      <c r="AC139" s="21">
        <f>MIN('3.1 Market'!$H130,'1.1 Control Panel'!AC$445*'1.1 Control Panel'!AC458)</f>
        <v>24.929164502756961</v>
      </c>
      <c r="AD139" s="21">
        <f>MIN('3.1 Market'!$H130,'1.1 Control Panel'!AD$445*'1.1 Control Panel'!AD458)</f>
        <v>24.943331602205568</v>
      </c>
      <c r="AE139" s="21">
        <f>MIN('3.1 Market'!$H130,'1.1 Control Panel'!AE$445*'1.1 Control Panel'!AE458)</f>
        <v>24.954665281764456</v>
      </c>
      <c r="AF139" s="21">
        <f>MIN('3.1 Market'!$H130,'1.1 Control Panel'!AF$445*'1.1 Control Panel'!AF458)</f>
        <v>24.963732225411562</v>
      </c>
      <c r="AG139" s="21">
        <f>MIN('3.1 Market'!$H130,'1.1 Control Panel'!AG$445*'1.1 Control Panel'!AG458)</f>
        <v>34.959380092460947</v>
      </c>
      <c r="AH139" s="21">
        <f>MIN('3.1 Market'!$H130,'1.1 Control Panel'!AH$445*'1.1 Control Panel'!AH458)</f>
        <v>34.967504073968755</v>
      </c>
      <c r="AI139" s="21">
        <f>MIN('3.1 Market'!$H130,'1.1 Control Panel'!AI$445*'1.1 Control Panel'!AI458)</f>
        <v>34.974003259175007</v>
      </c>
      <c r="AJ139" s="21">
        <f>MIN('3.1 Market'!$H130,'1.1 Control Panel'!AJ$445*'1.1 Control Panel'!AJ458)</f>
        <v>34.979202607340007</v>
      </c>
      <c r="AK139" s="21">
        <f>MIN('3.1 Market'!$H130,'1.1 Control Panel'!AK$445*'1.1 Control Panel'!AK458)</f>
        <v>39.980985240996581</v>
      </c>
      <c r="AL139" s="21">
        <f>MIN('3.1 Market'!$H130,'1.1 Control Panel'!AL$445*'1.1 Control Panel'!AL458)</f>
        <v>39.984788192797268</v>
      </c>
      <c r="AM139" s="21">
        <f>MIN('3.1 Market'!$H130,'1.1 Control Panel'!AM$445*'1.1 Control Panel'!AM458)</f>
        <v>39.987830554237817</v>
      </c>
      <c r="AN139" s="21">
        <f>MIN('3.1 Market'!$H130,'1.1 Control Panel'!AN$445*'1.1 Control Panel'!AN458)</f>
        <v>39.990264443390259</v>
      </c>
      <c r="AP139" s="21"/>
    </row>
    <row r="140" spans="2:42" x14ac:dyDescent="0.25">
      <c r="C140" s="21" t="s">
        <v>393</v>
      </c>
      <c r="D140" s="38" t="s">
        <v>162</v>
      </c>
      <c r="E140" s="21">
        <f>MIN('3.1 Market'!$F131,'1.1 Control Panel'!E$445*'1.1 Control Panel'!E459)</f>
        <v>0</v>
      </c>
      <c r="F140" s="21">
        <f>MIN('3.1 Market'!$F131,'1.1 Control Panel'!F$445*'1.1 Control Panel'!F459)</f>
        <v>0</v>
      </c>
      <c r="G140" s="21">
        <f>MIN('3.1 Market'!$F131,'1.1 Control Panel'!G$445*'1.1 Control Panel'!G459)</f>
        <v>2.4400000000000004</v>
      </c>
      <c r="H140" s="21">
        <f>MIN('3.1 Market'!$F131,'1.1 Control Panel'!H$445*'1.1 Control Panel'!H459)</f>
        <v>2.9520000000000004</v>
      </c>
      <c r="I140" s="21">
        <f>MIN('3.1 Market'!$F131,'1.1 Control Panel'!I$445*'1.1 Control Panel'!I459)</f>
        <v>3.3616000000000006</v>
      </c>
      <c r="J140" s="21">
        <f>MIN('3.1 Market'!$F131,'1.1 Control Panel'!J$445*'1.1 Control Panel'!J459)</f>
        <v>3.6892800000000006</v>
      </c>
      <c r="K140" s="21">
        <f>MIN('3.1 Market'!$F131,'1.1 Control Panel'!K$445*'1.1 Control Panel'!K459)</f>
        <v>3.9514240000000007</v>
      </c>
      <c r="L140" s="21">
        <f>MIN('3.1 Market'!$F131,'1.1 Control Panel'!L$445*'1.1 Control Panel'!L459)</f>
        <v>4.1611392000000009</v>
      </c>
      <c r="M140" s="21">
        <f>MIN('3.1 Market'!$F131,'1.1 Control Panel'!M$445*'1.1 Control Panel'!M459)</f>
        <v>4.3289113600000011</v>
      </c>
      <c r="N140" s="21">
        <f>MIN('3.1 Market'!$F131,'1.1 Control Panel'!N$445*'1.1 Control Panel'!N459)</f>
        <v>4.4631290880000005</v>
      </c>
      <c r="O140" s="21">
        <f>MIN('3.1 Market'!$F131,'1.1 Control Panel'!O$445*'1.1 Control Panel'!O459)</f>
        <v>4.5705032704000006</v>
      </c>
      <c r="P140" s="21">
        <f>MIN('3.1 Market'!$F131,'1.1 Control Panel'!P$445*'1.1 Control Panel'!P459)</f>
        <v>4.6564026163200012</v>
      </c>
      <c r="Q140" s="21">
        <f>MIN('3.1 Market'!$G131,'1.1 Control Panel'!Q$445*'1.1 Control Panel'!Q459)</f>
        <v>9.4502441861120019</v>
      </c>
      <c r="R140" s="21">
        <f>MIN('3.1 Market'!$G131,'1.1 Control Panel'!R$445*'1.1 Control Panel'!R459)</f>
        <v>9.5601953488896019</v>
      </c>
      <c r="S140" s="21">
        <f>MIN('3.1 Market'!$G131,'1.1 Control Panel'!S$445*'1.1 Control Panel'!S459)</f>
        <v>9.6481562791116815</v>
      </c>
      <c r="T140" s="21">
        <f>MIN('3.1 Market'!$G131,'1.1 Control Panel'!T$445*'1.1 Control Panel'!T459)</f>
        <v>9.7185250232893452</v>
      </c>
      <c r="U140" s="21">
        <f>MIN('3.1 Market'!$G131,'1.1 Control Panel'!U$445*'1.1 Control Panel'!U459)</f>
        <v>14.662230027947215</v>
      </c>
      <c r="V140" s="21">
        <f>MIN('3.1 Market'!$G131,'1.1 Control Panel'!V$445*'1.1 Control Panel'!V459)</f>
        <v>14.729784022357771</v>
      </c>
      <c r="W140" s="21">
        <f>MIN('3.1 Market'!$G131,'1.1 Control Panel'!W$445*'1.1 Control Panel'!W459)</f>
        <v>14.783827217886218</v>
      </c>
      <c r="X140" s="21">
        <f>MIN('3.1 Market'!$G131,'1.1 Control Panel'!X$445*'1.1 Control Panel'!X459)</f>
        <v>14.827061774308977</v>
      </c>
      <c r="Y140" s="21">
        <f>MIN('3.1 Market'!$G131,'1.1 Control Panel'!Y$445*'1.1 Control Panel'!Y459)</f>
        <v>14.861649419447183</v>
      </c>
      <c r="Z140" s="21">
        <f>MIN('3.1 Market'!$G131,'1.1 Control Panel'!Z$445*'1.1 Control Panel'!Z459)</f>
        <v>14.889319535557744</v>
      </c>
      <c r="AA140" s="21">
        <f>MIN('3.1 Market'!$G131,'1.1 Control Panel'!AA$445*'1.1 Control Panel'!AA459)</f>
        <v>14.911455628446197</v>
      </c>
      <c r="AB140" s="21">
        <f>MIN('3.1 Market'!$G131,'1.1 Control Panel'!AB$445*'1.1 Control Panel'!AB459)</f>
        <v>14.929164502756956</v>
      </c>
      <c r="AC140" s="21">
        <f>MIN('3.1 Market'!$H131,'1.1 Control Panel'!AC$445*'1.1 Control Panel'!AC459)</f>
        <v>24.905552670342608</v>
      </c>
      <c r="AD140" s="21">
        <f>MIN('3.1 Market'!$H131,'1.1 Control Panel'!AD$445*'1.1 Control Panel'!AD459)</f>
        <v>24.924442136274088</v>
      </c>
      <c r="AE140" s="21">
        <f>MIN('3.1 Market'!$H131,'1.1 Control Panel'!AE$445*'1.1 Control Panel'!AE459)</f>
        <v>24.939553709019275</v>
      </c>
      <c r="AF140" s="21">
        <f>MIN('3.1 Market'!$H131,'1.1 Control Panel'!AF$445*'1.1 Control Panel'!AF459)</f>
        <v>24.951642967215424</v>
      </c>
      <c r="AG140" s="21">
        <f>MIN('3.1 Market'!$H131,'1.1 Control Panel'!AG$445*'1.1 Control Panel'!AG459)</f>
        <v>34.945840123281279</v>
      </c>
      <c r="AH140" s="21">
        <f>MIN('3.1 Market'!$H131,'1.1 Control Panel'!AH$445*'1.1 Control Panel'!AH459)</f>
        <v>34.95667209862502</v>
      </c>
      <c r="AI140" s="21">
        <f>MIN('3.1 Market'!$H131,'1.1 Control Panel'!AI$445*'1.1 Control Panel'!AI459)</f>
        <v>34.965337678900021</v>
      </c>
      <c r="AJ140" s="21">
        <f>MIN('3.1 Market'!$H131,'1.1 Control Panel'!AJ$445*'1.1 Control Panel'!AJ459)</f>
        <v>34.972270143120021</v>
      </c>
      <c r="AK140" s="21">
        <f>MIN('3.1 Market'!$H131,'1.1 Control Panel'!AK$445*'1.1 Control Panel'!AK459)</f>
        <v>39.974646987995449</v>
      </c>
      <c r="AL140" s="21">
        <f>MIN('3.1 Market'!$H131,'1.1 Control Panel'!AL$445*'1.1 Control Panel'!AL459)</f>
        <v>39.979717590396362</v>
      </c>
      <c r="AM140" s="21">
        <f>MIN('3.1 Market'!$H131,'1.1 Control Panel'!AM$445*'1.1 Control Panel'!AM459)</f>
        <v>39.98377407231709</v>
      </c>
      <c r="AN140" s="21">
        <f>MIN('3.1 Market'!$H131,'1.1 Control Panel'!AN$445*'1.1 Control Panel'!AN459)</f>
        <v>39.987019257853675</v>
      </c>
      <c r="AP140" s="21"/>
    </row>
    <row r="141" spans="2:42" x14ac:dyDescent="0.25">
      <c r="C141" s="21" t="s">
        <v>456</v>
      </c>
      <c r="D141" s="38" t="s">
        <v>162</v>
      </c>
      <c r="E141" s="21">
        <f>MIN('3.1 Market'!$F132,'1.1 Control Panel'!E$445*'1.1 Control Panel'!E460)</f>
        <v>0</v>
      </c>
      <c r="F141" s="21">
        <f>MIN('3.1 Market'!$F132,'1.1 Control Panel'!F$445*'1.1 Control Panel'!F460)</f>
        <v>0</v>
      </c>
      <c r="G141" s="21">
        <f>MIN('3.1 Market'!$F132,'1.1 Control Panel'!G$445*'1.1 Control Panel'!G460)</f>
        <v>1.8</v>
      </c>
      <c r="H141" s="21">
        <f>MIN('3.1 Market'!$F132,'1.1 Control Panel'!H$445*'1.1 Control Panel'!H460)</f>
        <v>2.4400000000000004</v>
      </c>
      <c r="I141" s="21">
        <f>MIN('3.1 Market'!$F132,'1.1 Control Panel'!I$445*'1.1 Control Panel'!I460)</f>
        <v>2.9520000000000004</v>
      </c>
      <c r="J141" s="21">
        <f>MIN('3.1 Market'!$F132,'1.1 Control Panel'!J$445*'1.1 Control Panel'!J460)</f>
        <v>3.3616000000000006</v>
      </c>
      <c r="K141" s="21">
        <f>MIN('3.1 Market'!$F132,'1.1 Control Panel'!K$445*'1.1 Control Panel'!K460)</f>
        <v>3.6892800000000006</v>
      </c>
      <c r="L141" s="21">
        <f>MIN('3.1 Market'!$F132,'1.1 Control Panel'!L$445*'1.1 Control Panel'!L460)</f>
        <v>3.9514240000000007</v>
      </c>
      <c r="M141" s="21">
        <f>MIN('3.1 Market'!$F132,'1.1 Control Panel'!M$445*'1.1 Control Panel'!M460)</f>
        <v>4.1611392000000009</v>
      </c>
      <c r="N141" s="21">
        <f>MIN('3.1 Market'!$F132,'1.1 Control Panel'!N$445*'1.1 Control Panel'!N460)</f>
        <v>4.3289113600000011</v>
      </c>
      <c r="O141" s="21">
        <f>MIN('3.1 Market'!$F132,'1.1 Control Panel'!O$445*'1.1 Control Panel'!O460)</f>
        <v>4.4631290880000005</v>
      </c>
      <c r="P141" s="21">
        <f>MIN('3.1 Market'!$F132,'1.1 Control Panel'!P$445*'1.1 Control Panel'!P460)</f>
        <v>4.5705032704000006</v>
      </c>
      <c r="Q141" s="21">
        <f>MIN('3.1 Market'!$G132,'1.1 Control Panel'!Q$445*'1.1 Control Panel'!Q460)</f>
        <v>9.3128052326400024</v>
      </c>
      <c r="R141" s="21">
        <f>MIN('3.1 Market'!$G132,'1.1 Control Panel'!R$445*'1.1 Control Panel'!R460)</f>
        <v>9.4502441861120019</v>
      </c>
      <c r="S141" s="21">
        <f>MIN('3.1 Market'!$G132,'1.1 Control Panel'!S$445*'1.1 Control Panel'!S460)</f>
        <v>9.5601953488896019</v>
      </c>
      <c r="T141" s="21">
        <f>MIN('3.1 Market'!$G132,'1.1 Control Panel'!T$445*'1.1 Control Panel'!T460)</f>
        <v>9.6481562791116815</v>
      </c>
      <c r="U141" s="21">
        <f>MIN('3.1 Market'!$G132,'1.1 Control Panel'!U$445*'1.1 Control Panel'!U460)</f>
        <v>14.577787534934018</v>
      </c>
      <c r="V141" s="21">
        <f>MIN('3.1 Market'!$G132,'1.1 Control Panel'!V$445*'1.1 Control Panel'!V460)</f>
        <v>14.662230027947215</v>
      </c>
      <c r="W141" s="21">
        <f>MIN('3.1 Market'!$G132,'1.1 Control Panel'!W$445*'1.1 Control Panel'!W460)</f>
        <v>14.729784022357771</v>
      </c>
      <c r="X141" s="21">
        <f>MIN('3.1 Market'!$G132,'1.1 Control Panel'!X$445*'1.1 Control Panel'!X460)</f>
        <v>14.783827217886218</v>
      </c>
      <c r="Y141" s="21">
        <f>MIN('3.1 Market'!$G132,'1.1 Control Panel'!Y$445*'1.1 Control Panel'!Y460)</f>
        <v>14.827061774308977</v>
      </c>
      <c r="Z141" s="21">
        <f>MIN('3.1 Market'!$G132,'1.1 Control Panel'!Z$445*'1.1 Control Panel'!Z460)</f>
        <v>14.861649419447183</v>
      </c>
      <c r="AA141" s="21">
        <f>MIN('3.1 Market'!$G132,'1.1 Control Panel'!AA$445*'1.1 Control Panel'!AA460)</f>
        <v>14.889319535557744</v>
      </c>
      <c r="AB141" s="21">
        <f>MIN('3.1 Market'!$G132,'1.1 Control Panel'!AB$445*'1.1 Control Panel'!AB460)</f>
        <v>14.911455628446197</v>
      </c>
      <c r="AC141" s="21">
        <f>MIN('3.1 Market'!$H132,'1.1 Control Panel'!AC$445*'1.1 Control Panel'!AC460)</f>
        <v>24.881940837928262</v>
      </c>
      <c r="AD141" s="21">
        <f>MIN('3.1 Market'!$H132,'1.1 Control Panel'!AD$445*'1.1 Control Panel'!AD460)</f>
        <v>24.905552670342608</v>
      </c>
      <c r="AE141" s="21">
        <f>MIN('3.1 Market'!$H132,'1.1 Control Panel'!AE$445*'1.1 Control Panel'!AE460)</f>
        <v>24.924442136274088</v>
      </c>
      <c r="AF141" s="21">
        <f>MIN('3.1 Market'!$H132,'1.1 Control Panel'!AF$445*'1.1 Control Panel'!AF460)</f>
        <v>24.939553709019275</v>
      </c>
      <c r="AG141" s="21">
        <f>MIN('3.1 Market'!$H132,'1.1 Control Panel'!AG$445*'1.1 Control Panel'!AG460)</f>
        <v>34.932300154101597</v>
      </c>
      <c r="AH141" s="21">
        <f>MIN('3.1 Market'!$H132,'1.1 Control Panel'!AH$445*'1.1 Control Panel'!AH460)</f>
        <v>34.945840123281279</v>
      </c>
      <c r="AI141" s="21">
        <f>MIN('3.1 Market'!$H132,'1.1 Control Panel'!AI$445*'1.1 Control Panel'!AI460)</f>
        <v>34.95667209862502</v>
      </c>
      <c r="AJ141" s="21">
        <f>MIN('3.1 Market'!$H132,'1.1 Control Panel'!AJ$445*'1.1 Control Panel'!AJ460)</f>
        <v>34.965337678900021</v>
      </c>
      <c r="AK141" s="21">
        <f>MIN('3.1 Market'!$H132,'1.1 Control Panel'!AK$445*'1.1 Control Panel'!AK460)</f>
        <v>39.968308734994309</v>
      </c>
      <c r="AL141" s="21">
        <f>MIN('3.1 Market'!$H132,'1.1 Control Panel'!AL$445*'1.1 Control Panel'!AL460)</f>
        <v>39.974646987995449</v>
      </c>
      <c r="AM141" s="21">
        <f>MIN('3.1 Market'!$H132,'1.1 Control Panel'!AM$445*'1.1 Control Panel'!AM460)</f>
        <v>39.979717590396362</v>
      </c>
      <c r="AN141" s="21">
        <f>MIN('3.1 Market'!$H132,'1.1 Control Panel'!AN$445*'1.1 Control Panel'!AN460)</f>
        <v>39.98377407231709</v>
      </c>
      <c r="AP141" s="21"/>
    </row>
    <row r="142" spans="2:42" x14ac:dyDescent="0.25">
      <c r="B142" s="99" t="s">
        <v>9</v>
      </c>
      <c r="C142" s="105" t="str">
        <f>'4.2 Sector Mapping'!$B$10</f>
        <v>Industrials and Services</v>
      </c>
      <c r="D142" s="106" t="s">
        <v>162</v>
      </c>
      <c r="E142" s="105">
        <f>SUM(E143:E148)</f>
        <v>0</v>
      </c>
      <c r="F142" s="105">
        <f t="shared" ref="F142:H142" si="103">SUM(F143:F148)</f>
        <v>0</v>
      </c>
      <c r="G142" s="105">
        <f t="shared" si="103"/>
        <v>0</v>
      </c>
      <c r="H142" s="105">
        <f t="shared" si="103"/>
        <v>0</v>
      </c>
      <c r="I142" s="105">
        <f t="shared" ref="I142:AN142" si="104">SUM(I143:I148)</f>
        <v>0</v>
      </c>
      <c r="J142" s="105">
        <f t="shared" si="104"/>
        <v>0</v>
      </c>
      <c r="K142" s="105">
        <f t="shared" si="104"/>
        <v>0</v>
      </c>
      <c r="L142" s="105">
        <f t="shared" si="104"/>
        <v>0</v>
      </c>
      <c r="M142" s="105">
        <f t="shared" si="104"/>
        <v>0</v>
      </c>
      <c r="N142" s="105">
        <f t="shared" si="104"/>
        <v>0</v>
      </c>
      <c r="O142" s="105">
        <f t="shared" si="104"/>
        <v>0</v>
      </c>
      <c r="P142" s="105">
        <f t="shared" si="104"/>
        <v>0</v>
      </c>
      <c r="Q142" s="105">
        <f t="shared" si="104"/>
        <v>28.969207848960004</v>
      </c>
      <c r="R142" s="105">
        <f t="shared" si="104"/>
        <v>29.175366279168006</v>
      </c>
      <c r="S142" s="105">
        <f t="shared" si="104"/>
        <v>29.340293023334404</v>
      </c>
      <c r="T142" s="105">
        <f t="shared" si="104"/>
        <v>29.472234418667526</v>
      </c>
      <c r="U142" s="105">
        <f t="shared" si="104"/>
        <v>59.155575069868036</v>
      </c>
      <c r="V142" s="105">
        <f t="shared" si="104"/>
        <v>59.324460055894434</v>
      </c>
      <c r="W142" s="105">
        <f t="shared" si="104"/>
        <v>59.459568044715553</v>
      </c>
      <c r="X142" s="105">
        <f t="shared" si="104"/>
        <v>59.56765443577244</v>
      </c>
      <c r="Y142" s="105">
        <f t="shared" si="104"/>
        <v>59.654123548617953</v>
      </c>
      <c r="Z142" s="105">
        <f t="shared" si="104"/>
        <v>59.723298838894358</v>
      </c>
      <c r="AA142" s="105">
        <f t="shared" si="104"/>
        <v>59.778639071115492</v>
      </c>
      <c r="AB142" s="105">
        <f t="shared" si="104"/>
        <v>59.822911256892397</v>
      </c>
      <c r="AC142" s="105">
        <f t="shared" si="104"/>
        <v>179.57498701654177</v>
      </c>
      <c r="AD142" s="105">
        <f t="shared" si="104"/>
        <v>179.65998961323342</v>
      </c>
      <c r="AE142" s="105">
        <f t="shared" si="104"/>
        <v>179.72799169058672</v>
      </c>
      <c r="AF142" s="105">
        <f t="shared" si="104"/>
        <v>179.7823933524694</v>
      </c>
      <c r="AG142" s="105">
        <f t="shared" si="104"/>
        <v>299.70985780329255</v>
      </c>
      <c r="AH142" s="105">
        <f t="shared" si="104"/>
        <v>299.76788624263406</v>
      </c>
      <c r="AI142" s="105">
        <f t="shared" si="104"/>
        <v>299.81430899410725</v>
      </c>
      <c r="AJ142" s="105">
        <f t="shared" si="104"/>
        <v>299.8514471952858</v>
      </c>
      <c r="AK142" s="105">
        <f t="shared" si="104"/>
        <v>389.84550508309724</v>
      </c>
      <c r="AL142" s="105">
        <f t="shared" si="104"/>
        <v>389.87640406647779</v>
      </c>
      <c r="AM142" s="105">
        <f t="shared" si="104"/>
        <v>389.90112325318228</v>
      </c>
      <c r="AN142" s="105">
        <f t="shared" si="104"/>
        <v>389.92089860254583</v>
      </c>
      <c r="AP142" s="105"/>
    </row>
    <row r="143" spans="2:42" x14ac:dyDescent="0.25">
      <c r="C143" s="20" t="s">
        <v>600</v>
      </c>
      <c r="D143" s="34" t="s">
        <v>162</v>
      </c>
      <c r="E143" s="20">
        <f>MIN('3.1 Market'!$F134,'1.1 Control Panel'!E$476*'1.1 Control Panel'!E486)</f>
        <v>0</v>
      </c>
      <c r="F143" s="20">
        <f>MIN('3.1 Market'!$F134,'1.1 Control Panel'!F$476*'1.1 Control Panel'!F486)</f>
        <v>0</v>
      </c>
      <c r="G143" s="20">
        <f>MIN('3.1 Market'!$F134,'1.1 Control Panel'!G$476*'1.1 Control Panel'!G486)</f>
        <v>0</v>
      </c>
      <c r="H143" s="20">
        <f>MIN('3.1 Market'!$F134,'1.1 Control Panel'!H$476*'1.1 Control Panel'!H486)</f>
        <v>0</v>
      </c>
      <c r="I143" s="20">
        <f>MIN('3.1 Market'!$F134,'1.1 Control Panel'!I$476*'1.1 Control Panel'!I486)</f>
        <v>0</v>
      </c>
      <c r="J143" s="20">
        <f>MIN('3.1 Market'!$F134,'1.1 Control Panel'!J$476*'1.1 Control Panel'!J486)</f>
        <v>0</v>
      </c>
      <c r="K143" s="20">
        <f>MIN('3.1 Market'!$F134,'1.1 Control Panel'!K$476*'1.1 Control Panel'!K486)</f>
        <v>0</v>
      </c>
      <c r="L143" s="20">
        <f>MIN('3.1 Market'!$F134,'1.1 Control Panel'!L$476*'1.1 Control Panel'!L486)</f>
        <v>0</v>
      </c>
      <c r="M143" s="20">
        <f>MIN('3.1 Market'!$F134,'1.1 Control Panel'!M$476*'1.1 Control Panel'!M486)</f>
        <v>0</v>
      </c>
      <c r="N143" s="20">
        <f>MIN('3.1 Market'!$F134,'1.1 Control Panel'!N$476*'1.1 Control Panel'!N486)</f>
        <v>0</v>
      </c>
      <c r="O143" s="20">
        <f>MIN('3.1 Market'!$F134,'1.1 Control Panel'!O$476*'1.1 Control Panel'!O486)</f>
        <v>0</v>
      </c>
      <c r="P143" s="20">
        <f>MIN('3.1 Market'!$F134,'1.1 Control Panel'!P$476*'1.1 Control Panel'!P486)</f>
        <v>0</v>
      </c>
      <c r="Q143" s="20">
        <f>MIN('3.1 Market'!$G134,'1.1 Control Panel'!Q$476*'1.1 Control Panel'!Q486)</f>
        <v>5</v>
      </c>
      <c r="R143" s="20">
        <f>MIN('3.1 Market'!$G134,'1.1 Control Panel'!R$476*'1.1 Control Panel'!R486)</f>
        <v>5</v>
      </c>
      <c r="S143" s="20">
        <f>MIN('3.1 Market'!$G134,'1.1 Control Panel'!S$476*'1.1 Control Panel'!S486)</f>
        <v>5</v>
      </c>
      <c r="T143" s="20">
        <f>MIN('3.1 Market'!$G134,'1.1 Control Panel'!T$476*'1.1 Control Panel'!T486)</f>
        <v>5</v>
      </c>
      <c r="U143" s="20">
        <f>MIN('3.1 Market'!$G134,'1.1 Control Panel'!U$476*'1.1 Control Panel'!U486)</f>
        <v>10</v>
      </c>
      <c r="V143" s="20">
        <f>MIN('3.1 Market'!$G134,'1.1 Control Panel'!V$476*'1.1 Control Panel'!V486)</f>
        <v>10</v>
      </c>
      <c r="W143" s="20">
        <f>MIN('3.1 Market'!$G134,'1.1 Control Panel'!W$476*'1.1 Control Panel'!W486)</f>
        <v>10</v>
      </c>
      <c r="X143" s="20">
        <f>MIN('3.1 Market'!$G134,'1.1 Control Panel'!X$476*'1.1 Control Panel'!X486)</f>
        <v>10</v>
      </c>
      <c r="Y143" s="20">
        <f>MIN('3.1 Market'!$G134,'1.1 Control Panel'!Y$476*'1.1 Control Panel'!Y486)</f>
        <v>10</v>
      </c>
      <c r="Z143" s="20">
        <f>MIN('3.1 Market'!$G134,'1.1 Control Panel'!Z$476*'1.1 Control Panel'!Z486)</f>
        <v>10</v>
      </c>
      <c r="AA143" s="20">
        <f>MIN('3.1 Market'!$G134,'1.1 Control Panel'!AA$476*'1.1 Control Panel'!AA486)</f>
        <v>10</v>
      </c>
      <c r="AB143" s="20">
        <f>MIN('3.1 Market'!$G134,'1.1 Control Panel'!AB$476*'1.1 Control Panel'!AB486)</f>
        <v>10</v>
      </c>
      <c r="AC143" s="20">
        <f>MIN('3.1 Market'!$H134,'1.1 Control Panel'!AC$476*'1.1 Control Panel'!AC486)</f>
        <v>30</v>
      </c>
      <c r="AD143" s="20">
        <f>MIN('3.1 Market'!$H134,'1.1 Control Panel'!AD$476*'1.1 Control Panel'!AD486)</f>
        <v>30</v>
      </c>
      <c r="AE143" s="20">
        <f>MIN('3.1 Market'!$H134,'1.1 Control Panel'!AE$476*'1.1 Control Panel'!AE486)</f>
        <v>30</v>
      </c>
      <c r="AF143" s="20">
        <f>MIN('3.1 Market'!$H134,'1.1 Control Panel'!AF$476*'1.1 Control Panel'!AF486)</f>
        <v>30</v>
      </c>
      <c r="AG143" s="20">
        <f>MIN('3.1 Market'!$H134,'1.1 Control Panel'!AG$476*'1.1 Control Panel'!AG486)</f>
        <v>50</v>
      </c>
      <c r="AH143" s="20">
        <f>MIN('3.1 Market'!$H134,'1.1 Control Panel'!AH$476*'1.1 Control Panel'!AH486)</f>
        <v>50</v>
      </c>
      <c r="AI143" s="20">
        <f>MIN('3.1 Market'!$H134,'1.1 Control Panel'!AI$476*'1.1 Control Panel'!AI486)</f>
        <v>50</v>
      </c>
      <c r="AJ143" s="20">
        <f>MIN('3.1 Market'!$H134,'1.1 Control Panel'!AJ$476*'1.1 Control Panel'!AJ486)</f>
        <v>50</v>
      </c>
      <c r="AK143" s="20">
        <f>MIN('3.1 Market'!$H134,'1.1 Control Panel'!AK$476*'1.1 Control Panel'!AK486)</f>
        <v>65</v>
      </c>
      <c r="AL143" s="20">
        <f>MIN('3.1 Market'!$H134,'1.1 Control Panel'!AL$476*'1.1 Control Panel'!AL486)</f>
        <v>65</v>
      </c>
      <c r="AM143" s="20">
        <f>MIN('3.1 Market'!$H134,'1.1 Control Panel'!AM$476*'1.1 Control Panel'!AM486)</f>
        <v>65</v>
      </c>
      <c r="AN143" s="20">
        <f>MIN('3.1 Market'!$H134,'1.1 Control Panel'!AN$476*'1.1 Control Panel'!AN486)</f>
        <v>65</v>
      </c>
      <c r="AP143" s="20"/>
    </row>
    <row r="144" spans="2:42" x14ac:dyDescent="0.25">
      <c r="C144" s="20" t="s">
        <v>392</v>
      </c>
      <c r="D144" s="34" t="s">
        <v>162</v>
      </c>
      <c r="E144" s="20">
        <f>MIN('3.1 Market'!$F135,'1.1 Control Panel'!E$476*'1.1 Control Panel'!E487)</f>
        <v>0</v>
      </c>
      <c r="F144" s="20">
        <f>MIN('3.1 Market'!$F135,'1.1 Control Panel'!F$476*'1.1 Control Panel'!F487)</f>
        <v>0</v>
      </c>
      <c r="G144" s="20">
        <f>MIN('3.1 Market'!$F135,'1.1 Control Panel'!G$476*'1.1 Control Panel'!G487)</f>
        <v>0</v>
      </c>
      <c r="H144" s="20">
        <f>MIN('3.1 Market'!$F135,'1.1 Control Panel'!H$476*'1.1 Control Panel'!H487)</f>
        <v>0</v>
      </c>
      <c r="I144" s="20">
        <f>MIN('3.1 Market'!$F135,'1.1 Control Panel'!I$476*'1.1 Control Panel'!I487)</f>
        <v>0</v>
      </c>
      <c r="J144" s="20">
        <f>MIN('3.1 Market'!$F135,'1.1 Control Panel'!J$476*'1.1 Control Panel'!J487)</f>
        <v>0</v>
      </c>
      <c r="K144" s="20">
        <f>MIN('3.1 Market'!$F135,'1.1 Control Panel'!K$476*'1.1 Control Panel'!K487)</f>
        <v>0</v>
      </c>
      <c r="L144" s="20">
        <f>MIN('3.1 Market'!$F135,'1.1 Control Panel'!L$476*'1.1 Control Panel'!L487)</f>
        <v>0</v>
      </c>
      <c r="M144" s="20">
        <f>MIN('3.1 Market'!$F135,'1.1 Control Panel'!M$476*'1.1 Control Panel'!M487)</f>
        <v>0</v>
      </c>
      <c r="N144" s="20">
        <f>MIN('3.1 Market'!$F135,'1.1 Control Panel'!N$476*'1.1 Control Panel'!N487)</f>
        <v>0</v>
      </c>
      <c r="O144" s="20">
        <f>MIN('3.1 Market'!$F135,'1.1 Control Panel'!O$476*'1.1 Control Panel'!O487)</f>
        <v>0</v>
      </c>
      <c r="P144" s="20">
        <f>MIN('3.1 Market'!$F135,'1.1 Control Panel'!P$476*'1.1 Control Panel'!P487)</f>
        <v>0</v>
      </c>
      <c r="Q144" s="20">
        <f>MIN('3.1 Market'!$G135,'1.1 Control Panel'!Q$476*'1.1 Control Panel'!Q487)</f>
        <v>4.9312805232640002</v>
      </c>
      <c r="R144" s="20">
        <f>MIN('3.1 Market'!$G135,'1.1 Control Panel'!R$476*'1.1 Control Panel'!R487)</f>
        <v>4.9450244186112009</v>
      </c>
      <c r="S144" s="20">
        <f>MIN('3.1 Market'!$G135,'1.1 Control Panel'!S$476*'1.1 Control Panel'!S487)</f>
        <v>4.9560195348889611</v>
      </c>
      <c r="T144" s="20">
        <f>MIN('3.1 Market'!$G135,'1.1 Control Panel'!T$476*'1.1 Control Panel'!T487)</f>
        <v>4.964815627911169</v>
      </c>
      <c r="U144" s="20">
        <f>MIN('3.1 Market'!$G135,'1.1 Control Panel'!U$476*'1.1 Control Panel'!U487)</f>
        <v>9.9437050046578719</v>
      </c>
      <c r="V144" s="20">
        <f>MIN('3.1 Market'!$G135,'1.1 Control Panel'!V$476*'1.1 Control Panel'!V487)</f>
        <v>9.9549640037262979</v>
      </c>
      <c r="W144" s="20">
        <f>MIN('3.1 Market'!$G135,'1.1 Control Panel'!W$476*'1.1 Control Panel'!W487)</f>
        <v>9.963971202981039</v>
      </c>
      <c r="X144" s="20">
        <f>MIN('3.1 Market'!$G135,'1.1 Control Panel'!X$476*'1.1 Control Panel'!X487)</f>
        <v>9.9711769623848312</v>
      </c>
      <c r="Y144" s="20">
        <f>MIN('3.1 Market'!$G135,'1.1 Control Panel'!Y$476*'1.1 Control Panel'!Y487)</f>
        <v>9.976941569907865</v>
      </c>
      <c r="Z144" s="20">
        <f>MIN('3.1 Market'!$G135,'1.1 Control Panel'!Z$476*'1.1 Control Panel'!Z487)</f>
        <v>9.9815532559262934</v>
      </c>
      <c r="AA144" s="20">
        <f>MIN('3.1 Market'!$G135,'1.1 Control Panel'!AA$476*'1.1 Control Panel'!AA487)</f>
        <v>9.9852426047410354</v>
      </c>
      <c r="AB144" s="20">
        <f>MIN('3.1 Market'!$G135,'1.1 Control Panel'!AB$476*'1.1 Control Panel'!AB487)</f>
        <v>9.9881940837928287</v>
      </c>
      <c r="AC144" s="20">
        <f>MIN('3.1 Market'!$H135,'1.1 Control Panel'!AC$476*'1.1 Control Panel'!AC487)</f>
        <v>29.971665801102791</v>
      </c>
      <c r="AD144" s="20">
        <f>MIN('3.1 Market'!$H135,'1.1 Control Panel'!AD$476*'1.1 Control Panel'!AD487)</f>
        <v>29.977332640882235</v>
      </c>
      <c r="AE144" s="20">
        <f>MIN('3.1 Market'!$H135,'1.1 Control Panel'!AE$476*'1.1 Control Panel'!AE487)</f>
        <v>29.981866112705788</v>
      </c>
      <c r="AF144" s="20">
        <f>MIN('3.1 Market'!$H135,'1.1 Control Panel'!AF$476*'1.1 Control Panel'!AF487)</f>
        <v>29.985492890164632</v>
      </c>
      <c r="AG144" s="20">
        <f>MIN('3.1 Market'!$H135,'1.1 Control Panel'!AG$476*'1.1 Control Panel'!AG487)</f>
        <v>49.980657186886184</v>
      </c>
      <c r="AH144" s="20">
        <f>MIN('3.1 Market'!$H135,'1.1 Control Panel'!AH$476*'1.1 Control Panel'!AH487)</f>
        <v>49.984525749508947</v>
      </c>
      <c r="AI144" s="20">
        <f>MIN('3.1 Market'!$H135,'1.1 Control Panel'!AI$476*'1.1 Control Panel'!AI487)</f>
        <v>49.987620599607155</v>
      </c>
      <c r="AJ144" s="20">
        <f>MIN('3.1 Market'!$H135,'1.1 Control Panel'!AJ$476*'1.1 Control Panel'!AJ487)</f>
        <v>49.990096479685718</v>
      </c>
      <c r="AK144" s="20">
        <f>MIN('3.1 Market'!$H135,'1.1 Control Panel'!AK$476*'1.1 Control Panel'!AK487)</f>
        <v>64.989700338873163</v>
      </c>
      <c r="AL144" s="20">
        <f>MIN('3.1 Market'!$H135,'1.1 Control Panel'!AL$476*'1.1 Control Panel'!AL487)</f>
        <v>64.991760271098528</v>
      </c>
      <c r="AM144" s="20">
        <f>MIN('3.1 Market'!$H135,'1.1 Control Panel'!AM$476*'1.1 Control Panel'!AM487)</f>
        <v>64.993408216878819</v>
      </c>
      <c r="AN144" s="20">
        <f>MIN('3.1 Market'!$H135,'1.1 Control Panel'!AN$476*'1.1 Control Panel'!AN487)</f>
        <v>64.994726573503044</v>
      </c>
      <c r="AP144" s="20"/>
    </row>
    <row r="145" spans="2:42" x14ac:dyDescent="0.25">
      <c r="C145" s="20" t="s">
        <v>454</v>
      </c>
      <c r="D145" s="34" t="s">
        <v>162</v>
      </c>
      <c r="E145" s="20">
        <f>MIN('3.1 Market'!$F136,'1.1 Control Panel'!E$476*'1.1 Control Panel'!E488)</f>
        <v>0</v>
      </c>
      <c r="F145" s="20">
        <f>MIN('3.1 Market'!$F136,'1.1 Control Panel'!F$476*'1.1 Control Panel'!F488)</f>
        <v>0</v>
      </c>
      <c r="G145" s="20">
        <f>MIN('3.1 Market'!$F136,'1.1 Control Panel'!G$476*'1.1 Control Panel'!G488)</f>
        <v>0</v>
      </c>
      <c r="H145" s="20">
        <f>MIN('3.1 Market'!$F136,'1.1 Control Panel'!H$476*'1.1 Control Panel'!H488)</f>
        <v>0</v>
      </c>
      <c r="I145" s="20">
        <f>MIN('3.1 Market'!$F136,'1.1 Control Panel'!I$476*'1.1 Control Panel'!I488)</f>
        <v>0</v>
      </c>
      <c r="J145" s="20">
        <f>MIN('3.1 Market'!$F136,'1.1 Control Panel'!J$476*'1.1 Control Panel'!J488)</f>
        <v>0</v>
      </c>
      <c r="K145" s="20">
        <f>MIN('3.1 Market'!$F136,'1.1 Control Panel'!K$476*'1.1 Control Panel'!K488)</f>
        <v>0</v>
      </c>
      <c r="L145" s="20">
        <f>MIN('3.1 Market'!$F136,'1.1 Control Panel'!L$476*'1.1 Control Panel'!L488)</f>
        <v>0</v>
      </c>
      <c r="M145" s="20">
        <f>MIN('3.1 Market'!$F136,'1.1 Control Panel'!M$476*'1.1 Control Panel'!M488)</f>
        <v>0</v>
      </c>
      <c r="N145" s="20">
        <f>MIN('3.1 Market'!$F136,'1.1 Control Panel'!N$476*'1.1 Control Panel'!N488)</f>
        <v>0</v>
      </c>
      <c r="O145" s="20">
        <f>MIN('3.1 Market'!$F136,'1.1 Control Panel'!O$476*'1.1 Control Panel'!O488)</f>
        <v>0</v>
      </c>
      <c r="P145" s="20">
        <f>MIN('3.1 Market'!$F136,'1.1 Control Panel'!P$476*'1.1 Control Panel'!P488)</f>
        <v>0</v>
      </c>
      <c r="Q145" s="20">
        <f>MIN('3.1 Market'!$G136,'1.1 Control Panel'!Q$476*'1.1 Control Panel'!Q488)</f>
        <v>4.8625610465280014</v>
      </c>
      <c r="R145" s="20">
        <f>MIN('3.1 Market'!$G136,'1.1 Control Panel'!R$476*'1.1 Control Panel'!R488)</f>
        <v>4.8900488372224018</v>
      </c>
      <c r="S145" s="20">
        <f>MIN('3.1 Market'!$G136,'1.1 Control Panel'!S$476*'1.1 Control Panel'!S488)</f>
        <v>4.9120390697779222</v>
      </c>
      <c r="T145" s="20">
        <f>MIN('3.1 Market'!$G136,'1.1 Control Panel'!T$476*'1.1 Control Panel'!T488)</f>
        <v>4.9296312558223381</v>
      </c>
      <c r="U145" s="20">
        <f>MIN('3.1 Market'!$G136,'1.1 Control Panel'!U$476*'1.1 Control Panel'!U488)</f>
        <v>9.8874100093157402</v>
      </c>
      <c r="V145" s="20">
        <f>MIN('3.1 Market'!$G136,'1.1 Control Panel'!V$476*'1.1 Control Panel'!V488)</f>
        <v>9.9099280074525922</v>
      </c>
      <c r="W145" s="20">
        <f>MIN('3.1 Market'!$G136,'1.1 Control Panel'!W$476*'1.1 Control Panel'!W488)</f>
        <v>9.9279424059620744</v>
      </c>
      <c r="X145" s="20">
        <f>MIN('3.1 Market'!$G136,'1.1 Control Panel'!X$476*'1.1 Control Panel'!X488)</f>
        <v>9.9423539247696588</v>
      </c>
      <c r="Y145" s="20">
        <f>MIN('3.1 Market'!$G136,'1.1 Control Panel'!Y$476*'1.1 Control Panel'!Y488)</f>
        <v>9.9538831398157264</v>
      </c>
      <c r="Z145" s="20">
        <f>MIN('3.1 Market'!$G136,'1.1 Control Panel'!Z$476*'1.1 Control Panel'!Z488)</f>
        <v>9.9631065118525814</v>
      </c>
      <c r="AA145" s="20">
        <f>MIN('3.1 Market'!$G136,'1.1 Control Panel'!AA$476*'1.1 Control Panel'!AA488)</f>
        <v>9.9704852094820655</v>
      </c>
      <c r="AB145" s="20">
        <f>MIN('3.1 Market'!$G136,'1.1 Control Panel'!AB$476*'1.1 Control Panel'!AB488)</f>
        <v>9.9763881675856538</v>
      </c>
      <c r="AC145" s="20">
        <f>MIN('3.1 Market'!$H136,'1.1 Control Panel'!AC$476*'1.1 Control Panel'!AC488)</f>
        <v>29.943331602205571</v>
      </c>
      <c r="AD145" s="20">
        <f>MIN('3.1 Market'!$H136,'1.1 Control Panel'!AD$476*'1.1 Control Panel'!AD488)</f>
        <v>29.954665281764459</v>
      </c>
      <c r="AE145" s="20">
        <f>MIN('3.1 Market'!$H136,'1.1 Control Panel'!AE$476*'1.1 Control Panel'!AE488)</f>
        <v>29.963732225411565</v>
      </c>
      <c r="AF145" s="20">
        <f>MIN('3.1 Market'!$H136,'1.1 Control Panel'!AF$476*'1.1 Control Panel'!AF488)</f>
        <v>29.970985780329254</v>
      </c>
      <c r="AG145" s="20">
        <f>MIN('3.1 Market'!$H136,'1.1 Control Panel'!AG$476*'1.1 Control Panel'!AG488)</f>
        <v>49.961314373772339</v>
      </c>
      <c r="AH145" s="20">
        <f>MIN('3.1 Market'!$H136,'1.1 Control Panel'!AH$476*'1.1 Control Panel'!AH488)</f>
        <v>49.969051499017866</v>
      </c>
      <c r="AI145" s="20">
        <f>MIN('3.1 Market'!$H136,'1.1 Control Panel'!AI$476*'1.1 Control Panel'!AI488)</f>
        <v>49.975241199214295</v>
      </c>
      <c r="AJ145" s="20">
        <f>MIN('3.1 Market'!$H136,'1.1 Control Panel'!AJ$476*'1.1 Control Panel'!AJ488)</f>
        <v>49.980192959371443</v>
      </c>
      <c r="AK145" s="20">
        <f>MIN('3.1 Market'!$H136,'1.1 Control Panel'!AK$476*'1.1 Control Panel'!AK488)</f>
        <v>64.979400677746298</v>
      </c>
      <c r="AL145" s="20">
        <f>MIN('3.1 Market'!$H136,'1.1 Control Panel'!AL$476*'1.1 Control Panel'!AL488)</f>
        <v>64.983520542197027</v>
      </c>
      <c r="AM145" s="20">
        <f>MIN('3.1 Market'!$H136,'1.1 Control Panel'!AM$476*'1.1 Control Panel'!AM488)</f>
        <v>64.986816433757639</v>
      </c>
      <c r="AN145" s="20">
        <f>MIN('3.1 Market'!$H136,'1.1 Control Panel'!AN$476*'1.1 Control Panel'!AN488)</f>
        <v>64.989453147006117</v>
      </c>
      <c r="AP145" s="20"/>
    </row>
    <row r="146" spans="2:42" x14ac:dyDescent="0.25">
      <c r="C146" s="21" t="s">
        <v>455</v>
      </c>
      <c r="D146" s="38" t="s">
        <v>162</v>
      </c>
      <c r="E146" s="21">
        <f>MIN('3.1 Market'!$F137,'1.1 Control Panel'!E$476*'1.1 Control Panel'!E489)</f>
        <v>0</v>
      </c>
      <c r="F146" s="21">
        <f>MIN('3.1 Market'!$F137,'1.1 Control Panel'!F$476*'1.1 Control Panel'!F489)</f>
        <v>0</v>
      </c>
      <c r="G146" s="21">
        <f>MIN('3.1 Market'!$F137,'1.1 Control Panel'!G$476*'1.1 Control Panel'!G489)</f>
        <v>0</v>
      </c>
      <c r="H146" s="21">
        <f>MIN('3.1 Market'!$F137,'1.1 Control Panel'!H$476*'1.1 Control Panel'!H489)</f>
        <v>0</v>
      </c>
      <c r="I146" s="21">
        <f>MIN('3.1 Market'!$F137,'1.1 Control Panel'!I$476*'1.1 Control Panel'!I489)</f>
        <v>0</v>
      </c>
      <c r="J146" s="21">
        <f>MIN('3.1 Market'!$F137,'1.1 Control Panel'!J$476*'1.1 Control Panel'!J489)</f>
        <v>0</v>
      </c>
      <c r="K146" s="21">
        <f>MIN('3.1 Market'!$F137,'1.1 Control Panel'!K$476*'1.1 Control Panel'!K489)</f>
        <v>0</v>
      </c>
      <c r="L146" s="21">
        <f>MIN('3.1 Market'!$F137,'1.1 Control Panel'!L$476*'1.1 Control Panel'!L489)</f>
        <v>0</v>
      </c>
      <c r="M146" s="21">
        <f>MIN('3.1 Market'!$F137,'1.1 Control Panel'!M$476*'1.1 Control Panel'!M489)</f>
        <v>0</v>
      </c>
      <c r="N146" s="21">
        <f>MIN('3.1 Market'!$F137,'1.1 Control Panel'!N$476*'1.1 Control Panel'!N489)</f>
        <v>0</v>
      </c>
      <c r="O146" s="21">
        <f>MIN('3.1 Market'!$F137,'1.1 Control Panel'!O$476*'1.1 Control Panel'!O489)</f>
        <v>0</v>
      </c>
      <c r="P146" s="21">
        <f>MIN('3.1 Market'!$F137,'1.1 Control Panel'!P$476*'1.1 Control Panel'!P489)</f>
        <v>0</v>
      </c>
      <c r="Q146" s="21">
        <f>MIN('3.1 Market'!$G137,'1.1 Control Panel'!Q$476*'1.1 Control Panel'!Q489)</f>
        <v>4.7938415697920007</v>
      </c>
      <c r="R146" s="21">
        <f>MIN('3.1 Market'!$G137,'1.1 Control Panel'!R$476*'1.1 Control Panel'!R489)</f>
        <v>4.8350732558336009</v>
      </c>
      <c r="S146" s="21">
        <f>MIN('3.1 Market'!$G137,'1.1 Control Panel'!S$476*'1.1 Control Panel'!S489)</f>
        <v>4.8680586046668815</v>
      </c>
      <c r="T146" s="21">
        <f>MIN('3.1 Market'!$G137,'1.1 Control Panel'!T$476*'1.1 Control Panel'!T489)</f>
        <v>4.8944468837335053</v>
      </c>
      <c r="U146" s="21">
        <f>MIN('3.1 Market'!$G137,'1.1 Control Panel'!U$476*'1.1 Control Panel'!U489)</f>
        <v>9.8311150139736085</v>
      </c>
      <c r="V146" s="21">
        <f>MIN('3.1 Market'!$G137,'1.1 Control Panel'!V$476*'1.1 Control Panel'!V489)</f>
        <v>9.8648920111788883</v>
      </c>
      <c r="W146" s="21">
        <f>MIN('3.1 Market'!$G137,'1.1 Control Panel'!W$476*'1.1 Control Panel'!W489)</f>
        <v>9.8919136089431099</v>
      </c>
      <c r="X146" s="21">
        <f>MIN('3.1 Market'!$G137,'1.1 Control Panel'!X$476*'1.1 Control Panel'!X489)</f>
        <v>9.9135308871544883</v>
      </c>
      <c r="Y146" s="21">
        <f>MIN('3.1 Market'!$G137,'1.1 Control Panel'!Y$476*'1.1 Control Panel'!Y489)</f>
        <v>9.9308247097235913</v>
      </c>
      <c r="Z146" s="21">
        <f>MIN('3.1 Market'!$G137,'1.1 Control Panel'!Z$476*'1.1 Control Panel'!Z489)</f>
        <v>9.9446597677788731</v>
      </c>
      <c r="AA146" s="21">
        <f>MIN('3.1 Market'!$G137,'1.1 Control Panel'!AA$476*'1.1 Control Panel'!AA489)</f>
        <v>9.9557278142230992</v>
      </c>
      <c r="AB146" s="21">
        <f>MIN('3.1 Market'!$G137,'1.1 Control Panel'!AB$476*'1.1 Control Panel'!AB489)</f>
        <v>9.9645822513784807</v>
      </c>
      <c r="AC146" s="21">
        <f>MIN('3.1 Market'!$H137,'1.1 Control Panel'!AC$476*'1.1 Control Panel'!AC489)</f>
        <v>29.914997403308352</v>
      </c>
      <c r="AD146" s="21">
        <f>MIN('3.1 Market'!$H137,'1.1 Control Panel'!AD$476*'1.1 Control Panel'!AD489)</f>
        <v>29.931997922646683</v>
      </c>
      <c r="AE146" s="21">
        <f>MIN('3.1 Market'!$H137,'1.1 Control Panel'!AE$476*'1.1 Control Panel'!AE489)</f>
        <v>29.94559833811735</v>
      </c>
      <c r="AF146" s="21">
        <f>MIN('3.1 Market'!$H137,'1.1 Control Panel'!AF$476*'1.1 Control Panel'!AF489)</f>
        <v>29.956478670493876</v>
      </c>
      <c r="AG146" s="21">
        <f>MIN('3.1 Market'!$H137,'1.1 Control Panel'!AG$476*'1.1 Control Panel'!AG489)</f>
        <v>49.941971560658502</v>
      </c>
      <c r="AH146" s="21">
        <f>MIN('3.1 Market'!$H137,'1.1 Control Panel'!AH$476*'1.1 Control Panel'!AH489)</f>
        <v>49.953577248526798</v>
      </c>
      <c r="AI146" s="21">
        <f>MIN('3.1 Market'!$H137,'1.1 Control Panel'!AI$476*'1.1 Control Panel'!AI489)</f>
        <v>49.962861798821443</v>
      </c>
      <c r="AJ146" s="21">
        <f>MIN('3.1 Market'!$H137,'1.1 Control Panel'!AJ$476*'1.1 Control Panel'!AJ489)</f>
        <v>49.970289439057154</v>
      </c>
      <c r="AK146" s="21">
        <f>MIN('3.1 Market'!$H137,'1.1 Control Panel'!AK$476*'1.1 Control Panel'!AK489)</f>
        <v>64.969101016619447</v>
      </c>
      <c r="AL146" s="21">
        <f>MIN('3.1 Market'!$H137,'1.1 Control Panel'!AL$476*'1.1 Control Panel'!AL489)</f>
        <v>64.975280813295555</v>
      </c>
      <c r="AM146" s="21">
        <f>MIN('3.1 Market'!$H137,'1.1 Control Panel'!AM$476*'1.1 Control Panel'!AM489)</f>
        <v>64.980224650636458</v>
      </c>
      <c r="AN146" s="21">
        <f>MIN('3.1 Market'!$H137,'1.1 Control Panel'!AN$476*'1.1 Control Panel'!AN489)</f>
        <v>64.984179720509175</v>
      </c>
      <c r="AP146" s="21"/>
    </row>
    <row r="147" spans="2:42" x14ac:dyDescent="0.25">
      <c r="C147" s="21" t="s">
        <v>393</v>
      </c>
      <c r="D147" s="38" t="s">
        <v>162</v>
      </c>
      <c r="E147" s="21">
        <f>MIN('3.1 Market'!$F138,'1.1 Control Panel'!E$476*'1.1 Control Panel'!E490)</f>
        <v>0</v>
      </c>
      <c r="F147" s="21">
        <f>MIN('3.1 Market'!$F138,'1.1 Control Panel'!F$476*'1.1 Control Panel'!F490)</f>
        <v>0</v>
      </c>
      <c r="G147" s="21">
        <f>MIN('3.1 Market'!$F138,'1.1 Control Panel'!G$476*'1.1 Control Panel'!G490)</f>
        <v>0</v>
      </c>
      <c r="H147" s="21">
        <f>MIN('3.1 Market'!$F138,'1.1 Control Panel'!H$476*'1.1 Control Panel'!H490)</f>
        <v>0</v>
      </c>
      <c r="I147" s="21">
        <f>MIN('3.1 Market'!$F138,'1.1 Control Panel'!I$476*'1.1 Control Panel'!I490)</f>
        <v>0</v>
      </c>
      <c r="J147" s="21">
        <f>MIN('3.1 Market'!$F138,'1.1 Control Panel'!J$476*'1.1 Control Panel'!J490)</f>
        <v>0</v>
      </c>
      <c r="K147" s="21">
        <f>MIN('3.1 Market'!$F138,'1.1 Control Panel'!K$476*'1.1 Control Panel'!K490)</f>
        <v>0</v>
      </c>
      <c r="L147" s="21">
        <f>MIN('3.1 Market'!$F138,'1.1 Control Panel'!L$476*'1.1 Control Panel'!L490)</f>
        <v>0</v>
      </c>
      <c r="M147" s="21">
        <f>MIN('3.1 Market'!$F138,'1.1 Control Panel'!M$476*'1.1 Control Panel'!M490)</f>
        <v>0</v>
      </c>
      <c r="N147" s="21">
        <f>MIN('3.1 Market'!$F138,'1.1 Control Panel'!N$476*'1.1 Control Panel'!N490)</f>
        <v>0</v>
      </c>
      <c r="O147" s="21">
        <f>MIN('3.1 Market'!$F138,'1.1 Control Panel'!O$476*'1.1 Control Panel'!O490)</f>
        <v>0</v>
      </c>
      <c r="P147" s="21">
        <f>MIN('3.1 Market'!$F138,'1.1 Control Panel'!P$476*'1.1 Control Panel'!P490)</f>
        <v>0</v>
      </c>
      <c r="Q147" s="21">
        <f>MIN('3.1 Market'!$G138,'1.1 Control Panel'!Q$476*'1.1 Control Panel'!Q490)</f>
        <v>4.7251220930560009</v>
      </c>
      <c r="R147" s="21">
        <f>MIN('3.1 Market'!$G138,'1.1 Control Panel'!R$476*'1.1 Control Panel'!R490)</f>
        <v>4.7800976744448009</v>
      </c>
      <c r="S147" s="21">
        <f>MIN('3.1 Market'!$G138,'1.1 Control Panel'!S$476*'1.1 Control Panel'!S490)</f>
        <v>4.8240781395558407</v>
      </c>
      <c r="T147" s="21">
        <f>MIN('3.1 Market'!$G138,'1.1 Control Panel'!T$476*'1.1 Control Panel'!T490)</f>
        <v>4.8592625116446726</v>
      </c>
      <c r="U147" s="21">
        <f>MIN('3.1 Market'!$G138,'1.1 Control Panel'!U$476*'1.1 Control Panel'!U490)</f>
        <v>9.7748200186314769</v>
      </c>
      <c r="V147" s="21">
        <f>MIN('3.1 Market'!$G138,'1.1 Control Panel'!V$476*'1.1 Control Panel'!V490)</f>
        <v>9.8198560149051808</v>
      </c>
      <c r="W147" s="21">
        <f>MIN('3.1 Market'!$G138,'1.1 Control Panel'!W$476*'1.1 Control Panel'!W490)</f>
        <v>9.8558848119241453</v>
      </c>
      <c r="X147" s="21">
        <f>MIN('3.1 Market'!$G138,'1.1 Control Panel'!X$476*'1.1 Control Panel'!X490)</f>
        <v>9.8847078495393177</v>
      </c>
      <c r="Y147" s="21">
        <f>MIN('3.1 Market'!$G138,'1.1 Control Panel'!Y$476*'1.1 Control Panel'!Y490)</f>
        <v>9.9077662796314545</v>
      </c>
      <c r="Z147" s="21">
        <f>MIN('3.1 Market'!$G138,'1.1 Control Panel'!Z$476*'1.1 Control Panel'!Z490)</f>
        <v>9.9262130237051629</v>
      </c>
      <c r="AA147" s="21">
        <f>MIN('3.1 Market'!$G138,'1.1 Control Panel'!AA$476*'1.1 Control Panel'!AA490)</f>
        <v>9.940970418964131</v>
      </c>
      <c r="AB147" s="21">
        <f>MIN('3.1 Market'!$G138,'1.1 Control Panel'!AB$476*'1.1 Control Panel'!AB490)</f>
        <v>9.9527763351713041</v>
      </c>
      <c r="AC147" s="21">
        <f>MIN('3.1 Market'!$H138,'1.1 Control Panel'!AC$476*'1.1 Control Panel'!AC490)</f>
        <v>29.886663204411132</v>
      </c>
      <c r="AD147" s="21">
        <f>MIN('3.1 Market'!$H138,'1.1 Control Panel'!AD$476*'1.1 Control Panel'!AD490)</f>
        <v>29.909330563528908</v>
      </c>
      <c r="AE147" s="21">
        <f>MIN('3.1 Market'!$H138,'1.1 Control Panel'!AE$476*'1.1 Control Panel'!AE490)</f>
        <v>29.92746445082313</v>
      </c>
      <c r="AF147" s="21">
        <f>MIN('3.1 Market'!$H138,'1.1 Control Panel'!AF$476*'1.1 Control Panel'!AF490)</f>
        <v>29.941971560658509</v>
      </c>
      <c r="AG147" s="21">
        <f>MIN('3.1 Market'!$H138,'1.1 Control Panel'!AG$476*'1.1 Control Panel'!AG490)</f>
        <v>49.922628747544678</v>
      </c>
      <c r="AH147" s="21">
        <f>MIN('3.1 Market'!$H138,'1.1 Control Panel'!AH$476*'1.1 Control Panel'!AH490)</f>
        <v>49.938102998035745</v>
      </c>
      <c r="AI147" s="21">
        <f>MIN('3.1 Market'!$H138,'1.1 Control Panel'!AI$476*'1.1 Control Panel'!AI490)</f>
        <v>49.950482398428598</v>
      </c>
      <c r="AJ147" s="21">
        <f>MIN('3.1 Market'!$H138,'1.1 Control Panel'!AJ$476*'1.1 Control Panel'!AJ490)</f>
        <v>49.960385918742887</v>
      </c>
      <c r="AK147" s="21">
        <f>MIN('3.1 Market'!$H138,'1.1 Control Panel'!AK$476*'1.1 Control Panel'!AK490)</f>
        <v>64.958801355492611</v>
      </c>
      <c r="AL147" s="21">
        <f>MIN('3.1 Market'!$H138,'1.1 Control Panel'!AL$476*'1.1 Control Panel'!AL490)</f>
        <v>64.967041084394083</v>
      </c>
      <c r="AM147" s="21">
        <f>MIN('3.1 Market'!$H138,'1.1 Control Panel'!AM$476*'1.1 Control Panel'!AM490)</f>
        <v>64.973632867515278</v>
      </c>
      <c r="AN147" s="21">
        <f>MIN('3.1 Market'!$H138,'1.1 Control Panel'!AN$476*'1.1 Control Panel'!AN490)</f>
        <v>64.978906294012219</v>
      </c>
      <c r="AP147" s="21"/>
    </row>
    <row r="148" spans="2:42" x14ac:dyDescent="0.25">
      <c r="C148" s="21" t="s">
        <v>456</v>
      </c>
      <c r="D148" s="38" t="s">
        <v>162</v>
      </c>
      <c r="E148" s="21">
        <f>MIN('3.1 Market'!$F139,'1.1 Control Panel'!E$476*'1.1 Control Panel'!E491)</f>
        <v>0</v>
      </c>
      <c r="F148" s="21">
        <f>MIN('3.1 Market'!$F139,'1.1 Control Panel'!F$476*'1.1 Control Panel'!F491)</f>
        <v>0</v>
      </c>
      <c r="G148" s="21">
        <f>MIN('3.1 Market'!$F139,'1.1 Control Panel'!G$476*'1.1 Control Panel'!G491)</f>
        <v>0</v>
      </c>
      <c r="H148" s="21">
        <f>MIN('3.1 Market'!$F139,'1.1 Control Panel'!H$476*'1.1 Control Panel'!H491)</f>
        <v>0</v>
      </c>
      <c r="I148" s="21">
        <f>MIN('3.1 Market'!$F139,'1.1 Control Panel'!I$476*'1.1 Control Panel'!I491)</f>
        <v>0</v>
      </c>
      <c r="J148" s="21">
        <f>MIN('3.1 Market'!$F139,'1.1 Control Panel'!J$476*'1.1 Control Panel'!J491)</f>
        <v>0</v>
      </c>
      <c r="K148" s="21">
        <f>MIN('3.1 Market'!$F139,'1.1 Control Panel'!K$476*'1.1 Control Panel'!K491)</f>
        <v>0</v>
      </c>
      <c r="L148" s="21">
        <f>MIN('3.1 Market'!$F139,'1.1 Control Panel'!L$476*'1.1 Control Panel'!L491)</f>
        <v>0</v>
      </c>
      <c r="M148" s="21">
        <f>MIN('3.1 Market'!$F139,'1.1 Control Panel'!M$476*'1.1 Control Panel'!M491)</f>
        <v>0</v>
      </c>
      <c r="N148" s="21">
        <f>MIN('3.1 Market'!$F139,'1.1 Control Panel'!N$476*'1.1 Control Panel'!N491)</f>
        <v>0</v>
      </c>
      <c r="O148" s="21">
        <f>MIN('3.1 Market'!$F139,'1.1 Control Panel'!O$476*'1.1 Control Panel'!O491)</f>
        <v>0</v>
      </c>
      <c r="P148" s="21">
        <f>MIN('3.1 Market'!$F139,'1.1 Control Panel'!P$476*'1.1 Control Panel'!P491)</f>
        <v>0</v>
      </c>
      <c r="Q148" s="21">
        <f>MIN('3.1 Market'!$G139,'1.1 Control Panel'!Q$476*'1.1 Control Panel'!Q491)</f>
        <v>4.6564026163200012</v>
      </c>
      <c r="R148" s="21">
        <f>MIN('3.1 Market'!$G139,'1.1 Control Panel'!R$476*'1.1 Control Panel'!R491)</f>
        <v>4.7251220930560009</v>
      </c>
      <c r="S148" s="21">
        <f>MIN('3.1 Market'!$G139,'1.1 Control Panel'!S$476*'1.1 Control Panel'!S491)</f>
        <v>4.7800976744448009</v>
      </c>
      <c r="T148" s="21">
        <f>MIN('3.1 Market'!$G139,'1.1 Control Panel'!T$476*'1.1 Control Panel'!T491)</f>
        <v>4.8240781395558407</v>
      </c>
      <c r="U148" s="21">
        <f>MIN('3.1 Market'!$G139,'1.1 Control Panel'!U$476*'1.1 Control Panel'!U491)</f>
        <v>9.7185250232893452</v>
      </c>
      <c r="V148" s="21">
        <f>MIN('3.1 Market'!$G139,'1.1 Control Panel'!V$476*'1.1 Control Panel'!V491)</f>
        <v>9.7748200186314769</v>
      </c>
      <c r="W148" s="21">
        <f>MIN('3.1 Market'!$G139,'1.1 Control Panel'!W$476*'1.1 Control Panel'!W491)</f>
        <v>9.8198560149051808</v>
      </c>
      <c r="X148" s="21">
        <f>MIN('3.1 Market'!$G139,'1.1 Control Panel'!X$476*'1.1 Control Panel'!X491)</f>
        <v>9.8558848119241453</v>
      </c>
      <c r="Y148" s="21">
        <f>MIN('3.1 Market'!$G139,'1.1 Control Panel'!Y$476*'1.1 Control Panel'!Y491)</f>
        <v>9.8847078495393177</v>
      </c>
      <c r="Z148" s="21">
        <f>MIN('3.1 Market'!$G139,'1.1 Control Panel'!Z$476*'1.1 Control Panel'!Z491)</f>
        <v>9.9077662796314545</v>
      </c>
      <c r="AA148" s="21">
        <f>MIN('3.1 Market'!$G139,'1.1 Control Panel'!AA$476*'1.1 Control Panel'!AA491)</f>
        <v>9.9262130237051629</v>
      </c>
      <c r="AB148" s="21">
        <f>MIN('3.1 Market'!$G139,'1.1 Control Panel'!AB$476*'1.1 Control Panel'!AB491)</f>
        <v>9.940970418964131</v>
      </c>
      <c r="AC148" s="21">
        <f>MIN('3.1 Market'!$H139,'1.1 Control Panel'!AC$476*'1.1 Control Panel'!AC491)</f>
        <v>29.858329005513912</v>
      </c>
      <c r="AD148" s="21">
        <f>MIN('3.1 Market'!$H139,'1.1 Control Panel'!AD$476*'1.1 Control Panel'!AD491)</f>
        <v>29.886663204411132</v>
      </c>
      <c r="AE148" s="21">
        <f>MIN('3.1 Market'!$H139,'1.1 Control Panel'!AE$476*'1.1 Control Panel'!AE491)</f>
        <v>29.909330563528908</v>
      </c>
      <c r="AF148" s="21">
        <f>MIN('3.1 Market'!$H139,'1.1 Control Panel'!AF$476*'1.1 Control Panel'!AF491)</f>
        <v>29.92746445082313</v>
      </c>
      <c r="AG148" s="21">
        <f>MIN('3.1 Market'!$H139,'1.1 Control Panel'!AG$476*'1.1 Control Panel'!AG491)</f>
        <v>49.903285934430848</v>
      </c>
      <c r="AH148" s="21">
        <f>MIN('3.1 Market'!$H139,'1.1 Control Panel'!AH$476*'1.1 Control Panel'!AH491)</f>
        <v>49.922628747544678</v>
      </c>
      <c r="AI148" s="21">
        <f>MIN('3.1 Market'!$H139,'1.1 Control Panel'!AI$476*'1.1 Control Panel'!AI491)</f>
        <v>49.938102998035745</v>
      </c>
      <c r="AJ148" s="21">
        <f>MIN('3.1 Market'!$H139,'1.1 Control Panel'!AJ$476*'1.1 Control Panel'!AJ491)</f>
        <v>49.950482398428598</v>
      </c>
      <c r="AK148" s="21">
        <f>MIN('3.1 Market'!$H139,'1.1 Control Panel'!AK$476*'1.1 Control Panel'!AK491)</f>
        <v>64.948501694365746</v>
      </c>
      <c r="AL148" s="21">
        <f>MIN('3.1 Market'!$H139,'1.1 Control Panel'!AL$476*'1.1 Control Panel'!AL491)</f>
        <v>64.958801355492611</v>
      </c>
      <c r="AM148" s="21">
        <f>MIN('3.1 Market'!$H139,'1.1 Control Panel'!AM$476*'1.1 Control Panel'!AM491)</f>
        <v>64.967041084394083</v>
      </c>
      <c r="AN148" s="21">
        <f>MIN('3.1 Market'!$H139,'1.1 Control Panel'!AN$476*'1.1 Control Panel'!AN491)</f>
        <v>64.973632867515278</v>
      </c>
      <c r="AP148" s="21"/>
    </row>
    <row r="149" spans="2:42" x14ac:dyDescent="0.25">
      <c r="B149" s="99" t="s">
        <v>9</v>
      </c>
      <c r="C149" s="105" t="str">
        <f>'4.2 Sector Mapping'!$B$11</f>
        <v>Professional Services: Human Resources, Education, Consulting, Legal</v>
      </c>
      <c r="D149" s="106" t="s">
        <v>162</v>
      </c>
      <c r="E149" s="105">
        <f>SUM(E150:E155)</f>
        <v>15</v>
      </c>
      <c r="F149" s="105">
        <f t="shared" ref="F149:H149" si="105">SUM(F150:F155)</f>
        <v>18</v>
      </c>
      <c r="G149" s="105">
        <f t="shared" si="105"/>
        <v>81.600000000000009</v>
      </c>
      <c r="H149" s="105">
        <f t="shared" si="105"/>
        <v>89.280000000000015</v>
      </c>
      <c r="I149" s="105">
        <f t="shared" ref="I149:AN149" si="106">SUM(I150:I155)</f>
        <v>95.424000000000007</v>
      </c>
      <c r="J149" s="105">
        <f t="shared" si="106"/>
        <v>150.50880000000004</v>
      </c>
      <c r="K149" s="105">
        <f t="shared" si="106"/>
        <v>156.40704000000002</v>
      </c>
      <c r="L149" s="105">
        <f t="shared" si="106"/>
        <v>161.12563200000005</v>
      </c>
      <c r="M149" s="105">
        <f t="shared" si="106"/>
        <v>192.38392320000003</v>
      </c>
      <c r="N149" s="105">
        <f t="shared" si="106"/>
        <v>195.90713856000005</v>
      </c>
      <c r="O149" s="105">
        <f t="shared" si="106"/>
        <v>198.72571084800003</v>
      </c>
      <c r="P149" s="105">
        <f t="shared" si="106"/>
        <v>200.9805686784</v>
      </c>
      <c r="Q149" s="105">
        <f t="shared" si="106"/>
        <v>231.75366279168003</v>
      </c>
      <c r="R149" s="105">
        <f t="shared" si="106"/>
        <v>233.40293023334405</v>
      </c>
      <c r="S149" s="105">
        <f t="shared" si="106"/>
        <v>234.72234418667523</v>
      </c>
      <c r="T149" s="105">
        <f t="shared" si="106"/>
        <v>235.77787534934021</v>
      </c>
      <c r="U149" s="105">
        <f t="shared" si="106"/>
        <v>266.20008781440617</v>
      </c>
      <c r="V149" s="105">
        <f t="shared" si="106"/>
        <v>266.960070251525</v>
      </c>
      <c r="W149" s="105">
        <f t="shared" si="106"/>
        <v>267.56805620121997</v>
      </c>
      <c r="X149" s="105">
        <f t="shared" si="106"/>
        <v>268.05444496097601</v>
      </c>
      <c r="Y149" s="105">
        <f t="shared" si="106"/>
        <v>298.27061774308982</v>
      </c>
      <c r="Z149" s="105">
        <f t="shared" si="106"/>
        <v>298.61649419447184</v>
      </c>
      <c r="AA149" s="105">
        <f t="shared" si="106"/>
        <v>298.8931953555774</v>
      </c>
      <c r="AB149" s="105">
        <f t="shared" si="106"/>
        <v>299.11455628446197</v>
      </c>
      <c r="AC149" s="105">
        <f t="shared" si="106"/>
        <v>448.93746754135441</v>
      </c>
      <c r="AD149" s="105">
        <f t="shared" si="106"/>
        <v>449.14997403308354</v>
      </c>
      <c r="AE149" s="105">
        <f t="shared" si="106"/>
        <v>449.3199792264669</v>
      </c>
      <c r="AF149" s="105">
        <f t="shared" si="106"/>
        <v>449.4559833811735</v>
      </c>
      <c r="AG149" s="105">
        <f t="shared" si="106"/>
        <v>629.39070138691432</v>
      </c>
      <c r="AH149" s="105">
        <f t="shared" si="106"/>
        <v>629.51256110953136</v>
      </c>
      <c r="AI149" s="105">
        <f t="shared" si="106"/>
        <v>629.61004888762523</v>
      </c>
      <c r="AJ149" s="105">
        <f t="shared" si="106"/>
        <v>629.68803911010025</v>
      </c>
      <c r="AK149" s="105">
        <f t="shared" si="106"/>
        <v>779.69101016619447</v>
      </c>
      <c r="AL149" s="105">
        <f t="shared" si="106"/>
        <v>779.75280813295558</v>
      </c>
      <c r="AM149" s="105">
        <f t="shared" si="106"/>
        <v>779.80224650636455</v>
      </c>
      <c r="AN149" s="105">
        <f t="shared" si="106"/>
        <v>779.84179720509167</v>
      </c>
      <c r="AP149" s="105"/>
    </row>
    <row r="150" spans="2:42" x14ac:dyDescent="0.25">
      <c r="C150" s="20" t="s">
        <v>600</v>
      </c>
      <c r="D150" s="34" t="s">
        <v>162</v>
      </c>
      <c r="E150" s="20">
        <f>MIN('3.1 Market'!$F141,'1.1 Control Panel'!E$507*'1.1 Control Panel'!E517)</f>
        <v>5</v>
      </c>
      <c r="F150" s="20">
        <f>MIN('3.1 Market'!$F141,'1.1 Control Panel'!F$507*'1.1 Control Panel'!F517)</f>
        <v>5</v>
      </c>
      <c r="G150" s="20">
        <f>MIN('3.1 Market'!$F141,'1.1 Control Panel'!G$507*'1.1 Control Panel'!G517)</f>
        <v>20</v>
      </c>
      <c r="H150" s="20">
        <f>MIN('3.1 Market'!$F141,'1.1 Control Panel'!H$507*'1.1 Control Panel'!H517)</f>
        <v>20</v>
      </c>
      <c r="I150" s="20">
        <f>MIN('3.1 Market'!$F141,'1.1 Control Panel'!I$507*'1.1 Control Panel'!I517)</f>
        <v>20</v>
      </c>
      <c r="J150" s="20">
        <f>MIN('3.1 Market'!$F141,'1.1 Control Panel'!J$507*'1.1 Control Panel'!J517)</f>
        <v>30</v>
      </c>
      <c r="K150" s="20">
        <f>MIN('3.1 Market'!$F141,'1.1 Control Panel'!K$507*'1.1 Control Panel'!K517)</f>
        <v>30</v>
      </c>
      <c r="L150" s="20">
        <f>MIN('3.1 Market'!$F141,'1.1 Control Panel'!L$507*'1.1 Control Panel'!L517)</f>
        <v>30</v>
      </c>
      <c r="M150" s="20">
        <f>MIN('3.1 Market'!$F141,'1.1 Control Panel'!M$507*'1.1 Control Panel'!M517)</f>
        <v>35</v>
      </c>
      <c r="N150" s="20">
        <f>MIN('3.1 Market'!$F141,'1.1 Control Panel'!N$507*'1.1 Control Panel'!N517)</f>
        <v>35</v>
      </c>
      <c r="O150" s="20">
        <f>MIN('3.1 Market'!$F141,'1.1 Control Panel'!O$507*'1.1 Control Panel'!O517)</f>
        <v>35</v>
      </c>
      <c r="P150" s="20">
        <f>MIN('3.1 Market'!$F141,'1.1 Control Panel'!P$507*'1.1 Control Panel'!P517)</f>
        <v>35</v>
      </c>
      <c r="Q150" s="20">
        <f>MIN('3.1 Market'!$G141,'1.1 Control Panel'!Q$507*'1.1 Control Panel'!Q517)</f>
        <v>40</v>
      </c>
      <c r="R150" s="20">
        <f>MIN('3.1 Market'!$G141,'1.1 Control Panel'!R$507*'1.1 Control Panel'!R517)</f>
        <v>40</v>
      </c>
      <c r="S150" s="20">
        <f>MIN('3.1 Market'!$G141,'1.1 Control Panel'!S$507*'1.1 Control Panel'!S517)</f>
        <v>40</v>
      </c>
      <c r="T150" s="20">
        <f>MIN('3.1 Market'!$G141,'1.1 Control Panel'!T$507*'1.1 Control Panel'!T517)</f>
        <v>40</v>
      </c>
      <c r="U150" s="20">
        <f>MIN('3.1 Market'!$G141,'1.1 Control Panel'!U$507*'1.1 Control Panel'!U517)</f>
        <v>45</v>
      </c>
      <c r="V150" s="20">
        <f>MIN('3.1 Market'!$G141,'1.1 Control Panel'!V$507*'1.1 Control Panel'!V517)</f>
        <v>45</v>
      </c>
      <c r="W150" s="20">
        <f>MIN('3.1 Market'!$G141,'1.1 Control Panel'!W$507*'1.1 Control Panel'!W517)</f>
        <v>45</v>
      </c>
      <c r="X150" s="20">
        <f>MIN('3.1 Market'!$G141,'1.1 Control Panel'!X$507*'1.1 Control Panel'!X517)</f>
        <v>45</v>
      </c>
      <c r="Y150" s="20">
        <f>MIN('3.1 Market'!$G141,'1.1 Control Panel'!Y$507*'1.1 Control Panel'!Y517)</f>
        <v>50</v>
      </c>
      <c r="Z150" s="20">
        <f>MIN('3.1 Market'!$G141,'1.1 Control Panel'!Z$507*'1.1 Control Panel'!Z517)</f>
        <v>50</v>
      </c>
      <c r="AA150" s="20">
        <f>MIN('3.1 Market'!$G141,'1.1 Control Panel'!AA$507*'1.1 Control Panel'!AA517)</f>
        <v>50</v>
      </c>
      <c r="AB150" s="20">
        <f>MIN('3.1 Market'!$G141,'1.1 Control Panel'!AB$507*'1.1 Control Panel'!AB517)</f>
        <v>50</v>
      </c>
      <c r="AC150" s="20">
        <f>MIN('3.1 Market'!$H141,'1.1 Control Panel'!AC$507*'1.1 Control Panel'!AC517)</f>
        <v>75</v>
      </c>
      <c r="AD150" s="20">
        <f>MIN('3.1 Market'!$H141,'1.1 Control Panel'!AD$507*'1.1 Control Panel'!AD517)</f>
        <v>75</v>
      </c>
      <c r="AE150" s="20">
        <f>MIN('3.1 Market'!$H141,'1.1 Control Panel'!AE$507*'1.1 Control Panel'!AE517)</f>
        <v>75</v>
      </c>
      <c r="AF150" s="20">
        <f>MIN('3.1 Market'!$H141,'1.1 Control Panel'!AF$507*'1.1 Control Panel'!AF517)</f>
        <v>75</v>
      </c>
      <c r="AG150" s="20">
        <f>MIN('3.1 Market'!$H141,'1.1 Control Panel'!AG$507*'1.1 Control Panel'!AG517)</f>
        <v>105</v>
      </c>
      <c r="AH150" s="20">
        <f>MIN('3.1 Market'!$H141,'1.1 Control Panel'!AH$507*'1.1 Control Panel'!AH517)</f>
        <v>105</v>
      </c>
      <c r="AI150" s="20">
        <f>MIN('3.1 Market'!$H141,'1.1 Control Panel'!AI$507*'1.1 Control Panel'!AI517)</f>
        <v>105</v>
      </c>
      <c r="AJ150" s="20">
        <f>MIN('3.1 Market'!$H141,'1.1 Control Panel'!AJ$507*'1.1 Control Panel'!AJ517)</f>
        <v>105</v>
      </c>
      <c r="AK150" s="20">
        <f>MIN('3.1 Market'!$H141,'1.1 Control Panel'!AK$507*'1.1 Control Panel'!AK517)</f>
        <v>130</v>
      </c>
      <c r="AL150" s="20">
        <f>MIN('3.1 Market'!$H141,'1.1 Control Panel'!AL$507*'1.1 Control Panel'!AL517)</f>
        <v>130</v>
      </c>
      <c r="AM150" s="20">
        <f>MIN('3.1 Market'!$H141,'1.1 Control Panel'!AM$507*'1.1 Control Panel'!AM517)</f>
        <v>130</v>
      </c>
      <c r="AN150" s="20">
        <f>MIN('3.1 Market'!$H141,'1.1 Control Panel'!AN$507*'1.1 Control Panel'!AN517)</f>
        <v>130</v>
      </c>
      <c r="AP150" s="20"/>
    </row>
    <row r="151" spans="2:42" x14ac:dyDescent="0.25">
      <c r="C151" s="20" t="s">
        <v>392</v>
      </c>
      <c r="D151" s="34" t="s">
        <v>162</v>
      </c>
      <c r="E151" s="20">
        <f>MIN('3.1 Market'!$F142,'1.1 Control Panel'!E$507*'1.1 Control Panel'!E518)</f>
        <v>4</v>
      </c>
      <c r="F151" s="20">
        <f>MIN('3.1 Market'!$F142,'1.1 Control Panel'!F$507*'1.1 Control Panel'!F518)</f>
        <v>4.2</v>
      </c>
      <c r="G151" s="20">
        <f>MIN('3.1 Market'!$F142,'1.1 Control Panel'!G$507*'1.1 Control Panel'!G518)</f>
        <v>17.440000000000001</v>
      </c>
      <c r="H151" s="20">
        <f>MIN('3.1 Market'!$F142,'1.1 Control Panel'!H$507*'1.1 Control Panel'!H518)</f>
        <v>17.952000000000002</v>
      </c>
      <c r="I151" s="20">
        <f>MIN('3.1 Market'!$F142,'1.1 Control Panel'!I$507*'1.1 Control Panel'!I518)</f>
        <v>18.361600000000003</v>
      </c>
      <c r="J151" s="20">
        <f>MIN('3.1 Market'!$F142,'1.1 Control Panel'!J$507*'1.1 Control Panel'!J518)</f>
        <v>28.033920000000006</v>
      </c>
      <c r="K151" s="20">
        <f>MIN('3.1 Market'!$F142,'1.1 Control Panel'!K$507*'1.1 Control Panel'!K518)</f>
        <v>28.427136000000004</v>
      </c>
      <c r="L151" s="20">
        <f>MIN('3.1 Market'!$F142,'1.1 Control Panel'!L$507*'1.1 Control Panel'!L518)</f>
        <v>28.741708800000001</v>
      </c>
      <c r="M151" s="20">
        <f>MIN('3.1 Market'!$F142,'1.1 Control Panel'!M$507*'1.1 Control Panel'!M518)</f>
        <v>33.825594879999997</v>
      </c>
      <c r="N151" s="20">
        <f>MIN('3.1 Market'!$F142,'1.1 Control Panel'!N$507*'1.1 Control Panel'!N518)</f>
        <v>34.060475904</v>
      </c>
      <c r="O151" s="20">
        <f>MIN('3.1 Market'!$F142,'1.1 Control Panel'!O$507*'1.1 Control Panel'!O518)</f>
        <v>34.248380723200007</v>
      </c>
      <c r="P151" s="20">
        <f>MIN('3.1 Market'!$F142,'1.1 Control Panel'!P$507*'1.1 Control Panel'!P518)</f>
        <v>34.39870457856</v>
      </c>
      <c r="Q151" s="20">
        <f>MIN('3.1 Market'!$G142,'1.1 Control Panel'!Q$507*'1.1 Control Panel'!Q518)</f>
        <v>39.450244186112002</v>
      </c>
      <c r="R151" s="20">
        <f>MIN('3.1 Market'!$G142,'1.1 Control Panel'!R$507*'1.1 Control Panel'!R518)</f>
        <v>39.560195348889607</v>
      </c>
      <c r="S151" s="20">
        <f>MIN('3.1 Market'!$G142,'1.1 Control Panel'!S$507*'1.1 Control Panel'!S518)</f>
        <v>39.648156279111689</v>
      </c>
      <c r="T151" s="20">
        <f>MIN('3.1 Market'!$G142,'1.1 Control Panel'!T$507*'1.1 Control Panel'!T518)</f>
        <v>39.718525023289352</v>
      </c>
      <c r="U151" s="20">
        <f>MIN('3.1 Market'!$G142,'1.1 Control Panel'!U$507*'1.1 Control Panel'!U518)</f>
        <v>44.746672520960423</v>
      </c>
      <c r="V151" s="20">
        <f>MIN('3.1 Market'!$G142,'1.1 Control Panel'!V$507*'1.1 Control Panel'!V518)</f>
        <v>44.797338016768343</v>
      </c>
      <c r="W151" s="20">
        <f>MIN('3.1 Market'!$G142,'1.1 Control Panel'!W$507*'1.1 Control Panel'!W518)</f>
        <v>44.837870413414677</v>
      </c>
      <c r="X151" s="20">
        <f>MIN('3.1 Market'!$G142,'1.1 Control Panel'!X$507*'1.1 Control Panel'!X518)</f>
        <v>44.87029633073174</v>
      </c>
      <c r="Y151" s="20">
        <f>MIN('3.1 Market'!$G142,'1.1 Control Panel'!Y$507*'1.1 Control Panel'!Y518)</f>
        <v>49.884707849539325</v>
      </c>
      <c r="Z151" s="20">
        <f>MIN('3.1 Market'!$G142,'1.1 Control Panel'!Z$507*'1.1 Control Panel'!Z518)</f>
        <v>49.907766279631467</v>
      </c>
      <c r="AA151" s="20">
        <f>MIN('3.1 Market'!$G142,'1.1 Control Panel'!AA$507*'1.1 Control Panel'!AA518)</f>
        <v>49.926213023705174</v>
      </c>
      <c r="AB151" s="20">
        <f>MIN('3.1 Market'!$G142,'1.1 Control Panel'!AB$507*'1.1 Control Panel'!AB518)</f>
        <v>49.940970418964142</v>
      </c>
      <c r="AC151" s="20">
        <f>MIN('3.1 Market'!$H142,'1.1 Control Panel'!AC$507*'1.1 Control Panel'!AC518)</f>
        <v>74.929164502756976</v>
      </c>
      <c r="AD151" s="20">
        <f>MIN('3.1 Market'!$H142,'1.1 Control Panel'!AD$507*'1.1 Control Panel'!AD518)</f>
        <v>74.943331602205589</v>
      </c>
      <c r="AE151" s="20">
        <f>MIN('3.1 Market'!$H142,'1.1 Control Panel'!AE$507*'1.1 Control Panel'!AE518)</f>
        <v>74.954665281764477</v>
      </c>
      <c r="AF151" s="20">
        <f>MIN('3.1 Market'!$H142,'1.1 Control Panel'!AF$507*'1.1 Control Panel'!AF518)</f>
        <v>74.963732225411576</v>
      </c>
      <c r="AG151" s="20">
        <f>MIN('3.1 Market'!$H142,'1.1 Control Panel'!AG$507*'1.1 Control Panel'!AG518)</f>
        <v>104.95938009246099</v>
      </c>
      <c r="AH151" s="20">
        <f>MIN('3.1 Market'!$H142,'1.1 Control Panel'!AH$507*'1.1 Control Panel'!AH518)</f>
        <v>104.96750407396878</v>
      </c>
      <c r="AI151" s="20">
        <f>MIN('3.1 Market'!$H142,'1.1 Control Panel'!AI$507*'1.1 Control Panel'!AI518)</f>
        <v>104.97400325917503</v>
      </c>
      <c r="AJ151" s="20">
        <f>MIN('3.1 Market'!$H142,'1.1 Control Panel'!AJ$507*'1.1 Control Panel'!AJ518)</f>
        <v>104.97920260734001</v>
      </c>
      <c r="AK151" s="20">
        <f>MIN('3.1 Market'!$H142,'1.1 Control Panel'!AK$507*'1.1 Control Panel'!AK518)</f>
        <v>129.97940067774633</v>
      </c>
      <c r="AL151" s="20">
        <f>MIN('3.1 Market'!$H142,'1.1 Control Panel'!AL$507*'1.1 Control Panel'!AL518)</f>
        <v>129.98352054219706</v>
      </c>
      <c r="AM151" s="20">
        <f>MIN('3.1 Market'!$H142,'1.1 Control Panel'!AM$507*'1.1 Control Panel'!AM518)</f>
        <v>129.98681643375764</v>
      </c>
      <c r="AN151" s="20">
        <f>MIN('3.1 Market'!$H142,'1.1 Control Panel'!AN$507*'1.1 Control Panel'!AN518)</f>
        <v>129.98945314700609</v>
      </c>
      <c r="AP151" s="20"/>
    </row>
    <row r="152" spans="2:42" x14ac:dyDescent="0.25">
      <c r="C152" s="20" t="s">
        <v>454</v>
      </c>
      <c r="D152" s="34" t="s">
        <v>162</v>
      </c>
      <c r="E152" s="20">
        <f>MIN('3.1 Market'!$F143,'1.1 Control Panel'!E$507*'1.1 Control Panel'!E519)</f>
        <v>3</v>
      </c>
      <c r="F152" s="20">
        <f>MIN('3.1 Market'!$F143,'1.1 Control Panel'!F$507*'1.1 Control Panel'!F519)</f>
        <v>3.4000000000000004</v>
      </c>
      <c r="G152" s="20">
        <f>MIN('3.1 Market'!$F143,'1.1 Control Panel'!G$507*'1.1 Control Panel'!G519)</f>
        <v>14.880000000000003</v>
      </c>
      <c r="H152" s="20">
        <f>MIN('3.1 Market'!$F143,'1.1 Control Panel'!H$507*'1.1 Control Panel'!H519)</f>
        <v>15.904000000000003</v>
      </c>
      <c r="I152" s="20">
        <f>MIN('3.1 Market'!$F143,'1.1 Control Panel'!I$507*'1.1 Control Panel'!I519)</f>
        <v>16.723200000000006</v>
      </c>
      <c r="J152" s="20">
        <f>MIN('3.1 Market'!$F143,'1.1 Control Panel'!J$507*'1.1 Control Panel'!J519)</f>
        <v>26.067840000000011</v>
      </c>
      <c r="K152" s="20">
        <f>MIN('3.1 Market'!$F143,'1.1 Control Panel'!K$507*'1.1 Control Panel'!K519)</f>
        <v>26.854272000000009</v>
      </c>
      <c r="L152" s="20">
        <f>MIN('3.1 Market'!$F143,'1.1 Control Panel'!L$507*'1.1 Control Panel'!L519)</f>
        <v>27.48341760000001</v>
      </c>
      <c r="M152" s="20">
        <f>MIN('3.1 Market'!$F143,'1.1 Control Panel'!M$507*'1.1 Control Panel'!M519)</f>
        <v>32.651189760000008</v>
      </c>
      <c r="N152" s="20">
        <f>MIN('3.1 Market'!$F143,'1.1 Control Panel'!N$507*'1.1 Control Panel'!N519)</f>
        <v>33.120951808000008</v>
      </c>
      <c r="O152" s="20">
        <f>MIN('3.1 Market'!$F143,'1.1 Control Panel'!O$507*'1.1 Control Panel'!O519)</f>
        <v>33.496761446400015</v>
      </c>
      <c r="P152" s="20">
        <f>MIN('3.1 Market'!$F143,'1.1 Control Panel'!P$507*'1.1 Control Panel'!P519)</f>
        <v>33.797409157120008</v>
      </c>
      <c r="Q152" s="20">
        <f>MIN('3.1 Market'!$G143,'1.1 Control Panel'!Q$507*'1.1 Control Panel'!Q519)</f>
        <v>38.900488372224011</v>
      </c>
      <c r="R152" s="20">
        <f>MIN('3.1 Market'!$G143,'1.1 Control Panel'!R$507*'1.1 Control Panel'!R519)</f>
        <v>39.120390697779214</v>
      </c>
      <c r="S152" s="20">
        <f>MIN('3.1 Market'!$G143,'1.1 Control Panel'!S$507*'1.1 Control Panel'!S519)</f>
        <v>39.296312558223377</v>
      </c>
      <c r="T152" s="20">
        <f>MIN('3.1 Market'!$G143,'1.1 Control Panel'!T$507*'1.1 Control Panel'!T519)</f>
        <v>39.437050046578705</v>
      </c>
      <c r="U152" s="20">
        <f>MIN('3.1 Market'!$G143,'1.1 Control Panel'!U$507*'1.1 Control Panel'!U519)</f>
        <v>44.493345041920833</v>
      </c>
      <c r="V152" s="20">
        <f>MIN('3.1 Market'!$G143,'1.1 Control Panel'!V$507*'1.1 Control Panel'!V519)</f>
        <v>44.594676033536665</v>
      </c>
      <c r="W152" s="20">
        <f>MIN('3.1 Market'!$G143,'1.1 Control Panel'!W$507*'1.1 Control Panel'!W519)</f>
        <v>44.675740826829333</v>
      </c>
      <c r="X152" s="20">
        <f>MIN('3.1 Market'!$G143,'1.1 Control Panel'!X$507*'1.1 Control Panel'!X519)</f>
        <v>44.740592661463467</v>
      </c>
      <c r="Y152" s="20">
        <f>MIN('3.1 Market'!$G143,'1.1 Control Panel'!Y$507*'1.1 Control Panel'!Y519)</f>
        <v>49.769415699078635</v>
      </c>
      <c r="Z152" s="20">
        <f>MIN('3.1 Market'!$G143,'1.1 Control Panel'!Z$507*'1.1 Control Panel'!Z519)</f>
        <v>49.815532559262905</v>
      </c>
      <c r="AA152" s="20">
        <f>MIN('3.1 Market'!$G143,'1.1 Control Panel'!AA$507*'1.1 Control Panel'!AA519)</f>
        <v>49.852426047410326</v>
      </c>
      <c r="AB152" s="20">
        <f>MIN('3.1 Market'!$G143,'1.1 Control Panel'!AB$507*'1.1 Control Panel'!AB519)</f>
        <v>49.881940837928269</v>
      </c>
      <c r="AC152" s="20">
        <f>MIN('3.1 Market'!$H143,'1.1 Control Panel'!AC$507*'1.1 Control Panel'!AC519)</f>
        <v>74.858329005513923</v>
      </c>
      <c r="AD152" s="20">
        <f>MIN('3.1 Market'!$H143,'1.1 Control Panel'!AD$507*'1.1 Control Panel'!AD519)</f>
        <v>74.88666320441115</v>
      </c>
      <c r="AE152" s="20">
        <f>MIN('3.1 Market'!$H143,'1.1 Control Panel'!AE$507*'1.1 Control Panel'!AE519)</f>
        <v>74.909330563528911</v>
      </c>
      <c r="AF152" s="20">
        <f>MIN('3.1 Market'!$H143,'1.1 Control Panel'!AF$507*'1.1 Control Panel'!AF519)</f>
        <v>74.927464450823138</v>
      </c>
      <c r="AG152" s="20">
        <f>MIN('3.1 Market'!$H143,'1.1 Control Panel'!AG$507*'1.1 Control Panel'!AG519)</f>
        <v>104.91876018492192</v>
      </c>
      <c r="AH152" s="20">
        <f>MIN('3.1 Market'!$H143,'1.1 Control Panel'!AH$507*'1.1 Control Panel'!AH519)</f>
        <v>104.93500814793752</v>
      </c>
      <c r="AI152" s="20">
        <f>MIN('3.1 Market'!$H143,'1.1 Control Panel'!AI$507*'1.1 Control Panel'!AI519)</f>
        <v>104.94800651835001</v>
      </c>
      <c r="AJ152" s="20">
        <f>MIN('3.1 Market'!$H143,'1.1 Control Panel'!AJ$507*'1.1 Control Panel'!AJ519)</f>
        <v>104.95840521468003</v>
      </c>
      <c r="AK152" s="20">
        <f>MIN('3.1 Market'!$H143,'1.1 Control Panel'!AK$507*'1.1 Control Panel'!AK519)</f>
        <v>129.9588013554926</v>
      </c>
      <c r="AL152" s="20">
        <f>MIN('3.1 Market'!$H143,'1.1 Control Panel'!AL$507*'1.1 Control Panel'!AL519)</f>
        <v>129.96704108439405</v>
      </c>
      <c r="AM152" s="20">
        <f>MIN('3.1 Market'!$H143,'1.1 Control Panel'!AM$507*'1.1 Control Panel'!AM519)</f>
        <v>129.97363286751528</v>
      </c>
      <c r="AN152" s="20">
        <f>MIN('3.1 Market'!$H143,'1.1 Control Panel'!AN$507*'1.1 Control Panel'!AN519)</f>
        <v>129.97890629401223</v>
      </c>
      <c r="AP152" s="20"/>
    </row>
    <row r="153" spans="2:42" x14ac:dyDescent="0.25">
      <c r="C153" s="21" t="s">
        <v>455</v>
      </c>
      <c r="D153" s="38" t="s">
        <v>162</v>
      </c>
      <c r="E153" s="21">
        <f>MIN('3.1 Market'!$F144,'1.1 Control Panel'!E$507*'1.1 Control Panel'!E520)</f>
        <v>2</v>
      </c>
      <c r="F153" s="21">
        <f>MIN('3.1 Market'!$F144,'1.1 Control Panel'!F$507*'1.1 Control Panel'!F520)</f>
        <v>2.6</v>
      </c>
      <c r="G153" s="21">
        <f>MIN('3.1 Market'!$F144,'1.1 Control Panel'!G$507*'1.1 Control Panel'!G520)</f>
        <v>12.32</v>
      </c>
      <c r="H153" s="21">
        <f>MIN('3.1 Market'!$F144,'1.1 Control Panel'!H$507*'1.1 Control Panel'!H520)</f>
        <v>13.856000000000002</v>
      </c>
      <c r="I153" s="21">
        <f>MIN('3.1 Market'!$F144,'1.1 Control Panel'!I$507*'1.1 Control Panel'!I520)</f>
        <v>15.084800000000001</v>
      </c>
      <c r="J153" s="21">
        <f>MIN('3.1 Market'!$F144,'1.1 Control Panel'!J$507*'1.1 Control Panel'!J520)</f>
        <v>24.101760000000006</v>
      </c>
      <c r="K153" s="21">
        <f>MIN('3.1 Market'!$F144,'1.1 Control Panel'!K$507*'1.1 Control Panel'!K520)</f>
        <v>25.281408000000003</v>
      </c>
      <c r="L153" s="21">
        <f>MIN('3.1 Market'!$F144,'1.1 Control Panel'!L$507*'1.1 Control Panel'!L520)</f>
        <v>26.225126400000004</v>
      </c>
      <c r="M153" s="21">
        <f>MIN('3.1 Market'!$F144,'1.1 Control Panel'!M$507*'1.1 Control Panel'!M520)</f>
        <v>31.476784640000009</v>
      </c>
      <c r="N153" s="21">
        <f>MIN('3.1 Market'!$F144,'1.1 Control Panel'!N$507*'1.1 Control Panel'!N520)</f>
        <v>32.181427712000016</v>
      </c>
      <c r="O153" s="21">
        <f>MIN('3.1 Market'!$F144,'1.1 Control Panel'!O$507*'1.1 Control Panel'!O520)</f>
        <v>32.745142169600008</v>
      </c>
      <c r="P153" s="21">
        <f>MIN('3.1 Market'!$F144,'1.1 Control Panel'!P$507*'1.1 Control Panel'!P520)</f>
        <v>33.196113735680008</v>
      </c>
      <c r="Q153" s="21">
        <f>MIN('3.1 Market'!$G144,'1.1 Control Panel'!Q$507*'1.1 Control Panel'!Q520)</f>
        <v>38.350732558336006</v>
      </c>
      <c r="R153" s="21">
        <f>MIN('3.1 Market'!$G144,'1.1 Control Panel'!R$507*'1.1 Control Panel'!R520)</f>
        <v>38.680586046668807</v>
      </c>
      <c r="S153" s="21">
        <f>MIN('3.1 Market'!$G144,'1.1 Control Panel'!S$507*'1.1 Control Panel'!S520)</f>
        <v>38.944468837335052</v>
      </c>
      <c r="T153" s="21">
        <f>MIN('3.1 Market'!$G144,'1.1 Control Panel'!T$507*'1.1 Control Panel'!T520)</f>
        <v>39.155575069868043</v>
      </c>
      <c r="U153" s="21">
        <f>MIN('3.1 Market'!$G144,'1.1 Control Panel'!U$507*'1.1 Control Panel'!U520)</f>
        <v>44.240017562881235</v>
      </c>
      <c r="V153" s="21">
        <f>MIN('3.1 Market'!$G144,'1.1 Control Panel'!V$507*'1.1 Control Panel'!V520)</f>
        <v>44.392014050304994</v>
      </c>
      <c r="W153" s="21">
        <f>MIN('3.1 Market'!$G144,'1.1 Control Panel'!W$507*'1.1 Control Panel'!W520)</f>
        <v>44.513611240243996</v>
      </c>
      <c r="X153" s="21">
        <f>MIN('3.1 Market'!$G144,'1.1 Control Panel'!X$507*'1.1 Control Panel'!X520)</f>
        <v>44.6108889921952</v>
      </c>
      <c r="Y153" s="21">
        <f>MIN('3.1 Market'!$G144,'1.1 Control Panel'!Y$507*'1.1 Control Panel'!Y520)</f>
        <v>49.65412354861796</v>
      </c>
      <c r="Z153" s="21">
        <f>MIN('3.1 Market'!$G144,'1.1 Control Panel'!Z$507*'1.1 Control Panel'!Z520)</f>
        <v>49.723298838894365</v>
      </c>
      <c r="AA153" s="21">
        <f>MIN('3.1 Market'!$G144,'1.1 Control Panel'!AA$507*'1.1 Control Panel'!AA520)</f>
        <v>49.778639071115492</v>
      </c>
      <c r="AB153" s="21">
        <f>MIN('3.1 Market'!$G144,'1.1 Control Panel'!AB$507*'1.1 Control Panel'!AB520)</f>
        <v>49.822911256892404</v>
      </c>
      <c r="AC153" s="21">
        <f>MIN('3.1 Market'!$H144,'1.1 Control Panel'!AC$507*'1.1 Control Panel'!AC520)</f>
        <v>74.787493508270884</v>
      </c>
      <c r="AD153" s="21">
        <f>MIN('3.1 Market'!$H144,'1.1 Control Panel'!AD$507*'1.1 Control Panel'!AD520)</f>
        <v>74.82999480661671</v>
      </c>
      <c r="AE153" s="21">
        <f>MIN('3.1 Market'!$H144,'1.1 Control Panel'!AE$507*'1.1 Control Panel'!AE520)</f>
        <v>74.863995845293374</v>
      </c>
      <c r="AF153" s="21">
        <f>MIN('3.1 Market'!$H144,'1.1 Control Panel'!AF$507*'1.1 Control Panel'!AF520)</f>
        <v>74.891196676234685</v>
      </c>
      <c r="AG153" s="21">
        <f>MIN('3.1 Market'!$H144,'1.1 Control Panel'!AG$507*'1.1 Control Panel'!AG520)</f>
        <v>104.87814027738284</v>
      </c>
      <c r="AH153" s="21">
        <f>MIN('3.1 Market'!$H144,'1.1 Control Panel'!AH$507*'1.1 Control Panel'!AH520)</f>
        <v>104.90251222190626</v>
      </c>
      <c r="AI153" s="21">
        <f>MIN('3.1 Market'!$H144,'1.1 Control Panel'!AI$507*'1.1 Control Panel'!AI520)</f>
        <v>104.92200977752503</v>
      </c>
      <c r="AJ153" s="21">
        <f>MIN('3.1 Market'!$H144,'1.1 Control Panel'!AJ$507*'1.1 Control Panel'!AJ520)</f>
        <v>104.93760782202003</v>
      </c>
      <c r="AK153" s="21">
        <f>MIN('3.1 Market'!$H144,'1.1 Control Panel'!AK$507*'1.1 Control Panel'!AK520)</f>
        <v>129.93820203323889</v>
      </c>
      <c r="AL153" s="21">
        <f>MIN('3.1 Market'!$H144,'1.1 Control Panel'!AL$507*'1.1 Control Panel'!AL520)</f>
        <v>129.95056162659111</v>
      </c>
      <c r="AM153" s="21">
        <f>MIN('3.1 Market'!$H144,'1.1 Control Panel'!AM$507*'1.1 Control Panel'!AM520)</f>
        <v>129.96044930127292</v>
      </c>
      <c r="AN153" s="21">
        <f>MIN('3.1 Market'!$H144,'1.1 Control Panel'!AN$507*'1.1 Control Panel'!AN520)</f>
        <v>129.96835944101835</v>
      </c>
      <c r="AP153" s="21"/>
    </row>
    <row r="154" spans="2:42" x14ac:dyDescent="0.25">
      <c r="C154" s="21" t="s">
        <v>393</v>
      </c>
      <c r="D154" s="38" t="s">
        <v>162</v>
      </c>
      <c r="E154" s="21">
        <f>MIN('3.1 Market'!$F145,'1.1 Control Panel'!E$507*'1.1 Control Panel'!E521)</f>
        <v>1</v>
      </c>
      <c r="F154" s="21">
        <f>MIN('3.1 Market'!$F145,'1.1 Control Panel'!F$507*'1.1 Control Panel'!F521)</f>
        <v>1.8</v>
      </c>
      <c r="G154" s="21">
        <f>MIN('3.1 Market'!$F145,'1.1 Control Panel'!G$507*'1.1 Control Panel'!G521)</f>
        <v>9.7600000000000016</v>
      </c>
      <c r="H154" s="21">
        <f>MIN('3.1 Market'!$F145,'1.1 Control Panel'!H$507*'1.1 Control Panel'!H521)</f>
        <v>11.808000000000002</v>
      </c>
      <c r="I154" s="21">
        <f>MIN('3.1 Market'!$F145,'1.1 Control Panel'!I$507*'1.1 Control Panel'!I521)</f>
        <v>13.446400000000002</v>
      </c>
      <c r="J154" s="21">
        <f>MIN('3.1 Market'!$F145,'1.1 Control Panel'!J$507*'1.1 Control Panel'!J521)</f>
        <v>22.135680000000004</v>
      </c>
      <c r="K154" s="21">
        <f>MIN('3.1 Market'!$F145,'1.1 Control Panel'!K$507*'1.1 Control Panel'!K521)</f>
        <v>23.708544000000003</v>
      </c>
      <c r="L154" s="21">
        <f>MIN('3.1 Market'!$F145,'1.1 Control Panel'!L$507*'1.1 Control Panel'!L521)</f>
        <v>24.966835200000006</v>
      </c>
      <c r="M154" s="21">
        <f>MIN('3.1 Market'!$F145,'1.1 Control Panel'!M$507*'1.1 Control Panel'!M521)</f>
        <v>30.302379520000009</v>
      </c>
      <c r="N154" s="21">
        <f>MIN('3.1 Market'!$F145,'1.1 Control Panel'!N$507*'1.1 Control Panel'!N521)</f>
        <v>31.241903616000002</v>
      </c>
      <c r="O154" s="21">
        <f>MIN('3.1 Market'!$F145,'1.1 Control Panel'!O$507*'1.1 Control Panel'!O521)</f>
        <v>31.993522892800005</v>
      </c>
      <c r="P154" s="21">
        <f>MIN('3.1 Market'!$F145,'1.1 Control Panel'!P$507*'1.1 Control Panel'!P521)</f>
        <v>32.594818314240008</v>
      </c>
      <c r="Q154" s="21">
        <f>MIN('3.1 Market'!$G145,'1.1 Control Panel'!Q$507*'1.1 Control Panel'!Q521)</f>
        <v>37.800976744448008</v>
      </c>
      <c r="R154" s="21">
        <f>MIN('3.1 Market'!$G145,'1.1 Control Panel'!R$507*'1.1 Control Panel'!R521)</f>
        <v>38.240781395558407</v>
      </c>
      <c r="S154" s="21">
        <f>MIN('3.1 Market'!$G145,'1.1 Control Panel'!S$507*'1.1 Control Panel'!S521)</f>
        <v>38.592625116446726</v>
      </c>
      <c r="T154" s="21">
        <f>MIN('3.1 Market'!$G145,'1.1 Control Panel'!T$507*'1.1 Control Panel'!T521)</f>
        <v>38.874100093157381</v>
      </c>
      <c r="U154" s="21">
        <f>MIN('3.1 Market'!$G145,'1.1 Control Panel'!U$507*'1.1 Control Panel'!U521)</f>
        <v>43.986690083841644</v>
      </c>
      <c r="V154" s="21">
        <f>MIN('3.1 Market'!$G145,'1.1 Control Panel'!V$507*'1.1 Control Panel'!V521)</f>
        <v>44.189352067073315</v>
      </c>
      <c r="W154" s="21">
        <f>MIN('3.1 Market'!$G145,'1.1 Control Panel'!W$507*'1.1 Control Panel'!W521)</f>
        <v>44.351481653658652</v>
      </c>
      <c r="X154" s="21">
        <f>MIN('3.1 Market'!$G145,'1.1 Control Panel'!X$507*'1.1 Control Panel'!X521)</f>
        <v>44.481185322926933</v>
      </c>
      <c r="Y154" s="21">
        <f>MIN('3.1 Market'!$G145,'1.1 Control Panel'!Y$507*'1.1 Control Panel'!Y521)</f>
        <v>49.538831398157271</v>
      </c>
      <c r="Z154" s="21">
        <f>MIN('3.1 Market'!$G145,'1.1 Control Panel'!Z$507*'1.1 Control Panel'!Z521)</f>
        <v>49.631065118525811</v>
      </c>
      <c r="AA154" s="21">
        <f>MIN('3.1 Market'!$G145,'1.1 Control Panel'!AA$507*'1.1 Control Panel'!AA521)</f>
        <v>49.704852094820652</v>
      </c>
      <c r="AB154" s="21">
        <f>MIN('3.1 Market'!$G145,'1.1 Control Panel'!AB$507*'1.1 Control Panel'!AB521)</f>
        <v>49.763881675856524</v>
      </c>
      <c r="AC154" s="21">
        <f>MIN('3.1 Market'!$H145,'1.1 Control Panel'!AC$507*'1.1 Control Panel'!AC521)</f>
        <v>74.716658011027832</v>
      </c>
      <c r="AD154" s="21">
        <f>MIN('3.1 Market'!$H145,'1.1 Control Panel'!AD$507*'1.1 Control Panel'!AD521)</f>
        <v>74.773326408822271</v>
      </c>
      <c r="AE154" s="21">
        <f>MIN('3.1 Market'!$H145,'1.1 Control Panel'!AE$507*'1.1 Control Panel'!AE521)</f>
        <v>74.818661127057823</v>
      </c>
      <c r="AF154" s="21">
        <f>MIN('3.1 Market'!$H145,'1.1 Control Panel'!AF$507*'1.1 Control Panel'!AF521)</f>
        <v>74.854928901646275</v>
      </c>
      <c r="AG154" s="21">
        <f>MIN('3.1 Market'!$H145,'1.1 Control Panel'!AG$507*'1.1 Control Panel'!AG521)</f>
        <v>104.83752036984383</v>
      </c>
      <c r="AH154" s="21">
        <f>MIN('3.1 Market'!$H145,'1.1 Control Panel'!AH$507*'1.1 Control Panel'!AH521)</f>
        <v>104.87001629587508</v>
      </c>
      <c r="AI154" s="21">
        <f>MIN('3.1 Market'!$H145,'1.1 Control Panel'!AI$507*'1.1 Control Panel'!AI521)</f>
        <v>104.89601303670005</v>
      </c>
      <c r="AJ154" s="21">
        <f>MIN('3.1 Market'!$H145,'1.1 Control Panel'!AJ$507*'1.1 Control Panel'!AJ521)</f>
        <v>104.91681042936005</v>
      </c>
      <c r="AK154" s="21">
        <f>MIN('3.1 Market'!$H145,'1.1 Control Panel'!AK$507*'1.1 Control Panel'!AK521)</f>
        <v>129.91760271098522</v>
      </c>
      <c r="AL154" s="21">
        <f>MIN('3.1 Market'!$H145,'1.1 Control Panel'!AL$507*'1.1 Control Panel'!AL521)</f>
        <v>129.93408216878817</v>
      </c>
      <c r="AM154" s="21">
        <f>MIN('3.1 Market'!$H145,'1.1 Control Panel'!AM$507*'1.1 Control Panel'!AM521)</f>
        <v>129.94726573503056</v>
      </c>
      <c r="AN154" s="21">
        <f>MIN('3.1 Market'!$H145,'1.1 Control Panel'!AN$507*'1.1 Control Panel'!AN521)</f>
        <v>129.95781258802444</v>
      </c>
      <c r="AP154" s="21"/>
    </row>
    <row r="155" spans="2:42" x14ac:dyDescent="0.25">
      <c r="C155" s="21" t="s">
        <v>456</v>
      </c>
      <c r="D155" s="38" t="s">
        <v>162</v>
      </c>
      <c r="E155" s="21">
        <f>MIN('3.1 Market'!$F146,'1.1 Control Panel'!E$507*'1.1 Control Panel'!E522)</f>
        <v>0</v>
      </c>
      <c r="F155" s="21">
        <f>MIN('3.1 Market'!$F146,'1.1 Control Panel'!F$507*'1.1 Control Panel'!F522)</f>
        <v>1</v>
      </c>
      <c r="G155" s="21">
        <f>MIN('3.1 Market'!$F146,'1.1 Control Panel'!G$507*'1.1 Control Panel'!G522)</f>
        <v>7.2</v>
      </c>
      <c r="H155" s="21">
        <f>MIN('3.1 Market'!$F146,'1.1 Control Panel'!H$507*'1.1 Control Panel'!H522)</f>
        <v>9.7600000000000016</v>
      </c>
      <c r="I155" s="21">
        <f>MIN('3.1 Market'!$F146,'1.1 Control Panel'!I$507*'1.1 Control Panel'!I522)</f>
        <v>11.808000000000002</v>
      </c>
      <c r="J155" s="21">
        <f>MIN('3.1 Market'!$F146,'1.1 Control Panel'!J$507*'1.1 Control Panel'!J522)</f>
        <v>20.169600000000003</v>
      </c>
      <c r="K155" s="21">
        <f>MIN('3.1 Market'!$F146,'1.1 Control Panel'!K$507*'1.1 Control Panel'!K522)</f>
        <v>22.135680000000004</v>
      </c>
      <c r="L155" s="21">
        <f>MIN('3.1 Market'!$F146,'1.1 Control Panel'!L$507*'1.1 Control Panel'!L522)</f>
        <v>23.708544000000003</v>
      </c>
      <c r="M155" s="21">
        <f>MIN('3.1 Market'!$F146,'1.1 Control Panel'!M$507*'1.1 Control Panel'!M522)</f>
        <v>29.127974400000006</v>
      </c>
      <c r="N155" s="21">
        <f>MIN('3.1 Market'!$F146,'1.1 Control Panel'!N$507*'1.1 Control Panel'!N522)</f>
        <v>30.302379520000009</v>
      </c>
      <c r="O155" s="21">
        <f>MIN('3.1 Market'!$F146,'1.1 Control Panel'!O$507*'1.1 Control Panel'!O522)</f>
        <v>31.241903616000002</v>
      </c>
      <c r="P155" s="21">
        <f>MIN('3.1 Market'!$F146,'1.1 Control Panel'!P$507*'1.1 Control Panel'!P522)</f>
        <v>31.993522892800005</v>
      </c>
      <c r="Q155" s="21">
        <f>MIN('3.1 Market'!$G146,'1.1 Control Panel'!Q$507*'1.1 Control Panel'!Q522)</f>
        <v>37.251220930560009</v>
      </c>
      <c r="R155" s="21">
        <f>MIN('3.1 Market'!$G146,'1.1 Control Panel'!R$507*'1.1 Control Panel'!R522)</f>
        <v>37.800976744448008</v>
      </c>
      <c r="S155" s="21">
        <f>MIN('3.1 Market'!$G146,'1.1 Control Panel'!S$507*'1.1 Control Panel'!S522)</f>
        <v>38.240781395558407</v>
      </c>
      <c r="T155" s="21">
        <f>MIN('3.1 Market'!$G146,'1.1 Control Panel'!T$507*'1.1 Control Panel'!T522)</f>
        <v>38.592625116446726</v>
      </c>
      <c r="U155" s="21">
        <f>MIN('3.1 Market'!$G146,'1.1 Control Panel'!U$507*'1.1 Control Panel'!U522)</f>
        <v>43.733362604802053</v>
      </c>
      <c r="V155" s="21">
        <f>MIN('3.1 Market'!$G146,'1.1 Control Panel'!V$507*'1.1 Control Panel'!V522)</f>
        <v>43.986690083841644</v>
      </c>
      <c r="W155" s="21">
        <f>MIN('3.1 Market'!$G146,'1.1 Control Panel'!W$507*'1.1 Control Panel'!W522)</f>
        <v>44.189352067073315</v>
      </c>
      <c r="X155" s="21">
        <f>MIN('3.1 Market'!$G146,'1.1 Control Panel'!X$507*'1.1 Control Panel'!X522)</f>
        <v>44.351481653658652</v>
      </c>
      <c r="Y155" s="21">
        <f>MIN('3.1 Market'!$G146,'1.1 Control Panel'!Y$507*'1.1 Control Panel'!Y522)</f>
        <v>49.423539247696588</v>
      </c>
      <c r="Z155" s="21">
        <f>MIN('3.1 Market'!$G146,'1.1 Control Panel'!Z$507*'1.1 Control Panel'!Z522)</f>
        <v>49.538831398157271</v>
      </c>
      <c r="AA155" s="21">
        <f>MIN('3.1 Market'!$G146,'1.1 Control Panel'!AA$507*'1.1 Control Panel'!AA522)</f>
        <v>49.631065118525811</v>
      </c>
      <c r="AB155" s="21">
        <f>MIN('3.1 Market'!$G146,'1.1 Control Panel'!AB$507*'1.1 Control Panel'!AB522)</f>
        <v>49.704852094820652</v>
      </c>
      <c r="AC155" s="21">
        <f>MIN('3.1 Market'!$H146,'1.1 Control Panel'!AC$507*'1.1 Control Panel'!AC522)</f>
        <v>74.645822513784779</v>
      </c>
      <c r="AD155" s="21">
        <f>MIN('3.1 Market'!$H146,'1.1 Control Panel'!AD$507*'1.1 Control Panel'!AD522)</f>
        <v>74.716658011027832</v>
      </c>
      <c r="AE155" s="21">
        <f>MIN('3.1 Market'!$H146,'1.1 Control Panel'!AE$507*'1.1 Control Panel'!AE522)</f>
        <v>74.773326408822271</v>
      </c>
      <c r="AF155" s="21">
        <f>MIN('3.1 Market'!$H146,'1.1 Control Panel'!AF$507*'1.1 Control Panel'!AF522)</f>
        <v>74.818661127057823</v>
      </c>
      <c r="AG155" s="21">
        <f>MIN('3.1 Market'!$H146,'1.1 Control Panel'!AG$507*'1.1 Control Panel'!AG522)</f>
        <v>104.79690046230478</v>
      </c>
      <c r="AH155" s="21">
        <f>MIN('3.1 Market'!$H146,'1.1 Control Panel'!AH$507*'1.1 Control Panel'!AH522)</f>
        <v>104.83752036984383</v>
      </c>
      <c r="AI155" s="21">
        <f>MIN('3.1 Market'!$H146,'1.1 Control Panel'!AI$507*'1.1 Control Panel'!AI522)</f>
        <v>104.87001629587508</v>
      </c>
      <c r="AJ155" s="21">
        <f>MIN('3.1 Market'!$H146,'1.1 Control Panel'!AJ$507*'1.1 Control Panel'!AJ522)</f>
        <v>104.89601303670005</v>
      </c>
      <c r="AK155" s="21">
        <f>MIN('3.1 Market'!$H146,'1.1 Control Panel'!AK$507*'1.1 Control Panel'!AK522)</f>
        <v>129.89700338873149</v>
      </c>
      <c r="AL155" s="21">
        <f>MIN('3.1 Market'!$H146,'1.1 Control Panel'!AL$507*'1.1 Control Panel'!AL522)</f>
        <v>129.91760271098522</v>
      </c>
      <c r="AM155" s="21">
        <f>MIN('3.1 Market'!$H146,'1.1 Control Panel'!AM$507*'1.1 Control Panel'!AM522)</f>
        <v>129.93408216878817</v>
      </c>
      <c r="AN155" s="21">
        <f>MIN('3.1 Market'!$H146,'1.1 Control Panel'!AN$507*'1.1 Control Panel'!AN522)</f>
        <v>129.94726573503056</v>
      </c>
      <c r="AP155" s="21"/>
    </row>
    <row r="156" spans="2:42" x14ac:dyDescent="0.25">
      <c r="B156" s="99" t="s">
        <v>9</v>
      </c>
      <c r="C156" s="105" t="str">
        <f>'4.2 Sector Mapping'!$B$12</f>
        <v>Public and Social Services</v>
      </c>
      <c r="D156" s="106" t="s">
        <v>162</v>
      </c>
      <c r="E156" s="105">
        <f>SUM(E157:E162)</f>
        <v>0</v>
      </c>
      <c r="F156" s="105">
        <f t="shared" ref="F156:H156" si="107">SUM(F157:F162)</f>
        <v>0</v>
      </c>
      <c r="G156" s="105">
        <f t="shared" si="107"/>
        <v>0</v>
      </c>
      <c r="H156" s="105">
        <f t="shared" si="107"/>
        <v>0</v>
      </c>
      <c r="I156" s="105">
        <f t="shared" ref="I156:AN156" si="108">SUM(I157:I162)</f>
        <v>23.856000000000002</v>
      </c>
      <c r="J156" s="105">
        <f t="shared" si="108"/>
        <v>25.084800000000001</v>
      </c>
      <c r="K156" s="105">
        <f t="shared" si="108"/>
        <v>26.067840000000004</v>
      </c>
      <c r="L156" s="105">
        <f t="shared" si="108"/>
        <v>26.854272000000005</v>
      </c>
      <c r="M156" s="105">
        <f t="shared" si="108"/>
        <v>27.483417600000003</v>
      </c>
      <c r="N156" s="105">
        <f t="shared" si="108"/>
        <v>27.986734080000005</v>
      </c>
      <c r="O156" s="105">
        <f t="shared" si="108"/>
        <v>28.389387264000007</v>
      </c>
      <c r="P156" s="105">
        <f t="shared" si="108"/>
        <v>28.711509811200006</v>
      </c>
      <c r="Q156" s="105">
        <f t="shared" si="108"/>
        <v>57.938415697920007</v>
      </c>
      <c r="R156" s="105">
        <f t="shared" si="108"/>
        <v>58.350732558336013</v>
      </c>
      <c r="S156" s="105">
        <f t="shared" si="108"/>
        <v>58.680586046668807</v>
      </c>
      <c r="T156" s="105">
        <f t="shared" si="108"/>
        <v>58.944468837335052</v>
      </c>
      <c r="U156" s="105">
        <f t="shared" si="108"/>
        <v>88.733362604802068</v>
      </c>
      <c r="V156" s="105">
        <f t="shared" si="108"/>
        <v>88.986690083841665</v>
      </c>
      <c r="W156" s="105">
        <f t="shared" si="108"/>
        <v>89.18935206707333</v>
      </c>
      <c r="X156" s="105">
        <f t="shared" si="108"/>
        <v>89.351481653658652</v>
      </c>
      <c r="Y156" s="105">
        <f t="shared" si="108"/>
        <v>89.481185322926919</v>
      </c>
      <c r="Z156" s="105">
        <f t="shared" si="108"/>
        <v>89.584948258341541</v>
      </c>
      <c r="AA156" s="105">
        <f t="shared" si="108"/>
        <v>89.667958606673238</v>
      </c>
      <c r="AB156" s="105">
        <f t="shared" si="108"/>
        <v>89.734366885338602</v>
      </c>
      <c r="AC156" s="105">
        <f t="shared" si="108"/>
        <v>119.71665801102785</v>
      </c>
      <c r="AD156" s="105">
        <f t="shared" si="108"/>
        <v>119.77332640882227</v>
      </c>
      <c r="AE156" s="105">
        <f t="shared" si="108"/>
        <v>119.81866112705782</v>
      </c>
      <c r="AF156" s="105">
        <f t="shared" si="108"/>
        <v>119.85492890164628</v>
      </c>
      <c r="AG156" s="105">
        <f t="shared" si="108"/>
        <v>179.82591468197552</v>
      </c>
      <c r="AH156" s="105">
        <f t="shared" si="108"/>
        <v>179.86073174558044</v>
      </c>
      <c r="AI156" s="105">
        <f t="shared" si="108"/>
        <v>179.88858539646435</v>
      </c>
      <c r="AJ156" s="105">
        <f t="shared" si="108"/>
        <v>179.91086831717149</v>
      </c>
      <c r="AK156" s="105">
        <f t="shared" si="108"/>
        <v>209.91681042936008</v>
      </c>
      <c r="AL156" s="105">
        <f t="shared" si="108"/>
        <v>209.93344834348807</v>
      </c>
      <c r="AM156" s="105">
        <f t="shared" si="108"/>
        <v>209.94675867479043</v>
      </c>
      <c r="AN156" s="105">
        <f t="shared" si="108"/>
        <v>209.95740693983237</v>
      </c>
      <c r="AP156" s="105"/>
    </row>
    <row r="157" spans="2:42" x14ac:dyDescent="0.25">
      <c r="C157" s="20" t="s">
        <v>600</v>
      </c>
      <c r="D157" s="34" t="s">
        <v>162</v>
      </c>
      <c r="E157" s="20">
        <f>MIN('3.1 Market'!$F148,'1.1 Control Panel'!E$538*'1.1 Control Panel'!E548)</f>
        <v>0</v>
      </c>
      <c r="F157" s="20">
        <f>MIN('3.1 Market'!$F148,'1.1 Control Panel'!F$538*'1.1 Control Panel'!F548)</f>
        <v>0</v>
      </c>
      <c r="G157" s="20">
        <f>MIN('3.1 Market'!$F148,'1.1 Control Panel'!G$538*'1.1 Control Panel'!G548)</f>
        <v>0</v>
      </c>
      <c r="H157" s="20">
        <f>MIN('3.1 Market'!$F148,'1.1 Control Panel'!H$538*'1.1 Control Panel'!H548)</f>
        <v>0</v>
      </c>
      <c r="I157" s="20">
        <f>MIN('3.1 Market'!$F148,'1.1 Control Panel'!I$538*'1.1 Control Panel'!I548)</f>
        <v>5</v>
      </c>
      <c r="J157" s="20">
        <f>MIN('3.1 Market'!$F148,'1.1 Control Panel'!J$538*'1.1 Control Panel'!J548)</f>
        <v>5</v>
      </c>
      <c r="K157" s="20">
        <f>MIN('3.1 Market'!$F148,'1.1 Control Panel'!K$538*'1.1 Control Panel'!K548)</f>
        <v>5</v>
      </c>
      <c r="L157" s="20">
        <f>MIN('3.1 Market'!$F148,'1.1 Control Panel'!L$538*'1.1 Control Panel'!L548)</f>
        <v>5</v>
      </c>
      <c r="M157" s="20">
        <f>MIN('3.1 Market'!$F148,'1.1 Control Panel'!M$538*'1.1 Control Panel'!M548)</f>
        <v>5</v>
      </c>
      <c r="N157" s="20">
        <f>MIN('3.1 Market'!$F148,'1.1 Control Panel'!N$538*'1.1 Control Panel'!N548)</f>
        <v>5</v>
      </c>
      <c r="O157" s="20">
        <f>MIN('3.1 Market'!$F148,'1.1 Control Panel'!O$538*'1.1 Control Panel'!O548)</f>
        <v>5</v>
      </c>
      <c r="P157" s="20">
        <f>MIN('3.1 Market'!$F148,'1.1 Control Panel'!P$538*'1.1 Control Panel'!P548)</f>
        <v>5</v>
      </c>
      <c r="Q157" s="20">
        <f>MIN('3.1 Market'!$G148,'1.1 Control Panel'!Q$538*'1.1 Control Panel'!Q548)</f>
        <v>10</v>
      </c>
      <c r="R157" s="20">
        <f>MIN('3.1 Market'!$G148,'1.1 Control Panel'!R$538*'1.1 Control Panel'!R548)</f>
        <v>10</v>
      </c>
      <c r="S157" s="20">
        <f>MIN('3.1 Market'!$G148,'1.1 Control Panel'!S$538*'1.1 Control Panel'!S548)</f>
        <v>10</v>
      </c>
      <c r="T157" s="20">
        <f>MIN('3.1 Market'!$G148,'1.1 Control Panel'!T$538*'1.1 Control Panel'!T548)</f>
        <v>10</v>
      </c>
      <c r="U157" s="20">
        <f>MIN('3.1 Market'!$G148,'1.1 Control Panel'!U$538*'1.1 Control Panel'!U548)</f>
        <v>15</v>
      </c>
      <c r="V157" s="20">
        <f>MIN('3.1 Market'!$G148,'1.1 Control Panel'!V$538*'1.1 Control Panel'!V548)</f>
        <v>15</v>
      </c>
      <c r="W157" s="20">
        <f>MIN('3.1 Market'!$G148,'1.1 Control Panel'!W$538*'1.1 Control Panel'!W548)</f>
        <v>15</v>
      </c>
      <c r="X157" s="20">
        <f>MIN('3.1 Market'!$G148,'1.1 Control Panel'!X$538*'1.1 Control Panel'!X548)</f>
        <v>15</v>
      </c>
      <c r="Y157" s="20">
        <f>MIN('3.1 Market'!$G148,'1.1 Control Panel'!Y$538*'1.1 Control Panel'!Y548)</f>
        <v>15</v>
      </c>
      <c r="Z157" s="20">
        <f>MIN('3.1 Market'!$G148,'1.1 Control Panel'!Z$538*'1.1 Control Panel'!Z548)</f>
        <v>15</v>
      </c>
      <c r="AA157" s="20">
        <f>MIN('3.1 Market'!$G148,'1.1 Control Panel'!AA$538*'1.1 Control Panel'!AA548)</f>
        <v>15</v>
      </c>
      <c r="AB157" s="20">
        <f>MIN('3.1 Market'!$G148,'1.1 Control Panel'!AB$538*'1.1 Control Panel'!AB548)</f>
        <v>15</v>
      </c>
      <c r="AC157" s="20">
        <f>MIN('3.1 Market'!$H148,'1.1 Control Panel'!AC$538*'1.1 Control Panel'!AC548)</f>
        <v>20</v>
      </c>
      <c r="AD157" s="20">
        <f>MIN('3.1 Market'!$H148,'1.1 Control Panel'!AD$538*'1.1 Control Panel'!AD548)</f>
        <v>20</v>
      </c>
      <c r="AE157" s="20">
        <f>MIN('3.1 Market'!$H148,'1.1 Control Panel'!AE$538*'1.1 Control Panel'!AE548)</f>
        <v>20</v>
      </c>
      <c r="AF157" s="20">
        <f>MIN('3.1 Market'!$H148,'1.1 Control Panel'!AF$538*'1.1 Control Panel'!AF548)</f>
        <v>20</v>
      </c>
      <c r="AG157" s="20">
        <f>MIN('3.1 Market'!$H148,'1.1 Control Panel'!AG$538*'1.1 Control Panel'!AG548)</f>
        <v>30</v>
      </c>
      <c r="AH157" s="20">
        <f>MIN('3.1 Market'!$H148,'1.1 Control Panel'!AH$538*'1.1 Control Panel'!AH548)</f>
        <v>30</v>
      </c>
      <c r="AI157" s="20">
        <f>MIN('3.1 Market'!$H148,'1.1 Control Panel'!AI$538*'1.1 Control Panel'!AI548)</f>
        <v>30</v>
      </c>
      <c r="AJ157" s="20">
        <f>MIN('3.1 Market'!$H148,'1.1 Control Panel'!AJ$538*'1.1 Control Panel'!AJ548)</f>
        <v>30</v>
      </c>
      <c r="AK157" s="20">
        <f>MIN('3.1 Market'!$H148,'1.1 Control Panel'!AK$538*'1.1 Control Panel'!AK548)</f>
        <v>35</v>
      </c>
      <c r="AL157" s="20">
        <f>MIN('3.1 Market'!$H148,'1.1 Control Panel'!AL$538*'1.1 Control Panel'!AL548)</f>
        <v>35</v>
      </c>
      <c r="AM157" s="20">
        <f>MIN('3.1 Market'!$H148,'1.1 Control Panel'!AM$538*'1.1 Control Panel'!AM548)</f>
        <v>35</v>
      </c>
      <c r="AN157" s="20">
        <f>MIN('3.1 Market'!$H148,'1.1 Control Panel'!AN$538*'1.1 Control Panel'!AN548)</f>
        <v>35</v>
      </c>
      <c r="AP157" s="20"/>
    </row>
    <row r="158" spans="2:42" x14ac:dyDescent="0.25">
      <c r="C158" s="20" t="s">
        <v>392</v>
      </c>
      <c r="D158" s="34" t="s">
        <v>162</v>
      </c>
      <c r="E158" s="20">
        <f>MIN('3.1 Market'!$F149,'1.1 Control Panel'!E$538*'1.1 Control Panel'!E549)</f>
        <v>0</v>
      </c>
      <c r="F158" s="20">
        <f>MIN('3.1 Market'!$F149,'1.1 Control Panel'!F$538*'1.1 Control Panel'!F549)</f>
        <v>0</v>
      </c>
      <c r="G158" s="20">
        <f>MIN('3.1 Market'!$F149,'1.1 Control Panel'!G$538*'1.1 Control Panel'!G549)</f>
        <v>0</v>
      </c>
      <c r="H158" s="20">
        <f>MIN('3.1 Market'!$F149,'1.1 Control Panel'!H$538*'1.1 Control Panel'!H549)</f>
        <v>0</v>
      </c>
      <c r="I158" s="20">
        <f>MIN('3.1 Market'!$F149,'1.1 Control Panel'!I$538*'1.1 Control Panel'!I549)</f>
        <v>4.5904000000000007</v>
      </c>
      <c r="J158" s="20">
        <f>MIN('3.1 Market'!$F149,'1.1 Control Panel'!J$538*'1.1 Control Panel'!J549)</f>
        <v>4.6723200000000009</v>
      </c>
      <c r="K158" s="20">
        <f>MIN('3.1 Market'!$F149,'1.1 Control Panel'!K$538*'1.1 Control Panel'!K549)</f>
        <v>4.7378560000000007</v>
      </c>
      <c r="L158" s="20">
        <f>MIN('3.1 Market'!$F149,'1.1 Control Panel'!L$538*'1.1 Control Panel'!L549)</f>
        <v>4.7902848000000002</v>
      </c>
      <c r="M158" s="20">
        <f>MIN('3.1 Market'!$F149,'1.1 Control Panel'!M$538*'1.1 Control Panel'!M549)</f>
        <v>4.8322278399999998</v>
      </c>
      <c r="N158" s="20">
        <f>MIN('3.1 Market'!$F149,'1.1 Control Panel'!N$538*'1.1 Control Panel'!N549)</f>
        <v>4.8657822720000006</v>
      </c>
      <c r="O158" s="20">
        <f>MIN('3.1 Market'!$F149,'1.1 Control Panel'!O$538*'1.1 Control Panel'!O549)</f>
        <v>4.8926258176000008</v>
      </c>
      <c r="P158" s="20">
        <f>MIN('3.1 Market'!$F149,'1.1 Control Panel'!P$538*'1.1 Control Panel'!P549)</f>
        <v>4.9141006540800003</v>
      </c>
      <c r="Q158" s="20">
        <f>MIN('3.1 Market'!$G149,'1.1 Control Panel'!Q$538*'1.1 Control Panel'!Q549)</f>
        <v>9.8625610465280005</v>
      </c>
      <c r="R158" s="20">
        <f>MIN('3.1 Market'!$G149,'1.1 Control Panel'!R$538*'1.1 Control Panel'!R549)</f>
        <v>9.8900488372224018</v>
      </c>
      <c r="S158" s="20">
        <f>MIN('3.1 Market'!$G149,'1.1 Control Panel'!S$538*'1.1 Control Panel'!S549)</f>
        <v>9.9120390697779222</v>
      </c>
      <c r="T158" s="20">
        <f>MIN('3.1 Market'!$G149,'1.1 Control Panel'!T$538*'1.1 Control Panel'!T549)</f>
        <v>9.9296312558223381</v>
      </c>
      <c r="U158" s="20">
        <f>MIN('3.1 Market'!$G149,'1.1 Control Panel'!U$538*'1.1 Control Panel'!U549)</f>
        <v>14.915557506986808</v>
      </c>
      <c r="V158" s="20">
        <f>MIN('3.1 Market'!$G149,'1.1 Control Panel'!V$538*'1.1 Control Panel'!V549)</f>
        <v>14.932446005589448</v>
      </c>
      <c r="W158" s="20">
        <f>MIN('3.1 Market'!$G149,'1.1 Control Panel'!W$538*'1.1 Control Panel'!W549)</f>
        <v>14.945956804471558</v>
      </c>
      <c r="X158" s="20">
        <f>MIN('3.1 Market'!$G149,'1.1 Control Panel'!X$538*'1.1 Control Panel'!X549)</f>
        <v>14.956765443577247</v>
      </c>
      <c r="Y158" s="20">
        <f>MIN('3.1 Market'!$G149,'1.1 Control Panel'!Y$538*'1.1 Control Panel'!Y549)</f>
        <v>14.965412354861797</v>
      </c>
      <c r="Z158" s="20">
        <f>MIN('3.1 Market'!$G149,'1.1 Control Panel'!Z$538*'1.1 Control Panel'!Z549)</f>
        <v>14.97232988388944</v>
      </c>
      <c r="AA158" s="20">
        <f>MIN('3.1 Market'!$G149,'1.1 Control Panel'!AA$538*'1.1 Control Panel'!AA549)</f>
        <v>14.977863907111553</v>
      </c>
      <c r="AB158" s="20">
        <f>MIN('3.1 Market'!$G149,'1.1 Control Panel'!AB$538*'1.1 Control Panel'!AB549)</f>
        <v>14.982291125689244</v>
      </c>
      <c r="AC158" s="20">
        <f>MIN('3.1 Market'!$H149,'1.1 Control Panel'!AC$538*'1.1 Control Panel'!AC549)</f>
        <v>19.981110534068527</v>
      </c>
      <c r="AD158" s="20">
        <f>MIN('3.1 Market'!$H149,'1.1 Control Panel'!AD$538*'1.1 Control Panel'!AD549)</f>
        <v>19.984888427254823</v>
      </c>
      <c r="AE158" s="20">
        <f>MIN('3.1 Market'!$H149,'1.1 Control Panel'!AE$538*'1.1 Control Panel'!AE549)</f>
        <v>19.987910741803859</v>
      </c>
      <c r="AF158" s="20">
        <f>MIN('3.1 Market'!$H149,'1.1 Control Panel'!AF$538*'1.1 Control Panel'!AF549)</f>
        <v>19.990328593443088</v>
      </c>
      <c r="AG158" s="20">
        <f>MIN('3.1 Market'!$H149,'1.1 Control Panel'!AG$538*'1.1 Control Panel'!AG549)</f>
        <v>29.98839431213171</v>
      </c>
      <c r="AH158" s="20">
        <f>MIN('3.1 Market'!$H149,'1.1 Control Panel'!AH$538*'1.1 Control Panel'!AH549)</f>
        <v>29.990715449705366</v>
      </c>
      <c r="AI158" s="20">
        <f>MIN('3.1 Market'!$H149,'1.1 Control Panel'!AI$538*'1.1 Control Panel'!AI549)</f>
        <v>29.992572359764296</v>
      </c>
      <c r="AJ158" s="20">
        <f>MIN('3.1 Market'!$H149,'1.1 Control Panel'!AJ$538*'1.1 Control Panel'!AJ549)</f>
        <v>29.994057887811433</v>
      </c>
      <c r="AK158" s="20">
        <f>MIN('3.1 Market'!$H149,'1.1 Control Panel'!AK$538*'1.1 Control Panel'!AK549)</f>
        <v>34.994454028624006</v>
      </c>
      <c r="AL158" s="20">
        <f>MIN('3.1 Market'!$H149,'1.1 Control Panel'!AL$538*'1.1 Control Panel'!AL549)</f>
        <v>34.995563222899207</v>
      </c>
      <c r="AM158" s="20">
        <f>MIN('3.1 Market'!$H149,'1.1 Control Panel'!AM$538*'1.1 Control Panel'!AM549)</f>
        <v>34.996450578319362</v>
      </c>
      <c r="AN158" s="20">
        <f>MIN('3.1 Market'!$H149,'1.1 Control Panel'!AN$538*'1.1 Control Panel'!AN549)</f>
        <v>34.997160462655486</v>
      </c>
      <c r="AP158" s="20"/>
    </row>
    <row r="159" spans="2:42" x14ac:dyDescent="0.25">
      <c r="C159" s="20" t="s">
        <v>454</v>
      </c>
      <c r="D159" s="34" t="s">
        <v>162</v>
      </c>
      <c r="E159" s="20">
        <f>MIN('3.1 Market'!$F150,'1.1 Control Panel'!E$538*'1.1 Control Panel'!E550)</f>
        <v>0</v>
      </c>
      <c r="F159" s="20">
        <f>MIN('3.1 Market'!$F150,'1.1 Control Panel'!F$538*'1.1 Control Panel'!F550)</f>
        <v>0</v>
      </c>
      <c r="G159" s="20">
        <f>MIN('3.1 Market'!$F150,'1.1 Control Panel'!G$538*'1.1 Control Panel'!G550)</f>
        <v>0</v>
      </c>
      <c r="H159" s="20">
        <f>MIN('3.1 Market'!$F150,'1.1 Control Panel'!H$538*'1.1 Control Panel'!H550)</f>
        <v>0</v>
      </c>
      <c r="I159" s="20">
        <f>MIN('3.1 Market'!$F150,'1.1 Control Panel'!I$538*'1.1 Control Panel'!I550)</f>
        <v>4.1808000000000014</v>
      </c>
      <c r="J159" s="20">
        <f>MIN('3.1 Market'!$F150,'1.1 Control Panel'!J$538*'1.1 Control Panel'!J550)</f>
        <v>4.3446400000000018</v>
      </c>
      <c r="K159" s="20">
        <f>MIN('3.1 Market'!$F150,'1.1 Control Panel'!K$538*'1.1 Control Panel'!K550)</f>
        <v>4.4757120000000015</v>
      </c>
      <c r="L159" s="20">
        <f>MIN('3.1 Market'!$F150,'1.1 Control Panel'!L$538*'1.1 Control Panel'!L550)</f>
        <v>4.5805696000000014</v>
      </c>
      <c r="M159" s="20">
        <f>MIN('3.1 Market'!$F150,'1.1 Control Panel'!M$538*'1.1 Control Panel'!M550)</f>
        <v>4.6644556800000014</v>
      </c>
      <c r="N159" s="20">
        <f>MIN('3.1 Market'!$F150,'1.1 Control Panel'!N$538*'1.1 Control Panel'!N550)</f>
        <v>4.7315645440000011</v>
      </c>
      <c r="O159" s="20">
        <f>MIN('3.1 Market'!$F150,'1.1 Control Panel'!O$538*'1.1 Control Panel'!O550)</f>
        <v>4.7852516352000016</v>
      </c>
      <c r="P159" s="20">
        <f>MIN('3.1 Market'!$F150,'1.1 Control Panel'!P$538*'1.1 Control Panel'!P550)</f>
        <v>4.8282013081600015</v>
      </c>
      <c r="Q159" s="20">
        <f>MIN('3.1 Market'!$G150,'1.1 Control Panel'!Q$538*'1.1 Control Panel'!Q550)</f>
        <v>9.7251220930560027</v>
      </c>
      <c r="R159" s="20">
        <f>MIN('3.1 Market'!$G150,'1.1 Control Panel'!R$538*'1.1 Control Panel'!R550)</f>
        <v>9.7800976744448036</v>
      </c>
      <c r="S159" s="20">
        <f>MIN('3.1 Market'!$G150,'1.1 Control Panel'!S$538*'1.1 Control Panel'!S550)</f>
        <v>9.8240781395558443</v>
      </c>
      <c r="T159" s="20">
        <f>MIN('3.1 Market'!$G150,'1.1 Control Panel'!T$538*'1.1 Control Panel'!T550)</f>
        <v>9.8592625116446762</v>
      </c>
      <c r="U159" s="20">
        <f>MIN('3.1 Market'!$G150,'1.1 Control Panel'!U$538*'1.1 Control Panel'!U550)</f>
        <v>14.83111501397361</v>
      </c>
      <c r="V159" s="20">
        <f>MIN('3.1 Market'!$G150,'1.1 Control Panel'!V$538*'1.1 Control Panel'!V550)</f>
        <v>14.864892011178888</v>
      </c>
      <c r="W159" s="20">
        <f>MIN('3.1 Market'!$G150,'1.1 Control Panel'!W$538*'1.1 Control Panel'!W550)</f>
        <v>14.891913608943112</v>
      </c>
      <c r="X159" s="20">
        <f>MIN('3.1 Market'!$G150,'1.1 Control Panel'!X$538*'1.1 Control Panel'!X550)</f>
        <v>14.913530887154488</v>
      </c>
      <c r="Y159" s="20">
        <f>MIN('3.1 Market'!$G150,'1.1 Control Panel'!Y$538*'1.1 Control Panel'!Y550)</f>
        <v>14.93082470972359</v>
      </c>
      <c r="Z159" s="20">
        <f>MIN('3.1 Market'!$G150,'1.1 Control Panel'!Z$538*'1.1 Control Panel'!Z550)</f>
        <v>14.944659767778873</v>
      </c>
      <c r="AA159" s="20">
        <f>MIN('3.1 Market'!$G150,'1.1 Control Panel'!AA$538*'1.1 Control Panel'!AA550)</f>
        <v>14.955727814223099</v>
      </c>
      <c r="AB159" s="20">
        <f>MIN('3.1 Market'!$G150,'1.1 Control Panel'!AB$538*'1.1 Control Panel'!AB550)</f>
        <v>14.964582251378481</v>
      </c>
      <c r="AC159" s="20">
        <f>MIN('3.1 Market'!$H150,'1.1 Control Panel'!AC$538*'1.1 Control Panel'!AC550)</f>
        <v>19.962221068137048</v>
      </c>
      <c r="AD159" s="20">
        <f>MIN('3.1 Market'!$H150,'1.1 Control Panel'!AD$538*'1.1 Control Panel'!AD550)</f>
        <v>19.969776854509639</v>
      </c>
      <c r="AE159" s="20">
        <f>MIN('3.1 Market'!$H150,'1.1 Control Panel'!AE$538*'1.1 Control Panel'!AE550)</f>
        <v>19.97582148360771</v>
      </c>
      <c r="AF159" s="20">
        <f>MIN('3.1 Market'!$H150,'1.1 Control Panel'!AF$538*'1.1 Control Panel'!AF550)</f>
        <v>19.98065718688617</v>
      </c>
      <c r="AG159" s="20">
        <f>MIN('3.1 Market'!$H150,'1.1 Control Panel'!AG$538*'1.1 Control Panel'!AG550)</f>
        <v>29.976788624263406</v>
      </c>
      <c r="AH159" s="20">
        <f>MIN('3.1 Market'!$H150,'1.1 Control Panel'!AH$538*'1.1 Control Panel'!AH550)</f>
        <v>29.981430899410721</v>
      </c>
      <c r="AI159" s="20">
        <f>MIN('3.1 Market'!$H150,'1.1 Control Panel'!AI$538*'1.1 Control Panel'!AI550)</f>
        <v>29.985144719528577</v>
      </c>
      <c r="AJ159" s="20">
        <f>MIN('3.1 Market'!$H150,'1.1 Control Panel'!AJ$538*'1.1 Control Panel'!AJ550)</f>
        <v>29.988115775622866</v>
      </c>
      <c r="AK159" s="20">
        <f>MIN('3.1 Market'!$H150,'1.1 Control Panel'!AK$538*'1.1 Control Panel'!AK550)</f>
        <v>34.988908057248004</v>
      </c>
      <c r="AL159" s="20">
        <f>MIN('3.1 Market'!$H150,'1.1 Control Panel'!AL$538*'1.1 Control Panel'!AL550)</f>
        <v>34.9911264457984</v>
      </c>
      <c r="AM159" s="20">
        <f>MIN('3.1 Market'!$H150,'1.1 Control Panel'!AM$538*'1.1 Control Panel'!AM550)</f>
        <v>34.992901156638723</v>
      </c>
      <c r="AN159" s="20">
        <f>MIN('3.1 Market'!$H150,'1.1 Control Panel'!AN$538*'1.1 Control Panel'!AN550)</f>
        <v>34.99432092531098</v>
      </c>
      <c r="AP159" s="20"/>
    </row>
    <row r="160" spans="2:42" x14ac:dyDescent="0.25">
      <c r="C160" s="21" t="s">
        <v>455</v>
      </c>
      <c r="D160" s="38" t="s">
        <v>162</v>
      </c>
      <c r="E160" s="21">
        <f>MIN('3.1 Market'!$F151,'1.1 Control Panel'!E$538*'1.1 Control Panel'!E551)</f>
        <v>0</v>
      </c>
      <c r="F160" s="21">
        <f>MIN('3.1 Market'!$F151,'1.1 Control Panel'!F$538*'1.1 Control Panel'!F551)</f>
        <v>0</v>
      </c>
      <c r="G160" s="21">
        <f>MIN('3.1 Market'!$F151,'1.1 Control Panel'!G$538*'1.1 Control Panel'!G551)</f>
        <v>0</v>
      </c>
      <c r="H160" s="21">
        <f>MIN('3.1 Market'!$F151,'1.1 Control Panel'!H$538*'1.1 Control Panel'!H551)</f>
        <v>0</v>
      </c>
      <c r="I160" s="21">
        <f>MIN('3.1 Market'!$F151,'1.1 Control Panel'!I$538*'1.1 Control Panel'!I551)</f>
        <v>3.7712000000000003</v>
      </c>
      <c r="J160" s="21">
        <f>MIN('3.1 Market'!$F151,'1.1 Control Panel'!J$538*'1.1 Control Panel'!J551)</f>
        <v>4.016960000000001</v>
      </c>
      <c r="K160" s="21">
        <f>MIN('3.1 Market'!$F151,'1.1 Control Panel'!K$538*'1.1 Control Panel'!K551)</f>
        <v>4.2135680000000004</v>
      </c>
      <c r="L160" s="21">
        <f>MIN('3.1 Market'!$F151,'1.1 Control Panel'!L$538*'1.1 Control Panel'!L551)</f>
        <v>4.3708544000000007</v>
      </c>
      <c r="M160" s="21">
        <f>MIN('3.1 Market'!$F151,'1.1 Control Panel'!M$538*'1.1 Control Panel'!M551)</f>
        <v>4.4966835200000013</v>
      </c>
      <c r="N160" s="21">
        <f>MIN('3.1 Market'!$F151,'1.1 Control Panel'!N$538*'1.1 Control Panel'!N551)</f>
        <v>4.5973468160000017</v>
      </c>
      <c r="O160" s="21">
        <f>MIN('3.1 Market'!$F151,'1.1 Control Panel'!O$538*'1.1 Control Panel'!O551)</f>
        <v>4.6778774528000016</v>
      </c>
      <c r="P160" s="21">
        <f>MIN('3.1 Market'!$F151,'1.1 Control Panel'!P$538*'1.1 Control Panel'!P551)</f>
        <v>4.7423019622400009</v>
      </c>
      <c r="Q160" s="21">
        <f>MIN('3.1 Market'!$G151,'1.1 Control Panel'!Q$538*'1.1 Control Panel'!Q551)</f>
        <v>9.5876831395840014</v>
      </c>
      <c r="R160" s="21">
        <f>MIN('3.1 Market'!$G151,'1.1 Control Panel'!R$538*'1.1 Control Panel'!R551)</f>
        <v>9.6701465116672018</v>
      </c>
      <c r="S160" s="21">
        <f>MIN('3.1 Market'!$G151,'1.1 Control Panel'!S$538*'1.1 Control Panel'!S551)</f>
        <v>9.7361172093337629</v>
      </c>
      <c r="T160" s="21">
        <f>MIN('3.1 Market'!$G151,'1.1 Control Panel'!T$538*'1.1 Control Panel'!T551)</f>
        <v>9.7888937674670107</v>
      </c>
      <c r="U160" s="21">
        <f>MIN('3.1 Market'!$G151,'1.1 Control Panel'!U$538*'1.1 Control Panel'!U551)</f>
        <v>14.746672520960413</v>
      </c>
      <c r="V160" s="21">
        <f>MIN('3.1 Market'!$G151,'1.1 Control Panel'!V$538*'1.1 Control Panel'!V551)</f>
        <v>14.797338016768332</v>
      </c>
      <c r="W160" s="21">
        <f>MIN('3.1 Market'!$G151,'1.1 Control Panel'!W$538*'1.1 Control Panel'!W551)</f>
        <v>14.837870413414665</v>
      </c>
      <c r="X160" s="21">
        <f>MIN('3.1 Market'!$G151,'1.1 Control Panel'!X$538*'1.1 Control Panel'!X551)</f>
        <v>14.870296330731733</v>
      </c>
      <c r="Y160" s="21">
        <f>MIN('3.1 Market'!$G151,'1.1 Control Panel'!Y$538*'1.1 Control Panel'!Y551)</f>
        <v>14.896237064585387</v>
      </c>
      <c r="Z160" s="21">
        <f>MIN('3.1 Market'!$G151,'1.1 Control Panel'!Z$538*'1.1 Control Panel'!Z551)</f>
        <v>14.91698965166831</v>
      </c>
      <c r="AA160" s="21">
        <f>MIN('3.1 Market'!$G151,'1.1 Control Panel'!AA$538*'1.1 Control Panel'!AA551)</f>
        <v>14.933591721334649</v>
      </c>
      <c r="AB160" s="21">
        <f>MIN('3.1 Market'!$G151,'1.1 Control Panel'!AB$538*'1.1 Control Panel'!AB551)</f>
        <v>14.946873377067721</v>
      </c>
      <c r="AC160" s="21">
        <f>MIN('3.1 Market'!$H151,'1.1 Control Panel'!AC$538*'1.1 Control Panel'!AC551)</f>
        <v>19.943331602205568</v>
      </c>
      <c r="AD160" s="21">
        <f>MIN('3.1 Market'!$H151,'1.1 Control Panel'!AD$538*'1.1 Control Panel'!AD551)</f>
        <v>19.954665281764456</v>
      </c>
      <c r="AE160" s="21">
        <f>MIN('3.1 Market'!$H151,'1.1 Control Panel'!AE$538*'1.1 Control Panel'!AE551)</f>
        <v>19.963732225411565</v>
      </c>
      <c r="AF160" s="21">
        <f>MIN('3.1 Market'!$H151,'1.1 Control Panel'!AF$538*'1.1 Control Panel'!AF551)</f>
        <v>19.970985780329251</v>
      </c>
      <c r="AG160" s="21">
        <f>MIN('3.1 Market'!$H151,'1.1 Control Panel'!AG$538*'1.1 Control Panel'!AG551)</f>
        <v>29.965182936395099</v>
      </c>
      <c r="AH160" s="21">
        <f>MIN('3.1 Market'!$H151,'1.1 Control Panel'!AH$538*'1.1 Control Panel'!AH551)</f>
        <v>29.972146349116077</v>
      </c>
      <c r="AI160" s="21">
        <f>MIN('3.1 Market'!$H151,'1.1 Control Panel'!AI$538*'1.1 Control Panel'!AI551)</f>
        <v>29.977717079292866</v>
      </c>
      <c r="AJ160" s="21">
        <f>MIN('3.1 Market'!$H151,'1.1 Control Panel'!AJ$538*'1.1 Control Panel'!AJ551)</f>
        <v>29.982173663434295</v>
      </c>
      <c r="AK160" s="21">
        <f>MIN('3.1 Market'!$H151,'1.1 Control Panel'!AK$538*'1.1 Control Panel'!AK551)</f>
        <v>34.98336208587201</v>
      </c>
      <c r="AL160" s="21">
        <f>MIN('3.1 Market'!$H151,'1.1 Control Panel'!AL$538*'1.1 Control Panel'!AL551)</f>
        <v>34.986689668697608</v>
      </c>
      <c r="AM160" s="21">
        <f>MIN('3.1 Market'!$H151,'1.1 Control Panel'!AM$538*'1.1 Control Panel'!AM551)</f>
        <v>34.989351734958092</v>
      </c>
      <c r="AN160" s="21">
        <f>MIN('3.1 Market'!$H151,'1.1 Control Panel'!AN$538*'1.1 Control Panel'!AN551)</f>
        <v>34.991481387966473</v>
      </c>
      <c r="AP160" s="21"/>
    </row>
    <row r="161" spans="2:42" x14ac:dyDescent="0.25">
      <c r="C161" s="21" t="s">
        <v>393</v>
      </c>
      <c r="D161" s="38" t="s">
        <v>162</v>
      </c>
      <c r="E161" s="21">
        <f>MIN('3.1 Market'!$F152,'1.1 Control Panel'!E$538*'1.1 Control Panel'!E552)</f>
        <v>0</v>
      </c>
      <c r="F161" s="21">
        <f>MIN('3.1 Market'!$F152,'1.1 Control Panel'!F$538*'1.1 Control Panel'!F552)</f>
        <v>0</v>
      </c>
      <c r="G161" s="21">
        <f>MIN('3.1 Market'!$F152,'1.1 Control Panel'!G$538*'1.1 Control Panel'!G552)</f>
        <v>0</v>
      </c>
      <c r="H161" s="21">
        <f>MIN('3.1 Market'!$F152,'1.1 Control Panel'!H$538*'1.1 Control Panel'!H552)</f>
        <v>0</v>
      </c>
      <c r="I161" s="21">
        <f>MIN('3.1 Market'!$F152,'1.1 Control Panel'!I$538*'1.1 Control Panel'!I552)</f>
        <v>3.3616000000000006</v>
      </c>
      <c r="J161" s="21">
        <f>MIN('3.1 Market'!$F152,'1.1 Control Panel'!J$538*'1.1 Control Panel'!J552)</f>
        <v>3.6892800000000006</v>
      </c>
      <c r="K161" s="21">
        <f>MIN('3.1 Market'!$F152,'1.1 Control Panel'!K$538*'1.1 Control Panel'!K552)</f>
        <v>3.9514240000000007</v>
      </c>
      <c r="L161" s="21">
        <f>MIN('3.1 Market'!$F152,'1.1 Control Panel'!L$538*'1.1 Control Panel'!L552)</f>
        <v>4.1611392000000009</v>
      </c>
      <c r="M161" s="21">
        <f>MIN('3.1 Market'!$F152,'1.1 Control Panel'!M$538*'1.1 Control Panel'!M552)</f>
        <v>4.3289113600000011</v>
      </c>
      <c r="N161" s="21">
        <f>MIN('3.1 Market'!$F152,'1.1 Control Panel'!N$538*'1.1 Control Panel'!N552)</f>
        <v>4.4631290880000005</v>
      </c>
      <c r="O161" s="21">
        <f>MIN('3.1 Market'!$F152,'1.1 Control Panel'!O$538*'1.1 Control Panel'!O552)</f>
        <v>4.5705032704000006</v>
      </c>
      <c r="P161" s="21">
        <f>MIN('3.1 Market'!$F152,'1.1 Control Panel'!P$538*'1.1 Control Panel'!P552)</f>
        <v>4.6564026163200012</v>
      </c>
      <c r="Q161" s="21">
        <f>MIN('3.1 Market'!$G152,'1.1 Control Panel'!Q$538*'1.1 Control Panel'!Q552)</f>
        <v>9.4502441861120019</v>
      </c>
      <c r="R161" s="21">
        <f>MIN('3.1 Market'!$G152,'1.1 Control Panel'!R$538*'1.1 Control Panel'!R552)</f>
        <v>9.5601953488896019</v>
      </c>
      <c r="S161" s="21">
        <f>MIN('3.1 Market'!$G152,'1.1 Control Panel'!S$538*'1.1 Control Panel'!S552)</f>
        <v>9.6481562791116815</v>
      </c>
      <c r="T161" s="21">
        <f>MIN('3.1 Market'!$G152,'1.1 Control Panel'!T$538*'1.1 Control Panel'!T552)</f>
        <v>9.7185250232893452</v>
      </c>
      <c r="U161" s="21">
        <f>MIN('3.1 Market'!$G152,'1.1 Control Panel'!U$538*'1.1 Control Panel'!U552)</f>
        <v>14.662230027947215</v>
      </c>
      <c r="V161" s="21">
        <f>MIN('3.1 Market'!$G152,'1.1 Control Panel'!V$538*'1.1 Control Panel'!V552)</f>
        <v>14.729784022357771</v>
      </c>
      <c r="W161" s="21">
        <f>MIN('3.1 Market'!$G152,'1.1 Control Panel'!W$538*'1.1 Control Panel'!W552)</f>
        <v>14.783827217886218</v>
      </c>
      <c r="X161" s="21">
        <f>MIN('3.1 Market'!$G152,'1.1 Control Panel'!X$538*'1.1 Control Panel'!X552)</f>
        <v>14.827061774308977</v>
      </c>
      <c r="Y161" s="21">
        <f>MIN('3.1 Market'!$G152,'1.1 Control Panel'!Y$538*'1.1 Control Panel'!Y552)</f>
        <v>14.861649419447183</v>
      </c>
      <c r="Z161" s="21">
        <f>MIN('3.1 Market'!$G152,'1.1 Control Panel'!Z$538*'1.1 Control Panel'!Z552)</f>
        <v>14.889319535557744</v>
      </c>
      <c r="AA161" s="21">
        <f>MIN('3.1 Market'!$G152,'1.1 Control Panel'!AA$538*'1.1 Control Panel'!AA552)</f>
        <v>14.911455628446197</v>
      </c>
      <c r="AB161" s="21">
        <f>MIN('3.1 Market'!$G152,'1.1 Control Panel'!AB$538*'1.1 Control Panel'!AB552)</f>
        <v>14.929164502756956</v>
      </c>
      <c r="AC161" s="21">
        <f>MIN('3.1 Market'!$H152,'1.1 Control Panel'!AC$538*'1.1 Control Panel'!AC552)</f>
        <v>19.924442136274088</v>
      </c>
      <c r="AD161" s="21">
        <f>MIN('3.1 Market'!$H152,'1.1 Control Panel'!AD$538*'1.1 Control Panel'!AD552)</f>
        <v>19.939553709019272</v>
      </c>
      <c r="AE161" s="21">
        <f>MIN('3.1 Market'!$H152,'1.1 Control Panel'!AE$538*'1.1 Control Panel'!AE552)</f>
        <v>19.95164296721542</v>
      </c>
      <c r="AF161" s="21">
        <f>MIN('3.1 Market'!$H152,'1.1 Control Panel'!AF$538*'1.1 Control Panel'!AF552)</f>
        <v>19.961314373772339</v>
      </c>
      <c r="AG161" s="21">
        <f>MIN('3.1 Market'!$H152,'1.1 Control Panel'!AG$538*'1.1 Control Panel'!AG552)</f>
        <v>29.953577248526809</v>
      </c>
      <c r="AH161" s="21">
        <f>MIN('3.1 Market'!$H152,'1.1 Control Panel'!AH$538*'1.1 Control Panel'!AH552)</f>
        <v>29.96286179882145</v>
      </c>
      <c r="AI161" s="21">
        <f>MIN('3.1 Market'!$H152,'1.1 Control Panel'!AI$538*'1.1 Control Panel'!AI552)</f>
        <v>29.970289439057161</v>
      </c>
      <c r="AJ161" s="21">
        <f>MIN('3.1 Market'!$H152,'1.1 Control Panel'!AJ$538*'1.1 Control Panel'!AJ552)</f>
        <v>29.976231551245732</v>
      </c>
      <c r="AK161" s="21">
        <f>MIN('3.1 Market'!$H152,'1.1 Control Panel'!AK$538*'1.1 Control Panel'!AK552)</f>
        <v>34.977816114496015</v>
      </c>
      <c r="AL161" s="21">
        <f>MIN('3.1 Market'!$H152,'1.1 Control Panel'!AL$538*'1.1 Control Panel'!AL552)</f>
        <v>34.982252891596815</v>
      </c>
      <c r="AM161" s="21">
        <f>MIN('3.1 Market'!$H152,'1.1 Control Panel'!AM$538*'1.1 Control Panel'!AM552)</f>
        <v>34.985802313277453</v>
      </c>
      <c r="AN161" s="21">
        <f>MIN('3.1 Market'!$H152,'1.1 Control Panel'!AN$538*'1.1 Control Panel'!AN552)</f>
        <v>34.988641850621967</v>
      </c>
      <c r="AP161" s="21"/>
    </row>
    <row r="162" spans="2:42" x14ac:dyDescent="0.25">
      <c r="C162" s="21" t="s">
        <v>456</v>
      </c>
      <c r="D162" s="38" t="s">
        <v>162</v>
      </c>
      <c r="E162" s="21">
        <f>MIN('3.1 Market'!$F153,'1.1 Control Panel'!E$538*'1.1 Control Panel'!E553)</f>
        <v>0</v>
      </c>
      <c r="F162" s="21">
        <f>MIN('3.1 Market'!$F153,'1.1 Control Panel'!F$538*'1.1 Control Panel'!F553)</f>
        <v>0</v>
      </c>
      <c r="G162" s="21">
        <f>MIN('3.1 Market'!$F153,'1.1 Control Panel'!G$538*'1.1 Control Panel'!G553)</f>
        <v>0</v>
      </c>
      <c r="H162" s="21">
        <f>MIN('3.1 Market'!$F153,'1.1 Control Panel'!H$538*'1.1 Control Panel'!H553)</f>
        <v>0</v>
      </c>
      <c r="I162" s="21">
        <f>MIN('3.1 Market'!$F153,'1.1 Control Panel'!I$538*'1.1 Control Panel'!I553)</f>
        <v>2.9520000000000004</v>
      </c>
      <c r="J162" s="21">
        <f>MIN('3.1 Market'!$F153,'1.1 Control Panel'!J$538*'1.1 Control Panel'!J553)</f>
        <v>3.3616000000000006</v>
      </c>
      <c r="K162" s="21">
        <f>MIN('3.1 Market'!$F153,'1.1 Control Panel'!K$538*'1.1 Control Panel'!K553)</f>
        <v>3.6892800000000006</v>
      </c>
      <c r="L162" s="21">
        <f>MIN('3.1 Market'!$F153,'1.1 Control Panel'!L$538*'1.1 Control Panel'!L553)</f>
        <v>3.9514240000000007</v>
      </c>
      <c r="M162" s="21">
        <f>MIN('3.1 Market'!$F153,'1.1 Control Panel'!M$538*'1.1 Control Panel'!M553)</f>
        <v>4.1611392000000009</v>
      </c>
      <c r="N162" s="21">
        <f>MIN('3.1 Market'!$F153,'1.1 Control Panel'!N$538*'1.1 Control Panel'!N553)</f>
        <v>4.3289113600000011</v>
      </c>
      <c r="O162" s="21">
        <f>MIN('3.1 Market'!$F153,'1.1 Control Panel'!O$538*'1.1 Control Panel'!O553)</f>
        <v>4.4631290880000005</v>
      </c>
      <c r="P162" s="21">
        <f>MIN('3.1 Market'!$F153,'1.1 Control Panel'!P$538*'1.1 Control Panel'!P553)</f>
        <v>4.5705032704000006</v>
      </c>
      <c r="Q162" s="21">
        <f>MIN('3.1 Market'!$G153,'1.1 Control Panel'!Q$538*'1.1 Control Panel'!Q553)</f>
        <v>9.3128052326400024</v>
      </c>
      <c r="R162" s="21">
        <f>MIN('3.1 Market'!$G153,'1.1 Control Panel'!R$538*'1.1 Control Panel'!R553)</f>
        <v>9.4502441861120019</v>
      </c>
      <c r="S162" s="21">
        <f>MIN('3.1 Market'!$G153,'1.1 Control Panel'!S$538*'1.1 Control Panel'!S553)</f>
        <v>9.5601953488896019</v>
      </c>
      <c r="T162" s="21">
        <f>MIN('3.1 Market'!$G153,'1.1 Control Panel'!T$538*'1.1 Control Panel'!T553)</f>
        <v>9.6481562791116815</v>
      </c>
      <c r="U162" s="21">
        <f>MIN('3.1 Market'!$G153,'1.1 Control Panel'!U$538*'1.1 Control Panel'!U553)</f>
        <v>14.577787534934018</v>
      </c>
      <c r="V162" s="21">
        <f>MIN('3.1 Market'!$G153,'1.1 Control Panel'!V$538*'1.1 Control Panel'!V553)</f>
        <v>14.662230027947215</v>
      </c>
      <c r="W162" s="21">
        <f>MIN('3.1 Market'!$G153,'1.1 Control Panel'!W$538*'1.1 Control Panel'!W553)</f>
        <v>14.729784022357771</v>
      </c>
      <c r="X162" s="21">
        <f>MIN('3.1 Market'!$G153,'1.1 Control Panel'!X$538*'1.1 Control Panel'!X553)</f>
        <v>14.783827217886218</v>
      </c>
      <c r="Y162" s="21">
        <f>MIN('3.1 Market'!$G153,'1.1 Control Panel'!Y$538*'1.1 Control Panel'!Y553)</f>
        <v>14.827061774308977</v>
      </c>
      <c r="Z162" s="21">
        <f>MIN('3.1 Market'!$G153,'1.1 Control Panel'!Z$538*'1.1 Control Panel'!Z553)</f>
        <v>14.861649419447183</v>
      </c>
      <c r="AA162" s="21">
        <f>MIN('3.1 Market'!$G153,'1.1 Control Panel'!AA$538*'1.1 Control Panel'!AA553)</f>
        <v>14.889319535557744</v>
      </c>
      <c r="AB162" s="21">
        <f>MIN('3.1 Market'!$G153,'1.1 Control Panel'!AB$538*'1.1 Control Panel'!AB553)</f>
        <v>14.911455628446197</v>
      </c>
      <c r="AC162" s="21">
        <f>MIN('3.1 Market'!$H153,'1.1 Control Panel'!AC$538*'1.1 Control Panel'!AC553)</f>
        <v>19.905552670342608</v>
      </c>
      <c r="AD162" s="21">
        <f>MIN('3.1 Market'!$H153,'1.1 Control Panel'!AD$538*'1.1 Control Panel'!AD553)</f>
        <v>19.924442136274088</v>
      </c>
      <c r="AE162" s="21">
        <f>MIN('3.1 Market'!$H153,'1.1 Control Panel'!AE$538*'1.1 Control Panel'!AE553)</f>
        <v>19.939553709019272</v>
      </c>
      <c r="AF162" s="21">
        <f>MIN('3.1 Market'!$H153,'1.1 Control Panel'!AF$538*'1.1 Control Panel'!AF553)</f>
        <v>19.95164296721542</v>
      </c>
      <c r="AG162" s="21">
        <f>MIN('3.1 Market'!$H153,'1.1 Control Panel'!AG$538*'1.1 Control Panel'!AG553)</f>
        <v>29.941971560658509</v>
      </c>
      <c r="AH162" s="21">
        <f>MIN('3.1 Market'!$H153,'1.1 Control Panel'!AH$538*'1.1 Control Panel'!AH553)</f>
        <v>29.953577248526809</v>
      </c>
      <c r="AI162" s="21">
        <f>MIN('3.1 Market'!$H153,'1.1 Control Panel'!AI$538*'1.1 Control Panel'!AI553)</f>
        <v>29.96286179882145</v>
      </c>
      <c r="AJ162" s="21">
        <f>MIN('3.1 Market'!$H153,'1.1 Control Panel'!AJ$538*'1.1 Control Panel'!AJ553)</f>
        <v>29.970289439057161</v>
      </c>
      <c r="AK162" s="21">
        <f>MIN('3.1 Market'!$H153,'1.1 Control Panel'!AK$538*'1.1 Control Panel'!AK553)</f>
        <v>34.972270143120021</v>
      </c>
      <c r="AL162" s="21">
        <f>MIN('3.1 Market'!$H153,'1.1 Control Panel'!AL$538*'1.1 Control Panel'!AL553)</f>
        <v>34.977816114496015</v>
      </c>
      <c r="AM162" s="21">
        <f>MIN('3.1 Market'!$H153,'1.1 Control Panel'!AM$538*'1.1 Control Panel'!AM553)</f>
        <v>34.982252891596815</v>
      </c>
      <c r="AN162" s="21">
        <f>MIN('3.1 Market'!$H153,'1.1 Control Panel'!AN$538*'1.1 Control Panel'!AN553)</f>
        <v>34.985802313277453</v>
      </c>
      <c r="AP162" s="21"/>
    </row>
    <row r="163" spans="2:42" x14ac:dyDescent="0.25">
      <c r="B163" s="99" t="s">
        <v>9</v>
      </c>
      <c r="C163" s="105" t="str">
        <f>'4.2 Sector Mapping'!$B$13</f>
        <v>Real Estate and Construction</v>
      </c>
      <c r="D163" s="106" t="s">
        <v>162</v>
      </c>
      <c r="E163" s="105">
        <f>SUM(E164:E169)</f>
        <v>45</v>
      </c>
      <c r="F163" s="105">
        <f t="shared" ref="F163:H163" si="109">SUM(F164:F169)</f>
        <v>54.000000000000007</v>
      </c>
      <c r="G163" s="105">
        <f t="shared" si="109"/>
        <v>0</v>
      </c>
      <c r="H163" s="105">
        <f t="shared" si="109"/>
        <v>0</v>
      </c>
      <c r="I163" s="105">
        <f t="shared" ref="I163:AN163" si="110">SUM(I164:I169)</f>
        <v>0</v>
      </c>
      <c r="J163" s="105">
        <f t="shared" si="110"/>
        <v>0</v>
      </c>
      <c r="K163" s="105">
        <f t="shared" si="110"/>
        <v>0</v>
      </c>
      <c r="L163" s="105">
        <f t="shared" si="110"/>
        <v>0</v>
      </c>
      <c r="M163" s="105">
        <f t="shared" si="110"/>
        <v>0</v>
      </c>
      <c r="N163" s="105">
        <f t="shared" si="110"/>
        <v>0</v>
      </c>
      <c r="O163" s="105">
        <f t="shared" si="110"/>
        <v>0</v>
      </c>
      <c r="P163" s="105">
        <f t="shared" si="110"/>
        <v>0</v>
      </c>
      <c r="Q163" s="105">
        <f t="shared" si="110"/>
        <v>28.969207848960004</v>
      </c>
      <c r="R163" s="105">
        <f t="shared" si="110"/>
        <v>29.175366279168006</v>
      </c>
      <c r="S163" s="105">
        <f t="shared" si="110"/>
        <v>29.340293023334404</v>
      </c>
      <c r="T163" s="105">
        <f t="shared" si="110"/>
        <v>29.472234418667526</v>
      </c>
      <c r="U163" s="105">
        <f t="shared" si="110"/>
        <v>88.733362604802068</v>
      </c>
      <c r="V163" s="105">
        <f t="shared" si="110"/>
        <v>88.986690083841665</v>
      </c>
      <c r="W163" s="105">
        <f t="shared" si="110"/>
        <v>89.18935206707333</v>
      </c>
      <c r="X163" s="105">
        <f t="shared" si="110"/>
        <v>89.351481653658652</v>
      </c>
      <c r="Y163" s="105">
        <f t="shared" si="110"/>
        <v>119.30824709723591</v>
      </c>
      <c r="Z163" s="105">
        <f t="shared" si="110"/>
        <v>119.44659767778872</v>
      </c>
      <c r="AA163" s="105">
        <f t="shared" si="110"/>
        <v>119.55727814223098</v>
      </c>
      <c r="AB163" s="105">
        <f t="shared" si="110"/>
        <v>119.64582251378479</v>
      </c>
      <c r="AC163" s="105">
        <f t="shared" si="110"/>
        <v>209.50415151929872</v>
      </c>
      <c r="AD163" s="105">
        <f t="shared" si="110"/>
        <v>209.60332121543897</v>
      </c>
      <c r="AE163" s="105">
        <f t="shared" si="110"/>
        <v>209.6826569723512</v>
      </c>
      <c r="AF163" s="105">
        <f t="shared" si="110"/>
        <v>209.74612557788097</v>
      </c>
      <c r="AG163" s="105">
        <f t="shared" si="110"/>
        <v>299.70985780329255</v>
      </c>
      <c r="AH163" s="105">
        <f t="shared" si="110"/>
        <v>299.76788624263406</v>
      </c>
      <c r="AI163" s="105">
        <f t="shared" si="110"/>
        <v>299.81430899410725</v>
      </c>
      <c r="AJ163" s="105">
        <f t="shared" si="110"/>
        <v>299.8514471952858</v>
      </c>
      <c r="AK163" s="105">
        <f t="shared" si="110"/>
        <v>359.85738930747448</v>
      </c>
      <c r="AL163" s="105">
        <f t="shared" si="110"/>
        <v>359.88591144597956</v>
      </c>
      <c r="AM163" s="105">
        <f t="shared" si="110"/>
        <v>359.90872915678364</v>
      </c>
      <c r="AN163" s="105">
        <f t="shared" si="110"/>
        <v>359.92698332542693</v>
      </c>
      <c r="AP163" s="105"/>
    </row>
    <row r="164" spans="2:42" x14ac:dyDescent="0.25">
      <c r="C164" s="20" t="s">
        <v>600</v>
      </c>
      <c r="D164" s="34" t="s">
        <v>162</v>
      </c>
      <c r="E164" s="20">
        <f>MIN('3.1 Market'!$F155,'1.1 Control Panel'!E$569*'1.1 Control Panel'!E579)</f>
        <v>15</v>
      </c>
      <c r="F164" s="20">
        <f>MIN('3.1 Market'!$F155,'1.1 Control Panel'!F$569*'1.1 Control Panel'!F579)</f>
        <v>15</v>
      </c>
      <c r="G164" s="20">
        <f>MIN('3.1 Market'!$F155,'1.1 Control Panel'!G$569*'1.1 Control Panel'!G579)</f>
        <v>0</v>
      </c>
      <c r="H164" s="20">
        <f>MIN('3.1 Market'!$F155,'1.1 Control Panel'!H$569*'1.1 Control Panel'!H579)</f>
        <v>0</v>
      </c>
      <c r="I164" s="20">
        <f>MIN('3.1 Market'!$F155,'1.1 Control Panel'!I$569*'1.1 Control Panel'!I579)</f>
        <v>0</v>
      </c>
      <c r="J164" s="20">
        <f>MIN('3.1 Market'!$F155,'1.1 Control Panel'!J$569*'1.1 Control Panel'!J579)</f>
        <v>0</v>
      </c>
      <c r="K164" s="20">
        <f>MIN('3.1 Market'!$F155,'1.1 Control Panel'!K$569*'1.1 Control Panel'!K579)</f>
        <v>0</v>
      </c>
      <c r="L164" s="20">
        <f>MIN('3.1 Market'!$F155,'1.1 Control Panel'!L$569*'1.1 Control Panel'!L579)</f>
        <v>0</v>
      </c>
      <c r="M164" s="20">
        <f>MIN('3.1 Market'!$F155,'1.1 Control Panel'!M$569*'1.1 Control Panel'!M579)</f>
        <v>0</v>
      </c>
      <c r="N164" s="20">
        <f>MIN('3.1 Market'!$F155,'1.1 Control Panel'!N$569*'1.1 Control Panel'!N579)</f>
        <v>0</v>
      </c>
      <c r="O164" s="20">
        <f>MIN('3.1 Market'!$F155,'1.1 Control Panel'!O$569*'1.1 Control Panel'!O579)</f>
        <v>0</v>
      </c>
      <c r="P164" s="20">
        <f>MIN('3.1 Market'!$F155,'1.1 Control Panel'!P$569*'1.1 Control Panel'!P579)</f>
        <v>0</v>
      </c>
      <c r="Q164" s="20">
        <f>MIN('3.1 Market'!$G155,'1.1 Control Panel'!Q$569*'1.1 Control Panel'!Q579)</f>
        <v>5</v>
      </c>
      <c r="R164" s="20">
        <f>MIN('3.1 Market'!$G155,'1.1 Control Panel'!R$569*'1.1 Control Panel'!R579)</f>
        <v>5</v>
      </c>
      <c r="S164" s="20">
        <f>MIN('3.1 Market'!$G155,'1.1 Control Panel'!S$569*'1.1 Control Panel'!S579)</f>
        <v>5</v>
      </c>
      <c r="T164" s="20">
        <f>MIN('3.1 Market'!$G155,'1.1 Control Panel'!T$569*'1.1 Control Panel'!T579)</f>
        <v>5</v>
      </c>
      <c r="U164" s="20">
        <f>MIN('3.1 Market'!$G155,'1.1 Control Panel'!U$569*'1.1 Control Panel'!U579)</f>
        <v>15</v>
      </c>
      <c r="V164" s="20">
        <f>MIN('3.1 Market'!$G155,'1.1 Control Panel'!V$569*'1.1 Control Panel'!V579)</f>
        <v>15</v>
      </c>
      <c r="W164" s="20">
        <f>MIN('3.1 Market'!$G155,'1.1 Control Panel'!W$569*'1.1 Control Panel'!W579)</f>
        <v>15</v>
      </c>
      <c r="X164" s="20">
        <f>MIN('3.1 Market'!$G155,'1.1 Control Panel'!X$569*'1.1 Control Panel'!X579)</f>
        <v>15</v>
      </c>
      <c r="Y164" s="20">
        <f>MIN('3.1 Market'!$G155,'1.1 Control Panel'!Y$569*'1.1 Control Panel'!Y579)</f>
        <v>20</v>
      </c>
      <c r="Z164" s="20">
        <f>MIN('3.1 Market'!$G155,'1.1 Control Panel'!Z$569*'1.1 Control Panel'!Z579)</f>
        <v>20</v>
      </c>
      <c r="AA164" s="20">
        <f>MIN('3.1 Market'!$G155,'1.1 Control Panel'!AA$569*'1.1 Control Panel'!AA579)</f>
        <v>20</v>
      </c>
      <c r="AB164" s="20">
        <f>MIN('3.1 Market'!$G155,'1.1 Control Panel'!AB$569*'1.1 Control Panel'!AB579)</f>
        <v>20</v>
      </c>
      <c r="AC164" s="20">
        <f>MIN('3.1 Market'!$H155,'1.1 Control Panel'!AC$569*'1.1 Control Panel'!AC579)</f>
        <v>35</v>
      </c>
      <c r="AD164" s="20">
        <f>MIN('3.1 Market'!$H155,'1.1 Control Panel'!AD$569*'1.1 Control Panel'!AD579)</f>
        <v>35</v>
      </c>
      <c r="AE164" s="20">
        <f>MIN('3.1 Market'!$H155,'1.1 Control Panel'!AE$569*'1.1 Control Panel'!AE579)</f>
        <v>35</v>
      </c>
      <c r="AF164" s="20">
        <f>MIN('3.1 Market'!$H155,'1.1 Control Panel'!AF$569*'1.1 Control Panel'!AF579)</f>
        <v>35</v>
      </c>
      <c r="AG164" s="20">
        <f>MIN('3.1 Market'!$H155,'1.1 Control Panel'!AG$569*'1.1 Control Panel'!AG579)</f>
        <v>50</v>
      </c>
      <c r="AH164" s="20">
        <f>MIN('3.1 Market'!$H155,'1.1 Control Panel'!AH$569*'1.1 Control Panel'!AH579)</f>
        <v>50</v>
      </c>
      <c r="AI164" s="20">
        <f>MIN('3.1 Market'!$H155,'1.1 Control Panel'!AI$569*'1.1 Control Panel'!AI579)</f>
        <v>50</v>
      </c>
      <c r="AJ164" s="20">
        <f>MIN('3.1 Market'!$H155,'1.1 Control Panel'!AJ$569*'1.1 Control Panel'!AJ579)</f>
        <v>50</v>
      </c>
      <c r="AK164" s="20">
        <f>MIN('3.1 Market'!$H155,'1.1 Control Panel'!AK$569*'1.1 Control Panel'!AK579)</f>
        <v>60</v>
      </c>
      <c r="AL164" s="20">
        <f>MIN('3.1 Market'!$H155,'1.1 Control Panel'!AL$569*'1.1 Control Panel'!AL579)</f>
        <v>60</v>
      </c>
      <c r="AM164" s="20">
        <f>MIN('3.1 Market'!$H155,'1.1 Control Panel'!AM$569*'1.1 Control Panel'!AM579)</f>
        <v>60</v>
      </c>
      <c r="AN164" s="20">
        <f>MIN('3.1 Market'!$H155,'1.1 Control Panel'!AN$569*'1.1 Control Panel'!AN579)</f>
        <v>60</v>
      </c>
      <c r="AP164" s="20"/>
    </row>
    <row r="165" spans="2:42" x14ac:dyDescent="0.25">
      <c r="C165" s="20" t="s">
        <v>392</v>
      </c>
      <c r="D165" s="34" t="s">
        <v>162</v>
      </c>
      <c r="E165" s="20">
        <f>MIN('3.1 Market'!$F156,'1.1 Control Panel'!E$569*'1.1 Control Panel'!E580)</f>
        <v>12</v>
      </c>
      <c r="F165" s="20">
        <f>MIN('3.1 Market'!$F156,'1.1 Control Panel'!F$569*'1.1 Control Panel'!F580)</f>
        <v>12.600000000000001</v>
      </c>
      <c r="G165" s="20">
        <f>MIN('3.1 Market'!$F156,'1.1 Control Panel'!G$569*'1.1 Control Panel'!G580)</f>
        <v>0</v>
      </c>
      <c r="H165" s="20">
        <f>MIN('3.1 Market'!$F156,'1.1 Control Panel'!H$569*'1.1 Control Panel'!H580)</f>
        <v>0</v>
      </c>
      <c r="I165" s="20">
        <f>MIN('3.1 Market'!$F156,'1.1 Control Panel'!I$569*'1.1 Control Panel'!I580)</f>
        <v>0</v>
      </c>
      <c r="J165" s="20">
        <f>MIN('3.1 Market'!$F156,'1.1 Control Panel'!J$569*'1.1 Control Panel'!J580)</f>
        <v>0</v>
      </c>
      <c r="K165" s="20">
        <f>MIN('3.1 Market'!$F156,'1.1 Control Panel'!K$569*'1.1 Control Panel'!K580)</f>
        <v>0</v>
      </c>
      <c r="L165" s="20">
        <f>MIN('3.1 Market'!$F156,'1.1 Control Panel'!L$569*'1.1 Control Panel'!L580)</f>
        <v>0</v>
      </c>
      <c r="M165" s="20">
        <f>MIN('3.1 Market'!$F156,'1.1 Control Panel'!M$569*'1.1 Control Panel'!M580)</f>
        <v>0</v>
      </c>
      <c r="N165" s="20">
        <f>MIN('3.1 Market'!$F156,'1.1 Control Panel'!N$569*'1.1 Control Panel'!N580)</f>
        <v>0</v>
      </c>
      <c r="O165" s="20">
        <f>MIN('3.1 Market'!$F156,'1.1 Control Panel'!O$569*'1.1 Control Panel'!O580)</f>
        <v>0</v>
      </c>
      <c r="P165" s="20">
        <f>MIN('3.1 Market'!$F156,'1.1 Control Panel'!P$569*'1.1 Control Panel'!P580)</f>
        <v>0</v>
      </c>
      <c r="Q165" s="20">
        <f>MIN('3.1 Market'!$G156,'1.1 Control Panel'!Q$569*'1.1 Control Panel'!Q580)</f>
        <v>4.9312805232640002</v>
      </c>
      <c r="R165" s="20">
        <f>MIN('3.1 Market'!$G156,'1.1 Control Panel'!R$569*'1.1 Control Panel'!R580)</f>
        <v>4.9450244186112009</v>
      </c>
      <c r="S165" s="20">
        <f>MIN('3.1 Market'!$G156,'1.1 Control Panel'!S$569*'1.1 Control Panel'!S580)</f>
        <v>4.9560195348889611</v>
      </c>
      <c r="T165" s="20">
        <f>MIN('3.1 Market'!$G156,'1.1 Control Panel'!T$569*'1.1 Control Panel'!T580)</f>
        <v>4.964815627911169</v>
      </c>
      <c r="U165" s="20">
        <f>MIN('3.1 Market'!$G156,'1.1 Control Panel'!U$569*'1.1 Control Panel'!U580)</f>
        <v>14.915557506986808</v>
      </c>
      <c r="V165" s="20">
        <f>MIN('3.1 Market'!$G156,'1.1 Control Panel'!V$569*'1.1 Control Panel'!V580)</f>
        <v>14.932446005589448</v>
      </c>
      <c r="W165" s="20">
        <f>MIN('3.1 Market'!$G156,'1.1 Control Panel'!W$569*'1.1 Control Panel'!W580)</f>
        <v>14.945956804471558</v>
      </c>
      <c r="X165" s="20">
        <f>MIN('3.1 Market'!$G156,'1.1 Control Panel'!X$569*'1.1 Control Panel'!X580)</f>
        <v>14.956765443577247</v>
      </c>
      <c r="Y165" s="20">
        <f>MIN('3.1 Market'!$G156,'1.1 Control Panel'!Y$569*'1.1 Control Panel'!Y580)</f>
        <v>19.95388313981573</v>
      </c>
      <c r="Z165" s="20">
        <f>MIN('3.1 Market'!$G156,'1.1 Control Panel'!Z$569*'1.1 Control Panel'!Z580)</f>
        <v>19.963106511852587</v>
      </c>
      <c r="AA165" s="20">
        <f>MIN('3.1 Market'!$G156,'1.1 Control Panel'!AA$569*'1.1 Control Panel'!AA580)</f>
        <v>19.970485209482071</v>
      </c>
      <c r="AB165" s="20">
        <f>MIN('3.1 Market'!$G156,'1.1 Control Panel'!AB$569*'1.1 Control Panel'!AB580)</f>
        <v>19.976388167585657</v>
      </c>
      <c r="AC165" s="20">
        <f>MIN('3.1 Market'!$H156,'1.1 Control Panel'!AC$569*'1.1 Control Panel'!AC580)</f>
        <v>34.966943434619921</v>
      </c>
      <c r="AD165" s="20">
        <f>MIN('3.1 Market'!$H156,'1.1 Control Panel'!AD$569*'1.1 Control Panel'!AD580)</f>
        <v>34.973554747695943</v>
      </c>
      <c r="AE165" s="20">
        <f>MIN('3.1 Market'!$H156,'1.1 Control Panel'!AE$569*'1.1 Control Panel'!AE580)</f>
        <v>34.978843798156753</v>
      </c>
      <c r="AF165" s="20">
        <f>MIN('3.1 Market'!$H156,'1.1 Control Panel'!AF$569*'1.1 Control Panel'!AF580)</f>
        <v>34.983075038525406</v>
      </c>
      <c r="AG165" s="20">
        <f>MIN('3.1 Market'!$H156,'1.1 Control Panel'!AG$569*'1.1 Control Panel'!AG580)</f>
        <v>49.980657186886184</v>
      </c>
      <c r="AH165" s="20">
        <f>MIN('3.1 Market'!$H156,'1.1 Control Panel'!AH$569*'1.1 Control Panel'!AH580)</f>
        <v>49.984525749508947</v>
      </c>
      <c r="AI165" s="20">
        <f>MIN('3.1 Market'!$H156,'1.1 Control Panel'!AI$569*'1.1 Control Panel'!AI580)</f>
        <v>49.987620599607155</v>
      </c>
      <c r="AJ165" s="20">
        <f>MIN('3.1 Market'!$H156,'1.1 Control Panel'!AJ$569*'1.1 Control Panel'!AJ580)</f>
        <v>49.990096479685718</v>
      </c>
      <c r="AK165" s="20">
        <f>MIN('3.1 Market'!$H156,'1.1 Control Panel'!AK$569*'1.1 Control Panel'!AK580)</f>
        <v>59.990492620498301</v>
      </c>
      <c r="AL165" s="20">
        <f>MIN('3.1 Market'!$H156,'1.1 Control Panel'!AL$569*'1.1 Control Panel'!AL580)</f>
        <v>59.992394096398641</v>
      </c>
      <c r="AM165" s="20">
        <f>MIN('3.1 Market'!$H156,'1.1 Control Panel'!AM$569*'1.1 Control Panel'!AM580)</f>
        <v>59.993915277118909</v>
      </c>
      <c r="AN165" s="20">
        <f>MIN('3.1 Market'!$H156,'1.1 Control Panel'!AN$569*'1.1 Control Panel'!AN580)</f>
        <v>59.995132221695123</v>
      </c>
      <c r="AP165" s="20"/>
    </row>
    <row r="166" spans="2:42" x14ac:dyDescent="0.25">
      <c r="C166" s="20" t="s">
        <v>454</v>
      </c>
      <c r="D166" s="34" t="s">
        <v>162</v>
      </c>
      <c r="E166" s="20">
        <f>MIN('3.1 Market'!$F157,'1.1 Control Panel'!E$569*'1.1 Control Panel'!E581)</f>
        <v>9</v>
      </c>
      <c r="F166" s="20">
        <f>MIN('3.1 Market'!$F157,'1.1 Control Panel'!F$569*'1.1 Control Panel'!F581)</f>
        <v>10.200000000000001</v>
      </c>
      <c r="G166" s="20">
        <f>MIN('3.1 Market'!$F157,'1.1 Control Panel'!G$569*'1.1 Control Panel'!G581)</f>
        <v>0</v>
      </c>
      <c r="H166" s="20">
        <f>MIN('3.1 Market'!$F157,'1.1 Control Panel'!H$569*'1.1 Control Panel'!H581)</f>
        <v>0</v>
      </c>
      <c r="I166" s="20">
        <f>MIN('3.1 Market'!$F157,'1.1 Control Panel'!I$569*'1.1 Control Panel'!I581)</f>
        <v>0</v>
      </c>
      <c r="J166" s="20">
        <f>MIN('3.1 Market'!$F157,'1.1 Control Panel'!J$569*'1.1 Control Panel'!J581)</f>
        <v>0</v>
      </c>
      <c r="K166" s="20">
        <f>MIN('3.1 Market'!$F157,'1.1 Control Panel'!K$569*'1.1 Control Panel'!K581)</f>
        <v>0</v>
      </c>
      <c r="L166" s="20">
        <f>MIN('3.1 Market'!$F157,'1.1 Control Panel'!L$569*'1.1 Control Panel'!L581)</f>
        <v>0</v>
      </c>
      <c r="M166" s="20">
        <f>MIN('3.1 Market'!$F157,'1.1 Control Panel'!M$569*'1.1 Control Panel'!M581)</f>
        <v>0</v>
      </c>
      <c r="N166" s="20">
        <f>MIN('3.1 Market'!$F157,'1.1 Control Panel'!N$569*'1.1 Control Panel'!N581)</f>
        <v>0</v>
      </c>
      <c r="O166" s="20">
        <f>MIN('3.1 Market'!$F157,'1.1 Control Panel'!O$569*'1.1 Control Panel'!O581)</f>
        <v>0</v>
      </c>
      <c r="P166" s="20">
        <f>MIN('3.1 Market'!$F157,'1.1 Control Panel'!P$569*'1.1 Control Panel'!P581)</f>
        <v>0</v>
      </c>
      <c r="Q166" s="20">
        <f>MIN('3.1 Market'!$G157,'1.1 Control Panel'!Q$569*'1.1 Control Panel'!Q581)</f>
        <v>4.8625610465280014</v>
      </c>
      <c r="R166" s="20">
        <f>MIN('3.1 Market'!$G157,'1.1 Control Panel'!R$569*'1.1 Control Panel'!R581)</f>
        <v>4.8900488372224018</v>
      </c>
      <c r="S166" s="20">
        <f>MIN('3.1 Market'!$G157,'1.1 Control Panel'!S$569*'1.1 Control Panel'!S581)</f>
        <v>4.9120390697779222</v>
      </c>
      <c r="T166" s="20">
        <f>MIN('3.1 Market'!$G157,'1.1 Control Panel'!T$569*'1.1 Control Panel'!T581)</f>
        <v>4.9296312558223381</v>
      </c>
      <c r="U166" s="20">
        <f>MIN('3.1 Market'!$G157,'1.1 Control Panel'!U$569*'1.1 Control Panel'!U581)</f>
        <v>14.83111501397361</v>
      </c>
      <c r="V166" s="20">
        <f>MIN('3.1 Market'!$G157,'1.1 Control Panel'!V$569*'1.1 Control Panel'!V581)</f>
        <v>14.864892011178888</v>
      </c>
      <c r="W166" s="20">
        <f>MIN('3.1 Market'!$G157,'1.1 Control Panel'!W$569*'1.1 Control Panel'!W581)</f>
        <v>14.891913608943112</v>
      </c>
      <c r="X166" s="20">
        <f>MIN('3.1 Market'!$G157,'1.1 Control Panel'!X$569*'1.1 Control Panel'!X581)</f>
        <v>14.913530887154488</v>
      </c>
      <c r="Y166" s="20">
        <f>MIN('3.1 Market'!$G157,'1.1 Control Panel'!Y$569*'1.1 Control Panel'!Y581)</f>
        <v>19.907766279631453</v>
      </c>
      <c r="Z166" s="20">
        <f>MIN('3.1 Market'!$G157,'1.1 Control Panel'!Z$569*'1.1 Control Panel'!Z581)</f>
        <v>19.926213023705163</v>
      </c>
      <c r="AA166" s="20">
        <f>MIN('3.1 Market'!$G157,'1.1 Control Panel'!AA$569*'1.1 Control Panel'!AA581)</f>
        <v>19.940970418964131</v>
      </c>
      <c r="AB166" s="20">
        <f>MIN('3.1 Market'!$G157,'1.1 Control Panel'!AB$569*'1.1 Control Panel'!AB581)</f>
        <v>19.952776335171308</v>
      </c>
      <c r="AC166" s="20">
        <f>MIN('3.1 Market'!$H157,'1.1 Control Panel'!AC$569*'1.1 Control Panel'!AC581)</f>
        <v>34.933886869239835</v>
      </c>
      <c r="AD166" s="20">
        <f>MIN('3.1 Market'!$H157,'1.1 Control Panel'!AD$569*'1.1 Control Panel'!AD581)</f>
        <v>34.947109495391871</v>
      </c>
      <c r="AE166" s="20">
        <f>MIN('3.1 Market'!$H157,'1.1 Control Panel'!AE$569*'1.1 Control Panel'!AE581)</f>
        <v>34.957687596313491</v>
      </c>
      <c r="AF166" s="20">
        <f>MIN('3.1 Market'!$H157,'1.1 Control Panel'!AF$569*'1.1 Control Panel'!AF581)</f>
        <v>34.966150077050798</v>
      </c>
      <c r="AG166" s="20">
        <f>MIN('3.1 Market'!$H157,'1.1 Control Panel'!AG$569*'1.1 Control Panel'!AG581)</f>
        <v>49.961314373772339</v>
      </c>
      <c r="AH166" s="20">
        <f>MIN('3.1 Market'!$H157,'1.1 Control Panel'!AH$569*'1.1 Control Panel'!AH581)</f>
        <v>49.969051499017866</v>
      </c>
      <c r="AI166" s="20">
        <f>MIN('3.1 Market'!$H157,'1.1 Control Panel'!AI$569*'1.1 Control Panel'!AI581)</f>
        <v>49.975241199214295</v>
      </c>
      <c r="AJ166" s="20">
        <f>MIN('3.1 Market'!$H157,'1.1 Control Panel'!AJ$569*'1.1 Control Panel'!AJ581)</f>
        <v>49.980192959371443</v>
      </c>
      <c r="AK166" s="20">
        <f>MIN('3.1 Market'!$H157,'1.1 Control Panel'!AK$569*'1.1 Control Panel'!AK581)</f>
        <v>59.980985240996581</v>
      </c>
      <c r="AL166" s="20">
        <f>MIN('3.1 Market'!$H157,'1.1 Control Panel'!AL$569*'1.1 Control Panel'!AL581)</f>
        <v>59.984788192797261</v>
      </c>
      <c r="AM166" s="20">
        <f>MIN('3.1 Market'!$H157,'1.1 Control Panel'!AM$569*'1.1 Control Panel'!AM581)</f>
        <v>59.987830554237817</v>
      </c>
      <c r="AN166" s="20">
        <f>MIN('3.1 Market'!$H157,'1.1 Control Panel'!AN$569*'1.1 Control Panel'!AN581)</f>
        <v>59.990264443390259</v>
      </c>
      <c r="AP166" s="20"/>
    </row>
    <row r="167" spans="2:42" x14ac:dyDescent="0.25">
      <c r="C167" s="21" t="s">
        <v>455</v>
      </c>
      <c r="D167" s="38" t="s">
        <v>162</v>
      </c>
      <c r="E167" s="21">
        <f>MIN('3.1 Market'!$F158,'1.1 Control Panel'!E$569*'1.1 Control Panel'!E582)</f>
        <v>6</v>
      </c>
      <c r="F167" s="21">
        <f>MIN('3.1 Market'!$F158,'1.1 Control Panel'!F$569*'1.1 Control Panel'!F582)</f>
        <v>7.8000000000000007</v>
      </c>
      <c r="G167" s="21">
        <f>MIN('3.1 Market'!$F158,'1.1 Control Panel'!G$569*'1.1 Control Panel'!G582)</f>
        <v>0</v>
      </c>
      <c r="H167" s="21">
        <f>MIN('3.1 Market'!$F158,'1.1 Control Panel'!H$569*'1.1 Control Panel'!H582)</f>
        <v>0</v>
      </c>
      <c r="I167" s="21">
        <f>MIN('3.1 Market'!$F158,'1.1 Control Panel'!I$569*'1.1 Control Panel'!I582)</f>
        <v>0</v>
      </c>
      <c r="J167" s="21">
        <f>MIN('3.1 Market'!$F158,'1.1 Control Panel'!J$569*'1.1 Control Panel'!J582)</f>
        <v>0</v>
      </c>
      <c r="K167" s="21">
        <f>MIN('3.1 Market'!$F158,'1.1 Control Panel'!K$569*'1.1 Control Panel'!K582)</f>
        <v>0</v>
      </c>
      <c r="L167" s="21">
        <f>MIN('3.1 Market'!$F158,'1.1 Control Panel'!L$569*'1.1 Control Panel'!L582)</f>
        <v>0</v>
      </c>
      <c r="M167" s="21">
        <f>MIN('3.1 Market'!$F158,'1.1 Control Panel'!M$569*'1.1 Control Panel'!M582)</f>
        <v>0</v>
      </c>
      <c r="N167" s="21">
        <f>MIN('3.1 Market'!$F158,'1.1 Control Panel'!N$569*'1.1 Control Panel'!N582)</f>
        <v>0</v>
      </c>
      <c r="O167" s="21">
        <f>MIN('3.1 Market'!$F158,'1.1 Control Panel'!O$569*'1.1 Control Panel'!O582)</f>
        <v>0</v>
      </c>
      <c r="P167" s="21">
        <f>MIN('3.1 Market'!$F158,'1.1 Control Panel'!P$569*'1.1 Control Panel'!P582)</f>
        <v>0</v>
      </c>
      <c r="Q167" s="21">
        <f>MIN('3.1 Market'!$G158,'1.1 Control Panel'!Q$569*'1.1 Control Panel'!Q582)</f>
        <v>4.7938415697920007</v>
      </c>
      <c r="R167" s="21">
        <f>MIN('3.1 Market'!$G158,'1.1 Control Panel'!R$569*'1.1 Control Panel'!R582)</f>
        <v>4.8350732558336009</v>
      </c>
      <c r="S167" s="21">
        <f>MIN('3.1 Market'!$G158,'1.1 Control Panel'!S$569*'1.1 Control Panel'!S582)</f>
        <v>4.8680586046668815</v>
      </c>
      <c r="T167" s="21">
        <f>MIN('3.1 Market'!$G158,'1.1 Control Panel'!T$569*'1.1 Control Panel'!T582)</f>
        <v>4.8944468837335053</v>
      </c>
      <c r="U167" s="21">
        <f>MIN('3.1 Market'!$G158,'1.1 Control Panel'!U$569*'1.1 Control Panel'!U582)</f>
        <v>14.746672520960413</v>
      </c>
      <c r="V167" s="21">
        <f>MIN('3.1 Market'!$G158,'1.1 Control Panel'!V$569*'1.1 Control Panel'!V582)</f>
        <v>14.797338016768332</v>
      </c>
      <c r="W167" s="21">
        <f>MIN('3.1 Market'!$G158,'1.1 Control Panel'!W$569*'1.1 Control Panel'!W582)</f>
        <v>14.837870413414665</v>
      </c>
      <c r="X167" s="21">
        <f>MIN('3.1 Market'!$G158,'1.1 Control Panel'!X$569*'1.1 Control Panel'!X582)</f>
        <v>14.870296330731733</v>
      </c>
      <c r="Y167" s="21">
        <f>MIN('3.1 Market'!$G158,'1.1 Control Panel'!Y$569*'1.1 Control Panel'!Y582)</f>
        <v>19.861649419447183</v>
      </c>
      <c r="Z167" s="21">
        <f>MIN('3.1 Market'!$G158,'1.1 Control Panel'!Z$569*'1.1 Control Panel'!Z582)</f>
        <v>19.889319535557746</v>
      </c>
      <c r="AA167" s="21">
        <f>MIN('3.1 Market'!$G158,'1.1 Control Panel'!AA$569*'1.1 Control Panel'!AA582)</f>
        <v>19.911455628446198</v>
      </c>
      <c r="AB167" s="21">
        <f>MIN('3.1 Market'!$G158,'1.1 Control Panel'!AB$569*'1.1 Control Panel'!AB582)</f>
        <v>19.929164502756961</v>
      </c>
      <c r="AC167" s="21">
        <f>MIN('3.1 Market'!$H158,'1.1 Control Panel'!AC$569*'1.1 Control Panel'!AC582)</f>
        <v>34.900830303859742</v>
      </c>
      <c r="AD167" s="21">
        <f>MIN('3.1 Market'!$H158,'1.1 Control Panel'!AD$569*'1.1 Control Panel'!AD582)</f>
        <v>34.920664243087799</v>
      </c>
      <c r="AE167" s="21">
        <f>MIN('3.1 Market'!$H158,'1.1 Control Panel'!AE$569*'1.1 Control Panel'!AE582)</f>
        <v>34.936531394470236</v>
      </c>
      <c r="AF167" s="21">
        <f>MIN('3.1 Market'!$H158,'1.1 Control Panel'!AF$569*'1.1 Control Panel'!AF582)</f>
        <v>34.949225115576191</v>
      </c>
      <c r="AG167" s="21">
        <f>MIN('3.1 Market'!$H158,'1.1 Control Panel'!AG$569*'1.1 Control Panel'!AG582)</f>
        <v>49.941971560658502</v>
      </c>
      <c r="AH167" s="21">
        <f>MIN('3.1 Market'!$H158,'1.1 Control Panel'!AH$569*'1.1 Control Panel'!AH582)</f>
        <v>49.953577248526798</v>
      </c>
      <c r="AI167" s="21">
        <f>MIN('3.1 Market'!$H158,'1.1 Control Panel'!AI$569*'1.1 Control Panel'!AI582)</f>
        <v>49.962861798821443</v>
      </c>
      <c r="AJ167" s="21">
        <f>MIN('3.1 Market'!$H158,'1.1 Control Panel'!AJ$569*'1.1 Control Panel'!AJ582)</f>
        <v>49.970289439057154</v>
      </c>
      <c r="AK167" s="21">
        <f>MIN('3.1 Market'!$H158,'1.1 Control Panel'!AK$569*'1.1 Control Panel'!AK582)</f>
        <v>59.971477861494876</v>
      </c>
      <c r="AL167" s="21">
        <f>MIN('3.1 Market'!$H158,'1.1 Control Panel'!AL$569*'1.1 Control Panel'!AL582)</f>
        <v>59.977182289195902</v>
      </c>
      <c r="AM167" s="21">
        <f>MIN('3.1 Market'!$H158,'1.1 Control Panel'!AM$569*'1.1 Control Panel'!AM582)</f>
        <v>59.981745831356726</v>
      </c>
      <c r="AN167" s="21">
        <f>MIN('3.1 Market'!$H158,'1.1 Control Panel'!AN$569*'1.1 Control Panel'!AN582)</f>
        <v>59.985396665085389</v>
      </c>
      <c r="AP167" s="21"/>
    </row>
    <row r="168" spans="2:42" x14ac:dyDescent="0.25">
      <c r="C168" s="21" t="s">
        <v>393</v>
      </c>
      <c r="D168" s="38" t="s">
        <v>162</v>
      </c>
      <c r="E168" s="21">
        <f>MIN('3.1 Market'!$F159,'1.1 Control Panel'!E$569*'1.1 Control Panel'!E583)</f>
        <v>3</v>
      </c>
      <c r="F168" s="21">
        <f>MIN('3.1 Market'!$F159,'1.1 Control Panel'!F$569*'1.1 Control Panel'!F583)</f>
        <v>5.4</v>
      </c>
      <c r="G168" s="21">
        <f>MIN('3.1 Market'!$F159,'1.1 Control Panel'!G$569*'1.1 Control Panel'!G583)</f>
        <v>0</v>
      </c>
      <c r="H168" s="21">
        <f>MIN('3.1 Market'!$F159,'1.1 Control Panel'!H$569*'1.1 Control Panel'!H583)</f>
        <v>0</v>
      </c>
      <c r="I168" s="21">
        <f>MIN('3.1 Market'!$F159,'1.1 Control Panel'!I$569*'1.1 Control Panel'!I583)</f>
        <v>0</v>
      </c>
      <c r="J168" s="21">
        <f>MIN('3.1 Market'!$F159,'1.1 Control Panel'!J$569*'1.1 Control Panel'!J583)</f>
        <v>0</v>
      </c>
      <c r="K168" s="21">
        <f>MIN('3.1 Market'!$F159,'1.1 Control Panel'!K$569*'1.1 Control Panel'!K583)</f>
        <v>0</v>
      </c>
      <c r="L168" s="21">
        <f>MIN('3.1 Market'!$F159,'1.1 Control Panel'!L$569*'1.1 Control Panel'!L583)</f>
        <v>0</v>
      </c>
      <c r="M168" s="21">
        <f>MIN('3.1 Market'!$F159,'1.1 Control Panel'!M$569*'1.1 Control Panel'!M583)</f>
        <v>0</v>
      </c>
      <c r="N168" s="21">
        <f>MIN('3.1 Market'!$F159,'1.1 Control Panel'!N$569*'1.1 Control Panel'!N583)</f>
        <v>0</v>
      </c>
      <c r="O168" s="21">
        <f>MIN('3.1 Market'!$F159,'1.1 Control Panel'!O$569*'1.1 Control Panel'!O583)</f>
        <v>0</v>
      </c>
      <c r="P168" s="21">
        <f>MIN('3.1 Market'!$F159,'1.1 Control Panel'!P$569*'1.1 Control Panel'!P583)</f>
        <v>0</v>
      </c>
      <c r="Q168" s="21">
        <f>MIN('3.1 Market'!$G159,'1.1 Control Panel'!Q$569*'1.1 Control Panel'!Q583)</f>
        <v>4.7251220930560009</v>
      </c>
      <c r="R168" s="21">
        <f>MIN('3.1 Market'!$G159,'1.1 Control Panel'!R$569*'1.1 Control Panel'!R583)</f>
        <v>4.7800976744448009</v>
      </c>
      <c r="S168" s="21">
        <f>MIN('3.1 Market'!$G159,'1.1 Control Panel'!S$569*'1.1 Control Panel'!S583)</f>
        <v>4.8240781395558407</v>
      </c>
      <c r="T168" s="21">
        <f>MIN('3.1 Market'!$G159,'1.1 Control Panel'!T$569*'1.1 Control Panel'!T583)</f>
        <v>4.8592625116446726</v>
      </c>
      <c r="U168" s="21">
        <f>MIN('3.1 Market'!$G159,'1.1 Control Panel'!U$569*'1.1 Control Panel'!U583)</f>
        <v>14.662230027947215</v>
      </c>
      <c r="V168" s="21">
        <f>MIN('3.1 Market'!$G159,'1.1 Control Panel'!V$569*'1.1 Control Panel'!V583)</f>
        <v>14.729784022357771</v>
      </c>
      <c r="W168" s="21">
        <f>MIN('3.1 Market'!$G159,'1.1 Control Panel'!W$569*'1.1 Control Panel'!W583)</f>
        <v>14.783827217886218</v>
      </c>
      <c r="X168" s="21">
        <f>MIN('3.1 Market'!$G159,'1.1 Control Panel'!X$569*'1.1 Control Panel'!X583)</f>
        <v>14.827061774308977</v>
      </c>
      <c r="Y168" s="21">
        <f>MIN('3.1 Market'!$G159,'1.1 Control Panel'!Y$569*'1.1 Control Panel'!Y583)</f>
        <v>19.815532559262909</v>
      </c>
      <c r="Z168" s="21">
        <f>MIN('3.1 Market'!$G159,'1.1 Control Panel'!Z$569*'1.1 Control Panel'!Z583)</f>
        <v>19.852426047410326</v>
      </c>
      <c r="AA168" s="21">
        <f>MIN('3.1 Market'!$G159,'1.1 Control Panel'!AA$569*'1.1 Control Panel'!AA583)</f>
        <v>19.881940837928262</v>
      </c>
      <c r="AB168" s="21">
        <f>MIN('3.1 Market'!$G159,'1.1 Control Panel'!AB$569*'1.1 Control Panel'!AB583)</f>
        <v>19.905552670342608</v>
      </c>
      <c r="AC168" s="21">
        <f>MIN('3.1 Market'!$H159,'1.1 Control Panel'!AC$569*'1.1 Control Panel'!AC583)</f>
        <v>34.867773738479656</v>
      </c>
      <c r="AD168" s="21">
        <f>MIN('3.1 Market'!$H159,'1.1 Control Panel'!AD$569*'1.1 Control Panel'!AD583)</f>
        <v>34.894218990783727</v>
      </c>
      <c r="AE168" s="21">
        <f>MIN('3.1 Market'!$H159,'1.1 Control Panel'!AE$569*'1.1 Control Panel'!AE583)</f>
        <v>34.915375192626982</v>
      </c>
      <c r="AF168" s="21">
        <f>MIN('3.1 Market'!$H159,'1.1 Control Panel'!AF$569*'1.1 Control Panel'!AF583)</f>
        <v>34.932300154101597</v>
      </c>
      <c r="AG168" s="21">
        <f>MIN('3.1 Market'!$H159,'1.1 Control Panel'!AG$569*'1.1 Control Panel'!AG583)</f>
        <v>49.922628747544678</v>
      </c>
      <c r="AH168" s="21">
        <f>MIN('3.1 Market'!$H159,'1.1 Control Panel'!AH$569*'1.1 Control Panel'!AH583)</f>
        <v>49.938102998035745</v>
      </c>
      <c r="AI168" s="21">
        <f>MIN('3.1 Market'!$H159,'1.1 Control Panel'!AI$569*'1.1 Control Panel'!AI583)</f>
        <v>49.950482398428598</v>
      </c>
      <c r="AJ168" s="21">
        <f>MIN('3.1 Market'!$H159,'1.1 Control Panel'!AJ$569*'1.1 Control Panel'!AJ583)</f>
        <v>49.960385918742887</v>
      </c>
      <c r="AK168" s="21">
        <f>MIN('3.1 Market'!$H159,'1.1 Control Panel'!AK$569*'1.1 Control Panel'!AK583)</f>
        <v>59.961970481993177</v>
      </c>
      <c r="AL168" s="21">
        <f>MIN('3.1 Market'!$H159,'1.1 Control Panel'!AL$569*'1.1 Control Panel'!AL583)</f>
        <v>59.969576385594543</v>
      </c>
      <c r="AM168" s="21">
        <f>MIN('3.1 Market'!$H159,'1.1 Control Panel'!AM$569*'1.1 Control Panel'!AM583)</f>
        <v>59.975661108475634</v>
      </c>
      <c r="AN168" s="21">
        <f>MIN('3.1 Market'!$H159,'1.1 Control Panel'!AN$569*'1.1 Control Panel'!AN583)</f>
        <v>59.980528886780512</v>
      </c>
      <c r="AP168" s="21"/>
    </row>
    <row r="169" spans="2:42" x14ac:dyDescent="0.25">
      <c r="C169" s="21" t="s">
        <v>456</v>
      </c>
      <c r="D169" s="38" t="s">
        <v>162</v>
      </c>
      <c r="E169" s="21">
        <f>MIN('3.1 Market'!$F160,'1.1 Control Panel'!E$569*'1.1 Control Panel'!E584)</f>
        <v>0</v>
      </c>
      <c r="F169" s="21">
        <f>MIN('3.1 Market'!$F160,'1.1 Control Panel'!F$569*'1.1 Control Panel'!F584)</f>
        <v>3</v>
      </c>
      <c r="G169" s="21">
        <f>MIN('3.1 Market'!$F160,'1.1 Control Panel'!G$569*'1.1 Control Panel'!G584)</f>
        <v>0</v>
      </c>
      <c r="H169" s="21">
        <f>MIN('3.1 Market'!$F160,'1.1 Control Panel'!H$569*'1.1 Control Panel'!H584)</f>
        <v>0</v>
      </c>
      <c r="I169" s="21">
        <f>MIN('3.1 Market'!$F160,'1.1 Control Panel'!I$569*'1.1 Control Panel'!I584)</f>
        <v>0</v>
      </c>
      <c r="J169" s="21">
        <f>MIN('3.1 Market'!$F160,'1.1 Control Panel'!J$569*'1.1 Control Panel'!J584)</f>
        <v>0</v>
      </c>
      <c r="K169" s="21">
        <f>MIN('3.1 Market'!$F160,'1.1 Control Panel'!K$569*'1.1 Control Panel'!K584)</f>
        <v>0</v>
      </c>
      <c r="L169" s="21">
        <f>MIN('3.1 Market'!$F160,'1.1 Control Panel'!L$569*'1.1 Control Panel'!L584)</f>
        <v>0</v>
      </c>
      <c r="M169" s="21">
        <f>MIN('3.1 Market'!$F160,'1.1 Control Panel'!M$569*'1.1 Control Panel'!M584)</f>
        <v>0</v>
      </c>
      <c r="N169" s="21">
        <f>MIN('3.1 Market'!$F160,'1.1 Control Panel'!N$569*'1.1 Control Panel'!N584)</f>
        <v>0</v>
      </c>
      <c r="O169" s="21">
        <f>MIN('3.1 Market'!$F160,'1.1 Control Panel'!O$569*'1.1 Control Panel'!O584)</f>
        <v>0</v>
      </c>
      <c r="P169" s="21">
        <f>MIN('3.1 Market'!$F160,'1.1 Control Panel'!P$569*'1.1 Control Panel'!P584)</f>
        <v>0</v>
      </c>
      <c r="Q169" s="21">
        <f>MIN('3.1 Market'!$G160,'1.1 Control Panel'!Q$569*'1.1 Control Panel'!Q584)</f>
        <v>4.6564026163200012</v>
      </c>
      <c r="R169" s="21">
        <f>MIN('3.1 Market'!$G160,'1.1 Control Panel'!R$569*'1.1 Control Panel'!R584)</f>
        <v>4.7251220930560009</v>
      </c>
      <c r="S169" s="21">
        <f>MIN('3.1 Market'!$G160,'1.1 Control Panel'!S$569*'1.1 Control Panel'!S584)</f>
        <v>4.7800976744448009</v>
      </c>
      <c r="T169" s="21">
        <f>MIN('3.1 Market'!$G160,'1.1 Control Panel'!T$569*'1.1 Control Panel'!T584)</f>
        <v>4.8240781395558407</v>
      </c>
      <c r="U169" s="21">
        <f>MIN('3.1 Market'!$G160,'1.1 Control Panel'!U$569*'1.1 Control Panel'!U584)</f>
        <v>14.577787534934018</v>
      </c>
      <c r="V169" s="21">
        <f>MIN('3.1 Market'!$G160,'1.1 Control Panel'!V$569*'1.1 Control Panel'!V584)</f>
        <v>14.662230027947215</v>
      </c>
      <c r="W169" s="21">
        <f>MIN('3.1 Market'!$G160,'1.1 Control Panel'!W$569*'1.1 Control Panel'!W584)</f>
        <v>14.729784022357771</v>
      </c>
      <c r="X169" s="21">
        <f>MIN('3.1 Market'!$G160,'1.1 Control Panel'!X$569*'1.1 Control Panel'!X584)</f>
        <v>14.783827217886218</v>
      </c>
      <c r="Y169" s="21">
        <f>MIN('3.1 Market'!$G160,'1.1 Control Panel'!Y$569*'1.1 Control Panel'!Y584)</f>
        <v>19.769415699078635</v>
      </c>
      <c r="Z169" s="21">
        <f>MIN('3.1 Market'!$G160,'1.1 Control Panel'!Z$569*'1.1 Control Panel'!Z584)</f>
        <v>19.815532559262909</v>
      </c>
      <c r="AA169" s="21">
        <f>MIN('3.1 Market'!$G160,'1.1 Control Panel'!AA$569*'1.1 Control Panel'!AA584)</f>
        <v>19.852426047410326</v>
      </c>
      <c r="AB169" s="21">
        <f>MIN('3.1 Market'!$G160,'1.1 Control Panel'!AB$569*'1.1 Control Panel'!AB584)</f>
        <v>19.881940837928262</v>
      </c>
      <c r="AC169" s="21">
        <f>MIN('3.1 Market'!$H160,'1.1 Control Panel'!AC$569*'1.1 Control Panel'!AC584)</f>
        <v>34.834717173099563</v>
      </c>
      <c r="AD169" s="21">
        <f>MIN('3.1 Market'!$H160,'1.1 Control Panel'!AD$569*'1.1 Control Panel'!AD584)</f>
        <v>34.867773738479656</v>
      </c>
      <c r="AE169" s="21">
        <f>MIN('3.1 Market'!$H160,'1.1 Control Panel'!AE$569*'1.1 Control Panel'!AE584)</f>
        <v>34.894218990783727</v>
      </c>
      <c r="AF169" s="21">
        <f>MIN('3.1 Market'!$H160,'1.1 Control Panel'!AF$569*'1.1 Control Panel'!AF584)</f>
        <v>34.915375192626982</v>
      </c>
      <c r="AG169" s="21">
        <f>MIN('3.1 Market'!$H160,'1.1 Control Panel'!AG$569*'1.1 Control Panel'!AG584)</f>
        <v>49.903285934430848</v>
      </c>
      <c r="AH169" s="21">
        <f>MIN('3.1 Market'!$H160,'1.1 Control Panel'!AH$569*'1.1 Control Panel'!AH584)</f>
        <v>49.922628747544678</v>
      </c>
      <c r="AI169" s="21">
        <f>MIN('3.1 Market'!$H160,'1.1 Control Panel'!AI$569*'1.1 Control Panel'!AI584)</f>
        <v>49.938102998035745</v>
      </c>
      <c r="AJ169" s="21">
        <f>MIN('3.1 Market'!$H160,'1.1 Control Panel'!AJ$569*'1.1 Control Panel'!AJ584)</f>
        <v>49.950482398428598</v>
      </c>
      <c r="AK169" s="21">
        <f>MIN('3.1 Market'!$H160,'1.1 Control Panel'!AK$569*'1.1 Control Panel'!AK584)</f>
        <v>59.952463102491464</v>
      </c>
      <c r="AL169" s="21">
        <f>MIN('3.1 Market'!$H160,'1.1 Control Panel'!AL$569*'1.1 Control Panel'!AL584)</f>
        <v>59.961970481993177</v>
      </c>
      <c r="AM169" s="21">
        <f>MIN('3.1 Market'!$H160,'1.1 Control Panel'!AM$569*'1.1 Control Panel'!AM584)</f>
        <v>59.969576385594543</v>
      </c>
      <c r="AN169" s="21">
        <f>MIN('3.1 Market'!$H160,'1.1 Control Panel'!AN$569*'1.1 Control Panel'!AN584)</f>
        <v>59.975661108475634</v>
      </c>
      <c r="AP169" s="21"/>
    </row>
    <row r="170" spans="2:42" x14ac:dyDescent="0.25">
      <c r="B170" s="99" t="s">
        <v>9</v>
      </c>
      <c r="C170" s="105" t="str">
        <f>'4.2 Sector Mapping'!$B$14</f>
        <v>Retail and Consumer Goods</v>
      </c>
      <c r="D170" s="106" t="s">
        <v>162</v>
      </c>
      <c r="E170" s="105">
        <f>SUM(E171:E176)</f>
        <v>30</v>
      </c>
      <c r="F170" s="105">
        <f t="shared" ref="F170:H170" si="111">SUM(F171:F176)</f>
        <v>36</v>
      </c>
      <c r="G170" s="105">
        <f t="shared" si="111"/>
        <v>20.400000000000002</v>
      </c>
      <c r="H170" s="105">
        <f t="shared" si="111"/>
        <v>22.320000000000004</v>
      </c>
      <c r="I170" s="105">
        <f t="shared" ref="I170:AN170" si="112">SUM(I171:I176)</f>
        <v>47.712000000000003</v>
      </c>
      <c r="J170" s="105">
        <f t="shared" si="112"/>
        <v>50.169600000000003</v>
      </c>
      <c r="K170" s="105">
        <f t="shared" si="112"/>
        <v>52.135680000000008</v>
      </c>
      <c r="L170" s="105">
        <f t="shared" si="112"/>
        <v>53.70854400000001</v>
      </c>
      <c r="M170" s="105">
        <f t="shared" si="112"/>
        <v>109.93367040000001</v>
      </c>
      <c r="N170" s="105">
        <f t="shared" si="112"/>
        <v>139.93367040000004</v>
      </c>
      <c r="O170" s="105">
        <f t="shared" si="112"/>
        <v>170.33632358400004</v>
      </c>
      <c r="P170" s="105">
        <f t="shared" si="112"/>
        <v>200.9805686784</v>
      </c>
      <c r="Q170" s="105">
        <f t="shared" si="112"/>
        <v>231.75366279168003</v>
      </c>
      <c r="R170" s="105">
        <f t="shared" si="112"/>
        <v>233.40293023334405</v>
      </c>
      <c r="S170" s="105">
        <f t="shared" si="112"/>
        <v>234.72234418667523</v>
      </c>
      <c r="T170" s="105">
        <f t="shared" si="112"/>
        <v>235.77787534934021</v>
      </c>
      <c r="U170" s="105">
        <f t="shared" si="112"/>
        <v>295.77787534934021</v>
      </c>
      <c r="V170" s="105">
        <f t="shared" si="112"/>
        <v>296.6223002794722</v>
      </c>
      <c r="W170" s="105">
        <f t="shared" si="112"/>
        <v>297.29784022357774</v>
      </c>
      <c r="X170" s="105">
        <f t="shared" si="112"/>
        <v>297.83827217886221</v>
      </c>
      <c r="Y170" s="105">
        <f t="shared" si="112"/>
        <v>328.09767951739877</v>
      </c>
      <c r="Z170" s="105">
        <f t="shared" si="112"/>
        <v>328.47814361391897</v>
      </c>
      <c r="AA170" s="105">
        <f t="shared" si="112"/>
        <v>328.78251489113524</v>
      </c>
      <c r="AB170" s="105">
        <f t="shared" si="112"/>
        <v>329.02601191290819</v>
      </c>
      <c r="AC170" s="105">
        <f t="shared" si="112"/>
        <v>478.86663204411138</v>
      </c>
      <c r="AD170" s="105">
        <f t="shared" si="112"/>
        <v>479.09330563528908</v>
      </c>
      <c r="AE170" s="105">
        <f t="shared" si="112"/>
        <v>479.27464450823129</v>
      </c>
      <c r="AF170" s="105">
        <f t="shared" si="112"/>
        <v>479.4197156065851</v>
      </c>
      <c r="AG170" s="105">
        <f t="shared" si="112"/>
        <v>629.39070138691432</v>
      </c>
      <c r="AH170" s="105">
        <f t="shared" si="112"/>
        <v>629.51256110953136</v>
      </c>
      <c r="AI170" s="105">
        <f t="shared" si="112"/>
        <v>629.61004888762523</v>
      </c>
      <c r="AJ170" s="105">
        <f t="shared" si="112"/>
        <v>629.68803911010025</v>
      </c>
      <c r="AK170" s="105">
        <f t="shared" si="112"/>
        <v>779.69101016619447</v>
      </c>
      <c r="AL170" s="105">
        <f t="shared" si="112"/>
        <v>779.75280813295558</v>
      </c>
      <c r="AM170" s="105">
        <f t="shared" si="112"/>
        <v>779.80224650636455</v>
      </c>
      <c r="AN170" s="105">
        <f t="shared" si="112"/>
        <v>779.84179720509167</v>
      </c>
      <c r="AP170" s="105"/>
    </row>
    <row r="171" spans="2:42" x14ac:dyDescent="0.25">
      <c r="C171" s="20" t="s">
        <v>600</v>
      </c>
      <c r="D171" s="34" t="s">
        <v>162</v>
      </c>
      <c r="E171" s="20">
        <f>MIN('3.1 Market'!$F162,'1.1 Control Panel'!E$600*'1.1 Control Panel'!E610)</f>
        <v>10</v>
      </c>
      <c r="F171" s="20">
        <f>MIN('3.1 Market'!$F162,'1.1 Control Panel'!F$600*'1.1 Control Panel'!F610)</f>
        <v>10</v>
      </c>
      <c r="G171" s="20">
        <f>MIN('3.1 Market'!$F162,'1.1 Control Panel'!G$600*'1.1 Control Panel'!G610)</f>
        <v>5</v>
      </c>
      <c r="H171" s="20">
        <f>MIN('3.1 Market'!$F162,'1.1 Control Panel'!H$600*'1.1 Control Panel'!H610)</f>
        <v>5</v>
      </c>
      <c r="I171" s="20">
        <f>MIN('3.1 Market'!$F162,'1.1 Control Panel'!I$600*'1.1 Control Panel'!I610)</f>
        <v>10</v>
      </c>
      <c r="J171" s="20">
        <f>MIN('3.1 Market'!$F162,'1.1 Control Panel'!J$600*'1.1 Control Panel'!J610)</f>
        <v>10</v>
      </c>
      <c r="K171" s="20">
        <f>MIN('3.1 Market'!$F162,'1.1 Control Panel'!K$600*'1.1 Control Panel'!K610)</f>
        <v>10</v>
      </c>
      <c r="L171" s="20">
        <f>MIN('3.1 Market'!$F162,'1.1 Control Panel'!L$600*'1.1 Control Panel'!L610)</f>
        <v>10</v>
      </c>
      <c r="M171" s="20">
        <f>MIN('3.1 Market'!$F162,'1.1 Control Panel'!M$600*'1.1 Control Panel'!M610)</f>
        <v>20</v>
      </c>
      <c r="N171" s="20">
        <f>MIN('3.1 Market'!$F162,'1.1 Control Panel'!N$600*'1.1 Control Panel'!N610)</f>
        <v>25</v>
      </c>
      <c r="O171" s="20">
        <f>MIN('3.1 Market'!$F162,'1.1 Control Panel'!O$600*'1.1 Control Panel'!O610)</f>
        <v>30</v>
      </c>
      <c r="P171" s="20">
        <f>MIN('3.1 Market'!$F162,'1.1 Control Panel'!P$600*'1.1 Control Panel'!P610)</f>
        <v>35</v>
      </c>
      <c r="Q171" s="20">
        <f>MIN('3.1 Market'!$G162,'1.1 Control Panel'!Q$600*'1.1 Control Panel'!Q610)</f>
        <v>40</v>
      </c>
      <c r="R171" s="20">
        <f>MIN('3.1 Market'!$G162,'1.1 Control Panel'!R$600*'1.1 Control Panel'!R610)</f>
        <v>40</v>
      </c>
      <c r="S171" s="20">
        <f>MIN('3.1 Market'!$G162,'1.1 Control Panel'!S$600*'1.1 Control Panel'!S610)</f>
        <v>40</v>
      </c>
      <c r="T171" s="20">
        <f>MIN('3.1 Market'!$G162,'1.1 Control Panel'!T$600*'1.1 Control Panel'!T610)</f>
        <v>40</v>
      </c>
      <c r="U171" s="20">
        <f>MIN('3.1 Market'!$G162,'1.1 Control Panel'!U$600*'1.1 Control Panel'!U610)</f>
        <v>50</v>
      </c>
      <c r="V171" s="20">
        <f>MIN('3.1 Market'!$G162,'1.1 Control Panel'!V$600*'1.1 Control Panel'!V610)</f>
        <v>50</v>
      </c>
      <c r="W171" s="20">
        <f>MIN('3.1 Market'!$G162,'1.1 Control Panel'!W$600*'1.1 Control Panel'!W610)</f>
        <v>50</v>
      </c>
      <c r="X171" s="20">
        <f>MIN('3.1 Market'!$G162,'1.1 Control Panel'!X$600*'1.1 Control Panel'!X610)</f>
        <v>50</v>
      </c>
      <c r="Y171" s="20">
        <f>MIN('3.1 Market'!$G162,'1.1 Control Panel'!Y$600*'1.1 Control Panel'!Y610)</f>
        <v>55</v>
      </c>
      <c r="Z171" s="20">
        <f>MIN('3.1 Market'!$G162,'1.1 Control Panel'!Z$600*'1.1 Control Panel'!Z610)</f>
        <v>55</v>
      </c>
      <c r="AA171" s="20">
        <f>MIN('3.1 Market'!$G162,'1.1 Control Panel'!AA$600*'1.1 Control Panel'!AA610)</f>
        <v>55</v>
      </c>
      <c r="AB171" s="20">
        <f>MIN('3.1 Market'!$G162,'1.1 Control Panel'!AB$600*'1.1 Control Panel'!AB610)</f>
        <v>55</v>
      </c>
      <c r="AC171" s="20">
        <f>MIN('3.1 Market'!$H162,'1.1 Control Panel'!AC$600*'1.1 Control Panel'!AC610)</f>
        <v>80</v>
      </c>
      <c r="AD171" s="20">
        <f>MIN('3.1 Market'!$H162,'1.1 Control Panel'!AD$600*'1.1 Control Panel'!AD610)</f>
        <v>80</v>
      </c>
      <c r="AE171" s="20">
        <f>MIN('3.1 Market'!$H162,'1.1 Control Panel'!AE$600*'1.1 Control Panel'!AE610)</f>
        <v>80</v>
      </c>
      <c r="AF171" s="20">
        <f>MIN('3.1 Market'!$H162,'1.1 Control Panel'!AF$600*'1.1 Control Panel'!AF610)</f>
        <v>80</v>
      </c>
      <c r="AG171" s="20">
        <f>MIN('3.1 Market'!$H162,'1.1 Control Panel'!AG$600*'1.1 Control Panel'!AG610)</f>
        <v>105</v>
      </c>
      <c r="AH171" s="20">
        <f>MIN('3.1 Market'!$H162,'1.1 Control Panel'!AH$600*'1.1 Control Panel'!AH610)</f>
        <v>105</v>
      </c>
      <c r="AI171" s="20">
        <f>MIN('3.1 Market'!$H162,'1.1 Control Panel'!AI$600*'1.1 Control Panel'!AI610)</f>
        <v>105</v>
      </c>
      <c r="AJ171" s="20">
        <f>MIN('3.1 Market'!$H162,'1.1 Control Panel'!AJ$600*'1.1 Control Panel'!AJ610)</f>
        <v>105</v>
      </c>
      <c r="AK171" s="20">
        <f>MIN('3.1 Market'!$H162,'1.1 Control Panel'!AK$600*'1.1 Control Panel'!AK610)</f>
        <v>130</v>
      </c>
      <c r="AL171" s="20">
        <f>MIN('3.1 Market'!$H162,'1.1 Control Panel'!AL$600*'1.1 Control Panel'!AL610)</f>
        <v>130</v>
      </c>
      <c r="AM171" s="20">
        <f>MIN('3.1 Market'!$H162,'1.1 Control Panel'!AM$600*'1.1 Control Panel'!AM610)</f>
        <v>130</v>
      </c>
      <c r="AN171" s="20">
        <f>MIN('3.1 Market'!$H162,'1.1 Control Panel'!AN$600*'1.1 Control Panel'!AN610)</f>
        <v>130</v>
      </c>
      <c r="AP171" s="20"/>
    </row>
    <row r="172" spans="2:42" x14ac:dyDescent="0.25">
      <c r="C172" s="20" t="s">
        <v>392</v>
      </c>
      <c r="D172" s="34" t="s">
        <v>162</v>
      </c>
      <c r="E172" s="20">
        <f>MIN('3.1 Market'!$F163,'1.1 Control Panel'!E$600*'1.1 Control Panel'!E611)</f>
        <v>8</v>
      </c>
      <c r="F172" s="20">
        <f>MIN('3.1 Market'!$F163,'1.1 Control Panel'!F$600*'1.1 Control Panel'!F611)</f>
        <v>8.4</v>
      </c>
      <c r="G172" s="20">
        <f>MIN('3.1 Market'!$F163,'1.1 Control Panel'!G$600*'1.1 Control Panel'!G611)</f>
        <v>4.3600000000000003</v>
      </c>
      <c r="H172" s="20">
        <f>MIN('3.1 Market'!$F163,'1.1 Control Panel'!H$600*'1.1 Control Panel'!H611)</f>
        <v>4.4880000000000004</v>
      </c>
      <c r="I172" s="20">
        <f>MIN('3.1 Market'!$F163,'1.1 Control Panel'!I$600*'1.1 Control Panel'!I611)</f>
        <v>9.1808000000000014</v>
      </c>
      <c r="J172" s="20">
        <f>MIN('3.1 Market'!$F163,'1.1 Control Panel'!J$600*'1.1 Control Panel'!J611)</f>
        <v>9.3446400000000018</v>
      </c>
      <c r="K172" s="20">
        <f>MIN('3.1 Market'!$F163,'1.1 Control Panel'!K$600*'1.1 Control Panel'!K611)</f>
        <v>9.4757120000000015</v>
      </c>
      <c r="L172" s="20">
        <f>MIN('3.1 Market'!$F163,'1.1 Control Panel'!L$600*'1.1 Control Panel'!L611)</f>
        <v>9.5805696000000005</v>
      </c>
      <c r="M172" s="20">
        <f>MIN('3.1 Market'!$F163,'1.1 Control Panel'!M$600*'1.1 Control Panel'!M611)</f>
        <v>19.328911359999999</v>
      </c>
      <c r="N172" s="20">
        <f>MIN('3.1 Market'!$F163,'1.1 Control Panel'!N$600*'1.1 Control Panel'!N611)</f>
        <v>24.328911360000003</v>
      </c>
      <c r="O172" s="20">
        <f>MIN('3.1 Market'!$F163,'1.1 Control Panel'!O$600*'1.1 Control Panel'!O611)</f>
        <v>29.355754905600005</v>
      </c>
      <c r="P172" s="20">
        <f>MIN('3.1 Market'!$F163,'1.1 Control Panel'!P$600*'1.1 Control Panel'!P611)</f>
        <v>34.39870457856</v>
      </c>
      <c r="Q172" s="20">
        <f>MIN('3.1 Market'!$G163,'1.1 Control Panel'!Q$600*'1.1 Control Panel'!Q611)</f>
        <v>39.450244186112002</v>
      </c>
      <c r="R172" s="20">
        <f>MIN('3.1 Market'!$G163,'1.1 Control Panel'!R$600*'1.1 Control Panel'!R611)</f>
        <v>39.560195348889607</v>
      </c>
      <c r="S172" s="20">
        <f>MIN('3.1 Market'!$G163,'1.1 Control Panel'!S$600*'1.1 Control Panel'!S611)</f>
        <v>39.648156279111689</v>
      </c>
      <c r="T172" s="20">
        <f>MIN('3.1 Market'!$G163,'1.1 Control Panel'!T$600*'1.1 Control Panel'!T611)</f>
        <v>39.718525023289352</v>
      </c>
      <c r="U172" s="20">
        <f>MIN('3.1 Market'!$G163,'1.1 Control Panel'!U$600*'1.1 Control Panel'!U611)</f>
        <v>49.718525023289359</v>
      </c>
      <c r="V172" s="20">
        <f>MIN('3.1 Market'!$G163,'1.1 Control Panel'!V$600*'1.1 Control Panel'!V611)</f>
        <v>49.774820018631488</v>
      </c>
      <c r="W172" s="20">
        <f>MIN('3.1 Market'!$G163,'1.1 Control Panel'!W$600*'1.1 Control Panel'!W611)</f>
        <v>49.819856014905199</v>
      </c>
      <c r="X172" s="20">
        <f>MIN('3.1 Market'!$G163,'1.1 Control Panel'!X$600*'1.1 Control Panel'!X611)</f>
        <v>49.855884811924156</v>
      </c>
      <c r="Y172" s="20">
        <f>MIN('3.1 Market'!$G163,'1.1 Control Panel'!Y$600*'1.1 Control Panel'!Y611)</f>
        <v>54.873178634493257</v>
      </c>
      <c r="Z172" s="20">
        <f>MIN('3.1 Market'!$G163,'1.1 Control Panel'!Z$600*'1.1 Control Panel'!Z611)</f>
        <v>54.898542907594617</v>
      </c>
      <c r="AA172" s="20">
        <f>MIN('3.1 Market'!$G163,'1.1 Control Panel'!AA$600*'1.1 Control Panel'!AA611)</f>
        <v>54.918834326075697</v>
      </c>
      <c r="AB172" s="20">
        <f>MIN('3.1 Market'!$G163,'1.1 Control Panel'!AB$600*'1.1 Control Panel'!AB611)</f>
        <v>54.935067460860559</v>
      </c>
      <c r="AC172" s="20">
        <f>MIN('3.1 Market'!$H163,'1.1 Control Panel'!AC$600*'1.1 Control Panel'!AC611)</f>
        <v>79.924442136274109</v>
      </c>
      <c r="AD172" s="20">
        <f>MIN('3.1 Market'!$H163,'1.1 Control Panel'!AD$600*'1.1 Control Panel'!AD611)</f>
        <v>79.939553709019293</v>
      </c>
      <c r="AE172" s="20">
        <f>MIN('3.1 Market'!$H163,'1.1 Control Panel'!AE$600*'1.1 Control Panel'!AE611)</f>
        <v>79.951642967215435</v>
      </c>
      <c r="AF172" s="20">
        <f>MIN('3.1 Market'!$H163,'1.1 Control Panel'!AF$600*'1.1 Control Panel'!AF611)</f>
        <v>79.961314373772353</v>
      </c>
      <c r="AG172" s="20">
        <f>MIN('3.1 Market'!$H163,'1.1 Control Panel'!AG$600*'1.1 Control Panel'!AG611)</f>
        <v>104.95938009246099</v>
      </c>
      <c r="AH172" s="20">
        <f>MIN('3.1 Market'!$H163,'1.1 Control Panel'!AH$600*'1.1 Control Panel'!AH611)</f>
        <v>104.96750407396878</v>
      </c>
      <c r="AI172" s="20">
        <f>MIN('3.1 Market'!$H163,'1.1 Control Panel'!AI$600*'1.1 Control Panel'!AI611)</f>
        <v>104.97400325917503</v>
      </c>
      <c r="AJ172" s="20">
        <f>MIN('3.1 Market'!$H163,'1.1 Control Panel'!AJ$600*'1.1 Control Panel'!AJ611)</f>
        <v>104.97920260734001</v>
      </c>
      <c r="AK172" s="20">
        <f>MIN('3.1 Market'!$H163,'1.1 Control Panel'!AK$600*'1.1 Control Panel'!AK611)</f>
        <v>129.97940067774633</v>
      </c>
      <c r="AL172" s="20">
        <f>MIN('3.1 Market'!$H163,'1.1 Control Panel'!AL$600*'1.1 Control Panel'!AL611)</f>
        <v>129.98352054219706</v>
      </c>
      <c r="AM172" s="20">
        <f>MIN('3.1 Market'!$H163,'1.1 Control Panel'!AM$600*'1.1 Control Panel'!AM611)</f>
        <v>129.98681643375764</v>
      </c>
      <c r="AN172" s="20">
        <f>MIN('3.1 Market'!$H163,'1.1 Control Panel'!AN$600*'1.1 Control Panel'!AN611)</f>
        <v>129.98945314700609</v>
      </c>
      <c r="AP172" s="20"/>
    </row>
    <row r="173" spans="2:42" x14ac:dyDescent="0.25">
      <c r="C173" s="20" t="s">
        <v>454</v>
      </c>
      <c r="D173" s="34" t="s">
        <v>162</v>
      </c>
      <c r="E173" s="20">
        <f>MIN('3.1 Market'!$F164,'1.1 Control Panel'!E$600*'1.1 Control Panel'!E612)</f>
        <v>6</v>
      </c>
      <c r="F173" s="20">
        <f>MIN('3.1 Market'!$F164,'1.1 Control Panel'!F$600*'1.1 Control Panel'!F612)</f>
        <v>6.8000000000000007</v>
      </c>
      <c r="G173" s="20">
        <f>MIN('3.1 Market'!$F164,'1.1 Control Panel'!G$600*'1.1 Control Panel'!G612)</f>
        <v>3.7200000000000006</v>
      </c>
      <c r="H173" s="20">
        <f>MIN('3.1 Market'!$F164,'1.1 Control Panel'!H$600*'1.1 Control Panel'!H612)</f>
        <v>3.9760000000000009</v>
      </c>
      <c r="I173" s="20">
        <f>MIN('3.1 Market'!$F164,'1.1 Control Panel'!I$600*'1.1 Control Panel'!I612)</f>
        <v>8.3616000000000028</v>
      </c>
      <c r="J173" s="20">
        <f>MIN('3.1 Market'!$F164,'1.1 Control Panel'!J$600*'1.1 Control Panel'!J612)</f>
        <v>8.6892800000000037</v>
      </c>
      <c r="K173" s="20">
        <f>MIN('3.1 Market'!$F164,'1.1 Control Panel'!K$600*'1.1 Control Panel'!K612)</f>
        <v>8.9514240000000029</v>
      </c>
      <c r="L173" s="20">
        <f>MIN('3.1 Market'!$F164,'1.1 Control Panel'!L$600*'1.1 Control Panel'!L612)</f>
        <v>9.1611392000000027</v>
      </c>
      <c r="M173" s="20">
        <f>MIN('3.1 Market'!$F164,'1.1 Control Panel'!M$600*'1.1 Control Panel'!M612)</f>
        <v>18.657822720000006</v>
      </c>
      <c r="N173" s="20">
        <f>MIN('3.1 Market'!$F164,'1.1 Control Panel'!N$600*'1.1 Control Panel'!N612)</f>
        <v>23.657822720000006</v>
      </c>
      <c r="O173" s="20">
        <f>MIN('3.1 Market'!$F164,'1.1 Control Panel'!O$600*'1.1 Control Panel'!O612)</f>
        <v>28.71150981120001</v>
      </c>
      <c r="P173" s="20">
        <f>MIN('3.1 Market'!$F164,'1.1 Control Panel'!P$600*'1.1 Control Panel'!P612)</f>
        <v>33.797409157120008</v>
      </c>
      <c r="Q173" s="20">
        <f>MIN('3.1 Market'!$G164,'1.1 Control Panel'!Q$600*'1.1 Control Panel'!Q612)</f>
        <v>38.900488372224011</v>
      </c>
      <c r="R173" s="20">
        <f>MIN('3.1 Market'!$G164,'1.1 Control Panel'!R$600*'1.1 Control Panel'!R612)</f>
        <v>39.120390697779214</v>
      </c>
      <c r="S173" s="20">
        <f>MIN('3.1 Market'!$G164,'1.1 Control Panel'!S$600*'1.1 Control Panel'!S612)</f>
        <v>39.296312558223377</v>
      </c>
      <c r="T173" s="20">
        <f>MIN('3.1 Market'!$G164,'1.1 Control Panel'!T$600*'1.1 Control Panel'!T612)</f>
        <v>39.437050046578705</v>
      </c>
      <c r="U173" s="20">
        <f>MIN('3.1 Market'!$G164,'1.1 Control Panel'!U$600*'1.1 Control Panel'!U612)</f>
        <v>49.437050046578705</v>
      </c>
      <c r="V173" s="20">
        <f>MIN('3.1 Market'!$G164,'1.1 Control Panel'!V$600*'1.1 Control Panel'!V612)</f>
        <v>49.549640037262961</v>
      </c>
      <c r="W173" s="20">
        <f>MIN('3.1 Market'!$G164,'1.1 Control Panel'!W$600*'1.1 Control Panel'!W612)</f>
        <v>49.639712029810369</v>
      </c>
      <c r="X173" s="20">
        <f>MIN('3.1 Market'!$G164,'1.1 Control Panel'!X$600*'1.1 Control Panel'!X612)</f>
        <v>49.711769623848298</v>
      </c>
      <c r="Y173" s="20">
        <f>MIN('3.1 Market'!$G164,'1.1 Control Panel'!Y$600*'1.1 Control Panel'!Y612)</f>
        <v>54.746357268986493</v>
      </c>
      <c r="Z173" s="20">
        <f>MIN('3.1 Market'!$G164,'1.1 Control Panel'!Z$600*'1.1 Control Panel'!Z612)</f>
        <v>54.797085815189199</v>
      </c>
      <c r="AA173" s="20">
        <f>MIN('3.1 Market'!$G164,'1.1 Control Panel'!AA$600*'1.1 Control Panel'!AA612)</f>
        <v>54.837668652151358</v>
      </c>
      <c r="AB173" s="20">
        <f>MIN('3.1 Market'!$G164,'1.1 Control Panel'!AB$600*'1.1 Control Panel'!AB612)</f>
        <v>54.870134921721096</v>
      </c>
      <c r="AC173" s="20">
        <f>MIN('3.1 Market'!$H164,'1.1 Control Panel'!AC$600*'1.1 Control Panel'!AC612)</f>
        <v>79.84888427254819</v>
      </c>
      <c r="AD173" s="20">
        <f>MIN('3.1 Market'!$H164,'1.1 Control Panel'!AD$600*'1.1 Control Panel'!AD612)</f>
        <v>79.879107418038558</v>
      </c>
      <c r="AE173" s="20">
        <f>MIN('3.1 Market'!$H164,'1.1 Control Panel'!AE$600*'1.1 Control Panel'!AE612)</f>
        <v>79.903285934430841</v>
      </c>
      <c r="AF173" s="20">
        <f>MIN('3.1 Market'!$H164,'1.1 Control Panel'!AF$600*'1.1 Control Panel'!AF612)</f>
        <v>79.922628747544678</v>
      </c>
      <c r="AG173" s="20">
        <f>MIN('3.1 Market'!$H164,'1.1 Control Panel'!AG$600*'1.1 Control Panel'!AG612)</f>
        <v>104.91876018492192</v>
      </c>
      <c r="AH173" s="20">
        <f>MIN('3.1 Market'!$H164,'1.1 Control Panel'!AH$600*'1.1 Control Panel'!AH612)</f>
        <v>104.93500814793752</v>
      </c>
      <c r="AI173" s="20">
        <f>MIN('3.1 Market'!$H164,'1.1 Control Panel'!AI$600*'1.1 Control Panel'!AI612)</f>
        <v>104.94800651835001</v>
      </c>
      <c r="AJ173" s="20">
        <f>MIN('3.1 Market'!$H164,'1.1 Control Panel'!AJ$600*'1.1 Control Panel'!AJ612)</f>
        <v>104.95840521468003</v>
      </c>
      <c r="AK173" s="20">
        <f>MIN('3.1 Market'!$H164,'1.1 Control Panel'!AK$600*'1.1 Control Panel'!AK612)</f>
        <v>129.9588013554926</v>
      </c>
      <c r="AL173" s="20">
        <f>MIN('3.1 Market'!$H164,'1.1 Control Panel'!AL$600*'1.1 Control Panel'!AL612)</f>
        <v>129.96704108439405</v>
      </c>
      <c r="AM173" s="20">
        <f>MIN('3.1 Market'!$H164,'1.1 Control Panel'!AM$600*'1.1 Control Panel'!AM612)</f>
        <v>129.97363286751528</v>
      </c>
      <c r="AN173" s="20">
        <f>MIN('3.1 Market'!$H164,'1.1 Control Panel'!AN$600*'1.1 Control Panel'!AN612)</f>
        <v>129.97890629401223</v>
      </c>
      <c r="AP173" s="20"/>
    </row>
    <row r="174" spans="2:42" x14ac:dyDescent="0.25">
      <c r="C174" s="21" t="s">
        <v>455</v>
      </c>
      <c r="D174" s="38" t="s">
        <v>162</v>
      </c>
      <c r="E174" s="21">
        <f>MIN('3.1 Market'!$F165,'1.1 Control Panel'!E$600*'1.1 Control Panel'!E613)</f>
        <v>4</v>
      </c>
      <c r="F174" s="21">
        <f>MIN('3.1 Market'!$F165,'1.1 Control Panel'!F$600*'1.1 Control Panel'!F613)</f>
        <v>5.2</v>
      </c>
      <c r="G174" s="21">
        <f>MIN('3.1 Market'!$F165,'1.1 Control Panel'!G$600*'1.1 Control Panel'!G613)</f>
        <v>3.08</v>
      </c>
      <c r="H174" s="21">
        <f>MIN('3.1 Market'!$F165,'1.1 Control Panel'!H$600*'1.1 Control Panel'!H613)</f>
        <v>3.4640000000000004</v>
      </c>
      <c r="I174" s="21">
        <f>MIN('3.1 Market'!$F165,'1.1 Control Panel'!I$600*'1.1 Control Panel'!I613)</f>
        <v>7.5424000000000007</v>
      </c>
      <c r="J174" s="21">
        <f>MIN('3.1 Market'!$F165,'1.1 Control Panel'!J$600*'1.1 Control Panel'!J613)</f>
        <v>8.0339200000000019</v>
      </c>
      <c r="K174" s="21">
        <f>MIN('3.1 Market'!$F165,'1.1 Control Panel'!K$600*'1.1 Control Panel'!K613)</f>
        <v>8.4271360000000008</v>
      </c>
      <c r="L174" s="21">
        <f>MIN('3.1 Market'!$F165,'1.1 Control Panel'!L$600*'1.1 Control Panel'!L613)</f>
        <v>8.7417088000000014</v>
      </c>
      <c r="M174" s="21">
        <f>MIN('3.1 Market'!$F165,'1.1 Control Panel'!M$600*'1.1 Control Panel'!M613)</f>
        <v>17.986734080000005</v>
      </c>
      <c r="N174" s="21">
        <f>MIN('3.1 Market'!$F165,'1.1 Control Panel'!N$600*'1.1 Control Panel'!N613)</f>
        <v>22.986734080000009</v>
      </c>
      <c r="O174" s="21">
        <f>MIN('3.1 Market'!$F165,'1.1 Control Panel'!O$600*'1.1 Control Panel'!O613)</f>
        <v>28.067264716800011</v>
      </c>
      <c r="P174" s="21">
        <f>MIN('3.1 Market'!$F165,'1.1 Control Panel'!P$600*'1.1 Control Panel'!P613)</f>
        <v>33.196113735680008</v>
      </c>
      <c r="Q174" s="21">
        <f>MIN('3.1 Market'!$G165,'1.1 Control Panel'!Q$600*'1.1 Control Panel'!Q613)</f>
        <v>38.350732558336006</v>
      </c>
      <c r="R174" s="21">
        <f>MIN('3.1 Market'!$G165,'1.1 Control Panel'!R$600*'1.1 Control Panel'!R613)</f>
        <v>38.680586046668807</v>
      </c>
      <c r="S174" s="21">
        <f>MIN('3.1 Market'!$G165,'1.1 Control Panel'!S$600*'1.1 Control Panel'!S613)</f>
        <v>38.944468837335052</v>
      </c>
      <c r="T174" s="21">
        <f>MIN('3.1 Market'!$G165,'1.1 Control Panel'!T$600*'1.1 Control Panel'!T613)</f>
        <v>39.155575069868043</v>
      </c>
      <c r="U174" s="21">
        <f>MIN('3.1 Market'!$G165,'1.1 Control Panel'!U$600*'1.1 Control Panel'!U613)</f>
        <v>49.155575069868043</v>
      </c>
      <c r="V174" s="21">
        <f>MIN('3.1 Market'!$G165,'1.1 Control Panel'!V$600*'1.1 Control Panel'!V613)</f>
        <v>49.324460055894441</v>
      </c>
      <c r="W174" s="21">
        <f>MIN('3.1 Market'!$G165,'1.1 Control Panel'!W$600*'1.1 Control Panel'!W613)</f>
        <v>49.459568044715553</v>
      </c>
      <c r="X174" s="21">
        <f>MIN('3.1 Market'!$G165,'1.1 Control Panel'!X$600*'1.1 Control Panel'!X613)</f>
        <v>49.56765443577244</v>
      </c>
      <c r="Y174" s="21">
        <f>MIN('3.1 Market'!$G165,'1.1 Control Panel'!Y$600*'1.1 Control Panel'!Y613)</f>
        <v>54.619535903479751</v>
      </c>
      <c r="Z174" s="21">
        <f>MIN('3.1 Market'!$G165,'1.1 Control Panel'!Z$600*'1.1 Control Panel'!Z613)</f>
        <v>54.695628722783802</v>
      </c>
      <c r="AA174" s="21">
        <f>MIN('3.1 Market'!$G165,'1.1 Control Panel'!AA$600*'1.1 Control Panel'!AA613)</f>
        <v>54.756502978227047</v>
      </c>
      <c r="AB174" s="21">
        <f>MIN('3.1 Market'!$G165,'1.1 Control Panel'!AB$600*'1.1 Control Panel'!AB613)</f>
        <v>54.805202382581641</v>
      </c>
      <c r="AC174" s="21">
        <f>MIN('3.1 Market'!$H165,'1.1 Control Panel'!AC$600*'1.1 Control Panel'!AC613)</f>
        <v>79.773326408822271</v>
      </c>
      <c r="AD174" s="21">
        <f>MIN('3.1 Market'!$H165,'1.1 Control Panel'!AD$600*'1.1 Control Panel'!AD613)</f>
        <v>79.818661127057823</v>
      </c>
      <c r="AE174" s="21">
        <f>MIN('3.1 Market'!$H165,'1.1 Control Panel'!AE$600*'1.1 Control Panel'!AE613)</f>
        <v>79.854928901646261</v>
      </c>
      <c r="AF174" s="21">
        <f>MIN('3.1 Market'!$H165,'1.1 Control Panel'!AF$600*'1.1 Control Panel'!AF613)</f>
        <v>79.883943121317003</v>
      </c>
      <c r="AG174" s="21">
        <f>MIN('3.1 Market'!$H165,'1.1 Control Panel'!AG$600*'1.1 Control Panel'!AG613)</f>
        <v>104.87814027738284</v>
      </c>
      <c r="AH174" s="21">
        <f>MIN('3.1 Market'!$H165,'1.1 Control Panel'!AH$600*'1.1 Control Panel'!AH613)</f>
        <v>104.90251222190626</v>
      </c>
      <c r="AI174" s="21">
        <f>MIN('3.1 Market'!$H165,'1.1 Control Panel'!AI$600*'1.1 Control Panel'!AI613)</f>
        <v>104.92200977752503</v>
      </c>
      <c r="AJ174" s="21">
        <f>MIN('3.1 Market'!$H165,'1.1 Control Panel'!AJ$600*'1.1 Control Panel'!AJ613)</f>
        <v>104.93760782202003</v>
      </c>
      <c r="AK174" s="21">
        <f>MIN('3.1 Market'!$H165,'1.1 Control Panel'!AK$600*'1.1 Control Panel'!AK613)</f>
        <v>129.93820203323889</v>
      </c>
      <c r="AL174" s="21">
        <f>MIN('3.1 Market'!$H165,'1.1 Control Panel'!AL$600*'1.1 Control Panel'!AL613)</f>
        <v>129.95056162659111</v>
      </c>
      <c r="AM174" s="21">
        <f>MIN('3.1 Market'!$H165,'1.1 Control Panel'!AM$600*'1.1 Control Panel'!AM613)</f>
        <v>129.96044930127292</v>
      </c>
      <c r="AN174" s="21">
        <f>MIN('3.1 Market'!$H165,'1.1 Control Panel'!AN$600*'1.1 Control Panel'!AN613)</f>
        <v>129.96835944101835</v>
      </c>
      <c r="AP174" s="21"/>
    </row>
    <row r="175" spans="2:42" x14ac:dyDescent="0.25">
      <c r="C175" s="21" t="s">
        <v>393</v>
      </c>
      <c r="D175" s="38" t="s">
        <v>162</v>
      </c>
      <c r="E175" s="21">
        <f>MIN('3.1 Market'!$F166,'1.1 Control Panel'!E$600*'1.1 Control Panel'!E614)</f>
        <v>2</v>
      </c>
      <c r="F175" s="21">
        <f>MIN('3.1 Market'!$F166,'1.1 Control Panel'!F$600*'1.1 Control Panel'!F614)</f>
        <v>3.6</v>
      </c>
      <c r="G175" s="21">
        <f>MIN('3.1 Market'!$F166,'1.1 Control Panel'!G$600*'1.1 Control Panel'!G614)</f>
        <v>2.4400000000000004</v>
      </c>
      <c r="H175" s="21">
        <f>MIN('3.1 Market'!$F166,'1.1 Control Panel'!H$600*'1.1 Control Panel'!H614)</f>
        <v>2.9520000000000004</v>
      </c>
      <c r="I175" s="21">
        <f>MIN('3.1 Market'!$F166,'1.1 Control Panel'!I$600*'1.1 Control Panel'!I614)</f>
        <v>6.7232000000000012</v>
      </c>
      <c r="J175" s="21">
        <f>MIN('3.1 Market'!$F166,'1.1 Control Panel'!J$600*'1.1 Control Panel'!J614)</f>
        <v>7.3785600000000011</v>
      </c>
      <c r="K175" s="21">
        <f>MIN('3.1 Market'!$F166,'1.1 Control Panel'!K$600*'1.1 Control Panel'!K614)</f>
        <v>7.9028480000000014</v>
      </c>
      <c r="L175" s="21">
        <f>MIN('3.1 Market'!$F166,'1.1 Control Panel'!L$600*'1.1 Control Panel'!L614)</f>
        <v>8.3222784000000019</v>
      </c>
      <c r="M175" s="21">
        <f>MIN('3.1 Market'!$F166,'1.1 Control Panel'!M$600*'1.1 Control Panel'!M614)</f>
        <v>17.315645440000004</v>
      </c>
      <c r="N175" s="21">
        <f>MIN('3.1 Market'!$F166,'1.1 Control Panel'!N$600*'1.1 Control Panel'!N614)</f>
        <v>22.315645440000004</v>
      </c>
      <c r="O175" s="21">
        <f>MIN('3.1 Market'!$F166,'1.1 Control Panel'!O$600*'1.1 Control Panel'!O614)</f>
        <v>27.423019622400005</v>
      </c>
      <c r="P175" s="21">
        <f>MIN('3.1 Market'!$F166,'1.1 Control Panel'!P$600*'1.1 Control Panel'!P614)</f>
        <v>32.594818314240008</v>
      </c>
      <c r="Q175" s="21">
        <f>MIN('3.1 Market'!$G166,'1.1 Control Panel'!Q$600*'1.1 Control Panel'!Q614)</f>
        <v>37.800976744448008</v>
      </c>
      <c r="R175" s="21">
        <f>MIN('3.1 Market'!$G166,'1.1 Control Panel'!R$600*'1.1 Control Panel'!R614)</f>
        <v>38.240781395558407</v>
      </c>
      <c r="S175" s="21">
        <f>MIN('3.1 Market'!$G166,'1.1 Control Panel'!S$600*'1.1 Control Panel'!S614)</f>
        <v>38.592625116446726</v>
      </c>
      <c r="T175" s="21">
        <f>MIN('3.1 Market'!$G166,'1.1 Control Panel'!T$600*'1.1 Control Panel'!T614)</f>
        <v>38.874100093157381</v>
      </c>
      <c r="U175" s="21">
        <f>MIN('3.1 Market'!$G166,'1.1 Control Panel'!U$600*'1.1 Control Panel'!U614)</f>
        <v>48.874100093157381</v>
      </c>
      <c r="V175" s="21">
        <f>MIN('3.1 Market'!$G166,'1.1 Control Panel'!V$600*'1.1 Control Panel'!V614)</f>
        <v>49.099280074525907</v>
      </c>
      <c r="W175" s="21">
        <f>MIN('3.1 Market'!$G166,'1.1 Control Panel'!W$600*'1.1 Control Panel'!W614)</f>
        <v>49.279424059620723</v>
      </c>
      <c r="X175" s="21">
        <f>MIN('3.1 Market'!$G166,'1.1 Control Panel'!X$600*'1.1 Control Panel'!X614)</f>
        <v>49.423539247696588</v>
      </c>
      <c r="Y175" s="21">
        <f>MIN('3.1 Market'!$G166,'1.1 Control Panel'!Y$600*'1.1 Control Panel'!Y614)</f>
        <v>54.492714537973001</v>
      </c>
      <c r="Z175" s="21">
        <f>MIN('3.1 Market'!$G166,'1.1 Control Panel'!Z$600*'1.1 Control Panel'!Z614)</f>
        <v>54.594171630378398</v>
      </c>
      <c r="AA175" s="21">
        <f>MIN('3.1 Market'!$G166,'1.1 Control Panel'!AA$600*'1.1 Control Panel'!AA614)</f>
        <v>54.675337304302722</v>
      </c>
      <c r="AB175" s="21">
        <f>MIN('3.1 Market'!$G166,'1.1 Control Panel'!AB$600*'1.1 Control Panel'!AB614)</f>
        <v>54.740269843442171</v>
      </c>
      <c r="AC175" s="21">
        <f>MIN('3.1 Market'!$H166,'1.1 Control Panel'!AC$600*'1.1 Control Panel'!AC614)</f>
        <v>79.697768545096352</v>
      </c>
      <c r="AD175" s="21">
        <f>MIN('3.1 Market'!$H166,'1.1 Control Panel'!AD$600*'1.1 Control Panel'!AD614)</f>
        <v>79.758214836077087</v>
      </c>
      <c r="AE175" s="21">
        <f>MIN('3.1 Market'!$H166,'1.1 Control Panel'!AE$600*'1.1 Control Panel'!AE614)</f>
        <v>79.806571868861681</v>
      </c>
      <c r="AF175" s="21">
        <f>MIN('3.1 Market'!$H166,'1.1 Control Panel'!AF$600*'1.1 Control Panel'!AF614)</f>
        <v>79.845257495089356</v>
      </c>
      <c r="AG175" s="21">
        <f>MIN('3.1 Market'!$H166,'1.1 Control Panel'!AG$600*'1.1 Control Panel'!AG614)</f>
        <v>104.83752036984383</v>
      </c>
      <c r="AH175" s="21">
        <f>MIN('3.1 Market'!$H166,'1.1 Control Panel'!AH$600*'1.1 Control Panel'!AH614)</f>
        <v>104.87001629587508</v>
      </c>
      <c r="AI175" s="21">
        <f>MIN('3.1 Market'!$H166,'1.1 Control Panel'!AI$600*'1.1 Control Panel'!AI614)</f>
        <v>104.89601303670005</v>
      </c>
      <c r="AJ175" s="21">
        <f>MIN('3.1 Market'!$H166,'1.1 Control Panel'!AJ$600*'1.1 Control Panel'!AJ614)</f>
        <v>104.91681042936005</v>
      </c>
      <c r="AK175" s="21">
        <f>MIN('3.1 Market'!$H166,'1.1 Control Panel'!AK$600*'1.1 Control Panel'!AK614)</f>
        <v>129.91760271098522</v>
      </c>
      <c r="AL175" s="21">
        <f>MIN('3.1 Market'!$H166,'1.1 Control Panel'!AL$600*'1.1 Control Panel'!AL614)</f>
        <v>129.93408216878817</v>
      </c>
      <c r="AM175" s="21">
        <f>MIN('3.1 Market'!$H166,'1.1 Control Panel'!AM$600*'1.1 Control Panel'!AM614)</f>
        <v>129.94726573503056</v>
      </c>
      <c r="AN175" s="21">
        <f>MIN('3.1 Market'!$H166,'1.1 Control Panel'!AN$600*'1.1 Control Panel'!AN614)</f>
        <v>129.95781258802444</v>
      </c>
      <c r="AP175" s="21"/>
    </row>
    <row r="176" spans="2:42" x14ac:dyDescent="0.25">
      <c r="C176" s="21" t="s">
        <v>456</v>
      </c>
      <c r="D176" s="38" t="s">
        <v>162</v>
      </c>
      <c r="E176" s="21">
        <f>MIN('3.1 Market'!$F167,'1.1 Control Panel'!E$600*'1.1 Control Panel'!E615)</f>
        <v>0</v>
      </c>
      <c r="F176" s="21">
        <f>MIN('3.1 Market'!$F167,'1.1 Control Panel'!F$600*'1.1 Control Panel'!F615)</f>
        <v>2</v>
      </c>
      <c r="G176" s="21">
        <f>MIN('3.1 Market'!$F167,'1.1 Control Panel'!G$600*'1.1 Control Panel'!G615)</f>
        <v>1.8</v>
      </c>
      <c r="H176" s="21">
        <f>MIN('3.1 Market'!$F167,'1.1 Control Panel'!H$600*'1.1 Control Panel'!H615)</f>
        <v>2.4400000000000004</v>
      </c>
      <c r="I176" s="21">
        <f>MIN('3.1 Market'!$F167,'1.1 Control Panel'!I$600*'1.1 Control Panel'!I615)</f>
        <v>5.9040000000000008</v>
      </c>
      <c r="J176" s="21">
        <f>MIN('3.1 Market'!$F167,'1.1 Control Panel'!J$600*'1.1 Control Panel'!J615)</f>
        <v>6.7232000000000012</v>
      </c>
      <c r="K176" s="21">
        <f>MIN('3.1 Market'!$F167,'1.1 Control Panel'!K$600*'1.1 Control Panel'!K615)</f>
        <v>7.3785600000000011</v>
      </c>
      <c r="L176" s="21">
        <f>MIN('3.1 Market'!$F167,'1.1 Control Panel'!L$600*'1.1 Control Panel'!L615)</f>
        <v>7.9028480000000014</v>
      </c>
      <c r="M176" s="21">
        <f>MIN('3.1 Market'!$F167,'1.1 Control Panel'!M$600*'1.1 Control Panel'!M615)</f>
        <v>16.644556800000004</v>
      </c>
      <c r="N176" s="21">
        <f>MIN('3.1 Market'!$F167,'1.1 Control Panel'!N$600*'1.1 Control Panel'!N615)</f>
        <v>21.644556800000004</v>
      </c>
      <c r="O176" s="21">
        <f>MIN('3.1 Market'!$F167,'1.1 Control Panel'!O$600*'1.1 Control Panel'!O615)</f>
        <v>26.778774528000003</v>
      </c>
      <c r="P176" s="21">
        <f>MIN('3.1 Market'!$F167,'1.1 Control Panel'!P$600*'1.1 Control Panel'!P615)</f>
        <v>31.993522892800005</v>
      </c>
      <c r="Q176" s="21">
        <f>MIN('3.1 Market'!$G167,'1.1 Control Panel'!Q$600*'1.1 Control Panel'!Q615)</f>
        <v>37.251220930560009</v>
      </c>
      <c r="R176" s="21">
        <f>MIN('3.1 Market'!$G167,'1.1 Control Panel'!R$600*'1.1 Control Panel'!R615)</f>
        <v>37.800976744448008</v>
      </c>
      <c r="S176" s="21">
        <f>MIN('3.1 Market'!$G167,'1.1 Control Panel'!S$600*'1.1 Control Panel'!S615)</f>
        <v>38.240781395558407</v>
      </c>
      <c r="T176" s="21">
        <f>MIN('3.1 Market'!$G167,'1.1 Control Panel'!T$600*'1.1 Control Panel'!T615)</f>
        <v>38.592625116446726</v>
      </c>
      <c r="U176" s="21">
        <f>MIN('3.1 Market'!$G167,'1.1 Control Panel'!U$600*'1.1 Control Panel'!U615)</f>
        <v>48.592625116446726</v>
      </c>
      <c r="V176" s="21">
        <f>MIN('3.1 Market'!$G167,'1.1 Control Panel'!V$600*'1.1 Control Panel'!V615)</f>
        <v>48.874100093157381</v>
      </c>
      <c r="W176" s="21">
        <f>MIN('3.1 Market'!$G167,'1.1 Control Panel'!W$600*'1.1 Control Panel'!W615)</f>
        <v>49.099280074525907</v>
      </c>
      <c r="X176" s="21">
        <f>MIN('3.1 Market'!$G167,'1.1 Control Panel'!X$600*'1.1 Control Panel'!X615)</f>
        <v>49.279424059620723</v>
      </c>
      <c r="Y176" s="21">
        <f>MIN('3.1 Market'!$G167,'1.1 Control Panel'!Y$600*'1.1 Control Panel'!Y615)</f>
        <v>54.365893172466244</v>
      </c>
      <c r="Z176" s="21">
        <f>MIN('3.1 Market'!$G167,'1.1 Control Panel'!Z$600*'1.1 Control Panel'!Z615)</f>
        <v>54.492714537973001</v>
      </c>
      <c r="AA176" s="21">
        <f>MIN('3.1 Market'!$G167,'1.1 Control Panel'!AA$600*'1.1 Control Panel'!AA615)</f>
        <v>54.594171630378398</v>
      </c>
      <c r="AB176" s="21">
        <f>MIN('3.1 Market'!$G167,'1.1 Control Panel'!AB$600*'1.1 Control Panel'!AB615)</f>
        <v>54.675337304302722</v>
      </c>
      <c r="AC176" s="21">
        <f>MIN('3.1 Market'!$H167,'1.1 Control Panel'!AC$600*'1.1 Control Panel'!AC615)</f>
        <v>79.622210681370433</v>
      </c>
      <c r="AD176" s="21">
        <f>MIN('3.1 Market'!$H167,'1.1 Control Panel'!AD$600*'1.1 Control Panel'!AD615)</f>
        <v>79.697768545096352</v>
      </c>
      <c r="AE176" s="21">
        <f>MIN('3.1 Market'!$H167,'1.1 Control Panel'!AE$600*'1.1 Control Panel'!AE615)</f>
        <v>79.758214836077087</v>
      </c>
      <c r="AF176" s="21">
        <f>MIN('3.1 Market'!$H167,'1.1 Control Panel'!AF$600*'1.1 Control Panel'!AF615)</f>
        <v>79.806571868861681</v>
      </c>
      <c r="AG176" s="21">
        <f>MIN('3.1 Market'!$H167,'1.1 Control Panel'!AG$600*'1.1 Control Panel'!AG615)</f>
        <v>104.79690046230478</v>
      </c>
      <c r="AH176" s="21">
        <f>MIN('3.1 Market'!$H167,'1.1 Control Panel'!AH$600*'1.1 Control Panel'!AH615)</f>
        <v>104.83752036984383</v>
      </c>
      <c r="AI176" s="21">
        <f>MIN('3.1 Market'!$H167,'1.1 Control Panel'!AI$600*'1.1 Control Panel'!AI615)</f>
        <v>104.87001629587508</v>
      </c>
      <c r="AJ176" s="21">
        <f>MIN('3.1 Market'!$H167,'1.1 Control Panel'!AJ$600*'1.1 Control Panel'!AJ615)</f>
        <v>104.89601303670005</v>
      </c>
      <c r="AK176" s="21">
        <f>MIN('3.1 Market'!$H167,'1.1 Control Panel'!AK$600*'1.1 Control Panel'!AK615)</f>
        <v>129.89700338873149</v>
      </c>
      <c r="AL176" s="21">
        <f>MIN('3.1 Market'!$H167,'1.1 Control Panel'!AL$600*'1.1 Control Panel'!AL615)</f>
        <v>129.91760271098522</v>
      </c>
      <c r="AM176" s="21">
        <f>MIN('3.1 Market'!$H167,'1.1 Control Panel'!AM$600*'1.1 Control Panel'!AM615)</f>
        <v>129.93408216878817</v>
      </c>
      <c r="AN176" s="21">
        <f>MIN('3.1 Market'!$H167,'1.1 Control Panel'!AN$600*'1.1 Control Panel'!AN615)</f>
        <v>129.94726573503056</v>
      </c>
      <c r="AP176" s="21"/>
    </row>
    <row r="177" spans="2:42" x14ac:dyDescent="0.25">
      <c r="B177" s="99" t="s">
        <v>9</v>
      </c>
      <c r="C177" s="105" t="str">
        <f>'4.2 Sector Mapping'!$B$15</f>
        <v>Entertainment and Recreation</v>
      </c>
      <c r="D177" s="106" t="s">
        <v>162</v>
      </c>
      <c r="E177" s="105">
        <f>SUM(E178:E183)</f>
        <v>0</v>
      </c>
      <c r="F177" s="105">
        <f t="shared" ref="F177:H177" si="113">SUM(F178:F183)</f>
        <v>0</v>
      </c>
      <c r="G177" s="105">
        <f t="shared" si="113"/>
        <v>0</v>
      </c>
      <c r="H177" s="105">
        <f t="shared" si="113"/>
        <v>0</v>
      </c>
      <c r="I177" s="105">
        <f t="shared" ref="I177:AN177" si="114">SUM(I178:I183)</f>
        <v>23.856000000000002</v>
      </c>
      <c r="J177" s="105">
        <f t="shared" si="114"/>
        <v>25.084800000000001</v>
      </c>
      <c r="K177" s="105">
        <f t="shared" si="114"/>
        <v>26.067840000000004</v>
      </c>
      <c r="L177" s="105">
        <f t="shared" si="114"/>
        <v>26.854272000000005</v>
      </c>
      <c r="M177" s="105">
        <f t="shared" si="114"/>
        <v>27.483417600000003</v>
      </c>
      <c r="N177" s="105">
        <f t="shared" si="114"/>
        <v>27.986734080000005</v>
      </c>
      <c r="O177" s="105">
        <f t="shared" si="114"/>
        <v>28.389387264000007</v>
      </c>
      <c r="P177" s="105">
        <f t="shared" si="114"/>
        <v>28.711509811200006</v>
      </c>
      <c r="Q177" s="105">
        <f t="shared" si="114"/>
        <v>57.938415697920007</v>
      </c>
      <c r="R177" s="105">
        <f t="shared" si="114"/>
        <v>58.350732558336013</v>
      </c>
      <c r="S177" s="105">
        <f t="shared" si="114"/>
        <v>58.680586046668807</v>
      </c>
      <c r="T177" s="105">
        <f t="shared" si="114"/>
        <v>58.944468837335052</v>
      </c>
      <c r="U177" s="105">
        <f t="shared" si="114"/>
        <v>88.733362604802068</v>
      </c>
      <c r="V177" s="105">
        <f t="shared" si="114"/>
        <v>88.986690083841665</v>
      </c>
      <c r="W177" s="105">
        <f t="shared" si="114"/>
        <v>89.18935206707333</v>
      </c>
      <c r="X177" s="105">
        <f t="shared" si="114"/>
        <v>89.351481653658652</v>
      </c>
      <c r="Y177" s="105">
        <f t="shared" si="114"/>
        <v>89.481185322926919</v>
      </c>
      <c r="Z177" s="105">
        <f t="shared" si="114"/>
        <v>89.584948258341541</v>
      </c>
      <c r="AA177" s="105">
        <f t="shared" si="114"/>
        <v>89.667958606673238</v>
      </c>
      <c r="AB177" s="105">
        <f t="shared" si="114"/>
        <v>89.734366885338602</v>
      </c>
      <c r="AC177" s="105">
        <f t="shared" si="114"/>
        <v>149.64582251378479</v>
      </c>
      <c r="AD177" s="105">
        <f t="shared" si="114"/>
        <v>149.71665801102785</v>
      </c>
      <c r="AE177" s="105">
        <f t="shared" si="114"/>
        <v>149.7733264088223</v>
      </c>
      <c r="AF177" s="105">
        <f t="shared" si="114"/>
        <v>149.81866112705782</v>
      </c>
      <c r="AG177" s="105">
        <f t="shared" si="114"/>
        <v>239.76788624263403</v>
      </c>
      <c r="AH177" s="105">
        <f t="shared" si="114"/>
        <v>239.81430899410725</v>
      </c>
      <c r="AI177" s="105">
        <f t="shared" si="114"/>
        <v>239.85144719528577</v>
      </c>
      <c r="AJ177" s="105">
        <f t="shared" si="114"/>
        <v>239.88115775622865</v>
      </c>
      <c r="AK177" s="105">
        <f t="shared" si="114"/>
        <v>299.88115775622867</v>
      </c>
      <c r="AL177" s="105">
        <f t="shared" si="114"/>
        <v>299.90492620498293</v>
      </c>
      <c r="AM177" s="105">
        <f t="shared" si="114"/>
        <v>299.92394096398641</v>
      </c>
      <c r="AN177" s="105">
        <f t="shared" si="114"/>
        <v>299.93915277118907</v>
      </c>
      <c r="AP177" s="105"/>
    </row>
    <row r="178" spans="2:42" x14ac:dyDescent="0.25">
      <c r="C178" s="20" t="s">
        <v>600</v>
      </c>
      <c r="D178" s="34" t="s">
        <v>162</v>
      </c>
      <c r="E178" s="20">
        <f>MIN('3.1 Market'!$F169,'1.1 Control Panel'!E$631*'1.1 Control Panel'!E641)</f>
        <v>0</v>
      </c>
      <c r="F178" s="20">
        <f>MIN('3.1 Market'!$F169,'1.1 Control Panel'!F$631*'1.1 Control Panel'!F641)</f>
        <v>0</v>
      </c>
      <c r="G178" s="20">
        <f>MIN('3.1 Market'!$F169,'1.1 Control Panel'!G$631*'1.1 Control Panel'!G641)</f>
        <v>0</v>
      </c>
      <c r="H178" s="20">
        <f>MIN('3.1 Market'!$F169,'1.1 Control Panel'!H$631*'1.1 Control Panel'!H641)</f>
        <v>0</v>
      </c>
      <c r="I178" s="20">
        <f>MIN('3.1 Market'!$F169,'1.1 Control Panel'!I$631*'1.1 Control Panel'!I641)</f>
        <v>5</v>
      </c>
      <c r="J178" s="20">
        <f>MIN('3.1 Market'!$F169,'1.1 Control Panel'!J$631*'1.1 Control Panel'!J641)</f>
        <v>5</v>
      </c>
      <c r="K178" s="20">
        <f>MIN('3.1 Market'!$F169,'1.1 Control Panel'!K$631*'1.1 Control Panel'!K641)</f>
        <v>5</v>
      </c>
      <c r="L178" s="20">
        <f>MIN('3.1 Market'!$F169,'1.1 Control Panel'!L$631*'1.1 Control Panel'!L641)</f>
        <v>5</v>
      </c>
      <c r="M178" s="20">
        <f>MIN('3.1 Market'!$F169,'1.1 Control Panel'!M$631*'1.1 Control Panel'!M641)</f>
        <v>5</v>
      </c>
      <c r="N178" s="20">
        <f>MIN('3.1 Market'!$F169,'1.1 Control Panel'!N$631*'1.1 Control Panel'!N641)</f>
        <v>5</v>
      </c>
      <c r="O178" s="20">
        <f>MIN('3.1 Market'!$F169,'1.1 Control Panel'!O$631*'1.1 Control Panel'!O641)</f>
        <v>5</v>
      </c>
      <c r="P178" s="20">
        <f>MIN('3.1 Market'!$F169,'1.1 Control Panel'!P$631*'1.1 Control Panel'!P641)</f>
        <v>5</v>
      </c>
      <c r="Q178" s="20">
        <f>MIN('3.1 Market'!$G169,'1.1 Control Panel'!Q$631*'1.1 Control Panel'!Q641)</f>
        <v>10</v>
      </c>
      <c r="R178" s="20">
        <f>MIN('3.1 Market'!$G169,'1.1 Control Panel'!R$631*'1.1 Control Panel'!R641)</f>
        <v>10</v>
      </c>
      <c r="S178" s="20">
        <f>MIN('3.1 Market'!$G169,'1.1 Control Panel'!S$631*'1.1 Control Panel'!S641)</f>
        <v>10</v>
      </c>
      <c r="T178" s="20">
        <f>MIN('3.1 Market'!$G169,'1.1 Control Panel'!T$631*'1.1 Control Panel'!T641)</f>
        <v>10</v>
      </c>
      <c r="U178" s="20">
        <f>MIN('3.1 Market'!$G169,'1.1 Control Panel'!U$631*'1.1 Control Panel'!U641)</f>
        <v>15</v>
      </c>
      <c r="V178" s="20">
        <f>MIN('3.1 Market'!$G169,'1.1 Control Panel'!V$631*'1.1 Control Panel'!V641)</f>
        <v>15</v>
      </c>
      <c r="W178" s="20">
        <f>MIN('3.1 Market'!$G169,'1.1 Control Panel'!W$631*'1.1 Control Panel'!W641)</f>
        <v>15</v>
      </c>
      <c r="X178" s="20">
        <f>MIN('3.1 Market'!$G169,'1.1 Control Panel'!X$631*'1.1 Control Panel'!X641)</f>
        <v>15</v>
      </c>
      <c r="Y178" s="20">
        <f>MIN('3.1 Market'!$G169,'1.1 Control Panel'!Y$631*'1.1 Control Panel'!Y641)</f>
        <v>15</v>
      </c>
      <c r="Z178" s="20">
        <f>MIN('3.1 Market'!$G169,'1.1 Control Panel'!Z$631*'1.1 Control Panel'!Z641)</f>
        <v>15</v>
      </c>
      <c r="AA178" s="20">
        <f>MIN('3.1 Market'!$G169,'1.1 Control Panel'!AA$631*'1.1 Control Panel'!AA641)</f>
        <v>15</v>
      </c>
      <c r="AB178" s="20">
        <f>MIN('3.1 Market'!$G169,'1.1 Control Panel'!AB$631*'1.1 Control Panel'!AB641)</f>
        <v>15</v>
      </c>
      <c r="AC178" s="20">
        <f>MIN('3.1 Market'!$H169,'1.1 Control Panel'!AC$631*'1.1 Control Panel'!AC641)</f>
        <v>25</v>
      </c>
      <c r="AD178" s="20">
        <f>MIN('3.1 Market'!$H169,'1.1 Control Panel'!AD$631*'1.1 Control Panel'!AD641)</f>
        <v>25</v>
      </c>
      <c r="AE178" s="20">
        <f>MIN('3.1 Market'!$H169,'1.1 Control Panel'!AE$631*'1.1 Control Panel'!AE641)</f>
        <v>25</v>
      </c>
      <c r="AF178" s="20">
        <f>MIN('3.1 Market'!$H169,'1.1 Control Panel'!AF$631*'1.1 Control Panel'!AF641)</f>
        <v>25</v>
      </c>
      <c r="AG178" s="20">
        <f>MIN('3.1 Market'!$H169,'1.1 Control Panel'!AG$631*'1.1 Control Panel'!AG641)</f>
        <v>40</v>
      </c>
      <c r="AH178" s="20">
        <f>MIN('3.1 Market'!$H169,'1.1 Control Panel'!AH$631*'1.1 Control Panel'!AH641)</f>
        <v>40</v>
      </c>
      <c r="AI178" s="20">
        <f>MIN('3.1 Market'!$H169,'1.1 Control Panel'!AI$631*'1.1 Control Panel'!AI641)</f>
        <v>40</v>
      </c>
      <c r="AJ178" s="20">
        <f>MIN('3.1 Market'!$H169,'1.1 Control Panel'!AJ$631*'1.1 Control Panel'!AJ641)</f>
        <v>40</v>
      </c>
      <c r="AK178" s="20">
        <f>MIN('3.1 Market'!$H169,'1.1 Control Panel'!AK$631*'1.1 Control Panel'!AK641)</f>
        <v>50</v>
      </c>
      <c r="AL178" s="20">
        <f>MIN('3.1 Market'!$H169,'1.1 Control Panel'!AL$631*'1.1 Control Panel'!AL641)</f>
        <v>50</v>
      </c>
      <c r="AM178" s="20">
        <f>MIN('3.1 Market'!$H169,'1.1 Control Panel'!AM$631*'1.1 Control Panel'!AM641)</f>
        <v>50</v>
      </c>
      <c r="AN178" s="20">
        <f>MIN('3.1 Market'!$H169,'1.1 Control Panel'!AN$631*'1.1 Control Panel'!AN641)</f>
        <v>50</v>
      </c>
      <c r="AP178" s="20"/>
    </row>
    <row r="179" spans="2:42" x14ac:dyDescent="0.25">
      <c r="C179" s="20" t="s">
        <v>392</v>
      </c>
      <c r="D179" s="34" t="s">
        <v>162</v>
      </c>
      <c r="E179" s="20">
        <f>MIN('3.1 Market'!$F170,'1.1 Control Panel'!E$631*'1.1 Control Panel'!E642)</f>
        <v>0</v>
      </c>
      <c r="F179" s="20">
        <f>MIN('3.1 Market'!$F170,'1.1 Control Panel'!F$631*'1.1 Control Panel'!F642)</f>
        <v>0</v>
      </c>
      <c r="G179" s="20">
        <f>MIN('3.1 Market'!$F170,'1.1 Control Panel'!G$631*'1.1 Control Panel'!G642)</f>
        <v>0</v>
      </c>
      <c r="H179" s="20">
        <f>MIN('3.1 Market'!$F170,'1.1 Control Panel'!H$631*'1.1 Control Panel'!H642)</f>
        <v>0</v>
      </c>
      <c r="I179" s="20">
        <f>MIN('3.1 Market'!$F170,'1.1 Control Panel'!I$631*'1.1 Control Panel'!I642)</f>
        <v>4.5904000000000007</v>
      </c>
      <c r="J179" s="20">
        <f>MIN('3.1 Market'!$F170,'1.1 Control Panel'!J$631*'1.1 Control Panel'!J642)</f>
        <v>4.6723200000000009</v>
      </c>
      <c r="K179" s="20">
        <f>MIN('3.1 Market'!$F170,'1.1 Control Panel'!K$631*'1.1 Control Panel'!K642)</f>
        <v>4.7378560000000007</v>
      </c>
      <c r="L179" s="20">
        <f>MIN('3.1 Market'!$F170,'1.1 Control Panel'!L$631*'1.1 Control Panel'!L642)</f>
        <v>4.7902848000000002</v>
      </c>
      <c r="M179" s="20">
        <f>MIN('3.1 Market'!$F170,'1.1 Control Panel'!M$631*'1.1 Control Panel'!M642)</f>
        <v>4.8322278399999998</v>
      </c>
      <c r="N179" s="20">
        <f>MIN('3.1 Market'!$F170,'1.1 Control Panel'!N$631*'1.1 Control Panel'!N642)</f>
        <v>4.8657822720000006</v>
      </c>
      <c r="O179" s="20">
        <f>MIN('3.1 Market'!$F170,'1.1 Control Panel'!O$631*'1.1 Control Panel'!O642)</f>
        <v>4.8926258176000008</v>
      </c>
      <c r="P179" s="20">
        <f>MIN('3.1 Market'!$F170,'1.1 Control Panel'!P$631*'1.1 Control Panel'!P642)</f>
        <v>4.9141006540800003</v>
      </c>
      <c r="Q179" s="20">
        <f>MIN('3.1 Market'!$G170,'1.1 Control Panel'!Q$631*'1.1 Control Panel'!Q642)</f>
        <v>9.8625610465280005</v>
      </c>
      <c r="R179" s="20">
        <f>MIN('3.1 Market'!$G170,'1.1 Control Panel'!R$631*'1.1 Control Panel'!R642)</f>
        <v>9.8900488372224018</v>
      </c>
      <c r="S179" s="20">
        <f>MIN('3.1 Market'!$G170,'1.1 Control Panel'!S$631*'1.1 Control Panel'!S642)</f>
        <v>9.9120390697779222</v>
      </c>
      <c r="T179" s="20">
        <f>MIN('3.1 Market'!$G170,'1.1 Control Panel'!T$631*'1.1 Control Panel'!T642)</f>
        <v>9.9296312558223381</v>
      </c>
      <c r="U179" s="20">
        <f>MIN('3.1 Market'!$G170,'1.1 Control Panel'!U$631*'1.1 Control Panel'!U642)</f>
        <v>14.915557506986808</v>
      </c>
      <c r="V179" s="20">
        <f>MIN('3.1 Market'!$G170,'1.1 Control Panel'!V$631*'1.1 Control Panel'!V642)</f>
        <v>14.932446005589448</v>
      </c>
      <c r="W179" s="20">
        <f>MIN('3.1 Market'!$G170,'1.1 Control Panel'!W$631*'1.1 Control Panel'!W642)</f>
        <v>14.945956804471558</v>
      </c>
      <c r="X179" s="20">
        <f>MIN('3.1 Market'!$G170,'1.1 Control Panel'!X$631*'1.1 Control Panel'!X642)</f>
        <v>14.956765443577247</v>
      </c>
      <c r="Y179" s="20">
        <f>MIN('3.1 Market'!$G170,'1.1 Control Panel'!Y$631*'1.1 Control Panel'!Y642)</f>
        <v>14.965412354861797</v>
      </c>
      <c r="Z179" s="20">
        <f>MIN('3.1 Market'!$G170,'1.1 Control Panel'!Z$631*'1.1 Control Panel'!Z642)</f>
        <v>14.97232988388944</v>
      </c>
      <c r="AA179" s="20">
        <f>MIN('3.1 Market'!$G170,'1.1 Control Panel'!AA$631*'1.1 Control Panel'!AA642)</f>
        <v>14.977863907111553</v>
      </c>
      <c r="AB179" s="20">
        <f>MIN('3.1 Market'!$G170,'1.1 Control Panel'!AB$631*'1.1 Control Panel'!AB642)</f>
        <v>14.982291125689244</v>
      </c>
      <c r="AC179" s="20">
        <f>MIN('3.1 Market'!$H170,'1.1 Control Panel'!AC$631*'1.1 Control Panel'!AC642)</f>
        <v>24.976388167585661</v>
      </c>
      <c r="AD179" s="20">
        <f>MIN('3.1 Market'!$H170,'1.1 Control Panel'!AD$631*'1.1 Control Panel'!AD642)</f>
        <v>24.981110534068527</v>
      </c>
      <c r="AE179" s="20">
        <f>MIN('3.1 Market'!$H170,'1.1 Control Panel'!AE$631*'1.1 Control Panel'!AE642)</f>
        <v>24.984888427254823</v>
      </c>
      <c r="AF179" s="20">
        <f>MIN('3.1 Market'!$H170,'1.1 Control Panel'!AF$631*'1.1 Control Panel'!AF642)</f>
        <v>24.987910741803859</v>
      </c>
      <c r="AG179" s="20">
        <f>MIN('3.1 Market'!$H170,'1.1 Control Panel'!AG$631*'1.1 Control Panel'!AG642)</f>
        <v>39.984525749508947</v>
      </c>
      <c r="AH179" s="20">
        <f>MIN('3.1 Market'!$H170,'1.1 Control Panel'!AH$631*'1.1 Control Panel'!AH642)</f>
        <v>39.987620599607155</v>
      </c>
      <c r="AI179" s="20">
        <f>MIN('3.1 Market'!$H170,'1.1 Control Panel'!AI$631*'1.1 Control Panel'!AI642)</f>
        <v>39.990096479685725</v>
      </c>
      <c r="AJ179" s="20">
        <f>MIN('3.1 Market'!$H170,'1.1 Control Panel'!AJ$631*'1.1 Control Panel'!AJ642)</f>
        <v>39.992077183748577</v>
      </c>
      <c r="AK179" s="20">
        <f>MIN('3.1 Market'!$H170,'1.1 Control Panel'!AK$631*'1.1 Control Panel'!AK642)</f>
        <v>49.992077183748584</v>
      </c>
      <c r="AL179" s="20">
        <f>MIN('3.1 Market'!$H170,'1.1 Control Panel'!AL$631*'1.1 Control Panel'!AL642)</f>
        <v>49.993661746998868</v>
      </c>
      <c r="AM179" s="20">
        <f>MIN('3.1 Market'!$H170,'1.1 Control Panel'!AM$631*'1.1 Control Panel'!AM642)</f>
        <v>49.994929397599094</v>
      </c>
      <c r="AN179" s="20">
        <f>MIN('3.1 Market'!$H170,'1.1 Control Panel'!AN$631*'1.1 Control Panel'!AN642)</f>
        <v>49.995943518079272</v>
      </c>
      <c r="AP179" s="20"/>
    </row>
    <row r="180" spans="2:42" x14ac:dyDescent="0.25">
      <c r="C180" s="20" t="s">
        <v>454</v>
      </c>
      <c r="D180" s="34" t="s">
        <v>162</v>
      </c>
      <c r="E180" s="20">
        <f>MIN('3.1 Market'!$F171,'1.1 Control Panel'!E$631*'1.1 Control Panel'!E643)</f>
        <v>0</v>
      </c>
      <c r="F180" s="20">
        <f>MIN('3.1 Market'!$F171,'1.1 Control Panel'!F$631*'1.1 Control Panel'!F643)</f>
        <v>0</v>
      </c>
      <c r="G180" s="20">
        <f>MIN('3.1 Market'!$F171,'1.1 Control Panel'!G$631*'1.1 Control Panel'!G643)</f>
        <v>0</v>
      </c>
      <c r="H180" s="20">
        <f>MIN('3.1 Market'!$F171,'1.1 Control Panel'!H$631*'1.1 Control Panel'!H643)</f>
        <v>0</v>
      </c>
      <c r="I180" s="20">
        <f>MIN('3.1 Market'!$F171,'1.1 Control Panel'!I$631*'1.1 Control Panel'!I643)</f>
        <v>4.1808000000000014</v>
      </c>
      <c r="J180" s="20">
        <f>MIN('3.1 Market'!$F171,'1.1 Control Panel'!J$631*'1.1 Control Panel'!J643)</f>
        <v>4.3446400000000018</v>
      </c>
      <c r="K180" s="20">
        <f>MIN('3.1 Market'!$F171,'1.1 Control Panel'!K$631*'1.1 Control Panel'!K643)</f>
        <v>4.4757120000000015</v>
      </c>
      <c r="L180" s="20">
        <f>MIN('3.1 Market'!$F171,'1.1 Control Panel'!L$631*'1.1 Control Panel'!L643)</f>
        <v>4.5805696000000014</v>
      </c>
      <c r="M180" s="20">
        <f>MIN('3.1 Market'!$F171,'1.1 Control Panel'!M$631*'1.1 Control Panel'!M643)</f>
        <v>4.6644556800000014</v>
      </c>
      <c r="N180" s="20">
        <f>MIN('3.1 Market'!$F171,'1.1 Control Panel'!N$631*'1.1 Control Panel'!N643)</f>
        <v>4.7315645440000011</v>
      </c>
      <c r="O180" s="20">
        <f>MIN('3.1 Market'!$F171,'1.1 Control Panel'!O$631*'1.1 Control Panel'!O643)</f>
        <v>4.7852516352000016</v>
      </c>
      <c r="P180" s="20">
        <f>MIN('3.1 Market'!$F171,'1.1 Control Panel'!P$631*'1.1 Control Panel'!P643)</f>
        <v>4.8282013081600015</v>
      </c>
      <c r="Q180" s="20">
        <f>MIN('3.1 Market'!$G171,'1.1 Control Panel'!Q$631*'1.1 Control Panel'!Q643)</f>
        <v>9.7251220930560027</v>
      </c>
      <c r="R180" s="20">
        <f>MIN('3.1 Market'!$G171,'1.1 Control Panel'!R$631*'1.1 Control Panel'!R643)</f>
        <v>9.7800976744448036</v>
      </c>
      <c r="S180" s="20">
        <f>MIN('3.1 Market'!$G171,'1.1 Control Panel'!S$631*'1.1 Control Panel'!S643)</f>
        <v>9.8240781395558443</v>
      </c>
      <c r="T180" s="20">
        <f>MIN('3.1 Market'!$G171,'1.1 Control Panel'!T$631*'1.1 Control Panel'!T643)</f>
        <v>9.8592625116446762</v>
      </c>
      <c r="U180" s="20">
        <f>MIN('3.1 Market'!$G171,'1.1 Control Panel'!U$631*'1.1 Control Panel'!U643)</f>
        <v>14.83111501397361</v>
      </c>
      <c r="V180" s="20">
        <f>MIN('3.1 Market'!$G171,'1.1 Control Panel'!V$631*'1.1 Control Panel'!V643)</f>
        <v>14.864892011178888</v>
      </c>
      <c r="W180" s="20">
        <f>MIN('3.1 Market'!$G171,'1.1 Control Panel'!W$631*'1.1 Control Panel'!W643)</f>
        <v>14.891913608943112</v>
      </c>
      <c r="X180" s="20">
        <f>MIN('3.1 Market'!$G171,'1.1 Control Panel'!X$631*'1.1 Control Panel'!X643)</f>
        <v>14.913530887154488</v>
      </c>
      <c r="Y180" s="20">
        <f>MIN('3.1 Market'!$G171,'1.1 Control Panel'!Y$631*'1.1 Control Panel'!Y643)</f>
        <v>14.93082470972359</v>
      </c>
      <c r="Z180" s="20">
        <f>MIN('3.1 Market'!$G171,'1.1 Control Panel'!Z$631*'1.1 Control Panel'!Z643)</f>
        <v>14.944659767778873</v>
      </c>
      <c r="AA180" s="20">
        <f>MIN('3.1 Market'!$G171,'1.1 Control Panel'!AA$631*'1.1 Control Panel'!AA643)</f>
        <v>14.955727814223099</v>
      </c>
      <c r="AB180" s="20">
        <f>MIN('3.1 Market'!$G171,'1.1 Control Panel'!AB$631*'1.1 Control Panel'!AB643)</f>
        <v>14.964582251378481</v>
      </c>
      <c r="AC180" s="20">
        <f>MIN('3.1 Market'!$H171,'1.1 Control Panel'!AC$631*'1.1 Control Panel'!AC643)</f>
        <v>24.952776335171308</v>
      </c>
      <c r="AD180" s="20">
        <f>MIN('3.1 Market'!$H171,'1.1 Control Panel'!AD$631*'1.1 Control Panel'!AD643)</f>
        <v>24.962221068137048</v>
      </c>
      <c r="AE180" s="20">
        <f>MIN('3.1 Market'!$H171,'1.1 Control Panel'!AE$631*'1.1 Control Panel'!AE643)</f>
        <v>24.969776854509639</v>
      </c>
      <c r="AF180" s="20">
        <f>MIN('3.1 Market'!$H171,'1.1 Control Panel'!AF$631*'1.1 Control Panel'!AF643)</f>
        <v>24.97582148360771</v>
      </c>
      <c r="AG180" s="20">
        <f>MIN('3.1 Market'!$H171,'1.1 Control Panel'!AG$631*'1.1 Control Panel'!AG643)</f>
        <v>39.969051499017873</v>
      </c>
      <c r="AH180" s="20">
        <f>MIN('3.1 Market'!$H171,'1.1 Control Panel'!AH$631*'1.1 Control Panel'!AH643)</f>
        <v>39.975241199214295</v>
      </c>
      <c r="AI180" s="20">
        <f>MIN('3.1 Market'!$H171,'1.1 Control Panel'!AI$631*'1.1 Control Panel'!AI643)</f>
        <v>39.980192959371436</v>
      </c>
      <c r="AJ180" s="20">
        <f>MIN('3.1 Market'!$H171,'1.1 Control Panel'!AJ$631*'1.1 Control Panel'!AJ643)</f>
        <v>39.984154367497155</v>
      </c>
      <c r="AK180" s="20">
        <f>MIN('3.1 Market'!$H171,'1.1 Control Panel'!AK$631*'1.1 Control Panel'!AK643)</f>
        <v>49.984154367497155</v>
      </c>
      <c r="AL180" s="20">
        <f>MIN('3.1 Market'!$H171,'1.1 Control Panel'!AL$631*'1.1 Control Panel'!AL643)</f>
        <v>49.987323493997721</v>
      </c>
      <c r="AM180" s="20">
        <f>MIN('3.1 Market'!$H171,'1.1 Control Panel'!AM$631*'1.1 Control Panel'!AM643)</f>
        <v>49.989858795198181</v>
      </c>
      <c r="AN180" s="20">
        <f>MIN('3.1 Market'!$H171,'1.1 Control Panel'!AN$631*'1.1 Control Panel'!AN643)</f>
        <v>49.991887036158545</v>
      </c>
      <c r="AP180" s="20"/>
    </row>
    <row r="181" spans="2:42" x14ac:dyDescent="0.25">
      <c r="C181" s="21" t="s">
        <v>455</v>
      </c>
      <c r="D181" s="38" t="s">
        <v>162</v>
      </c>
      <c r="E181" s="21">
        <f>MIN('3.1 Market'!$F172,'1.1 Control Panel'!E$631*'1.1 Control Panel'!E644)</f>
        <v>0</v>
      </c>
      <c r="F181" s="21">
        <f>MIN('3.1 Market'!$F172,'1.1 Control Panel'!F$631*'1.1 Control Panel'!F644)</f>
        <v>0</v>
      </c>
      <c r="G181" s="21">
        <f>MIN('3.1 Market'!$F172,'1.1 Control Panel'!G$631*'1.1 Control Panel'!G644)</f>
        <v>0</v>
      </c>
      <c r="H181" s="21">
        <f>MIN('3.1 Market'!$F172,'1.1 Control Panel'!H$631*'1.1 Control Panel'!H644)</f>
        <v>0</v>
      </c>
      <c r="I181" s="21">
        <f>MIN('3.1 Market'!$F172,'1.1 Control Panel'!I$631*'1.1 Control Panel'!I644)</f>
        <v>3.7712000000000003</v>
      </c>
      <c r="J181" s="21">
        <f>MIN('3.1 Market'!$F172,'1.1 Control Panel'!J$631*'1.1 Control Panel'!J644)</f>
        <v>4.016960000000001</v>
      </c>
      <c r="K181" s="21">
        <f>MIN('3.1 Market'!$F172,'1.1 Control Panel'!K$631*'1.1 Control Panel'!K644)</f>
        <v>4.2135680000000004</v>
      </c>
      <c r="L181" s="21">
        <f>MIN('3.1 Market'!$F172,'1.1 Control Panel'!L$631*'1.1 Control Panel'!L644)</f>
        <v>4.3708544000000007</v>
      </c>
      <c r="M181" s="21">
        <f>MIN('3.1 Market'!$F172,'1.1 Control Panel'!M$631*'1.1 Control Panel'!M644)</f>
        <v>4.4966835200000013</v>
      </c>
      <c r="N181" s="21">
        <f>MIN('3.1 Market'!$F172,'1.1 Control Panel'!N$631*'1.1 Control Panel'!N644)</f>
        <v>4.5973468160000017</v>
      </c>
      <c r="O181" s="21">
        <f>MIN('3.1 Market'!$F172,'1.1 Control Panel'!O$631*'1.1 Control Panel'!O644)</f>
        <v>4.6778774528000016</v>
      </c>
      <c r="P181" s="21">
        <f>MIN('3.1 Market'!$F172,'1.1 Control Panel'!P$631*'1.1 Control Panel'!P644)</f>
        <v>4.7423019622400009</v>
      </c>
      <c r="Q181" s="21">
        <f>MIN('3.1 Market'!$G172,'1.1 Control Panel'!Q$631*'1.1 Control Panel'!Q644)</f>
        <v>9.5876831395840014</v>
      </c>
      <c r="R181" s="21">
        <f>MIN('3.1 Market'!$G172,'1.1 Control Panel'!R$631*'1.1 Control Panel'!R644)</f>
        <v>9.6701465116672018</v>
      </c>
      <c r="S181" s="21">
        <f>MIN('3.1 Market'!$G172,'1.1 Control Panel'!S$631*'1.1 Control Panel'!S644)</f>
        <v>9.7361172093337629</v>
      </c>
      <c r="T181" s="21">
        <f>MIN('3.1 Market'!$G172,'1.1 Control Panel'!T$631*'1.1 Control Panel'!T644)</f>
        <v>9.7888937674670107</v>
      </c>
      <c r="U181" s="21">
        <f>MIN('3.1 Market'!$G172,'1.1 Control Panel'!U$631*'1.1 Control Panel'!U644)</f>
        <v>14.746672520960413</v>
      </c>
      <c r="V181" s="21">
        <f>MIN('3.1 Market'!$G172,'1.1 Control Panel'!V$631*'1.1 Control Panel'!V644)</f>
        <v>14.797338016768332</v>
      </c>
      <c r="W181" s="21">
        <f>MIN('3.1 Market'!$G172,'1.1 Control Panel'!W$631*'1.1 Control Panel'!W644)</f>
        <v>14.837870413414665</v>
      </c>
      <c r="X181" s="21">
        <f>MIN('3.1 Market'!$G172,'1.1 Control Panel'!X$631*'1.1 Control Panel'!X644)</f>
        <v>14.870296330731733</v>
      </c>
      <c r="Y181" s="21">
        <f>MIN('3.1 Market'!$G172,'1.1 Control Panel'!Y$631*'1.1 Control Panel'!Y644)</f>
        <v>14.896237064585387</v>
      </c>
      <c r="Z181" s="21">
        <f>MIN('3.1 Market'!$G172,'1.1 Control Panel'!Z$631*'1.1 Control Panel'!Z644)</f>
        <v>14.91698965166831</v>
      </c>
      <c r="AA181" s="21">
        <f>MIN('3.1 Market'!$G172,'1.1 Control Panel'!AA$631*'1.1 Control Panel'!AA644)</f>
        <v>14.933591721334649</v>
      </c>
      <c r="AB181" s="21">
        <f>MIN('3.1 Market'!$G172,'1.1 Control Panel'!AB$631*'1.1 Control Panel'!AB644)</f>
        <v>14.946873377067721</v>
      </c>
      <c r="AC181" s="21">
        <f>MIN('3.1 Market'!$H172,'1.1 Control Panel'!AC$631*'1.1 Control Panel'!AC644)</f>
        <v>24.929164502756961</v>
      </c>
      <c r="AD181" s="21">
        <f>MIN('3.1 Market'!$H172,'1.1 Control Panel'!AD$631*'1.1 Control Panel'!AD644)</f>
        <v>24.943331602205568</v>
      </c>
      <c r="AE181" s="21">
        <f>MIN('3.1 Market'!$H172,'1.1 Control Panel'!AE$631*'1.1 Control Panel'!AE644)</f>
        <v>24.954665281764456</v>
      </c>
      <c r="AF181" s="21">
        <f>MIN('3.1 Market'!$H172,'1.1 Control Panel'!AF$631*'1.1 Control Panel'!AF644)</f>
        <v>24.963732225411562</v>
      </c>
      <c r="AG181" s="21">
        <f>MIN('3.1 Market'!$H172,'1.1 Control Panel'!AG$631*'1.1 Control Panel'!AG644)</f>
        <v>39.953577248526798</v>
      </c>
      <c r="AH181" s="21">
        <f>MIN('3.1 Market'!$H172,'1.1 Control Panel'!AH$631*'1.1 Control Panel'!AH644)</f>
        <v>39.962861798821436</v>
      </c>
      <c r="AI181" s="21">
        <f>MIN('3.1 Market'!$H172,'1.1 Control Panel'!AI$631*'1.1 Control Panel'!AI644)</f>
        <v>39.970289439057154</v>
      </c>
      <c r="AJ181" s="21">
        <f>MIN('3.1 Market'!$H172,'1.1 Control Panel'!AJ$631*'1.1 Control Panel'!AJ644)</f>
        <v>39.976231551245725</v>
      </c>
      <c r="AK181" s="21">
        <f>MIN('3.1 Market'!$H172,'1.1 Control Panel'!AK$631*'1.1 Control Panel'!AK644)</f>
        <v>49.976231551245725</v>
      </c>
      <c r="AL181" s="21">
        <f>MIN('3.1 Market'!$H172,'1.1 Control Panel'!AL$631*'1.1 Control Panel'!AL644)</f>
        <v>49.980985240996588</v>
      </c>
      <c r="AM181" s="21">
        <f>MIN('3.1 Market'!$H172,'1.1 Control Panel'!AM$631*'1.1 Control Panel'!AM644)</f>
        <v>49.984788192797268</v>
      </c>
      <c r="AN181" s="21">
        <f>MIN('3.1 Market'!$H172,'1.1 Control Panel'!AN$631*'1.1 Control Panel'!AN644)</f>
        <v>49.987830554237824</v>
      </c>
      <c r="AP181" s="21"/>
    </row>
    <row r="182" spans="2:42" x14ac:dyDescent="0.25">
      <c r="C182" s="21" t="s">
        <v>393</v>
      </c>
      <c r="D182" s="38" t="s">
        <v>162</v>
      </c>
      <c r="E182" s="21">
        <f>MIN('3.1 Market'!$F173,'1.1 Control Panel'!E$631*'1.1 Control Panel'!E645)</f>
        <v>0</v>
      </c>
      <c r="F182" s="21">
        <f>MIN('3.1 Market'!$F173,'1.1 Control Panel'!F$631*'1.1 Control Panel'!F645)</f>
        <v>0</v>
      </c>
      <c r="G182" s="21">
        <f>MIN('3.1 Market'!$F173,'1.1 Control Panel'!G$631*'1.1 Control Panel'!G645)</f>
        <v>0</v>
      </c>
      <c r="H182" s="21">
        <f>MIN('3.1 Market'!$F173,'1.1 Control Panel'!H$631*'1.1 Control Panel'!H645)</f>
        <v>0</v>
      </c>
      <c r="I182" s="21">
        <f>MIN('3.1 Market'!$F173,'1.1 Control Panel'!I$631*'1.1 Control Panel'!I645)</f>
        <v>3.3616000000000006</v>
      </c>
      <c r="J182" s="21">
        <f>MIN('3.1 Market'!$F173,'1.1 Control Panel'!J$631*'1.1 Control Panel'!J645)</f>
        <v>3.6892800000000006</v>
      </c>
      <c r="K182" s="21">
        <f>MIN('3.1 Market'!$F173,'1.1 Control Panel'!K$631*'1.1 Control Panel'!K645)</f>
        <v>3.9514240000000007</v>
      </c>
      <c r="L182" s="21">
        <f>MIN('3.1 Market'!$F173,'1.1 Control Panel'!L$631*'1.1 Control Panel'!L645)</f>
        <v>4.1611392000000009</v>
      </c>
      <c r="M182" s="21">
        <f>MIN('3.1 Market'!$F173,'1.1 Control Panel'!M$631*'1.1 Control Panel'!M645)</f>
        <v>4.3289113600000011</v>
      </c>
      <c r="N182" s="21">
        <f>MIN('3.1 Market'!$F173,'1.1 Control Panel'!N$631*'1.1 Control Panel'!N645)</f>
        <v>4.4631290880000005</v>
      </c>
      <c r="O182" s="21">
        <f>MIN('3.1 Market'!$F173,'1.1 Control Panel'!O$631*'1.1 Control Panel'!O645)</f>
        <v>4.5705032704000006</v>
      </c>
      <c r="P182" s="21">
        <f>MIN('3.1 Market'!$F173,'1.1 Control Panel'!P$631*'1.1 Control Panel'!P645)</f>
        <v>4.6564026163200012</v>
      </c>
      <c r="Q182" s="21">
        <f>MIN('3.1 Market'!$G173,'1.1 Control Panel'!Q$631*'1.1 Control Panel'!Q645)</f>
        <v>9.4502441861120019</v>
      </c>
      <c r="R182" s="21">
        <f>MIN('3.1 Market'!$G173,'1.1 Control Panel'!R$631*'1.1 Control Panel'!R645)</f>
        <v>9.5601953488896019</v>
      </c>
      <c r="S182" s="21">
        <f>MIN('3.1 Market'!$G173,'1.1 Control Panel'!S$631*'1.1 Control Panel'!S645)</f>
        <v>9.6481562791116815</v>
      </c>
      <c r="T182" s="21">
        <f>MIN('3.1 Market'!$G173,'1.1 Control Panel'!T$631*'1.1 Control Panel'!T645)</f>
        <v>9.7185250232893452</v>
      </c>
      <c r="U182" s="21">
        <f>MIN('3.1 Market'!$G173,'1.1 Control Panel'!U$631*'1.1 Control Panel'!U645)</f>
        <v>14.662230027947215</v>
      </c>
      <c r="V182" s="21">
        <f>MIN('3.1 Market'!$G173,'1.1 Control Panel'!V$631*'1.1 Control Panel'!V645)</f>
        <v>14.729784022357771</v>
      </c>
      <c r="W182" s="21">
        <f>MIN('3.1 Market'!$G173,'1.1 Control Panel'!W$631*'1.1 Control Panel'!W645)</f>
        <v>14.783827217886218</v>
      </c>
      <c r="X182" s="21">
        <f>MIN('3.1 Market'!$G173,'1.1 Control Panel'!X$631*'1.1 Control Panel'!X645)</f>
        <v>14.827061774308977</v>
      </c>
      <c r="Y182" s="21">
        <f>MIN('3.1 Market'!$G173,'1.1 Control Panel'!Y$631*'1.1 Control Panel'!Y645)</f>
        <v>14.861649419447183</v>
      </c>
      <c r="Z182" s="21">
        <f>MIN('3.1 Market'!$G173,'1.1 Control Panel'!Z$631*'1.1 Control Panel'!Z645)</f>
        <v>14.889319535557744</v>
      </c>
      <c r="AA182" s="21">
        <f>MIN('3.1 Market'!$G173,'1.1 Control Panel'!AA$631*'1.1 Control Panel'!AA645)</f>
        <v>14.911455628446197</v>
      </c>
      <c r="AB182" s="21">
        <f>MIN('3.1 Market'!$G173,'1.1 Control Panel'!AB$631*'1.1 Control Panel'!AB645)</f>
        <v>14.929164502756956</v>
      </c>
      <c r="AC182" s="21">
        <f>MIN('3.1 Market'!$H173,'1.1 Control Panel'!AC$631*'1.1 Control Panel'!AC645)</f>
        <v>24.905552670342608</v>
      </c>
      <c r="AD182" s="21">
        <f>MIN('3.1 Market'!$H173,'1.1 Control Panel'!AD$631*'1.1 Control Panel'!AD645)</f>
        <v>24.924442136274088</v>
      </c>
      <c r="AE182" s="21">
        <f>MIN('3.1 Market'!$H173,'1.1 Control Panel'!AE$631*'1.1 Control Panel'!AE645)</f>
        <v>24.939553709019275</v>
      </c>
      <c r="AF182" s="21">
        <f>MIN('3.1 Market'!$H173,'1.1 Control Panel'!AF$631*'1.1 Control Panel'!AF645)</f>
        <v>24.951642967215424</v>
      </c>
      <c r="AG182" s="21">
        <f>MIN('3.1 Market'!$H173,'1.1 Control Panel'!AG$631*'1.1 Control Panel'!AG645)</f>
        <v>39.938102998035745</v>
      </c>
      <c r="AH182" s="21">
        <f>MIN('3.1 Market'!$H173,'1.1 Control Panel'!AH$631*'1.1 Control Panel'!AH645)</f>
        <v>39.950482398428598</v>
      </c>
      <c r="AI182" s="21">
        <f>MIN('3.1 Market'!$H173,'1.1 Control Panel'!AI$631*'1.1 Control Panel'!AI645)</f>
        <v>39.96038591874288</v>
      </c>
      <c r="AJ182" s="21">
        <f>MIN('3.1 Market'!$H173,'1.1 Control Panel'!AJ$631*'1.1 Control Panel'!AJ645)</f>
        <v>39.968308734994309</v>
      </c>
      <c r="AK182" s="21">
        <f>MIN('3.1 Market'!$H173,'1.1 Control Panel'!AK$631*'1.1 Control Panel'!AK645)</f>
        <v>49.968308734994309</v>
      </c>
      <c r="AL182" s="21">
        <f>MIN('3.1 Market'!$H173,'1.1 Control Panel'!AL$631*'1.1 Control Panel'!AL645)</f>
        <v>49.974646987995456</v>
      </c>
      <c r="AM182" s="21">
        <f>MIN('3.1 Market'!$H173,'1.1 Control Panel'!AM$631*'1.1 Control Panel'!AM645)</f>
        <v>49.979717590396362</v>
      </c>
      <c r="AN182" s="21">
        <f>MIN('3.1 Market'!$H173,'1.1 Control Panel'!AN$631*'1.1 Control Panel'!AN645)</f>
        <v>49.98377407231709</v>
      </c>
      <c r="AP182" s="21"/>
    </row>
    <row r="183" spans="2:42" x14ac:dyDescent="0.25">
      <c r="C183" s="21" t="s">
        <v>456</v>
      </c>
      <c r="D183" s="38" t="s">
        <v>162</v>
      </c>
      <c r="E183" s="21">
        <f>MIN('3.1 Market'!$F174,'1.1 Control Panel'!E$631*'1.1 Control Panel'!E646)</f>
        <v>0</v>
      </c>
      <c r="F183" s="21">
        <f>MIN('3.1 Market'!$F174,'1.1 Control Panel'!F$631*'1.1 Control Panel'!F646)</f>
        <v>0</v>
      </c>
      <c r="G183" s="21">
        <f>MIN('3.1 Market'!$F174,'1.1 Control Panel'!G$631*'1.1 Control Panel'!G646)</f>
        <v>0</v>
      </c>
      <c r="H183" s="21">
        <f>MIN('3.1 Market'!$F174,'1.1 Control Panel'!H$631*'1.1 Control Panel'!H646)</f>
        <v>0</v>
      </c>
      <c r="I183" s="21">
        <f>MIN('3.1 Market'!$F174,'1.1 Control Panel'!I$631*'1.1 Control Panel'!I646)</f>
        <v>2.9520000000000004</v>
      </c>
      <c r="J183" s="21">
        <f>MIN('3.1 Market'!$F174,'1.1 Control Panel'!J$631*'1.1 Control Panel'!J646)</f>
        <v>3.3616000000000006</v>
      </c>
      <c r="K183" s="21">
        <f>MIN('3.1 Market'!$F174,'1.1 Control Panel'!K$631*'1.1 Control Panel'!K646)</f>
        <v>3.6892800000000006</v>
      </c>
      <c r="L183" s="21">
        <f>MIN('3.1 Market'!$F174,'1.1 Control Panel'!L$631*'1.1 Control Panel'!L646)</f>
        <v>3.9514240000000007</v>
      </c>
      <c r="M183" s="21">
        <f>MIN('3.1 Market'!$F174,'1.1 Control Panel'!M$631*'1.1 Control Panel'!M646)</f>
        <v>4.1611392000000009</v>
      </c>
      <c r="N183" s="21">
        <f>MIN('3.1 Market'!$F174,'1.1 Control Panel'!N$631*'1.1 Control Panel'!N646)</f>
        <v>4.3289113600000011</v>
      </c>
      <c r="O183" s="21">
        <f>MIN('3.1 Market'!$F174,'1.1 Control Panel'!O$631*'1.1 Control Panel'!O646)</f>
        <v>4.4631290880000005</v>
      </c>
      <c r="P183" s="21">
        <f>MIN('3.1 Market'!$F174,'1.1 Control Panel'!P$631*'1.1 Control Panel'!P646)</f>
        <v>4.5705032704000006</v>
      </c>
      <c r="Q183" s="21">
        <f>MIN('3.1 Market'!$G174,'1.1 Control Panel'!Q$631*'1.1 Control Panel'!Q646)</f>
        <v>9.3128052326400024</v>
      </c>
      <c r="R183" s="21">
        <f>MIN('3.1 Market'!$G174,'1.1 Control Panel'!R$631*'1.1 Control Panel'!R646)</f>
        <v>9.4502441861120019</v>
      </c>
      <c r="S183" s="21">
        <f>MIN('3.1 Market'!$G174,'1.1 Control Panel'!S$631*'1.1 Control Panel'!S646)</f>
        <v>9.5601953488896019</v>
      </c>
      <c r="T183" s="21">
        <f>MIN('3.1 Market'!$G174,'1.1 Control Panel'!T$631*'1.1 Control Panel'!T646)</f>
        <v>9.6481562791116815</v>
      </c>
      <c r="U183" s="21">
        <f>MIN('3.1 Market'!$G174,'1.1 Control Panel'!U$631*'1.1 Control Panel'!U646)</f>
        <v>14.577787534934018</v>
      </c>
      <c r="V183" s="21">
        <f>MIN('3.1 Market'!$G174,'1.1 Control Panel'!V$631*'1.1 Control Panel'!V646)</f>
        <v>14.662230027947215</v>
      </c>
      <c r="W183" s="21">
        <f>MIN('3.1 Market'!$G174,'1.1 Control Panel'!W$631*'1.1 Control Panel'!W646)</f>
        <v>14.729784022357771</v>
      </c>
      <c r="X183" s="21">
        <f>MIN('3.1 Market'!$G174,'1.1 Control Panel'!X$631*'1.1 Control Panel'!X646)</f>
        <v>14.783827217886218</v>
      </c>
      <c r="Y183" s="21">
        <f>MIN('3.1 Market'!$G174,'1.1 Control Panel'!Y$631*'1.1 Control Panel'!Y646)</f>
        <v>14.827061774308977</v>
      </c>
      <c r="Z183" s="21">
        <f>MIN('3.1 Market'!$G174,'1.1 Control Panel'!Z$631*'1.1 Control Panel'!Z646)</f>
        <v>14.861649419447183</v>
      </c>
      <c r="AA183" s="21">
        <f>MIN('3.1 Market'!$G174,'1.1 Control Panel'!AA$631*'1.1 Control Panel'!AA646)</f>
        <v>14.889319535557744</v>
      </c>
      <c r="AB183" s="21">
        <f>MIN('3.1 Market'!$G174,'1.1 Control Panel'!AB$631*'1.1 Control Panel'!AB646)</f>
        <v>14.911455628446197</v>
      </c>
      <c r="AC183" s="21">
        <f>MIN('3.1 Market'!$H174,'1.1 Control Panel'!AC$631*'1.1 Control Panel'!AC646)</f>
        <v>24.881940837928262</v>
      </c>
      <c r="AD183" s="21">
        <f>MIN('3.1 Market'!$H174,'1.1 Control Panel'!AD$631*'1.1 Control Panel'!AD646)</f>
        <v>24.905552670342608</v>
      </c>
      <c r="AE183" s="21">
        <f>MIN('3.1 Market'!$H174,'1.1 Control Panel'!AE$631*'1.1 Control Panel'!AE646)</f>
        <v>24.924442136274088</v>
      </c>
      <c r="AF183" s="21">
        <f>MIN('3.1 Market'!$H174,'1.1 Control Panel'!AF$631*'1.1 Control Panel'!AF646)</f>
        <v>24.939553709019275</v>
      </c>
      <c r="AG183" s="21">
        <f>MIN('3.1 Market'!$H174,'1.1 Control Panel'!AG$631*'1.1 Control Panel'!AG646)</f>
        <v>39.922628747544678</v>
      </c>
      <c r="AH183" s="21">
        <f>MIN('3.1 Market'!$H174,'1.1 Control Panel'!AH$631*'1.1 Control Panel'!AH646)</f>
        <v>39.938102998035745</v>
      </c>
      <c r="AI183" s="21">
        <f>MIN('3.1 Market'!$H174,'1.1 Control Panel'!AI$631*'1.1 Control Panel'!AI646)</f>
        <v>39.950482398428598</v>
      </c>
      <c r="AJ183" s="21">
        <f>MIN('3.1 Market'!$H174,'1.1 Control Panel'!AJ$631*'1.1 Control Panel'!AJ646)</f>
        <v>39.96038591874288</v>
      </c>
      <c r="AK183" s="21">
        <f>MIN('3.1 Market'!$H174,'1.1 Control Panel'!AK$631*'1.1 Control Panel'!AK646)</f>
        <v>49.960385918742887</v>
      </c>
      <c r="AL183" s="21">
        <f>MIN('3.1 Market'!$H174,'1.1 Control Panel'!AL$631*'1.1 Control Panel'!AL646)</f>
        <v>49.968308734994309</v>
      </c>
      <c r="AM183" s="21">
        <f>MIN('3.1 Market'!$H174,'1.1 Control Panel'!AM$631*'1.1 Control Panel'!AM646)</f>
        <v>49.974646987995456</v>
      </c>
      <c r="AN183" s="21">
        <f>MIN('3.1 Market'!$H174,'1.1 Control Panel'!AN$631*'1.1 Control Panel'!AN646)</f>
        <v>49.979717590396362</v>
      </c>
      <c r="AP183" s="21"/>
    </row>
    <row r="184" spans="2:42" x14ac:dyDescent="0.25">
      <c r="B184" s="99" t="s">
        <v>9</v>
      </c>
      <c r="C184" s="105" t="str">
        <f>'4.2 Sector Mapping'!$B$16</f>
        <v>Transportation and Services</v>
      </c>
      <c r="D184" s="106" t="s">
        <v>162</v>
      </c>
      <c r="E184" s="105">
        <f>SUM(E185:E190)</f>
        <v>0</v>
      </c>
      <c r="F184" s="105">
        <f t="shared" ref="F184:H184" si="115">SUM(F185:F190)</f>
        <v>0</v>
      </c>
      <c r="G184" s="105">
        <f t="shared" si="115"/>
        <v>0</v>
      </c>
      <c r="H184" s="105">
        <f t="shared" si="115"/>
        <v>0</v>
      </c>
      <c r="I184" s="105">
        <f t="shared" ref="I184:AN184" si="116">SUM(I185:I190)</f>
        <v>0</v>
      </c>
      <c r="J184" s="105">
        <f t="shared" si="116"/>
        <v>0</v>
      </c>
      <c r="K184" s="105">
        <f t="shared" si="116"/>
        <v>0</v>
      </c>
      <c r="L184" s="105">
        <f t="shared" si="116"/>
        <v>0</v>
      </c>
      <c r="M184" s="105">
        <f t="shared" si="116"/>
        <v>0</v>
      </c>
      <c r="N184" s="105">
        <f t="shared" si="116"/>
        <v>0</v>
      </c>
      <c r="O184" s="105">
        <f t="shared" si="116"/>
        <v>0</v>
      </c>
      <c r="P184" s="105">
        <f t="shared" si="116"/>
        <v>0</v>
      </c>
      <c r="Q184" s="105">
        <f t="shared" si="116"/>
        <v>28.969207848960004</v>
      </c>
      <c r="R184" s="105">
        <f t="shared" si="116"/>
        <v>29.175366279168006</v>
      </c>
      <c r="S184" s="105">
        <f t="shared" si="116"/>
        <v>29.340293023334404</v>
      </c>
      <c r="T184" s="105">
        <f t="shared" si="116"/>
        <v>29.472234418667526</v>
      </c>
      <c r="U184" s="105">
        <f t="shared" si="116"/>
        <v>59.155575069868036</v>
      </c>
      <c r="V184" s="105">
        <f t="shared" si="116"/>
        <v>59.324460055894434</v>
      </c>
      <c r="W184" s="105">
        <f t="shared" si="116"/>
        <v>59.459568044715553</v>
      </c>
      <c r="X184" s="105">
        <f t="shared" si="116"/>
        <v>59.56765443577244</v>
      </c>
      <c r="Y184" s="105">
        <f t="shared" si="116"/>
        <v>59.654123548617953</v>
      </c>
      <c r="Z184" s="105">
        <f t="shared" si="116"/>
        <v>59.723298838894358</v>
      </c>
      <c r="AA184" s="105">
        <f t="shared" si="116"/>
        <v>59.778639071115492</v>
      </c>
      <c r="AB184" s="105">
        <f t="shared" si="116"/>
        <v>59.822911256892397</v>
      </c>
      <c r="AC184" s="105">
        <f t="shared" si="116"/>
        <v>119.71665801102785</v>
      </c>
      <c r="AD184" s="105">
        <f t="shared" si="116"/>
        <v>119.77332640882227</v>
      </c>
      <c r="AE184" s="105">
        <f t="shared" si="116"/>
        <v>119.81866112705782</v>
      </c>
      <c r="AF184" s="105">
        <f t="shared" si="116"/>
        <v>119.85492890164628</v>
      </c>
      <c r="AG184" s="105">
        <f t="shared" si="116"/>
        <v>179.82591468197552</v>
      </c>
      <c r="AH184" s="105">
        <f t="shared" si="116"/>
        <v>179.86073174558044</v>
      </c>
      <c r="AI184" s="105">
        <f t="shared" si="116"/>
        <v>179.88858539646435</v>
      </c>
      <c r="AJ184" s="105">
        <f t="shared" si="116"/>
        <v>179.91086831717149</v>
      </c>
      <c r="AK184" s="105">
        <f t="shared" si="116"/>
        <v>209.91681042936008</v>
      </c>
      <c r="AL184" s="105">
        <f t="shared" si="116"/>
        <v>209.93344834348807</v>
      </c>
      <c r="AM184" s="105">
        <f t="shared" si="116"/>
        <v>209.94675867479043</v>
      </c>
      <c r="AN184" s="105">
        <f t="shared" si="116"/>
        <v>209.95740693983237</v>
      </c>
      <c r="AP184" s="105"/>
    </row>
    <row r="185" spans="2:42" x14ac:dyDescent="0.25">
      <c r="C185" s="20" t="s">
        <v>600</v>
      </c>
      <c r="D185" s="34" t="s">
        <v>162</v>
      </c>
      <c r="E185" s="20">
        <f>MIN('3.1 Market'!$F176,'1.1 Control Panel'!E$662*'1.1 Control Panel'!E672)</f>
        <v>0</v>
      </c>
      <c r="F185" s="20">
        <f>MIN('3.1 Market'!$F176,'1.1 Control Panel'!F$662*'1.1 Control Panel'!F672)</f>
        <v>0</v>
      </c>
      <c r="G185" s="20">
        <f>MIN('3.1 Market'!$F176,'1.1 Control Panel'!G$662*'1.1 Control Panel'!G672)</f>
        <v>0</v>
      </c>
      <c r="H185" s="20">
        <f>MIN('3.1 Market'!$F176,'1.1 Control Panel'!H$662*'1.1 Control Panel'!H672)</f>
        <v>0</v>
      </c>
      <c r="I185" s="20">
        <f>MIN('3.1 Market'!$F176,'1.1 Control Panel'!I$662*'1.1 Control Panel'!I672)</f>
        <v>0</v>
      </c>
      <c r="J185" s="20">
        <f>MIN('3.1 Market'!$F176,'1.1 Control Panel'!J$662*'1.1 Control Panel'!J672)</f>
        <v>0</v>
      </c>
      <c r="K185" s="20">
        <f>MIN('3.1 Market'!$F176,'1.1 Control Panel'!K$662*'1.1 Control Panel'!K672)</f>
        <v>0</v>
      </c>
      <c r="L185" s="20">
        <f>MIN('3.1 Market'!$F176,'1.1 Control Panel'!L$662*'1.1 Control Panel'!L672)</f>
        <v>0</v>
      </c>
      <c r="M185" s="20">
        <f>MIN('3.1 Market'!$F176,'1.1 Control Panel'!M$662*'1.1 Control Panel'!M672)</f>
        <v>0</v>
      </c>
      <c r="N185" s="20">
        <f>MIN('3.1 Market'!$F176,'1.1 Control Panel'!N$662*'1.1 Control Panel'!N672)</f>
        <v>0</v>
      </c>
      <c r="O185" s="20">
        <f>MIN('3.1 Market'!$F176,'1.1 Control Panel'!O$662*'1.1 Control Panel'!O672)</f>
        <v>0</v>
      </c>
      <c r="P185" s="20">
        <f>MIN('3.1 Market'!$F176,'1.1 Control Panel'!P$662*'1.1 Control Panel'!P672)</f>
        <v>0</v>
      </c>
      <c r="Q185" s="20">
        <f>MIN('3.1 Market'!$G176,'1.1 Control Panel'!Q$662*'1.1 Control Panel'!Q672)</f>
        <v>5</v>
      </c>
      <c r="R185" s="20">
        <f>MIN('3.1 Market'!$G176,'1.1 Control Panel'!R$662*'1.1 Control Panel'!R672)</f>
        <v>5</v>
      </c>
      <c r="S185" s="20">
        <f>MIN('3.1 Market'!$G176,'1.1 Control Panel'!S$662*'1.1 Control Panel'!S672)</f>
        <v>5</v>
      </c>
      <c r="T185" s="20">
        <f>MIN('3.1 Market'!$G176,'1.1 Control Panel'!T$662*'1.1 Control Panel'!T672)</f>
        <v>5</v>
      </c>
      <c r="U185" s="20">
        <f>MIN('3.1 Market'!$G176,'1.1 Control Panel'!U$662*'1.1 Control Panel'!U672)</f>
        <v>10</v>
      </c>
      <c r="V185" s="20">
        <f>MIN('3.1 Market'!$G176,'1.1 Control Panel'!V$662*'1.1 Control Panel'!V672)</f>
        <v>10</v>
      </c>
      <c r="W185" s="20">
        <f>MIN('3.1 Market'!$G176,'1.1 Control Panel'!W$662*'1.1 Control Panel'!W672)</f>
        <v>10</v>
      </c>
      <c r="X185" s="20">
        <f>MIN('3.1 Market'!$G176,'1.1 Control Panel'!X$662*'1.1 Control Panel'!X672)</f>
        <v>10</v>
      </c>
      <c r="Y185" s="20">
        <f>MIN('3.1 Market'!$G176,'1.1 Control Panel'!Y$662*'1.1 Control Panel'!Y672)</f>
        <v>10</v>
      </c>
      <c r="Z185" s="20">
        <f>MIN('3.1 Market'!$G176,'1.1 Control Panel'!Z$662*'1.1 Control Panel'!Z672)</f>
        <v>10</v>
      </c>
      <c r="AA185" s="20">
        <f>MIN('3.1 Market'!$G176,'1.1 Control Panel'!AA$662*'1.1 Control Panel'!AA672)</f>
        <v>10</v>
      </c>
      <c r="AB185" s="20">
        <f>MIN('3.1 Market'!$G176,'1.1 Control Panel'!AB$662*'1.1 Control Panel'!AB672)</f>
        <v>10</v>
      </c>
      <c r="AC185" s="20">
        <f>MIN('3.1 Market'!$H176,'1.1 Control Panel'!AC$662*'1.1 Control Panel'!AC672)</f>
        <v>20</v>
      </c>
      <c r="AD185" s="20">
        <f>MIN('3.1 Market'!$H176,'1.1 Control Panel'!AD$662*'1.1 Control Panel'!AD672)</f>
        <v>20</v>
      </c>
      <c r="AE185" s="20">
        <f>MIN('3.1 Market'!$H176,'1.1 Control Panel'!AE$662*'1.1 Control Panel'!AE672)</f>
        <v>20</v>
      </c>
      <c r="AF185" s="20">
        <f>MIN('3.1 Market'!$H176,'1.1 Control Panel'!AF$662*'1.1 Control Panel'!AF672)</f>
        <v>20</v>
      </c>
      <c r="AG185" s="20">
        <f>MIN('3.1 Market'!$H176,'1.1 Control Panel'!AG$662*'1.1 Control Panel'!AG672)</f>
        <v>30</v>
      </c>
      <c r="AH185" s="20">
        <f>MIN('3.1 Market'!$H176,'1.1 Control Panel'!AH$662*'1.1 Control Panel'!AH672)</f>
        <v>30</v>
      </c>
      <c r="AI185" s="20">
        <f>MIN('3.1 Market'!$H176,'1.1 Control Panel'!AI$662*'1.1 Control Panel'!AI672)</f>
        <v>30</v>
      </c>
      <c r="AJ185" s="20">
        <f>MIN('3.1 Market'!$H176,'1.1 Control Panel'!AJ$662*'1.1 Control Panel'!AJ672)</f>
        <v>30</v>
      </c>
      <c r="AK185" s="20">
        <f>MIN('3.1 Market'!$H176,'1.1 Control Panel'!AK$662*'1.1 Control Panel'!AK672)</f>
        <v>35</v>
      </c>
      <c r="AL185" s="20">
        <f>MIN('3.1 Market'!$H176,'1.1 Control Panel'!AL$662*'1.1 Control Panel'!AL672)</f>
        <v>35</v>
      </c>
      <c r="AM185" s="20">
        <f>MIN('3.1 Market'!$H176,'1.1 Control Panel'!AM$662*'1.1 Control Panel'!AM672)</f>
        <v>35</v>
      </c>
      <c r="AN185" s="20">
        <f>MIN('3.1 Market'!$H176,'1.1 Control Panel'!AN$662*'1.1 Control Panel'!AN672)</f>
        <v>35</v>
      </c>
      <c r="AP185" s="20"/>
    </row>
    <row r="186" spans="2:42" x14ac:dyDescent="0.25">
      <c r="C186" s="20" t="s">
        <v>392</v>
      </c>
      <c r="D186" s="34" t="s">
        <v>162</v>
      </c>
      <c r="E186" s="20">
        <f>MIN('3.1 Market'!$F177,'1.1 Control Panel'!E$662*'1.1 Control Panel'!E673)</f>
        <v>0</v>
      </c>
      <c r="F186" s="20">
        <f>MIN('3.1 Market'!$F177,'1.1 Control Panel'!F$662*'1.1 Control Panel'!F673)</f>
        <v>0</v>
      </c>
      <c r="G186" s="20">
        <f>MIN('3.1 Market'!$F177,'1.1 Control Panel'!G$662*'1.1 Control Panel'!G673)</f>
        <v>0</v>
      </c>
      <c r="H186" s="20">
        <f>MIN('3.1 Market'!$F177,'1.1 Control Panel'!H$662*'1.1 Control Panel'!H673)</f>
        <v>0</v>
      </c>
      <c r="I186" s="20">
        <f>MIN('3.1 Market'!$F177,'1.1 Control Panel'!I$662*'1.1 Control Panel'!I673)</f>
        <v>0</v>
      </c>
      <c r="J186" s="20">
        <f>MIN('3.1 Market'!$F177,'1.1 Control Panel'!J$662*'1.1 Control Panel'!J673)</f>
        <v>0</v>
      </c>
      <c r="K186" s="20">
        <f>MIN('3.1 Market'!$F177,'1.1 Control Panel'!K$662*'1.1 Control Panel'!K673)</f>
        <v>0</v>
      </c>
      <c r="L186" s="20">
        <f>MIN('3.1 Market'!$F177,'1.1 Control Panel'!L$662*'1.1 Control Panel'!L673)</f>
        <v>0</v>
      </c>
      <c r="M186" s="20">
        <f>MIN('3.1 Market'!$F177,'1.1 Control Panel'!M$662*'1.1 Control Panel'!M673)</f>
        <v>0</v>
      </c>
      <c r="N186" s="20">
        <f>MIN('3.1 Market'!$F177,'1.1 Control Panel'!N$662*'1.1 Control Panel'!N673)</f>
        <v>0</v>
      </c>
      <c r="O186" s="20">
        <f>MIN('3.1 Market'!$F177,'1.1 Control Panel'!O$662*'1.1 Control Panel'!O673)</f>
        <v>0</v>
      </c>
      <c r="P186" s="20">
        <f>MIN('3.1 Market'!$F177,'1.1 Control Panel'!P$662*'1.1 Control Panel'!P673)</f>
        <v>0</v>
      </c>
      <c r="Q186" s="20">
        <f>MIN('3.1 Market'!$G177,'1.1 Control Panel'!Q$662*'1.1 Control Panel'!Q673)</f>
        <v>4.9312805232640002</v>
      </c>
      <c r="R186" s="20">
        <f>MIN('3.1 Market'!$G177,'1.1 Control Panel'!R$662*'1.1 Control Panel'!R673)</f>
        <v>4.9450244186112009</v>
      </c>
      <c r="S186" s="20">
        <f>MIN('3.1 Market'!$G177,'1.1 Control Panel'!S$662*'1.1 Control Panel'!S673)</f>
        <v>4.9560195348889611</v>
      </c>
      <c r="T186" s="20">
        <f>MIN('3.1 Market'!$G177,'1.1 Control Panel'!T$662*'1.1 Control Panel'!T673)</f>
        <v>4.964815627911169</v>
      </c>
      <c r="U186" s="20">
        <f>MIN('3.1 Market'!$G177,'1.1 Control Panel'!U$662*'1.1 Control Panel'!U673)</f>
        <v>9.9437050046578719</v>
      </c>
      <c r="V186" s="20">
        <f>MIN('3.1 Market'!$G177,'1.1 Control Panel'!V$662*'1.1 Control Panel'!V673)</f>
        <v>9.9549640037262979</v>
      </c>
      <c r="W186" s="20">
        <f>MIN('3.1 Market'!$G177,'1.1 Control Panel'!W$662*'1.1 Control Panel'!W673)</f>
        <v>9.963971202981039</v>
      </c>
      <c r="X186" s="20">
        <f>MIN('3.1 Market'!$G177,'1.1 Control Panel'!X$662*'1.1 Control Panel'!X673)</f>
        <v>9.9711769623848312</v>
      </c>
      <c r="Y186" s="20">
        <f>MIN('3.1 Market'!$G177,'1.1 Control Panel'!Y$662*'1.1 Control Panel'!Y673)</f>
        <v>9.976941569907865</v>
      </c>
      <c r="Z186" s="20">
        <f>MIN('3.1 Market'!$G177,'1.1 Control Panel'!Z$662*'1.1 Control Panel'!Z673)</f>
        <v>9.9815532559262934</v>
      </c>
      <c r="AA186" s="20">
        <f>MIN('3.1 Market'!$G177,'1.1 Control Panel'!AA$662*'1.1 Control Panel'!AA673)</f>
        <v>9.9852426047410354</v>
      </c>
      <c r="AB186" s="20">
        <f>MIN('3.1 Market'!$G177,'1.1 Control Panel'!AB$662*'1.1 Control Panel'!AB673)</f>
        <v>9.9881940837928287</v>
      </c>
      <c r="AC186" s="20">
        <f>MIN('3.1 Market'!$H177,'1.1 Control Panel'!AC$662*'1.1 Control Panel'!AC673)</f>
        <v>19.981110534068527</v>
      </c>
      <c r="AD186" s="20">
        <f>MIN('3.1 Market'!$H177,'1.1 Control Panel'!AD$662*'1.1 Control Panel'!AD673)</f>
        <v>19.984888427254823</v>
      </c>
      <c r="AE186" s="20">
        <f>MIN('3.1 Market'!$H177,'1.1 Control Panel'!AE$662*'1.1 Control Panel'!AE673)</f>
        <v>19.987910741803859</v>
      </c>
      <c r="AF186" s="20">
        <f>MIN('3.1 Market'!$H177,'1.1 Control Panel'!AF$662*'1.1 Control Panel'!AF673)</f>
        <v>19.990328593443088</v>
      </c>
      <c r="AG186" s="20">
        <f>MIN('3.1 Market'!$H177,'1.1 Control Panel'!AG$662*'1.1 Control Panel'!AG673)</f>
        <v>29.98839431213171</v>
      </c>
      <c r="AH186" s="20">
        <f>MIN('3.1 Market'!$H177,'1.1 Control Panel'!AH$662*'1.1 Control Panel'!AH673)</f>
        <v>29.990715449705366</v>
      </c>
      <c r="AI186" s="20">
        <f>MIN('3.1 Market'!$H177,'1.1 Control Panel'!AI$662*'1.1 Control Panel'!AI673)</f>
        <v>29.992572359764296</v>
      </c>
      <c r="AJ186" s="20">
        <f>MIN('3.1 Market'!$H177,'1.1 Control Panel'!AJ$662*'1.1 Control Panel'!AJ673)</f>
        <v>29.994057887811433</v>
      </c>
      <c r="AK186" s="20">
        <f>MIN('3.1 Market'!$H177,'1.1 Control Panel'!AK$662*'1.1 Control Panel'!AK673)</f>
        <v>34.994454028624006</v>
      </c>
      <c r="AL186" s="20">
        <f>MIN('3.1 Market'!$H177,'1.1 Control Panel'!AL$662*'1.1 Control Panel'!AL673)</f>
        <v>34.995563222899207</v>
      </c>
      <c r="AM186" s="20">
        <f>MIN('3.1 Market'!$H177,'1.1 Control Panel'!AM$662*'1.1 Control Panel'!AM673)</f>
        <v>34.996450578319362</v>
      </c>
      <c r="AN186" s="20">
        <f>MIN('3.1 Market'!$H177,'1.1 Control Panel'!AN$662*'1.1 Control Panel'!AN673)</f>
        <v>34.997160462655486</v>
      </c>
      <c r="AP186" s="20"/>
    </row>
    <row r="187" spans="2:42" x14ac:dyDescent="0.25">
      <c r="C187" s="20" t="s">
        <v>454</v>
      </c>
      <c r="D187" s="34" t="s">
        <v>162</v>
      </c>
      <c r="E187" s="20">
        <f>MIN('3.1 Market'!$F178,'1.1 Control Panel'!E$662*'1.1 Control Panel'!E674)</f>
        <v>0</v>
      </c>
      <c r="F187" s="20">
        <f>MIN('3.1 Market'!$F178,'1.1 Control Panel'!F$662*'1.1 Control Panel'!F674)</f>
        <v>0</v>
      </c>
      <c r="G187" s="20">
        <f>MIN('3.1 Market'!$F178,'1.1 Control Panel'!G$662*'1.1 Control Panel'!G674)</f>
        <v>0</v>
      </c>
      <c r="H187" s="20">
        <f>MIN('3.1 Market'!$F178,'1.1 Control Panel'!H$662*'1.1 Control Panel'!H674)</f>
        <v>0</v>
      </c>
      <c r="I187" s="20">
        <f>MIN('3.1 Market'!$F178,'1.1 Control Panel'!I$662*'1.1 Control Panel'!I674)</f>
        <v>0</v>
      </c>
      <c r="J187" s="20">
        <f>MIN('3.1 Market'!$F178,'1.1 Control Panel'!J$662*'1.1 Control Panel'!J674)</f>
        <v>0</v>
      </c>
      <c r="K187" s="20">
        <f>MIN('3.1 Market'!$F178,'1.1 Control Panel'!K$662*'1.1 Control Panel'!K674)</f>
        <v>0</v>
      </c>
      <c r="L187" s="20">
        <f>MIN('3.1 Market'!$F178,'1.1 Control Panel'!L$662*'1.1 Control Panel'!L674)</f>
        <v>0</v>
      </c>
      <c r="M187" s="20">
        <f>MIN('3.1 Market'!$F178,'1.1 Control Panel'!M$662*'1.1 Control Panel'!M674)</f>
        <v>0</v>
      </c>
      <c r="N187" s="20">
        <f>MIN('3.1 Market'!$F178,'1.1 Control Panel'!N$662*'1.1 Control Panel'!N674)</f>
        <v>0</v>
      </c>
      <c r="O187" s="20">
        <f>MIN('3.1 Market'!$F178,'1.1 Control Panel'!O$662*'1.1 Control Panel'!O674)</f>
        <v>0</v>
      </c>
      <c r="P187" s="20">
        <f>MIN('3.1 Market'!$F178,'1.1 Control Panel'!P$662*'1.1 Control Panel'!P674)</f>
        <v>0</v>
      </c>
      <c r="Q187" s="20">
        <f>MIN('3.1 Market'!$G178,'1.1 Control Panel'!Q$662*'1.1 Control Panel'!Q674)</f>
        <v>4.8625610465280014</v>
      </c>
      <c r="R187" s="20">
        <f>MIN('3.1 Market'!$G178,'1.1 Control Panel'!R$662*'1.1 Control Panel'!R674)</f>
        <v>4.8900488372224018</v>
      </c>
      <c r="S187" s="20">
        <f>MIN('3.1 Market'!$G178,'1.1 Control Panel'!S$662*'1.1 Control Panel'!S674)</f>
        <v>4.9120390697779222</v>
      </c>
      <c r="T187" s="20">
        <f>MIN('3.1 Market'!$G178,'1.1 Control Panel'!T$662*'1.1 Control Panel'!T674)</f>
        <v>4.9296312558223381</v>
      </c>
      <c r="U187" s="20">
        <f>MIN('3.1 Market'!$G178,'1.1 Control Panel'!U$662*'1.1 Control Panel'!U674)</f>
        <v>9.8874100093157402</v>
      </c>
      <c r="V187" s="20">
        <f>MIN('3.1 Market'!$G178,'1.1 Control Panel'!V$662*'1.1 Control Panel'!V674)</f>
        <v>9.9099280074525922</v>
      </c>
      <c r="W187" s="20">
        <f>MIN('3.1 Market'!$G178,'1.1 Control Panel'!W$662*'1.1 Control Panel'!W674)</f>
        <v>9.9279424059620744</v>
      </c>
      <c r="X187" s="20">
        <f>MIN('3.1 Market'!$G178,'1.1 Control Panel'!X$662*'1.1 Control Panel'!X674)</f>
        <v>9.9423539247696588</v>
      </c>
      <c r="Y187" s="20">
        <f>MIN('3.1 Market'!$G178,'1.1 Control Panel'!Y$662*'1.1 Control Panel'!Y674)</f>
        <v>9.9538831398157264</v>
      </c>
      <c r="Z187" s="20">
        <f>MIN('3.1 Market'!$G178,'1.1 Control Panel'!Z$662*'1.1 Control Panel'!Z674)</f>
        <v>9.9631065118525814</v>
      </c>
      <c r="AA187" s="20">
        <f>MIN('3.1 Market'!$G178,'1.1 Control Panel'!AA$662*'1.1 Control Panel'!AA674)</f>
        <v>9.9704852094820655</v>
      </c>
      <c r="AB187" s="20">
        <f>MIN('3.1 Market'!$G178,'1.1 Control Panel'!AB$662*'1.1 Control Panel'!AB674)</f>
        <v>9.9763881675856538</v>
      </c>
      <c r="AC187" s="20">
        <f>MIN('3.1 Market'!$H178,'1.1 Control Panel'!AC$662*'1.1 Control Panel'!AC674)</f>
        <v>19.962221068137048</v>
      </c>
      <c r="AD187" s="20">
        <f>MIN('3.1 Market'!$H178,'1.1 Control Panel'!AD$662*'1.1 Control Panel'!AD674)</f>
        <v>19.969776854509639</v>
      </c>
      <c r="AE187" s="20">
        <f>MIN('3.1 Market'!$H178,'1.1 Control Panel'!AE$662*'1.1 Control Panel'!AE674)</f>
        <v>19.97582148360771</v>
      </c>
      <c r="AF187" s="20">
        <f>MIN('3.1 Market'!$H178,'1.1 Control Panel'!AF$662*'1.1 Control Panel'!AF674)</f>
        <v>19.98065718688617</v>
      </c>
      <c r="AG187" s="20">
        <f>MIN('3.1 Market'!$H178,'1.1 Control Panel'!AG$662*'1.1 Control Panel'!AG674)</f>
        <v>29.976788624263406</v>
      </c>
      <c r="AH187" s="20">
        <f>MIN('3.1 Market'!$H178,'1.1 Control Panel'!AH$662*'1.1 Control Panel'!AH674)</f>
        <v>29.981430899410721</v>
      </c>
      <c r="AI187" s="20">
        <f>MIN('3.1 Market'!$H178,'1.1 Control Panel'!AI$662*'1.1 Control Panel'!AI674)</f>
        <v>29.985144719528577</v>
      </c>
      <c r="AJ187" s="20">
        <f>MIN('3.1 Market'!$H178,'1.1 Control Panel'!AJ$662*'1.1 Control Panel'!AJ674)</f>
        <v>29.988115775622866</v>
      </c>
      <c r="AK187" s="20">
        <f>MIN('3.1 Market'!$H178,'1.1 Control Panel'!AK$662*'1.1 Control Panel'!AK674)</f>
        <v>34.988908057248004</v>
      </c>
      <c r="AL187" s="20">
        <f>MIN('3.1 Market'!$H178,'1.1 Control Panel'!AL$662*'1.1 Control Panel'!AL674)</f>
        <v>34.9911264457984</v>
      </c>
      <c r="AM187" s="20">
        <f>MIN('3.1 Market'!$H178,'1.1 Control Panel'!AM$662*'1.1 Control Panel'!AM674)</f>
        <v>34.992901156638723</v>
      </c>
      <c r="AN187" s="20">
        <f>MIN('3.1 Market'!$H178,'1.1 Control Panel'!AN$662*'1.1 Control Panel'!AN674)</f>
        <v>34.99432092531098</v>
      </c>
      <c r="AP187" s="20"/>
    </row>
    <row r="188" spans="2:42" x14ac:dyDescent="0.25">
      <c r="C188" s="21" t="s">
        <v>455</v>
      </c>
      <c r="D188" s="38" t="s">
        <v>162</v>
      </c>
      <c r="E188" s="21">
        <f>MIN('3.1 Market'!$F179,'1.1 Control Panel'!E$662*'1.1 Control Panel'!E675)</f>
        <v>0</v>
      </c>
      <c r="F188" s="21">
        <f>MIN('3.1 Market'!$F179,'1.1 Control Panel'!F$662*'1.1 Control Panel'!F675)</f>
        <v>0</v>
      </c>
      <c r="G188" s="21">
        <f>MIN('3.1 Market'!$F179,'1.1 Control Panel'!G$662*'1.1 Control Panel'!G675)</f>
        <v>0</v>
      </c>
      <c r="H188" s="21">
        <f>MIN('3.1 Market'!$F179,'1.1 Control Panel'!H$662*'1.1 Control Panel'!H675)</f>
        <v>0</v>
      </c>
      <c r="I188" s="21">
        <f>MIN('3.1 Market'!$F179,'1.1 Control Panel'!I$662*'1.1 Control Panel'!I675)</f>
        <v>0</v>
      </c>
      <c r="J188" s="21">
        <f>MIN('3.1 Market'!$F179,'1.1 Control Panel'!J$662*'1.1 Control Panel'!J675)</f>
        <v>0</v>
      </c>
      <c r="K188" s="21">
        <f>MIN('3.1 Market'!$F179,'1.1 Control Panel'!K$662*'1.1 Control Panel'!K675)</f>
        <v>0</v>
      </c>
      <c r="L188" s="21">
        <f>MIN('3.1 Market'!$F179,'1.1 Control Panel'!L$662*'1.1 Control Panel'!L675)</f>
        <v>0</v>
      </c>
      <c r="M188" s="21">
        <f>MIN('3.1 Market'!$F179,'1.1 Control Panel'!M$662*'1.1 Control Panel'!M675)</f>
        <v>0</v>
      </c>
      <c r="N188" s="21">
        <f>MIN('3.1 Market'!$F179,'1.1 Control Panel'!N$662*'1.1 Control Panel'!N675)</f>
        <v>0</v>
      </c>
      <c r="O188" s="21">
        <f>MIN('3.1 Market'!$F179,'1.1 Control Panel'!O$662*'1.1 Control Panel'!O675)</f>
        <v>0</v>
      </c>
      <c r="P188" s="21">
        <f>MIN('3.1 Market'!$F179,'1.1 Control Panel'!P$662*'1.1 Control Panel'!P675)</f>
        <v>0</v>
      </c>
      <c r="Q188" s="21">
        <f>MIN('3.1 Market'!$G179,'1.1 Control Panel'!Q$662*'1.1 Control Panel'!Q675)</f>
        <v>4.7938415697920007</v>
      </c>
      <c r="R188" s="21">
        <f>MIN('3.1 Market'!$G179,'1.1 Control Panel'!R$662*'1.1 Control Panel'!R675)</f>
        <v>4.8350732558336009</v>
      </c>
      <c r="S188" s="21">
        <f>MIN('3.1 Market'!$G179,'1.1 Control Panel'!S$662*'1.1 Control Panel'!S675)</f>
        <v>4.8680586046668815</v>
      </c>
      <c r="T188" s="21">
        <f>MIN('3.1 Market'!$G179,'1.1 Control Panel'!T$662*'1.1 Control Panel'!T675)</f>
        <v>4.8944468837335053</v>
      </c>
      <c r="U188" s="21">
        <f>MIN('3.1 Market'!$G179,'1.1 Control Panel'!U$662*'1.1 Control Panel'!U675)</f>
        <v>9.8311150139736085</v>
      </c>
      <c r="V188" s="21">
        <f>MIN('3.1 Market'!$G179,'1.1 Control Panel'!V$662*'1.1 Control Panel'!V675)</f>
        <v>9.8648920111788883</v>
      </c>
      <c r="W188" s="21">
        <f>MIN('3.1 Market'!$G179,'1.1 Control Panel'!W$662*'1.1 Control Panel'!W675)</f>
        <v>9.8919136089431099</v>
      </c>
      <c r="X188" s="21">
        <f>MIN('3.1 Market'!$G179,'1.1 Control Panel'!X$662*'1.1 Control Panel'!X675)</f>
        <v>9.9135308871544883</v>
      </c>
      <c r="Y188" s="21">
        <f>MIN('3.1 Market'!$G179,'1.1 Control Panel'!Y$662*'1.1 Control Panel'!Y675)</f>
        <v>9.9308247097235913</v>
      </c>
      <c r="Z188" s="21">
        <f>MIN('3.1 Market'!$G179,'1.1 Control Panel'!Z$662*'1.1 Control Panel'!Z675)</f>
        <v>9.9446597677788731</v>
      </c>
      <c r="AA188" s="21">
        <f>MIN('3.1 Market'!$G179,'1.1 Control Panel'!AA$662*'1.1 Control Panel'!AA675)</f>
        <v>9.9557278142230992</v>
      </c>
      <c r="AB188" s="21">
        <f>MIN('3.1 Market'!$G179,'1.1 Control Panel'!AB$662*'1.1 Control Panel'!AB675)</f>
        <v>9.9645822513784807</v>
      </c>
      <c r="AC188" s="21">
        <f>MIN('3.1 Market'!$H179,'1.1 Control Panel'!AC$662*'1.1 Control Panel'!AC675)</f>
        <v>19.943331602205568</v>
      </c>
      <c r="AD188" s="21">
        <f>MIN('3.1 Market'!$H179,'1.1 Control Panel'!AD$662*'1.1 Control Panel'!AD675)</f>
        <v>19.954665281764456</v>
      </c>
      <c r="AE188" s="21">
        <f>MIN('3.1 Market'!$H179,'1.1 Control Panel'!AE$662*'1.1 Control Panel'!AE675)</f>
        <v>19.963732225411565</v>
      </c>
      <c r="AF188" s="21">
        <f>MIN('3.1 Market'!$H179,'1.1 Control Panel'!AF$662*'1.1 Control Panel'!AF675)</f>
        <v>19.970985780329251</v>
      </c>
      <c r="AG188" s="21">
        <f>MIN('3.1 Market'!$H179,'1.1 Control Panel'!AG$662*'1.1 Control Panel'!AG675)</f>
        <v>29.965182936395099</v>
      </c>
      <c r="AH188" s="21">
        <f>MIN('3.1 Market'!$H179,'1.1 Control Panel'!AH$662*'1.1 Control Panel'!AH675)</f>
        <v>29.972146349116077</v>
      </c>
      <c r="AI188" s="21">
        <f>MIN('3.1 Market'!$H179,'1.1 Control Panel'!AI$662*'1.1 Control Panel'!AI675)</f>
        <v>29.977717079292866</v>
      </c>
      <c r="AJ188" s="21">
        <f>MIN('3.1 Market'!$H179,'1.1 Control Panel'!AJ$662*'1.1 Control Panel'!AJ675)</f>
        <v>29.982173663434295</v>
      </c>
      <c r="AK188" s="21">
        <f>MIN('3.1 Market'!$H179,'1.1 Control Panel'!AK$662*'1.1 Control Panel'!AK675)</f>
        <v>34.98336208587201</v>
      </c>
      <c r="AL188" s="21">
        <f>MIN('3.1 Market'!$H179,'1.1 Control Panel'!AL$662*'1.1 Control Panel'!AL675)</f>
        <v>34.986689668697608</v>
      </c>
      <c r="AM188" s="21">
        <f>MIN('3.1 Market'!$H179,'1.1 Control Panel'!AM$662*'1.1 Control Panel'!AM675)</f>
        <v>34.989351734958092</v>
      </c>
      <c r="AN188" s="21">
        <f>MIN('3.1 Market'!$H179,'1.1 Control Panel'!AN$662*'1.1 Control Panel'!AN675)</f>
        <v>34.991481387966473</v>
      </c>
      <c r="AP188" s="21"/>
    </row>
    <row r="189" spans="2:42" x14ac:dyDescent="0.25">
      <c r="C189" s="21" t="s">
        <v>393</v>
      </c>
      <c r="D189" s="38" t="s">
        <v>162</v>
      </c>
      <c r="E189" s="21">
        <f>MIN('3.1 Market'!$F180,'1.1 Control Panel'!E$662*'1.1 Control Panel'!E676)</f>
        <v>0</v>
      </c>
      <c r="F189" s="21">
        <f>MIN('3.1 Market'!$F180,'1.1 Control Panel'!F$662*'1.1 Control Panel'!F676)</f>
        <v>0</v>
      </c>
      <c r="G189" s="21">
        <f>MIN('3.1 Market'!$F180,'1.1 Control Panel'!G$662*'1.1 Control Panel'!G676)</f>
        <v>0</v>
      </c>
      <c r="H189" s="21">
        <f>MIN('3.1 Market'!$F180,'1.1 Control Panel'!H$662*'1.1 Control Panel'!H676)</f>
        <v>0</v>
      </c>
      <c r="I189" s="21">
        <f>MIN('3.1 Market'!$F180,'1.1 Control Panel'!I$662*'1.1 Control Panel'!I676)</f>
        <v>0</v>
      </c>
      <c r="J189" s="21">
        <f>MIN('3.1 Market'!$F180,'1.1 Control Panel'!J$662*'1.1 Control Panel'!J676)</f>
        <v>0</v>
      </c>
      <c r="K189" s="21">
        <f>MIN('3.1 Market'!$F180,'1.1 Control Panel'!K$662*'1.1 Control Panel'!K676)</f>
        <v>0</v>
      </c>
      <c r="L189" s="21">
        <f>MIN('3.1 Market'!$F180,'1.1 Control Panel'!L$662*'1.1 Control Panel'!L676)</f>
        <v>0</v>
      </c>
      <c r="M189" s="21">
        <f>MIN('3.1 Market'!$F180,'1.1 Control Panel'!M$662*'1.1 Control Panel'!M676)</f>
        <v>0</v>
      </c>
      <c r="N189" s="21">
        <f>MIN('3.1 Market'!$F180,'1.1 Control Panel'!N$662*'1.1 Control Panel'!N676)</f>
        <v>0</v>
      </c>
      <c r="O189" s="21">
        <f>MIN('3.1 Market'!$F180,'1.1 Control Panel'!O$662*'1.1 Control Panel'!O676)</f>
        <v>0</v>
      </c>
      <c r="P189" s="21">
        <f>MIN('3.1 Market'!$F180,'1.1 Control Panel'!P$662*'1.1 Control Panel'!P676)</f>
        <v>0</v>
      </c>
      <c r="Q189" s="21">
        <f>MIN('3.1 Market'!$G180,'1.1 Control Panel'!Q$662*'1.1 Control Panel'!Q676)</f>
        <v>4.7251220930560009</v>
      </c>
      <c r="R189" s="21">
        <f>MIN('3.1 Market'!$G180,'1.1 Control Panel'!R$662*'1.1 Control Panel'!R676)</f>
        <v>4.7800976744448009</v>
      </c>
      <c r="S189" s="21">
        <f>MIN('3.1 Market'!$G180,'1.1 Control Panel'!S$662*'1.1 Control Panel'!S676)</f>
        <v>4.8240781395558407</v>
      </c>
      <c r="T189" s="21">
        <f>MIN('3.1 Market'!$G180,'1.1 Control Panel'!T$662*'1.1 Control Panel'!T676)</f>
        <v>4.8592625116446726</v>
      </c>
      <c r="U189" s="21">
        <f>MIN('3.1 Market'!$G180,'1.1 Control Panel'!U$662*'1.1 Control Panel'!U676)</f>
        <v>9.7748200186314769</v>
      </c>
      <c r="V189" s="21">
        <f>MIN('3.1 Market'!$G180,'1.1 Control Panel'!V$662*'1.1 Control Panel'!V676)</f>
        <v>9.8198560149051808</v>
      </c>
      <c r="W189" s="21">
        <f>MIN('3.1 Market'!$G180,'1.1 Control Panel'!W$662*'1.1 Control Panel'!W676)</f>
        <v>9.8558848119241453</v>
      </c>
      <c r="X189" s="21">
        <f>MIN('3.1 Market'!$G180,'1.1 Control Panel'!X$662*'1.1 Control Panel'!X676)</f>
        <v>9.8847078495393177</v>
      </c>
      <c r="Y189" s="21">
        <f>MIN('3.1 Market'!$G180,'1.1 Control Panel'!Y$662*'1.1 Control Panel'!Y676)</f>
        <v>9.9077662796314545</v>
      </c>
      <c r="Z189" s="21">
        <f>MIN('3.1 Market'!$G180,'1.1 Control Panel'!Z$662*'1.1 Control Panel'!Z676)</f>
        <v>9.9262130237051629</v>
      </c>
      <c r="AA189" s="21">
        <f>MIN('3.1 Market'!$G180,'1.1 Control Panel'!AA$662*'1.1 Control Panel'!AA676)</f>
        <v>9.940970418964131</v>
      </c>
      <c r="AB189" s="21">
        <f>MIN('3.1 Market'!$G180,'1.1 Control Panel'!AB$662*'1.1 Control Panel'!AB676)</f>
        <v>9.9527763351713041</v>
      </c>
      <c r="AC189" s="21">
        <f>MIN('3.1 Market'!$H180,'1.1 Control Panel'!AC$662*'1.1 Control Panel'!AC676)</f>
        <v>19.924442136274088</v>
      </c>
      <c r="AD189" s="21">
        <f>MIN('3.1 Market'!$H180,'1.1 Control Panel'!AD$662*'1.1 Control Panel'!AD676)</f>
        <v>19.939553709019272</v>
      </c>
      <c r="AE189" s="21">
        <f>MIN('3.1 Market'!$H180,'1.1 Control Panel'!AE$662*'1.1 Control Panel'!AE676)</f>
        <v>19.95164296721542</v>
      </c>
      <c r="AF189" s="21">
        <f>MIN('3.1 Market'!$H180,'1.1 Control Panel'!AF$662*'1.1 Control Panel'!AF676)</f>
        <v>19.961314373772339</v>
      </c>
      <c r="AG189" s="21">
        <f>MIN('3.1 Market'!$H180,'1.1 Control Panel'!AG$662*'1.1 Control Panel'!AG676)</f>
        <v>29.953577248526809</v>
      </c>
      <c r="AH189" s="21">
        <f>MIN('3.1 Market'!$H180,'1.1 Control Panel'!AH$662*'1.1 Control Panel'!AH676)</f>
        <v>29.96286179882145</v>
      </c>
      <c r="AI189" s="21">
        <f>MIN('3.1 Market'!$H180,'1.1 Control Panel'!AI$662*'1.1 Control Panel'!AI676)</f>
        <v>29.970289439057161</v>
      </c>
      <c r="AJ189" s="21">
        <f>MIN('3.1 Market'!$H180,'1.1 Control Panel'!AJ$662*'1.1 Control Panel'!AJ676)</f>
        <v>29.976231551245732</v>
      </c>
      <c r="AK189" s="21">
        <f>MIN('3.1 Market'!$H180,'1.1 Control Panel'!AK$662*'1.1 Control Panel'!AK676)</f>
        <v>34.977816114496015</v>
      </c>
      <c r="AL189" s="21">
        <f>MIN('3.1 Market'!$H180,'1.1 Control Panel'!AL$662*'1.1 Control Panel'!AL676)</f>
        <v>34.982252891596815</v>
      </c>
      <c r="AM189" s="21">
        <f>MIN('3.1 Market'!$H180,'1.1 Control Panel'!AM$662*'1.1 Control Panel'!AM676)</f>
        <v>34.985802313277453</v>
      </c>
      <c r="AN189" s="21">
        <f>MIN('3.1 Market'!$H180,'1.1 Control Panel'!AN$662*'1.1 Control Panel'!AN676)</f>
        <v>34.988641850621967</v>
      </c>
      <c r="AP189" s="21"/>
    </row>
    <row r="190" spans="2:42" x14ac:dyDescent="0.25">
      <c r="C190" s="21" t="s">
        <v>456</v>
      </c>
      <c r="D190" s="38" t="s">
        <v>162</v>
      </c>
      <c r="E190" s="21">
        <f>MIN('3.1 Market'!$F181,'1.1 Control Panel'!E$662*'1.1 Control Panel'!E677)</f>
        <v>0</v>
      </c>
      <c r="F190" s="21">
        <f>MIN('3.1 Market'!$F181,'1.1 Control Panel'!F$662*'1.1 Control Panel'!F677)</f>
        <v>0</v>
      </c>
      <c r="G190" s="21">
        <f>MIN('3.1 Market'!$F181,'1.1 Control Panel'!G$662*'1.1 Control Panel'!G677)</f>
        <v>0</v>
      </c>
      <c r="H190" s="21">
        <f>MIN('3.1 Market'!$F181,'1.1 Control Panel'!H$662*'1.1 Control Panel'!H677)</f>
        <v>0</v>
      </c>
      <c r="I190" s="21">
        <f>MIN('3.1 Market'!$F181,'1.1 Control Panel'!I$662*'1.1 Control Panel'!I677)</f>
        <v>0</v>
      </c>
      <c r="J190" s="21">
        <f>MIN('3.1 Market'!$F181,'1.1 Control Panel'!J$662*'1.1 Control Panel'!J677)</f>
        <v>0</v>
      </c>
      <c r="K190" s="21">
        <f>MIN('3.1 Market'!$F181,'1.1 Control Panel'!K$662*'1.1 Control Panel'!K677)</f>
        <v>0</v>
      </c>
      <c r="L190" s="21">
        <f>MIN('3.1 Market'!$F181,'1.1 Control Panel'!L$662*'1.1 Control Panel'!L677)</f>
        <v>0</v>
      </c>
      <c r="M190" s="21">
        <f>MIN('3.1 Market'!$F181,'1.1 Control Panel'!M$662*'1.1 Control Panel'!M677)</f>
        <v>0</v>
      </c>
      <c r="N190" s="21">
        <f>MIN('3.1 Market'!$F181,'1.1 Control Panel'!N$662*'1.1 Control Panel'!N677)</f>
        <v>0</v>
      </c>
      <c r="O190" s="21">
        <f>MIN('3.1 Market'!$F181,'1.1 Control Panel'!O$662*'1.1 Control Panel'!O677)</f>
        <v>0</v>
      </c>
      <c r="P190" s="21">
        <f>MIN('3.1 Market'!$F181,'1.1 Control Panel'!P$662*'1.1 Control Panel'!P677)</f>
        <v>0</v>
      </c>
      <c r="Q190" s="21">
        <f>MIN('3.1 Market'!$G181,'1.1 Control Panel'!Q$662*'1.1 Control Panel'!Q677)</f>
        <v>4.6564026163200012</v>
      </c>
      <c r="R190" s="21">
        <f>MIN('3.1 Market'!$G181,'1.1 Control Panel'!R$662*'1.1 Control Panel'!R677)</f>
        <v>4.7251220930560009</v>
      </c>
      <c r="S190" s="21">
        <f>MIN('3.1 Market'!$G181,'1.1 Control Panel'!S$662*'1.1 Control Panel'!S677)</f>
        <v>4.7800976744448009</v>
      </c>
      <c r="T190" s="21">
        <f>MIN('3.1 Market'!$G181,'1.1 Control Panel'!T$662*'1.1 Control Panel'!T677)</f>
        <v>4.8240781395558407</v>
      </c>
      <c r="U190" s="21">
        <f>MIN('3.1 Market'!$G181,'1.1 Control Panel'!U$662*'1.1 Control Panel'!U677)</f>
        <v>9.7185250232893452</v>
      </c>
      <c r="V190" s="21">
        <f>MIN('3.1 Market'!$G181,'1.1 Control Panel'!V$662*'1.1 Control Panel'!V677)</f>
        <v>9.7748200186314769</v>
      </c>
      <c r="W190" s="21">
        <f>MIN('3.1 Market'!$G181,'1.1 Control Panel'!W$662*'1.1 Control Panel'!W677)</f>
        <v>9.8198560149051808</v>
      </c>
      <c r="X190" s="21">
        <f>MIN('3.1 Market'!$G181,'1.1 Control Panel'!X$662*'1.1 Control Panel'!X677)</f>
        <v>9.8558848119241453</v>
      </c>
      <c r="Y190" s="21">
        <f>MIN('3.1 Market'!$G181,'1.1 Control Panel'!Y$662*'1.1 Control Panel'!Y677)</f>
        <v>9.8847078495393177</v>
      </c>
      <c r="Z190" s="21">
        <f>MIN('3.1 Market'!$G181,'1.1 Control Panel'!Z$662*'1.1 Control Panel'!Z677)</f>
        <v>9.9077662796314545</v>
      </c>
      <c r="AA190" s="21">
        <f>MIN('3.1 Market'!$G181,'1.1 Control Panel'!AA$662*'1.1 Control Panel'!AA677)</f>
        <v>9.9262130237051629</v>
      </c>
      <c r="AB190" s="21">
        <f>MIN('3.1 Market'!$G181,'1.1 Control Panel'!AB$662*'1.1 Control Panel'!AB677)</f>
        <v>9.940970418964131</v>
      </c>
      <c r="AC190" s="21">
        <f>MIN('3.1 Market'!$H181,'1.1 Control Panel'!AC$662*'1.1 Control Panel'!AC677)</f>
        <v>19.905552670342608</v>
      </c>
      <c r="AD190" s="21">
        <f>MIN('3.1 Market'!$H181,'1.1 Control Panel'!AD$662*'1.1 Control Panel'!AD677)</f>
        <v>19.924442136274088</v>
      </c>
      <c r="AE190" s="21">
        <f>MIN('3.1 Market'!$H181,'1.1 Control Panel'!AE$662*'1.1 Control Panel'!AE677)</f>
        <v>19.939553709019272</v>
      </c>
      <c r="AF190" s="21">
        <f>MIN('3.1 Market'!$H181,'1.1 Control Panel'!AF$662*'1.1 Control Panel'!AF677)</f>
        <v>19.95164296721542</v>
      </c>
      <c r="AG190" s="21">
        <f>MIN('3.1 Market'!$H181,'1.1 Control Panel'!AG$662*'1.1 Control Panel'!AG677)</f>
        <v>29.941971560658509</v>
      </c>
      <c r="AH190" s="21">
        <f>MIN('3.1 Market'!$H181,'1.1 Control Panel'!AH$662*'1.1 Control Panel'!AH677)</f>
        <v>29.953577248526809</v>
      </c>
      <c r="AI190" s="21">
        <f>MIN('3.1 Market'!$H181,'1.1 Control Panel'!AI$662*'1.1 Control Panel'!AI677)</f>
        <v>29.96286179882145</v>
      </c>
      <c r="AJ190" s="21">
        <f>MIN('3.1 Market'!$H181,'1.1 Control Panel'!AJ$662*'1.1 Control Panel'!AJ677)</f>
        <v>29.970289439057161</v>
      </c>
      <c r="AK190" s="21">
        <f>MIN('3.1 Market'!$H181,'1.1 Control Panel'!AK$662*'1.1 Control Panel'!AK677)</f>
        <v>34.972270143120021</v>
      </c>
      <c r="AL190" s="21">
        <f>MIN('3.1 Market'!$H181,'1.1 Control Panel'!AL$662*'1.1 Control Panel'!AL677)</f>
        <v>34.977816114496015</v>
      </c>
      <c r="AM190" s="21">
        <f>MIN('3.1 Market'!$H181,'1.1 Control Panel'!AM$662*'1.1 Control Panel'!AM677)</f>
        <v>34.982252891596815</v>
      </c>
      <c r="AN190" s="21">
        <f>MIN('3.1 Market'!$H181,'1.1 Control Panel'!AN$662*'1.1 Control Panel'!AN677)</f>
        <v>34.985802313277453</v>
      </c>
      <c r="AP190" s="21"/>
    </row>
    <row r="191" spans="2:42" x14ac:dyDescent="0.25">
      <c r="B191" s="33" t="s">
        <v>9</v>
      </c>
      <c r="C191" s="267" t="s">
        <v>431</v>
      </c>
      <c r="D191" s="271" t="s">
        <v>162</v>
      </c>
      <c r="E191" s="267">
        <f>E192+E199+E206+E213+E220+E227+E234+E241+E248+E255+E262+E269</f>
        <v>120</v>
      </c>
      <c r="F191" s="267">
        <f t="shared" ref="F191:H191" si="117">F192+F199+F206+F213+F220+F227+F234+F241+F248+F255+F262+F269</f>
        <v>141</v>
      </c>
      <c r="G191" s="267">
        <f t="shared" si="117"/>
        <v>157.80000000000004</v>
      </c>
      <c r="H191" s="267">
        <f t="shared" si="117"/>
        <v>171.24</v>
      </c>
      <c r="I191" s="267">
        <f t="shared" ref="I191:AN191" si="118">I192+I199+I206+I213+I220+I227+I234+I241+I248+I255+I262+I269</f>
        <v>253.56</v>
      </c>
      <c r="J191" s="267">
        <f t="shared" si="118"/>
        <v>356.1024000000001</v>
      </c>
      <c r="K191" s="267">
        <f t="shared" si="118"/>
        <v>368.88191999999998</v>
      </c>
      <c r="L191" s="267">
        <f t="shared" si="118"/>
        <v>379.10553600000009</v>
      </c>
      <c r="M191" s="267">
        <f t="shared" si="118"/>
        <v>469.7346816000001</v>
      </c>
      <c r="N191" s="267">
        <f t="shared" si="118"/>
        <v>505.77447936000016</v>
      </c>
      <c r="O191" s="267">
        <f t="shared" si="118"/>
        <v>541.0089707520001</v>
      </c>
      <c r="P191" s="267">
        <f t="shared" si="118"/>
        <v>575.51868641280009</v>
      </c>
      <c r="Q191" s="267">
        <f t="shared" si="118"/>
        <v>885.1070276198401</v>
      </c>
      <c r="R191" s="267">
        <f t="shared" si="118"/>
        <v>891.08562209587217</v>
      </c>
      <c r="S191" s="267">
        <f t="shared" si="118"/>
        <v>895.86849767669787</v>
      </c>
      <c r="T191" s="267">
        <f t="shared" si="118"/>
        <v>899.69479814135832</v>
      </c>
      <c r="U191" s="267">
        <f t="shared" si="118"/>
        <v>1302.2670764672289</v>
      </c>
      <c r="V191" s="267">
        <f t="shared" si="118"/>
        <v>1305.8136611737834</v>
      </c>
      <c r="W191" s="267">
        <f t="shared" si="118"/>
        <v>1308.6509289390265</v>
      </c>
      <c r="X191" s="267">
        <f t="shared" si="118"/>
        <v>1310.9207431512214</v>
      </c>
      <c r="Y191" s="267">
        <f t="shared" si="118"/>
        <v>1417.2177798439041</v>
      </c>
      <c r="Z191" s="267">
        <f t="shared" si="118"/>
        <v>1418.774223875123</v>
      </c>
      <c r="AA191" s="267">
        <f t="shared" si="118"/>
        <v>1420.0193791000986</v>
      </c>
      <c r="AB191" s="267">
        <f t="shared" si="118"/>
        <v>1421.015503280079</v>
      </c>
      <c r="AC191" s="267">
        <f t="shared" si="118"/>
        <v>2379.6873377067723</v>
      </c>
      <c r="AD191" s="267">
        <f t="shared" si="118"/>
        <v>2380.7498701654176</v>
      </c>
      <c r="AE191" s="267">
        <f t="shared" si="118"/>
        <v>2381.5998961323344</v>
      </c>
      <c r="AF191" s="267">
        <f t="shared" si="118"/>
        <v>2382.279916905868</v>
      </c>
      <c r="AG191" s="267">
        <f t="shared" si="118"/>
        <v>3431.8664642755593</v>
      </c>
      <c r="AH191" s="267">
        <f t="shared" si="118"/>
        <v>3432.4931714204472</v>
      </c>
      <c r="AI191" s="267">
        <f t="shared" si="118"/>
        <v>3432.9945371363578</v>
      </c>
      <c r="AJ191" s="267">
        <f t="shared" si="118"/>
        <v>3433.3956297090876</v>
      </c>
      <c r="AK191" s="267">
        <f t="shared" si="118"/>
        <v>4243.419398157841</v>
      </c>
      <c r="AL191" s="267">
        <f t="shared" si="118"/>
        <v>4243.7355185262732</v>
      </c>
      <c r="AM191" s="267">
        <f t="shared" si="118"/>
        <v>4243.9884148210185</v>
      </c>
      <c r="AN191" s="267">
        <f t="shared" si="118"/>
        <v>4244.1907318568146</v>
      </c>
      <c r="AP191" s="267"/>
    </row>
    <row r="192" spans="2:42" x14ac:dyDescent="0.25">
      <c r="B192" s="99" t="s">
        <v>9</v>
      </c>
      <c r="C192" s="105" t="str">
        <f>'4.2 Sector Mapping'!$B$5</f>
        <v>Agriculture</v>
      </c>
      <c r="D192" s="106" t="s">
        <v>162</v>
      </c>
      <c r="E192" s="105">
        <f>SUM(E193:E198)</f>
        <v>0</v>
      </c>
      <c r="F192" s="105">
        <f t="shared" ref="F192:H192" si="119">SUM(F193:F198)</f>
        <v>0</v>
      </c>
      <c r="G192" s="105">
        <f t="shared" si="119"/>
        <v>0</v>
      </c>
      <c r="H192" s="105">
        <f t="shared" si="119"/>
        <v>0</v>
      </c>
      <c r="I192" s="105">
        <f t="shared" ref="I192:AN192" si="120">SUM(I193:I198)</f>
        <v>0</v>
      </c>
      <c r="J192" s="105">
        <f t="shared" si="120"/>
        <v>0</v>
      </c>
      <c r="K192" s="105">
        <f t="shared" si="120"/>
        <v>0</v>
      </c>
      <c r="L192" s="105">
        <f t="shared" si="120"/>
        <v>0</v>
      </c>
      <c r="M192" s="105">
        <f t="shared" si="120"/>
        <v>0</v>
      </c>
      <c r="N192" s="105">
        <f t="shared" si="120"/>
        <v>0</v>
      </c>
      <c r="O192" s="105">
        <f t="shared" si="120"/>
        <v>0</v>
      </c>
      <c r="P192" s="105">
        <f t="shared" si="120"/>
        <v>0</v>
      </c>
      <c r="Q192" s="105">
        <f t="shared" si="120"/>
        <v>0</v>
      </c>
      <c r="R192" s="105">
        <f t="shared" si="120"/>
        <v>0</v>
      </c>
      <c r="S192" s="105">
        <f t="shared" si="120"/>
        <v>0</v>
      </c>
      <c r="T192" s="105">
        <f t="shared" si="120"/>
        <v>0</v>
      </c>
      <c r="U192" s="105">
        <f t="shared" si="120"/>
        <v>29.577787534934018</v>
      </c>
      <c r="V192" s="105">
        <f t="shared" si="120"/>
        <v>29.662230027947217</v>
      </c>
      <c r="W192" s="105">
        <f t="shared" si="120"/>
        <v>29.729784022357777</v>
      </c>
      <c r="X192" s="105">
        <f t="shared" si="120"/>
        <v>29.78382721788622</v>
      </c>
      <c r="Y192" s="105">
        <f t="shared" si="120"/>
        <v>29.827061774308977</v>
      </c>
      <c r="Z192" s="105">
        <f t="shared" si="120"/>
        <v>29.861649419447179</v>
      </c>
      <c r="AA192" s="105">
        <f t="shared" si="120"/>
        <v>29.889319535557746</v>
      </c>
      <c r="AB192" s="105">
        <f t="shared" si="120"/>
        <v>29.911455628446198</v>
      </c>
      <c r="AC192" s="105">
        <f t="shared" si="120"/>
        <v>59.858329005513923</v>
      </c>
      <c r="AD192" s="105">
        <f t="shared" si="120"/>
        <v>59.886663204411136</v>
      </c>
      <c r="AE192" s="105">
        <f t="shared" si="120"/>
        <v>59.909330563528911</v>
      </c>
      <c r="AF192" s="105">
        <f t="shared" si="120"/>
        <v>59.927464450823138</v>
      </c>
      <c r="AG192" s="105">
        <f t="shared" si="120"/>
        <v>89.912957340987759</v>
      </c>
      <c r="AH192" s="105">
        <f t="shared" si="120"/>
        <v>89.930365872790219</v>
      </c>
      <c r="AI192" s="105">
        <f t="shared" si="120"/>
        <v>89.944292698232175</v>
      </c>
      <c r="AJ192" s="105">
        <f t="shared" si="120"/>
        <v>89.955434158585746</v>
      </c>
      <c r="AK192" s="105">
        <f t="shared" si="120"/>
        <v>89.964347326868619</v>
      </c>
      <c r="AL192" s="105">
        <f t="shared" si="120"/>
        <v>89.97147786149489</v>
      </c>
      <c r="AM192" s="105">
        <f t="shared" si="120"/>
        <v>89.977182289195909</v>
      </c>
      <c r="AN192" s="105">
        <f t="shared" si="120"/>
        <v>89.981745831356733</v>
      </c>
      <c r="AP192" s="105"/>
    </row>
    <row r="193" spans="2:42" x14ac:dyDescent="0.25">
      <c r="C193" s="20" t="s">
        <v>600</v>
      </c>
      <c r="D193" s="34" t="s">
        <v>162</v>
      </c>
      <c r="E193" s="20">
        <f>MIN('3.1 Market'!$F184,'1.1 Control Panel'!E338*'1.1 Control Panel'!E$321)</f>
        <v>0</v>
      </c>
      <c r="F193" s="20">
        <f>MIN('3.1 Market'!$F184,'1.1 Control Panel'!F338*'1.1 Control Panel'!F$321)</f>
        <v>0</v>
      </c>
      <c r="G193" s="20">
        <f>MIN('3.1 Market'!$F184,'1.1 Control Panel'!G338*'1.1 Control Panel'!G$321)</f>
        <v>0</v>
      </c>
      <c r="H193" s="20">
        <f>MIN('3.1 Market'!$F184,'1.1 Control Panel'!H338*'1.1 Control Panel'!H$321)</f>
        <v>0</v>
      </c>
      <c r="I193" s="20">
        <f>MIN('3.1 Market'!$F184,'1.1 Control Panel'!I338*'1.1 Control Panel'!I$321)</f>
        <v>0</v>
      </c>
      <c r="J193" s="20">
        <f>MIN('3.1 Market'!$F184,'1.1 Control Panel'!J338*'1.1 Control Panel'!J$321)</f>
        <v>0</v>
      </c>
      <c r="K193" s="20">
        <f>MIN('3.1 Market'!$F184,'1.1 Control Panel'!K338*'1.1 Control Panel'!K$321)</f>
        <v>0</v>
      </c>
      <c r="L193" s="20">
        <f>MIN('3.1 Market'!$F184,'1.1 Control Panel'!L338*'1.1 Control Panel'!L$321)</f>
        <v>0</v>
      </c>
      <c r="M193" s="20">
        <f>MIN('3.1 Market'!$F184,'1.1 Control Panel'!M338*'1.1 Control Panel'!M$321)</f>
        <v>0</v>
      </c>
      <c r="N193" s="20">
        <f>MIN('3.1 Market'!$F184,'1.1 Control Panel'!N338*'1.1 Control Panel'!N$321)</f>
        <v>0</v>
      </c>
      <c r="O193" s="20">
        <f>MIN('3.1 Market'!$F184,'1.1 Control Panel'!O338*'1.1 Control Panel'!O$321)</f>
        <v>0</v>
      </c>
      <c r="P193" s="20">
        <f>MIN('3.1 Market'!$F184,'1.1 Control Panel'!P338*'1.1 Control Panel'!P$321)</f>
        <v>0</v>
      </c>
      <c r="Q193" s="20">
        <f>MIN('3.1 Market'!$G184,'1.1 Control Panel'!Q338*'1.1 Control Panel'!Q$321)</f>
        <v>0</v>
      </c>
      <c r="R193" s="20">
        <f>MIN('3.1 Market'!$G184,'1.1 Control Panel'!R338*'1.1 Control Panel'!R$321)</f>
        <v>0</v>
      </c>
      <c r="S193" s="20">
        <f>MIN('3.1 Market'!$G184,'1.1 Control Panel'!S338*'1.1 Control Panel'!S$321)</f>
        <v>0</v>
      </c>
      <c r="T193" s="20">
        <f>MIN('3.1 Market'!$G184,'1.1 Control Panel'!T338*'1.1 Control Panel'!T$321)</f>
        <v>0</v>
      </c>
      <c r="U193" s="20">
        <f>MIN('3.1 Market'!$G184,'1.1 Control Panel'!U338*'1.1 Control Panel'!U$321)</f>
        <v>5</v>
      </c>
      <c r="V193" s="20">
        <f>MIN('3.1 Market'!$G184,'1.1 Control Panel'!V338*'1.1 Control Panel'!V$321)</f>
        <v>5</v>
      </c>
      <c r="W193" s="20">
        <f>MIN('3.1 Market'!$G184,'1.1 Control Panel'!W338*'1.1 Control Panel'!W$321)</f>
        <v>5</v>
      </c>
      <c r="X193" s="20">
        <f>MIN('3.1 Market'!$G184,'1.1 Control Panel'!X338*'1.1 Control Panel'!X$321)</f>
        <v>5</v>
      </c>
      <c r="Y193" s="20">
        <f>MIN('3.1 Market'!$G184,'1.1 Control Panel'!Y338*'1.1 Control Panel'!Y$321)</f>
        <v>5</v>
      </c>
      <c r="Z193" s="20">
        <f>MIN('3.1 Market'!$G184,'1.1 Control Panel'!Z338*'1.1 Control Panel'!Z$321)</f>
        <v>5</v>
      </c>
      <c r="AA193" s="20">
        <f>MIN('3.1 Market'!$G184,'1.1 Control Panel'!AA338*'1.1 Control Panel'!AA$321)</f>
        <v>5</v>
      </c>
      <c r="AB193" s="20">
        <f>MIN('3.1 Market'!$G184,'1.1 Control Panel'!AB338*'1.1 Control Panel'!AB$321)</f>
        <v>5</v>
      </c>
      <c r="AC193" s="20">
        <f>MIN('3.1 Market'!$H184,'1.1 Control Panel'!AC338*'1.1 Control Panel'!AC$321)</f>
        <v>10</v>
      </c>
      <c r="AD193" s="20">
        <f>MIN('3.1 Market'!$H184,'1.1 Control Panel'!AD338*'1.1 Control Panel'!AD$321)</f>
        <v>10</v>
      </c>
      <c r="AE193" s="20">
        <f>MIN('3.1 Market'!$H184,'1.1 Control Panel'!AE338*'1.1 Control Panel'!AE$321)</f>
        <v>10</v>
      </c>
      <c r="AF193" s="20">
        <f>MIN('3.1 Market'!$H184,'1.1 Control Panel'!AF338*'1.1 Control Panel'!AF$321)</f>
        <v>10</v>
      </c>
      <c r="AG193" s="20">
        <f>MIN('3.1 Market'!$H184,'1.1 Control Panel'!AG338*'1.1 Control Panel'!AG$321)</f>
        <v>15</v>
      </c>
      <c r="AH193" s="20">
        <f>MIN('3.1 Market'!$H184,'1.1 Control Panel'!AH338*'1.1 Control Panel'!AH$321)</f>
        <v>15</v>
      </c>
      <c r="AI193" s="20">
        <f>MIN('3.1 Market'!$H184,'1.1 Control Panel'!AI338*'1.1 Control Panel'!AI$321)</f>
        <v>15</v>
      </c>
      <c r="AJ193" s="20">
        <f>MIN('3.1 Market'!$H184,'1.1 Control Panel'!AJ338*'1.1 Control Panel'!AJ$321)</f>
        <v>15</v>
      </c>
      <c r="AK193" s="20">
        <f>MIN('3.1 Market'!$H184,'1.1 Control Panel'!AK338*'1.1 Control Panel'!AK$321)</f>
        <v>15</v>
      </c>
      <c r="AL193" s="20">
        <f>MIN('3.1 Market'!$H184,'1.1 Control Panel'!AL338*'1.1 Control Panel'!AL$321)</f>
        <v>15</v>
      </c>
      <c r="AM193" s="20">
        <f>MIN('3.1 Market'!$H184,'1.1 Control Panel'!AM338*'1.1 Control Panel'!AM$321)</f>
        <v>15</v>
      </c>
      <c r="AN193" s="20">
        <f>MIN('3.1 Market'!$H184,'1.1 Control Panel'!AN338*'1.1 Control Panel'!AN$321)</f>
        <v>15</v>
      </c>
      <c r="AP193" s="20"/>
    </row>
    <row r="194" spans="2:42" x14ac:dyDescent="0.25">
      <c r="C194" s="20" t="s">
        <v>392</v>
      </c>
      <c r="D194" s="34" t="s">
        <v>162</v>
      </c>
      <c r="E194" s="20">
        <f>MIN('3.1 Market'!$F185,'1.1 Control Panel'!E339*'1.1 Control Panel'!E$321)</f>
        <v>0</v>
      </c>
      <c r="F194" s="20">
        <f>MIN('3.1 Market'!$F185,'1.1 Control Panel'!F339*'1.1 Control Panel'!F$321)</f>
        <v>0</v>
      </c>
      <c r="G194" s="20">
        <f>MIN('3.1 Market'!$F185,'1.1 Control Panel'!G339*'1.1 Control Panel'!G$321)</f>
        <v>0</v>
      </c>
      <c r="H194" s="20">
        <f>MIN('3.1 Market'!$F185,'1.1 Control Panel'!H339*'1.1 Control Panel'!H$321)</f>
        <v>0</v>
      </c>
      <c r="I194" s="20">
        <f>MIN('3.1 Market'!$F185,'1.1 Control Panel'!I339*'1.1 Control Panel'!I$321)</f>
        <v>0</v>
      </c>
      <c r="J194" s="20">
        <f>MIN('3.1 Market'!$F185,'1.1 Control Panel'!J339*'1.1 Control Panel'!J$321)</f>
        <v>0</v>
      </c>
      <c r="K194" s="20">
        <f>MIN('3.1 Market'!$F185,'1.1 Control Panel'!K339*'1.1 Control Panel'!K$321)</f>
        <v>0</v>
      </c>
      <c r="L194" s="20">
        <f>MIN('3.1 Market'!$F185,'1.1 Control Panel'!L339*'1.1 Control Panel'!L$321)</f>
        <v>0</v>
      </c>
      <c r="M194" s="20">
        <f>MIN('3.1 Market'!$F185,'1.1 Control Panel'!M339*'1.1 Control Panel'!M$321)</f>
        <v>0</v>
      </c>
      <c r="N194" s="20">
        <f>MIN('3.1 Market'!$F185,'1.1 Control Panel'!N339*'1.1 Control Panel'!N$321)</f>
        <v>0</v>
      </c>
      <c r="O194" s="20">
        <f>MIN('3.1 Market'!$F185,'1.1 Control Panel'!O339*'1.1 Control Panel'!O$321)</f>
        <v>0</v>
      </c>
      <c r="P194" s="20">
        <f>MIN('3.1 Market'!$F185,'1.1 Control Panel'!P339*'1.1 Control Panel'!P$321)</f>
        <v>0</v>
      </c>
      <c r="Q194" s="20">
        <f>MIN('3.1 Market'!$G185,'1.1 Control Panel'!Q339*'1.1 Control Panel'!Q$321)</f>
        <v>0</v>
      </c>
      <c r="R194" s="20">
        <f>MIN('3.1 Market'!$G185,'1.1 Control Panel'!R339*'1.1 Control Panel'!R$321)</f>
        <v>0</v>
      </c>
      <c r="S194" s="20">
        <f>MIN('3.1 Market'!$G185,'1.1 Control Panel'!S339*'1.1 Control Panel'!S$321)</f>
        <v>0</v>
      </c>
      <c r="T194" s="20">
        <f>MIN('3.1 Market'!$G185,'1.1 Control Panel'!T339*'1.1 Control Panel'!T$321)</f>
        <v>0</v>
      </c>
      <c r="U194" s="20">
        <f>MIN('3.1 Market'!$G185,'1.1 Control Panel'!U339*'1.1 Control Panel'!U$321)</f>
        <v>4.9718525023289359</v>
      </c>
      <c r="V194" s="20">
        <f>MIN('3.1 Market'!$G185,'1.1 Control Panel'!V339*'1.1 Control Panel'!V$321)</f>
        <v>4.9774820018631489</v>
      </c>
      <c r="W194" s="20">
        <f>MIN('3.1 Market'!$G185,'1.1 Control Panel'!W339*'1.1 Control Panel'!W$321)</f>
        <v>4.9819856014905195</v>
      </c>
      <c r="X194" s="20">
        <f>MIN('3.1 Market'!$G185,'1.1 Control Panel'!X339*'1.1 Control Panel'!X$321)</f>
        <v>4.9855884811924156</v>
      </c>
      <c r="Y194" s="20">
        <f>MIN('3.1 Market'!$G185,'1.1 Control Panel'!Y339*'1.1 Control Panel'!Y$321)</f>
        <v>4.9884707849539325</v>
      </c>
      <c r="Z194" s="20">
        <f>MIN('3.1 Market'!$G185,'1.1 Control Panel'!Z339*'1.1 Control Panel'!Z$321)</f>
        <v>4.9907766279631467</v>
      </c>
      <c r="AA194" s="20">
        <f>MIN('3.1 Market'!$G185,'1.1 Control Panel'!AA339*'1.1 Control Panel'!AA$321)</f>
        <v>4.9926213023705177</v>
      </c>
      <c r="AB194" s="20">
        <f>MIN('3.1 Market'!$G185,'1.1 Control Panel'!AB339*'1.1 Control Panel'!AB$321)</f>
        <v>4.9940970418964143</v>
      </c>
      <c r="AC194" s="20">
        <f>MIN('3.1 Market'!$H185,'1.1 Control Panel'!AC339*'1.1 Control Panel'!AC$321)</f>
        <v>9.9905552670342637</v>
      </c>
      <c r="AD194" s="20">
        <f>MIN('3.1 Market'!$H185,'1.1 Control Panel'!AD339*'1.1 Control Panel'!AD$321)</f>
        <v>9.9924442136274116</v>
      </c>
      <c r="AE194" s="20">
        <f>MIN('3.1 Market'!$H185,'1.1 Control Panel'!AE339*'1.1 Control Panel'!AE$321)</f>
        <v>9.9939553709019293</v>
      </c>
      <c r="AF194" s="20">
        <f>MIN('3.1 Market'!$H185,'1.1 Control Panel'!AF339*'1.1 Control Panel'!AF$321)</f>
        <v>9.9951642967215442</v>
      </c>
      <c r="AG194" s="20">
        <f>MIN('3.1 Market'!$H185,'1.1 Control Panel'!AG339*'1.1 Control Panel'!AG$321)</f>
        <v>14.994197156065855</v>
      </c>
      <c r="AH194" s="20">
        <f>MIN('3.1 Market'!$H185,'1.1 Control Panel'!AH339*'1.1 Control Panel'!AH$321)</f>
        <v>14.995357724852683</v>
      </c>
      <c r="AI194" s="20">
        <f>MIN('3.1 Market'!$H185,'1.1 Control Panel'!AI339*'1.1 Control Panel'!AI$321)</f>
        <v>14.996286179882148</v>
      </c>
      <c r="AJ194" s="20">
        <f>MIN('3.1 Market'!$H185,'1.1 Control Panel'!AJ339*'1.1 Control Panel'!AJ$321)</f>
        <v>14.997028943905717</v>
      </c>
      <c r="AK194" s="20">
        <f>MIN('3.1 Market'!$H185,'1.1 Control Panel'!AK339*'1.1 Control Panel'!AK$321)</f>
        <v>14.997623155124575</v>
      </c>
      <c r="AL194" s="20">
        <f>MIN('3.1 Market'!$H185,'1.1 Control Panel'!AL339*'1.1 Control Panel'!AL$321)</f>
        <v>14.99809852409966</v>
      </c>
      <c r="AM194" s="20">
        <f>MIN('3.1 Market'!$H185,'1.1 Control Panel'!AM339*'1.1 Control Panel'!AM$321)</f>
        <v>14.998478819279727</v>
      </c>
      <c r="AN194" s="20">
        <f>MIN('3.1 Market'!$H185,'1.1 Control Panel'!AN339*'1.1 Control Panel'!AN$321)</f>
        <v>14.998783055423781</v>
      </c>
      <c r="AP194" s="20"/>
    </row>
    <row r="195" spans="2:42" x14ac:dyDescent="0.25">
      <c r="C195" s="20" t="s">
        <v>454</v>
      </c>
      <c r="D195" s="34" t="s">
        <v>162</v>
      </c>
      <c r="E195" s="20">
        <f>MIN('3.1 Market'!$F186,'1.1 Control Panel'!E340*'1.1 Control Panel'!E$321)</f>
        <v>0</v>
      </c>
      <c r="F195" s="20">
        <f>MIN('3.1 Market'!$F186,'1.1 Control Panel'!F340*'1.1 Control Panel'!F$321)</f>
        <v>0</v>
      </c>
      <c r="G195" s="20">
        <f>MIN('3.1 Market'!$F186,'1.1 Control Panel'!G340*'1.1 Control Panel'!G$321)</f>
        <v>0</v>
      </c>
      <c r="H195" s="20">
        <f>MIN('3.1 Market'!$F186,'1.1 Control Panel'!H340*'1.1 Control Panel'!H$321)</f>
        <v>0</v>
      </c>
      <c r="I195" s="20">
        <f>MIN('3.1 Market'!$F186,'1.1 Control Panel'!I340*'1.1 Control Panel'!I$321)</f>
        <v>0</v>
      </c>
      <c r="J195" s="20">
        <f>MIN('3.1 Market'!$F186,'1.1 Control Panel'!J340*'1.1 Control Panel'!J$321)</f>
        <v>0</v>
      </c>
      <c r="K195" s="20">
        <f>MIN('3.1 Market'!$F186,'1.1 Control Panel'!K340*'1.1 Control Panel'!K$321)</f>
        <v>0</v>
      </c>
      <c r="L195" s="20">
        <f>MIN('3.1 Market'!$F186,'1.1 Control Panel'!L340*'1.1 Control Panel'!L$321)</f>
        <v>0</v>
      </c>
      <c r="M195" s="20">
        <f>MIN('3.1 Market'!$F186,'1.1 Control Panel'!M340*'1.1 Control Panel'!M$321)</f>
        <v>0</v>
      </c>
      <c r="N195" s="20">
        <f>MIN('3.1 Market'!$F186,'1.1 Control Panel'!N340*'1.1 Control Panel'!N$321)</f>
        <v>0</v>
      </c>
      <c r="O195" s="20">
        <f>MIN('3.1 Market'!$F186,'1.1 Control Panel'!O340*'1.1 Control Panel'!O$321)</f>
        <v>0</v>
      </c>
      <c r="P195" s="20">
        <f>MIN('3.1 Market'!$F186,'1.1 Control Panel'!P340*'1.1 Control Panel'!P$321)</f>
        <v>0</v>
      </c>
      <c r="Q195" s="20">
        <f>MIN('3.1 Market'!$G186,'1.1 Control Panel'!Q340*'1.1 Control Panel'!Q$321)</f>
        <v>0</v>
      </c>
      <c r="R195" s="20">
        <f>MIN('3.1 Market'!$G186,'1.1 Control Panel'!R340*'1.1 Control Panel'!R$321)</f>
        <v>0</v>
      </c>
      <c r="S195" s="20">
        <f>MIN('3.1 Market'!$G186,'1.1 Control Panel'!S340*'1.1 Control Panel'!S$321)</f>
        <v>0</v>
      </c>
      <c r="T195" s="20">
        <f>MIN('3.1 Market'!$G186,'1.1 Control Panel'!T340*'1.1 Control Panel'!T$321)</f>
        <v>0</v>
      </c>
      <c r="U195" s="20">
        <f>MIN('3.1 Market'!$G186,'1.1 Control Panel'!U340*'1.1 Control Panel'!U$321)</f>
        <v>4.9437050046578701</v>
      </c>
      <c r="V195" s="20">
        <f>MIN('3.1 Market'!$G186,'1.1 Control Panel'!V340*'1.1 Control Panel'!V$321)</f>
        <v>4.9549640037262961</v>
      </c>
      <c r="W195" s="20">
        <f>MIN('3.1 Market'!$G186,'1.1 Control Panel'!W340*'1.1 Control Panel'!W$321)</f>
        <v>4.9639712029810372</v>
      </c>
      <c r="X195" s="20">
        <f>MIN('3.1 Market'!$G186,'1.1 Control Panel'!X340*'1.1 Control Panel'!X$321)</f>
        <v>4.9711769623848294</v>
      </c>
      <c r="Y195" s="20">
        <f>MIN('3.1 Market'!$G186,'1.1 Control Panel'!Y340*'1.1 Control Panel'!Y$321)</f>
        <v>4.9769415699078632</v>
      </c>
      <c r="Z195" s="20">
        <f>MIN('3.1 Market'!$G186,'1.1 Control Panel'!Z340*'1.1 Control Panel'!Z$321)</f>
        <v>4.9815532559262907</v>
      </c>
      <c r="AA195" s="20">
        <f>MIN('3.1 Market'!$G186,'1.1 Control Panel'!AA340*'1.1 Control Panel'!AA$321)</f>
        <v>4.9852426047410328</v>
      </c>
      <c r="AB195" s="20">
        <f>MIN('3.1 Market'!$G186,'1.1 Control Panel'!AB340*'1.1 Control Panel'!AB$321)</f>
        <v>4.9881940837928269</v>
      </c>
      <c r="AC195" s="20">
        <f>MIN('3.1 Market'!$H186,'1.1 Control Panel'!AC340*'1.1 Control Panel'!AC$321)</f>
        <v>9.9811105340685238</v>
      </c>
      <c r="AD195" s="20">
        <f>MIN('3.1 Market'!$H186,'1.1 Control Panel'!AD340*'1.1 Control Panel'!AD$321)</f>
        <v>9.9848884272548197</v>
      </c>
      <c r="AE195" s="20">
        <f>MIN('3.1 Market'!$H186,'1.1 Control Panel'!AE340*'1.1 Control Panel'!AE$321)</f>
        <v>9.9879107418038551</v>
      </c>
      <c r="AF195" s="20">
        <f>MIN('3.1 Market'!$H186,'1.1 Control Panel'!AF340*'1.1 Control Panel'!AF$321)</f>
        <v>9.9903285934430848</v>
      </c>
      <c r="AG195" s="20">
        <f>MIN('3.1 Market'!$H186,'1.1 Control Panel'!AG340*'1.1 Control Panel'!AG$321)</f>
        <v>14.988394312131703</v>
      </c>
      <c r="AH195" s="20">
        <f>MIN('3.1 Market'!$H186,'1.1 Control Panel'!AH340*'1.1 Control Panel'!AH$321)</f>
        <v>14.990715449705361</v>
      </c>
      <c r="AI195" s="20">
        <f>MIN('3.1 Market'!$H186,'1.1 Control Panel'!AI340*'1.1 Control Panel'!AI$321)</f>
        <v>14.992572359764289</v>
      </c>
      <c r="AJ195" s="20">
        <f>MIN('3.1 Market'!$H186,'1.1 Control Panel'!AJ340*'1.1 Control Panel'!AJ$321)</f>
        <v>14.994057887811433</v>
      </c>
      <c r="AK195" s="20">
        <f>MIN('3.1 Market'!$H186,'1.1 Control Panel'!AK340*'1.1 Control Panel'!AK$321)</f>
        <v>14.995246310249145</v>
      </c>
      <c r="AL195" s="20">
        <f>MIN('3.1 Market'!$H186,'1.1 Control Panel'!AL340*'1.1 Control Panel'!AL$321)</f>
        <v>14.996197048199315</v>
      </c>
      <c r="AM195" s="20">
        <f>MIN('3.1 Market'!$H186,'1.1 Control Panel'!AM340*'1.1 Control Panel'!AM$321)</f>
        <v>14.996957638559454</v>
      </c>
      <c r="AN195" s="20">
        <f>MIN('3.1 Market'!$H186,'1.1 Control Panel'!AN340*'1.1 Control Panel'!AN$321)</f>
        <v>14.997566110847565</v>
      </c>
      <c r="AP195" s="20"/>
    </row>
    <row r="196" spans="2:42" x14ac:dyDescent="0.25">
      <c r="C196" s="21" t="s">
        <v>455</v>
      </c>
      <c r="D196" s="38" t="s">
        <v>162</v>
      </c>
      <c r="E196" s="21">
        <f>MIN('3.1 Market'!$F187,'1.1 Control Panel'!E341*'1.1 Control Panel'!E$321)</f>
        <v>0</v>
      </c>
      <c r="F196" s="21">
        <f>MIN('3.1 Market'!$F187,'1.1 Control Panel'!F341*'1.1 Control Panel'!F$321)</f>
        <v>0</v>
      </c>
      <c r="G196" s="21">
        <f>MIN('3.1 Market'!$F187,'1.1 Control Panel'!G341*'1.1 Control Panel'!G$321)</f>
        <v>0</v>
      </c>
      <c r="H196" s="21">
        <f>MIN('3.1 Market'!$F187,'1.1 Control Panel'!H341*'1.1 Control Panel'!H$321)</f>
        <v>0</v>
      </c>
      <c r="I196" s="21">
        <f>MIN('3.1 Market'!$F187,'1.1 Control Panel'!I341*'1.1 Control Panel'!I$321)</f>
        <v>0</v>
      </c>
      <c r="J196" s="21">
        <f>MIN('3.1 Market'!$F187,'1.1 Control Panel'!J341*'1.1 Control Panel'!J$321)</f>
        <v>0</v>
      </c>
      <c r="K196" s="21">
        <f>MIN('3.1 Market'!$F187,'1.1 Control Panel'!K341*'1.1 Control Panel'!K$321)</f>
        <v>0</v>
      </c>
      <c r="L196" s="21">
        <f>MIN('3.1 Market'!$F187,'1.1 Control Panel'!L341*'1.1 Control Panel'!L$321)</f>
        <v>0</v>
      </c>
      <c r="M196" s="21">
        <f>MIN('3.1 Market'!$F187,'1.1 Control Panel'!M341*'1.1 Control Panel'!M$321)</f>
        <v>0</v>
      </c>
      <c r="N196" s="21">
        <f>MIN('3.1 Market'!$F187,'1.1 Control Panel'!N341*'1.1 Control Panel'!N$321)</f>
        <v>0</v>
      </c>
      <c r="O196" s="21">
        <f>MIN('3.1 Market'!$F187,'1.1 Control Panel'!O341*'1.1 Control Panel'!O$321)</f>
        <v>0</v>
      </c>
      <c r="P196" s="21">
        <f>MIN('3.1 Market'!$F187,'1.1 Control Panel'!P341*'1.1 Control Panel'!P$321)</f>
        <v>0</v>
      </c>
      <c r="Q196" s="20">
        <f>MIN('3.1 Market'!$G187,'1.1 Control Panel'!Q341*'1.1 Control Panel'!Q$321)</f>
        <v>0</v>
      </c>
      <c r="R196" s="20">
        <f>MIN('3.1 Market'!$G187,'1.1 Control Panel'!R341*'1.1 Control Panel'!R$321)</f>
        <v>0</v>
      </c>
      <c r="S196" s="20">
        <f>MIN('3.1 Market'!$G187,'1.1 Control Panel'!S341*'1.1 Control Panel'!S$321)</f>
        <v>0</v>
      </c>
      <c r="T196" s="20">
        <f>MIN('3.1 Market'!$G187,'1.1 Control Panel'!T341*'1.1 Control Panel'!T$321)</f>
        <v>0</v>
      </c>
      <c r="U196" s="20">
        <f>MIN('3.1 Market'!$G187,'1.1 Control Panel'!U341*'1.1 Control Panel'!U$321)</f>
        <v>4.9155575069868043</v>
      </c>
      <c r="V196" s="20">
        <f>MIN('3.1 Market'!$G187,'1.1 Control Panel'!V341*'1.1 Control Panel'!V$321)</f>
        <v>4.9324460055894441</v>
      </c>
      <c r="W196" s="20">
        <f>MIN('3.1 Market'!$G187,'1.1 Control Panel'!W341*'1.1 Control Panel'!W$321)</f>
        <v>4.9459568044715549</v>
      </c>
      <c r="X196" s="20">
        <f>MIN('3.1 Market'!$G187,'1.1 Control Panel'!X341*'1.1 Control Panel'!X$321)</f>
        <v>4.9567654435772441</v>
      </c>
      <c r="Y196" s="20">
        <f>MIN('3.1 Market'!$G187,'1.1 Control Panel'!Y341*'1.1 Control Panel'!Y$321)</f>
        <v>4.9654123548617957</v>
      </c>
      <c r="Z196" s="20">
        <f>MIN('3.1 Market'!$G187,'1.1 Control Panel'!Z341*'1.1 Control Panel'!Z$321)</f>
        <v>4.9723298838894365</v>
      </c>
      <c r="AA196" s="20">
        <f>MIN('3.1 Market'!$G187,'1.1 Control Panel'!AA341*'1.1 Control Panel'!AA$321)</f>
        <v>4.9778639071115496</v>
      </c>
      <c r="AB196" s="20">
        <f>MIN('3.1 Market'!$G187,'1.1 Control Panel'!AB341*'1.1 Control Panel'!AB$321)</f>
        <v>4.9822911256892404</v>
      </c>
      <c r="AC196" s="20">
        <f>MIN('3.1 Market'!$H187,'1.1 Control Panel'!AC341*'1.1 Control Panel'!AC$321)</f>
        <v>9.9716658011027839</v>
      </c>
      <c r="AD196" s="20">
        <f>MIN('3.1 Market'!$H187,'1.1 Control Panel'!AD341*'1.1 Control Panel'!AD$321)</f>
        <v>9.9773326408822278</v>
      </c>
      <c r="AE196" s="20">
        <f>MIN('3.1 Market'!$H187,'1.1 Control Panel'!AE341*'1.1 Control Panel'!AE$321)</f>
        <v>9.9818661127057826</v>
      </c>
      <c r="AF196" s="20">
        <f>MIN('3.1 Market'!$H187,'1.1 Control Panel'!AF341*'1.1 Control Panel'!AF$321)</f>
        <v>9.9854928901646254</v>
      </c>
      <c r="AG196" s="20">
        <f>MIN('3.1 Market'!$H187,'1.1 Control Panel'!AG341*'1.1 Control Panel'!AG$321)</f>
        <v>14.982591468197549</v>
      </c>
      <c r="AH196" s="20">
        <f>MIN('3.1 Market'!$H187,'1.1 Control Panel'!AH341*'1.1 Control Panel'!AH$321)</f>
        <v>14.986073174558038</v>
      </c>
      <c r="AI196" s="20">
        <f>MIN('3.1 Market'!$H187,'1.1 Control Panel'!AI341*'1.1 Control Panel'!AI$321)</f>
        <v>14.988858539646433</v>
      </c>
      <c r="AJ196" s="20">
        <f>MIN('3.1 Market'!$H187,'1.1 Control Panel'!AJ341*'1.1 Control Panel'!AJ$321)</f>
        <v>14.991086831717148</v>
      </c>
      <c r="AK196" s="20">
        <f>MIN('3.1 Market'!$H187,'1.1 Control Panel'!AK341*'1.1 Control Panel'!AK$321)</f>
        <v>14.992869465373719</v>
      </c>
      <c r="AL196" s="20">
        <f>MIN('3.1 Market'!$H187,'1.1 Control Panel'!AL341*'1.1 Control Panel'!AL$321)</f>
        <v>14.994295572298975</v>
      </c>
      <c r="AM196" s="20">
        <f>MIN('3.1 Market'!$H187,'1.1 Control Panel'!AM341*'1.1 Control Panel'!AM$321)</f>
        <v>14.995436457839181</v>
      </c>
      <c r="AN196" s="20">
        <f>MIN('3.1 Market'!$H187,'1.1 Control Panel'!AN341*'1.1 Control Panel'!AN$321)</f>
        <v>14.996349166271347</v>
      </c>
      <c r="AP196" s="21"/>
    </row>
    <row r="197" spans="2:42" x14ac:dyDescent="0.25">
      <c r="C197" s="21" t="s">
        <v>393</v>
      </c>
      <c r="D197" s="38" t="s">
        <v>162</v>
      </c>
      <c r="E197" s="21">
        <f>MIN('3.1 Market'!$F188,'1.1 Control Panel'!E342*'1.1 Control Panel'!E$321)</f>
        <v>0</v>
      </c>
      <c r="F197" s="21">
        <f>MIN('3.1 Market'!$F188,'1.1 Control Panel'!F342*'1.1 Control Panel'!F$321)</f>
        <v>0</v>
      </c>
      <c r="G197" s="21">
        <f>MIN('3.1 Market'!$F188,'1.1 Control Panel'!G342*'1.1 Control Panel'!G$321)</f>
        <v>0</v>
      </c>
      <c r="H197" s="21">
        <f>MIN('3.1 Market'!$F188,'1.1 Control Panel'!H342*'1.1 Control Panel'!H$321)</f>
        <v>0</v>
      </c>
      <c r="I197" s="21">
        <f>MIN('3.1 Market'!$F188,'1.1 Control Panel'!I342*'1.1 Control Panel'!I$321)</f>
        <v>0</v>
      </c>
      <c r="J197" s="21">
        <f>MIN('3.1 Market'!$F188,'1.1 Control Panel'!J342*'1.1 Control Panel'!J$321)</f>
        <v>0</v>
      </c>
      <c r="K197" s="21">
        <f>MIN('3.1 Market'!$F188,'1.1 Control Panel'!K342*'1.1 Control Panel'!K$321)</f>
        <v>0</v>
      </c>
      <c r="L197" s="21">
        <f>MIN('3.1 Market'!$F188,'1.1 Control Panel'!L342*'1.1 Control Panel'!L$321)</f>
        <v>0</v>
      </c>
      <c r="M197" s="21">
        <f>MIN('3.1 Market'!$F188,'1.1 Control Panel'!M342*'1.1 Control Panel'!M$321)</f>
        <v>0</v>
      </c>
      <c r="N197" s="21">
        <f>MIN('3.1 Market'!$F188,'1.1 Control Panel'!N342*'1.1 Control Panel'!N$321)</f>
        <v>0</v>
      </c>
      <c r="O197" s="21">
        <f>MIN('3.1 Market'!$F188,'1.1 Control Panel'!O342*'1.1 Control Panel'!O$321)</f>
        <v>0</v>
      </c>
      <c r="P197" s="21">
        <f>MIN('3.1 Market'!$F188,'1.1 Control Panel'!P342*'1.1 Control Panel'!P$321)</f>
        <v>0</v>
      </c>
      <c r="Q197" s="20">
        <f>MIN('3.1 Market'!$G188,'1.1 Control Panel'!Q342*'1.1 Control Panel'!Q$321)</f>
        <v>0</v>
      </c>
      <c r="R197" s="20">
        <f>MIN('3.1 Market'!$G188,'1.1 Control Panel'!R342*'1.1 Control Panel'!R$321)</f>
        <v>0</v>
      </c>
      <c r="S197" s="20">
        <f>MIN('3.1 Market'!$G188,'1.1 Control Panel'!S342*'1.1 Control Panel'!S$321)</f>
        <v>0</v>
      </c>
      <c r="T197" s="20">
        <f>MIN('3.1 Market'!$G188,'1.1 Control Panel'!T342*'1.1 Control Panel'!T$321)</f>
        <v>0</v>
      </c>
      <c r="U197" s="20">
        <f>MIN('3.1 Market'!$G188,'1.1 Control Panel'!U342*'1.1 Control Panel'!U$321)</f>
        <v>4.8874100093157384</v>
      </c>
      <c r="V197" s="20">
        <f>MIN('3.1 Market'!$G188,'1.1 Control Panel'!V342*'1.1 Control Panel'!V$321)</f>
        <v>4.9099280074525904</v>
      </c>
      <c r="W197" s="20">
        <f>MIN('3.1 Market'!$G188,'1.1 Control Panel'!W342*'1.1 Control Panel'!W$321)</f>
        <v>4.9279424059620727</v>
      </c>
      <c r="X197" s="20">
        <f>MIN('3.1 Market'!$G188,'1.1 Control Panel'!X342*'1.1 Control Panel'!X$321)</f>
        <v>4.9423539247696588</v>
      </c>
      <c r="Y197" s="20">
        <f>MIN('3.1 Market'!$G188,'1.1 Control Panel'!Y342*'1.1 Control Panel'!Y$321)</f>
        <v>4.9538831398157273</v>
      </c>
      <c r="Z197" s="20">
        <f>MIN('3.1 Market'!$G188,'1.1 Control Panel'!Z342*'1.1 Control Panel'!Z$321)</f>
        <v>4.9631065118525814</v>
      </c>
      <c r="AA197" s="20">
        <f>MIN('3.1 Market'!$G188,'1.1 Control Panel'!AA342*'1.1 Control Panel'!AA$321)</f>
        <v>4.9704852094820655</v>
      </c>
      <c r="AB197" s="20">
        <f>MIN('3.1 Market'!$G188,'1.1 Control Panel'!AB342*'1.1 Control Panel'!AB$321)</f>
        <v>4.9763881675856521</v>
      </c>
      <c r="AC197" s="20">
        <f>MIN('3.1 Market'!$H188,'1.1 Control Panel'!AC342*'1.1 Control Panel'!AC$321)</f>
        <v>9.962221068137044</v>
      </c>
      <c r="AD197" s="20">
        <f>MIN('3.1 Market'!$H188,'1.1 Control Panel'!AD342*'1.1 Control Panel'!AD$321)</f>
        <v>9.9697768545096359</v>
      </c>
      <c r="AE197" s="20">
        <f>MIN('3.1 Market'!$H188,'1.1 Control Panel'!AE342*'1.1 Control Panel'!AE$321)</f>
        <v>9.9758214836077101</v>
      </c>
      <c r="AF197" s="20">
        <f>MIN('3.1 Market'!$H188,'1.1 Control Panel'!AF342*'1.1 Control Panel'!AF$321)</f>
        <v>9.9806571868861695</v>
      </c>
      <c r="AG197" s="20">
        <f>MIN('3.1 Market'!$H188,'1.1 Control Panel'!AG342*'1.1 Control Panel'!AG$321)</f>
        <v>14.976788624263405</v>
      </c>
      <c r="AH197" s="20">
        <f>MIN('3.1 Market'!$H188,'1.1 Control Panel'!AH342*'1.1 Control Panel'!AH$321)</f>
        <v>14.981430899410725</v>
      </c>
      <c r="AI197" s="20">
        <f>MIN('3.1 Market'!$H188,'1.1 Control Panel'!AI342*'1.1 Control Panel'!AI$321)</f>
        <v>14.985144719528581</v>
      </c>
      <c r="AJ197" s="20">
        <f>MIN('3.1 Market'!$H188,'1.1 Control Panel'!AJ342*'1.1 Control Panel'!AJ$321)</f>
        <v>14.988115775622866</v>
      </c>
      <c r="AK197" s="20">
        <f>MIN('3.1 Market'!$H188,'1.1 Control Panel'!AK342*'1.1 Control Panel'!AK$321)</f>
        <v>14.990492620498294</v>
      </c>
      <c r="AL197" s="20">
        <f>MIN('3.1 Market'!$H188,'1.1 Control Panel'!AL342*'1.1 Control Panel'!AL$321)</f>
        <v>14.992394096398636</v>
      </c>
      <c r="AM197" s="20">
        <f>MIN('3.1 Market'!$H188,'1.1 Control Panel'!AM342*'1.1 Control Panel'!AM$321)</f>
        <v>14.993915277118909</v>
      </c>
      <c r="AN197" s="20">
        <f>MIN('3.1 Market'!$H188,'1.1 Control Panel'!AN342*'1.1 Control Panel'!AN$321)</f>
        <v>14.995132221695128</v>
      </c>
      <c r="AP197" s="21"/>
    </row>
    <row r="198" spans="2:42" x14ac:dyDescent="0.25">
      <c r="C198" s="21" t="s">
        <v>456</v>
      </c>
      <c r="D198" s="38" t="s">
        <v>162</v>
      </c>
      <c r="E198" s="21">
        <f>MIN('3.1 Market'!$F189,'1.1 Control Panel'!E343*'1.1 Control Panel'!E$321)</f>
        <v>0</v>
      </c>
      <c r="F198" s="21">
        <f>MIN('3.1 Market'!$F189,'1.1 Control Panel'!F343*'1.1 Control Panel'!F$321)</f>
        <v>0</v>
      </c>
      <c r="G198" s="21">
        <f>MIN('3.1 Market'!$F189,'1.1 Control Panel'!G343*'1.1 Control Panel'!G$321)</f>
        <v>0</v>
      </c>
      <c r="H198" s="21">
        <f>MIN('3.1 Market'!$F189,'1.1 Control Panel'!H343*'1.1 Control Panel'!H$321)</f>
        <v>0</v>
      </c>
      <c r="I198" s="21">
        <f>MIN('3.1 Market'!$F189,'1.1 Control Panel'!I343*'1.1 Control Panel'!I$321)</f>
        <v>0</v>
      </c>
      <c r="J198" s="21">
        <f>MIN('3.1 Market'!$F189,'1.1 Control Panel'!J343*'1.1 Control Panel'!J$321)</f>
        <v>0</v>
      </c>
      <c r="K198" s="21">
        <f>MIN('3.1 Market'!$F189,'1.1 Control Panel'!K343*'1.1 Control Panel'!K$321)</f>
        <v>0</v>
      </c>
      <c r="L198" s="21">
        <f>MIN('3.1 Market'!$F189,'1.1 Control Panel'!L343*'1.1 Control Panel'!L$321)</f>
        <v>0</v>
      </c>
      <c r="M198" s="21">
        <f>MIN('3.1 Market'!$F189,'1.1 Control Panel'!M343*'1.1 Control Panel'!M$321)</f>
        <v>0</v>
      </c>
      <c r="N198" s="21">
        <f>MIN('3.1 Market'!$F189,'1.1 Control Panel'!N343*'1.1 Control Panel'!N$321)</f>
        <v>0</v>
      </c>
      <c r="O198" s="21">
        <f>MIN('3.1 Market'!$F189,'1.1 Control Panel'!O343*'1.1 Control Panel'!O$321)</f>
        <v>0</v>
      </c>
      <c r="P198" s="21">
        <f>MIN('3.1 Market'!$F189,'1.1 Control Panel'!P343*'1.1 Control Panel'!P$321)</f>
        <v>0</v>
      </c>
      <c r="Q198" s="20">
        <f>MIN('3.1 Market'!$G189,'1.1 Control Panel'!Q343*'1.1 Control Panel'!Q$321)</f>
        <v>0</v>
      </c>
      <c r="R198" s="20">
        <f>MIN('3.1 Market'!$G189,'1.1 Control Panel'!R343*'1.1 Control Panel'!R$321)</f>
        <v>0</v>
      </c>
      <c r="S198" s="20">
        <f>MIN('3.1 Market'!$G189,'1.1 Control Panel'!S343*'1.1 Control Panel'!S$321)</f>
        <v>0</v>
      </c>
      <c r="T198" s="20">
        <f>MIN('3.1 Market'!$G189,'1.1 Control Panel'!T343*'1.1 Control Panel'!T$321)</f>
        <v>0</v>
      </c>
      <c r="U198" s="20">
        <f>MIN('3.1 Market'!$G189,'1.1 Control Panel'!U343*'1.1 Control Panel'!U$321)</f>
        <v>4.8592625116446726</v>
      </c>
      <c r="V198" s="20">
        <f>MIN('3.1 Market'!$G189,'1.1 Control Panel'!V343*'1.1 Control Panel'!V$321)</f>
        <v>4.8874100093157384</v>
      </c>
      <c r="W198" s="20">
        <f>MIN('3.1 Market'!$G189,'1.1 Control Panel'!W343*'1.1 Control Panel'!W$321)</f>
        <v>4.9099280074525904</v>
      </c>
      <c r="X198" s="20">
        <f>MIN('3.1 Market'!$G189,'1.1 Control Panel'!X343*'1.1 Control Panel'!X$321)</f>
        <v>4.9279424059620727</v>
      </c>
      <c r="Y198" s="20">
        <f>MIN('3.1 Market'!$G189,'1.1 Control Panel'!Y343*'1.1 Control Panel'!Y$321)</f>
        <v>4.9423539247696588</v>
      </c>
      <c r="Z198" s="20">
        <f>MIN('3.1 Market'!$G189,'1.1 Control Panel'!Z343*'1.1 Control Panel'!Z$321)</f>
        <v>4.9538831398157273</v>
      </c>
      <c r="AA198" s="20">
        <f>MIN('3.1 Market'!$G189,'1.1 Control Panel'!AA343*'1.1 Control Panel'!AA$321)</f>
        <v>4.9631065118525814</v>
      </c>
      <c r="AB198" s="20">
        <f>MIN('3.1 Market'!$G189,'1.1 Control Panel'!AB343*'1.1 Control Panel'!AB$321)</f>
        <v>4.9704852094820655</v>
      </c>
      <c r="AC198" s="20">
        <f>MIN('3.1 Market'!$H189,'1.1 Control Panel'!AC343*'1.1 Control Panel'!AC$321)</f>
        <v>9.9527763351713041</v>
      </c>
      <c r="AD198" s="20">
        <f>MIN('3.1 Market'!$H189,'1.1 Control Panel'!AD343*'1.1 Control Panel'!AD$321)</f>
        <v>9.962221068137044</v>
      </c>
      <c r="AE198" s="20">
        <f>MIN('3.1 Market'!$H189,'1.1 Control Panel'!AE343*'1.1 Control Panel'!AE$321)</f>
        <v>9.9697768545096359</v>
      </c>
      <c r="AF198" s="20">
        <f>MIN('3.1 Market'!$H189,'1.1 Control Panel'!AF343*'1.1 Control Panel'!AF$321)</f>
        <v>9.9758214836077101</v>
      </c>
      <c r="AG198" s="20">
        <f>MIN('3.1 Market'!$H189,'1.1 Control Panel'!AG343*'1.1 Control Panel'!AG$321)</f>
        <v>14.970985780329254</v>
      </c>
      <c r="AH198" s="20">
        <f>MIN('3.1 Market'!$H189,'1.1 Control Panel'!AH343*'1.1 Control Panel'!AH$321)</f>
        <v>14.976788624263405</v>
      </c>
      <c r="AI198" s="20">
        <f>MIN('3.1 Market'!$H189,'1.1 Control Panel'!AI343*'1.1 Control Panel'!AI$321)</f>
        <v>14.981430899410725</v>
      </c>
      <c r="AJ198" s="20">
        <f>MIN('3.1 Market'!$H189,'1.1 Control Panel'!AJ343*'1.1 Control Panel'!AJ$321)</f>
        <v>14.985144719528581</v>
      </c>
      <c r="AK198" s="20">
        <f>MIN('3.1 Market'!$H189,'1.1 Control Panel'!AK343*'1.1 Control Panel'!AK$321)</f>
        <v>14.988115775622866</v>
      </c>
      <c r="AL198" s="20">
        <f>MIN('3.1 Market'!$H189,'1.1 Control Panel'!AL343*'1.1 Control Panel'!AL$321)</f>
        <v>14.990492620498294</v>
      </c>
      <c r="AM198" s="20">
        <f>MIN('3.1 Market'!$H189,'1.1 Control Panel'!AM343*'1.1 Control Panel'!AM$321)</f>
        <v>14.992394096398636</v>
      </c>
      <c r="AN198" s="20">
        <f>MIN('3.1 Market'!$H189,'1.1 Control Panel'!AN343*'1.1 Control Panel'!AN$321)</f>
        <v>14.993915277118909</v>
      </c>
      <c r="AP198" s="21"/>
    </row>
    <row r="199" spans="2:42" x14ac:dyDescent="0.25">
      <c r="B199" s="99" t="s">
        <v>9</v>
      </c>
      <c r="C199" s="105" t="str">
        <f>'4.2 Sector Mapping'!$B$6</f>
        <v>Communication, Media and Technology</v>
      </c>
      <c r="D199" s="106" t="s">
        <v>162</v>
      </c>
      <c r="E199" s="105">
        <f>SUM(E200:E205)</f>
        <v>15</v>
      </c>
      <c r="F199" s="105">
        <f t="shared" ref="F199:H199" si="121">SUM(F200:F205)</f>
        <v>15</v>
      </c>
      <c r="G199" s="105">
        <f t="shared" si="121"/>
        <v>15</v>
      </c>
      <c r="H199" s="105">
        <f t="shared" si="121"/>
        <v>15</v>
      </c>
      <c r="I199" s="105">
        <f t="shared" ref="I199:AN199" si="122">SUM(I200:I205)</f>
        <v>15</v>
      </c>
      <c r="J199" s="105">
        <f t="shared" si="122"/>
        <v>30</v>
      </c>
      <c r="K199" s="105">
        <f t="shared" si="122"/>
        <v>30</v>
      </c>
      <c r="L199" s="105">
        <f t="shared" si="122"/>
        <v>30</v>
      </c>
      <c r="M199" s="105">
        <f t="shared" si="122"/>
        <v>30</v>
      </c>
      <c r="N199" s="105">
        <f t="shared" si="122"/>
        <v>30</v>
      </c>
      <c r="O199" s="105">
        <f t="shared" si="122"/>
        <v>30</v>
      </c>
      <c r="P199" s="105">
        <f t="shared" si="122"/>
        <v>30</v>
      </c>
      <c r="Q199" s="105">
        <f t="shared" si="122"/>
        <v>45</v>
      </c>
      <c r="R199" s="105">
        <f t="shared" si="122"/>
        <v>45</v>
      </c>
      <c r="S199" s="105">
        <f t="shared" si="122"/>
        <v>45</v>
      </c>
      <c r="T199" s="105">
        <f t="shared" si="122"/>
        <v>45</v>
      </c>
      <c r="U199" s="105">
        <f t="shared" si="122"/>
        <v>60</v>
      </c>
      <c r="V199" s="105">
        <f t="shared" si="122"/>
        <v>60</v>
      </c>
      <c r="W199" s="105">
        <f t="shared" si="122"/>
        <v>60</v>
      </c>
      <c r="X199" s="105">
        <f t="shared" si="122"/>
        <v>60</v>
      </c>
      <c r="Y199" s="105">
        <f t="shared" si="122"/>
        <v>75</v>
      </c>
      <c r="Z199" s="105">
        <f t="shared" si="122"/>
        <v>75</v>
      </c>
      <c r="AA199" s="105">
        <f t="shared" si="122"/>
        <v>75</v>
      </c>
      <c r="AB199" s="105">
        <f t="shared" si="122"/>
        <v>75</v>
      </c>
      <c r="AC199" s="105">
        <f t="shared" si="122"/>
        <v>135</v>
      </c>
      <c r="AD199" s="105">
        <f t="shared" si="122"/>
        <v>135</v>
      </c>
      <c r="AE199" s="105">
        <f t="shared" si="122"/>
        <v>135</v>
      </c>
      <c r="AF199" s="105">
        <f t="shared" si="122"/>
        <v>135</v>
      </c>
      <c r="AG199" s="105">
        <f t="shared" si="122"/>
        <v>195</v>
      </c>
      <c r="AH199" s="105">
        <f t="shared" si="122"/>
        <v>195</v>
      </c>
      <c r="AI199" s="105">
        <f t="shared" si="122"/>
        <v>195</v>
      </c>
      <c r="AJ199" s="105">
        <f t="shared" si="122"/>
        <v>195</v>
      </c>
      <c r="AK199" s="105">
        <f t="shared" si="122"/>
        <v>255</v>
      </c>
      <c r="AL199" s="105">
        <f t="shared" si="122"/>
        <v>255</v>
      </c>
      <c r="AM199" s="105">
        <f t="shared" si="122"/>
        <v>255</v>
      </c>
      <c r="AN199" s="105">
        <f t="shared" si="122"/>
        <v>255</v>
      </c>
      <c r="AP199" s="105"/>
    </row>
    <row r="200" spans="2:42" x14ac:dyDescent="0.25">
      <c r="C200" s="20" t="s">
        <v>600</v>
      </c>
      <c r="D200" s="34" t="s">
        <v>162</v>
      </c>
      <c r="E200" s="20">
        <f>MIN('3.1 Market'!$F191,'1.1 Control Panel'!E369*'1.1 Control Panel'!E$352)</f>
        <v>5</v>
      </c>
      <c r="F200" s="20">
        <f>MIN('3.1 Market'!$F191,'1.1 Control Panel'!F369*'1.1 Control Panel'!F$352)</f>
        <v>5</v>
      </c>
      <c r="G200" s="20">
        <f>MIN('3.1 Market'!$F191,'1.1 Control Panel'!G369*'1.1 Control Panel'!G$352)</f>
        <v>5</v>
      </c>
      <c r="H200" s="20">
        <f>MIN('3.1 Market'!$F191,'1.1 Control Panel'!H369*'1.1 Control Panel'!H$352)</f>
        <v>5</v>
      </c>
      <c r="I200" s="20">
        <f>MIN('3.1 Market'!$F191,'1.1 Control Panel'!I369*'1.1 Control Panel'!I$352)</f>
        <v>5</v>
      </c>
      <c r="J200" s="20">
        <f>MIN('3.1 Market'!$F191,'1.1 Control Panel'!J369*'1.1 Control Panel'!J$352)</f>
        <v>10</v>
      </c>
      <c r="K200" s="20">
        <f>MIN('3.1 Market'!$F191,'1.1 Control Panel'!K369*'1.1 Control Panel'!K$352)</f>
        <v>10</v>
      </c>
      <c r="L200" s="20">
        <f>MIN('3.1 Market'!$F191,'1.1 Control Panel'!L369*'1.1 Control Panel'!L$352)</f>
        <v>10</v>
      </c>
      <c r="M200" s="20">
        <f>MIN('3.1 Market'!$F191,'1.1 Control Panel'!M369*'1.1 Control Panel'!M$352)</f>
        <v>10</v>
      </c>
      <c r="N200" s="20">
        <f>MIN('3.1 Market'!$F191,'1.1 Control Panel'!N369*'1.1 Control Panel'!N$352)</f>
        <v>10</v>
      </c>
      <c r="O200" s="20">
        <f>MIN('3.1 Market'!$F191,'1.1 Control Panel'!O369*'1.1 Control Panel'!O$352)</f>
        <v>10</v>
      </c>
      <c r="P200" s="20">
        <f>MIN('3.1 Market'!$F191,'1.1 Control Panel'!P369*'1.1 Control Panel'!P$352)</f>
        <v>10</v>
      </c>
      <c r="Q200" s="20">
        <f>MIN('3.1 Market'!$G191,'1.1 Control Panel'!Q369*'1.1 Control Panel'!Q$352)</f>
        <v>15</v>
      </c>
      <c r="R200" s="20">
        <f>MIN('3.1 Market'!$G191,'1.1 Control Panel'!R369*'1.1 Control Panel'!R$352)</f>
        <v>15</v>
      </c>
      <c r="S200" s="20">
        <f>MIN('3.1 Market'!$G191,'1.1 Control Panel'!S369*'1.1 Control Panel'!S$352)</f>
        <v>15</v>
      </c>
      <c r="T200" s="20">
        <f>MIN('3.1 Market'!$G191,'1.1 Control Panel'!T369*'1.1 Control Panel'!T$352)</f>
        <v>15</v>
      </c>
      <c r="U200" s="20">
        <f>MIN('3.1 Market'!$G191,'1.1 Control Panel'!U369*'1.1 Control Panel'!U$352)</f>
        <v>20</v>
      </c>
      <c r="V200" s="20">
        <f>MIN('3.1 Market'!$G191,'1.1 Control Panel'!V369*'1.1 Control Panel'!V$352)</f>
        <v>20</v>
      </c>
      <c r="W200" s="20">
        <f>MIN('3.1 Market'!$G191,'1.1 Control Panel'!W369*'1.1 Control Panel'!W$352)</f>
        <v>20</v>
      </c>
      <c r="X200" s="20">
        <f>MIN('3.1 Market'!$G191,'1.1 Control Panel'!X369*'1.1 Control Panel'!X$352)</f>
        <v>20</v>
      </c>
      <c r="Y200" s="20">
        <f>MIN('3.1 Market'!$G191,'1.1 Control Panel'!Y369*'1.1 Control Panel'!Y$352)</f>
        <v>25</v>
      </c>
      <c r="Z200" s="20">
        <f>MIN('3.1 Market'!$G191,'1.1 Control Panel'!Z369*'1.1 Control Panel'!Z$352)</f>
        <v>25</v>
      </c>
      <c r="AA200" s="20">
        <f>MIN('3.1 Market'!$G191,'1.1 Control Panel'!AA369*'1.1 Control Panel'!AA$352)</f>
        <v>25</v>
      </c>
      <c r="AB200" s="20">
        <f>MIN('3.1 Market'!$G191,'1.1 Control Panel'!AB369*'1.1 Control Panel'!AB$352)</f>
        <v>25</v>
      </c>
      <c r="AC200" s="20">
        <f>MIN('3.1 Market'!$H191,'1.1 Control Panel'!AC369*'1.1 Control Panel'!AC$352)</f>
        <v>45</v>
      </c>
      <c r="AD200" s="20">
        <f>MIN('3.1 Market'!$H191,'1.1 Control Panel'!AD369*'1.1 Control Panel'!AD$352)</f>
        <v>45</v>
      </c>
      <c r="AE200" s="20">
        <f>MIN('3.1 Market'!$H191,'1.1 Control Panel'!AE369*'1.1 Control Panel'!AE$352)</f>
        <v>45</v>
      </c>
      <c r="AF200" s="20">
        <f>MIN('3.1 Market'!$H191,'1.1 Control Panel'!AF369*'1.1 Control Panel'!AF$352)</f>
        <v>45</v>
      </c>
      <c r="AG200" s="20">
        <f>MIN('3.1 Market'!$H191,'1.1 Control Panel'!AG369*'1.1 Control Panel'!AG$352)</f>
        <v>65</v>
      </c>
      <c r="AH200" s="20">
        <f>MIN('3.1 Market'!$H191,'1.1 Control Panel'!AH369*'1.1 Control Panel'!AH$352)</f>
        <v>65</v>
      </c>
      <c r="AI200" s="20">
        <f>MIN('3.1 Market'!$H191,'1.1 Control Panel'!AI369*'1.1 Control Panel'!AI$352)</f>
        <v>65</v>
      </c>
      <c r="AJ200" s="20">
        <f>MIN('3.1 Market'!$H191,'1.1 Control Panel'!AJ369*'1.1 Control Panel'!AJ$352)</f>
        <v>65</v>
      </c>
      <c r="AK200" s="20">
        <f>MIN('3.1 Market'!$H191,'1.1 Control Panel'!AK369*'1.1 Control Panel'!AK$352)</f>
        <v>85</v>
      </c>
      <c r="AL200" s="20">
        <f>MIN('3.1 Market'!$H191,'1.1 Control Panel'!AL369*'1.1 Control Panel'!AL$352)</f>
        <v>85</v>
      </c>
      <c r="AM200" s="20">
        <f>MIN('3.1 Market'!$H191,'1.1 Control Panel'!AM369*'1.1 Control Panel'!AM$352)</f>
        <v>85</v>
      </c>
      <c r="AN200" s="20">
        <f>MIN('3.1 Market'!$H191,'1.1 Control Panel'!AN369*'1.1 Control Panel'!AN$352)</f>
        <v>85</v>
      </c>
      <c r="AP200" s="20"/>
    </row>
    <row r="201" spans="2:42" x14ac:dyDescent="0.25">
      <c r="C201" s="20" t="s">
        <v>392</v>
      </c>
      <c r="D201" s="34" t="s">
        <v>162</v>
      </c>
      <c r="E201" s="20">
        <f>MIN('3.1 Market'!$F192,'1.1 Control Panel'!E370*'1.1 Control Panel'!E$352)</f>
        <v>4</v>
      </c>
      <c r="F201" s="20">
        <f>MIN('3.1 Market'!$F192,'1.1 Control Panel'!F370*'1.1 Control Panel'!F$352)</f>
        <v>4</v>
      </c>
      <c r="G201" s="20">
        <f>MIN('3.1 Market'!$F192,'1.1 Control Panel'!G370*'1.1 Control Panel'!G$352)</f>
        <v>4</v>
      </c>
      <c r="H201" s="20">
        <f>MIN('3.1 Market'!$F192,'1.1 Control Panel'!H370*'1.1 Control Panel'!H$352)</f>
        <v>4</v>
      </c>
      <c r="I201" s="20">
        <f>MIN('3.1 Market'!$F192,'1.1 Control Panel'!I370*'1.1 Control Panel'!I$352)</f>
        <v>4</v>
      </c>
      <c r="J201" s="20">
        <f>MIN('3.1 Market'!$F192,'1.1 Control Panel'!J370*'1.1 Control Panel'!J$352)</f>
        <v>8</v>
      </c>
      <c r="K201" s="20">
        <f>MIN('3.1 Market'!$F192,'1.1 Control Panel'!K370*'1.1 Control Panel'!K$352)</f>
        <v>8</v>
      </c>
      <c r="L201" s="20">
        <f>MIN('3.1 Market'!$F192,'1.1 Control Panel'!L370*'1.1 Control Panel'!L$352)</f>
        <v>8</v>
      </c>
      <c r="M201" s="20">
        <f>MIN('3.1 Market'!$F192,'1.1 Control Panel'!M370*'1.1 Control Panel'!M$352)</f>
        <v>8</v>
      </c>
      <c r="N201" s="20">
        <f>MIN('3.1 Market'!$F192,'1.1 Control Panel'!N370*'1.1 Control Panel'!N$352)</f>
        <v>8</v>
      </c>
      <c r="O201" s="20">
        <f>MIN('3.1 Market'!$F192,'1.1 Control Panel'!O370*'1.1 Control Panel'!O$352)</f>
        <v>8</v>
      </c>
      <c r="P201" s="20">
        <f>MIN('3.1 Market'!$F192,'1.1 Control Panel'!P370*'1.1 Control Panel'!P$352)</f>
        <v>8</v>
      </c>
      <c r="Q201" s="20">
        <f>MIN('3.1 Market'!$G192,'1.1 Control Panel'!Q370*'1.1 Control Panel'!Q$352)</f>
        <v>12</v>
      </c>
      <c r="R201" s="20">
        <f>MIN('3.1 Market'!$G192,'1.1 Control Panel'!R370*'1.1 Control Panel'!R$352)</f>
        <v>12</v>
      </c>
      <c r="S201" s="20">
        <f>MIN('3.1 Market'!$G192,'1.1 Control Panel'!S370*'1.1 Control Panel'!S$352)</f>
        <v>12</v>
      </c>
      <c r="T201" s="20">
        <f>MIN('3.1 Market'!$G192,'1.1 Control Panel'!T370*'1.1 Control Panel'!T$352)</f>
        <v>12</v>
      </c>
      <c r="U201" s="20">
        <f>MIN('3.1 Market'!$G192,'1.1 Control Panel'!U370*'1.1 Control Panel'!U$352)</f>
        <v>16</v>
      </c>
      <c r="V201" s="20">
        <f>MIN('3.1 Market'!$G192,'1.1 Control Panel'!V370*'1.1 Control Panel'!V$352)</f>
        <v>16</v>
      </c>
      <c r="W201" s="20">
        <f>MIN('3.1 Market'!$G192,'1.1 Control Panel'!W370*'1.1 Control Panel'!W$352)</f>
        <v>16</v>
      </c>
      <c r="X201" s="20">
        <f>MIN('3.1 Market'!$G192,'1.1 Control Panel'!X370*'1.1 Control Panel'!X$352)</f>
        <v>16</v>
      </c>
      <c r="Y201" s="20">
        <f>MIN('3.1 Market'!$G192,'1.1 Control Panel'!Y370*'1.1 Control Panel'!Y$352)</f>
        <v>20</v>
      </c>
      <c r="Z201" s="20">
        <f>MIN('3.1 Market'!$G192,'1.1 Control Panel'!Z370*'1.1 Control Panel'!Z$352)</f>
        <v>20</v>
      </c>
      <c r="AA201" s="20">
        <f>MIN('3.1 Market'!$G192,'1.1 Control Panel'!AA370*'1.1 Control Panel'!AA$352)</f>
        <v>20</v>
      </c>
      <c r="AB201" s="20">
        <f>MIN('3.1 Market'!$G192,'1.1 Control Panel'!AB370*'1.1 Control Panel'!AB$352)</f>
        <v>20</v>
      </c>
      <c r="AC201" s="20">
        <f>MIN('3.1 Market'!$H192,'1.1 Control Panel'!AC370*'1.1 Control Panel'!AC$352)</f>
        <v>36</v>
      </c>
      <c r="AD201" s="20">
        <f>MIN('3.1 Market'!$H192,'1.1 Control Panel'!AD370*'1.1 Control Panel'!AD$352)</f>
        <v>36</v>
      </c>
      <c r="AE201" s="20">
        <f>MIN('3.1 Market'!$H192,'1.1 Control Panel'!AE370*'1.1 Control Panel'!AE$352)</f>
        <v>36</v>
      </c>
      <c r="AF201" s="20">
        <f>MIN('3.1 Market'!$H192,'1.1 Control Panel'!AF370*'1.1 Control Panel'!AF$352)</f>
        <v>36</v>
      </c>
      <c r="AG201" s="20">
        <f>MIN('3.1 Market'!$H192,'1.1 Control Panel'!AG370*'1.1 Control Panel'!AG$352)</f>
        <v>52</v>
      </c>
      <c r="AH201" s="20">
        <f>MIN('3.1 Market'!$H192,'1.1 Control Panel'!AH370*'1.1 Control Panel'!AH$352)</f>
        <v>52</v>
      </c>
      <c r="AI201" s="20">
        <f>MIN('3.1 Market'!$H192,'1.1 Control Panel'!AI370*'1.1 Control Panel'!AI$352)</f>
        <v>52</v>
      </c>
      <c r="AJ201" s="20">
        <f>MIN('3.1 Market'!$H192,'1.1 Control Panel'!AJ370*'1.1 Control Panel'!AJ$352)</f>
        <v>52</v>
      </c>
      <c r="AK201" s="20">
        <f>MIN('3.1 Market'!$H192,'1.1 Control Panel'!AK370*'1.1 Control Panel'!AK$352)</f>
        <v>68</v>
      </c>
      <c r="AL201" s="20">
        <f>MIN('3.1 Market'!$H192,'1.1 Control Panel'!AL370*'1.1 Control Panel'!AL$352)</f>
        <v>68</v>
      </c>
      <c r="AM201" s="20">
        <f>MIN('3.1 Market'!$H192,'1.1 Control Panel'!AM370*'1.1 Control Panel'!AM$352)</f>
        <v>68</v>
      </c>
      <c r="AN201" s="20">
        <f>MIN('3.1 Market'!$H192,'1.1 Control Panel'!AN370*'1.1 Control Panel'!AN$352)</f>
        <v>68</v>
      </c>
      <c r="AP201" s="20"/>
    </row>
    <row r="202" spans="2:42" x14ac:dyDescent="0.25">
      <c r="C202" s="20" t="s">
        <v>454</v>
      </c>
      <c r="D202" s="34" t="s">
        <v>162</v>
      </c>
      <c r="E202" s="20">
        <f>MIN('3.1 Market'!$F193,'1.1 Control Panel'!E371*'1.1 Control Panel'!E$352)</f>
        <v>3</v>
      </c>
      <c r="F202" s="20">
        <f>MIN('3.1 Market'!$F193,'1.1 Control Panel'!F371*'1.1 Control Panel'!F$352)</f>
        <v>3</v>
      </c>
      <c r="G202" s="20">
        <f>MIN('3.1 Market'!$F193,'1.1 Control Panel'!G371*'1.1 Control Panel'!G$352)</f>
        <v>3</v>
      </c>
      <c r="H202" s="20">
        <f>MIN('3.1 Market'!$F193,'1.1 Control Panel'!H371*'1.1 Control Panel'!H$352)</f>
        <v>3</v>
      </c>
      <c r="I202" s="20">
        <f>MIN('3.1 Market'!$F193,'1.1 Control Panel'!I371*'1.1 Control Panel'!I$352)</f>
        <v>3</v>
      </c>
      <c r="J202" s="20">
        <f>MIN('3.1 Market'!$F193,'1.1 Control Panel'!J371*'1.1 Control Panel'!J$352)</f>
        <v>6</v>
      </c>
      <c r="K202" s="20">
        <f>MIN('3.1 Market'!$F193,'1.1 Control Panel'!K371*'1.1 Control Panel'!K$352)</f>
        <v>6</v>
      </c>
      <c r="L202" s="20">
        <f>MIN('3.1 Market'!$F193,'1.1 Control Panel'!L371*'1.1 Control Panel'!L$352)</f>
        <v>6</v>
      </c>
      <c r="M202" s="20">
        <f>MIN('3.1 Market'!$F193,'1.1 Control Panel'!M371*'1.1 Control Panel'!M$352)</f>
        <v>6</v>
      </c>
      <c r="N202" s="20">
        <f>MIN('3.1 Market'!$F193,'1.1 Control Panel'!N371*'1.1 Control Panel'!N$352)</f>
        <v>6</v>
      </c>
      <c r="O202" s="20">
        <f>MIN('3.1 Market'!$F193,'1.1 Control Panel'!O371*'1.1 Control Panel'!O$352)</f>
        <v>6</v>
      </c>
      <c r="P202" s="20">
        <f>MIN('3.1 Market'!$F193,'1.1 Control Panel'!P371*'1.1 Control Panel'!P$352)</f>
        <v>6</v>
      </c>
      <c r="Q202" s="20">
        <f>MIN('3.1 Market'!$G193,'1.1 Control Panel'!Q371*'1.1 Control Panel'!Q$352)</f>
        <v>9</v>
      </c>
      <c r="R202" s="20">
        <f>MIN('3.1 Market'!$G193,'1.1 Control Panel'!R371*'1.1 Control Panel'!R$352)</f>
        <v>9</v>
      </c>
      <c r="S202" s="20">
        <f>MIN('3.1 Market'!$G193,'1.1 Control Panel'!S371*'1.1 Control Panel'!S$352)</f>
        <v>9</v>
      </c>
      <c r="T202" s="20">
        <f>MIN('3.1 Market'!$G193,'1.1 Control Panel'!T371*'1.1 Control Panel'!T$352)</f>
        <v>9</v>
      </c>
      <c r="U202" s="20">
        <f>MIN('3.1 Market'!$G193,'1.1 Control Panel'!U371*'1.1 Control Panel'!U$352)</f>
        <v>12</v>
      </c>
      <c r="V202" s="20">
        <f>MIN('3.1 Market'!$G193,'1.1 Control Panel'!V371*'1.1 Control Panel'!V$352)</f>
        <v>12</v>
      </c>
      <c r="W202" s="20">
        <f>MIN('3.1 Market'!$G193,'1.1 Control Panel'!W371*'1.1 Control Panel'!W$352)</f>
        <v>12</v>
      </c>
      <c r="X202" s="20">
        <f>MIN('3.1 Market'!$G193,'1.1 Control Panel'!X371*'1.1 Control Panel'!X$352)</f>
        <v>12</v>
      </c>
      <c r="Y202" s="20">
        <f>MIN('3.1 Market'!$G193,'1.1 Control Panel'!Y371*'1.1 Control Panel'!Y$352)</f>
        <v>15</v>
      </c>
      <c r="Z202" s="20">
        <f>MIN('3.1 Market'!$G193,'1.1 Control Panel'!Z371*'1.1 Control Panel'!Z$352)</f>
        <v>15</v>
      </c>
      <c r="AA202" s="20">
        <f>MIN('3.1 Market'!$G193,'1.1 Control Panel'!AA371*'1.1 Control Panel'!AA$352)</f>
        <v>15</v>
      </c>
      <c r="AB202" s="20">
        <f>MIN('3.1 Market'!$G193,'1.1 Control Panel'!AB371*'1.1 Control Panel'!AB$352)</f>
        <v>15</v>
      </c>
      <c r="AC202" s="20">
        <f>MIN('3.1 Market'!$H193,'1.1 Control Panel'!AC371*'1.1 Control Panel'!AC$352)</f>
        <v>27</v>
      </c>
      <c r="AD202" s="20">
        <f>MIN('3.1 Market'!$H193,'1.1 Control Panel'!AD371*'1.1 Control Panel'!AD$352)</f>
        <v>27</v>
      </c>
      <c r="AE202" s="20">
        <f>MIN('3.1 Market'!$H193,'1.1 Control Panel'!AE371*'1.1 Control Panel'!AE$352)</f>
        <v>27</v>
      </c>
      <c r="AF202" s="20">
        <f>MIN('3.1 Market'!$H193,'1.1 Control Panel'!AF371*'1.1 Control Panel'!AF$352)</f>
        <v>27</v>
      </c>
      <c r="AG202" s="20">
        <f>MIN('3.1 Market'!$H193,'1.1 Control Panel'!AG371*'1.1 Control Panel'!AG$352)</f>
        <v>39</v>
      </c>
      <c r="AH202" s="20">
        <f>MIN('3.1 Market'!$H193,'1.1 Control Panel'!AH371*'1.1 Control Panel'!AH$352)</f>
        <v>39</v>
      </c>
      <c r="AI202" s="20">
        <f>MIN('3.1 Market'!$H193,'1.1 Control Panel'!AI371*'1.1 Control Panel'!AI$352)</f>
        <v>39</v>
      </c>
      <c r="AJ202" s="20">
        <f>MIN('3.1 Market'!$H193,'1.1 Control Panel'!AJ371*'1.1 Control Panel'!AJ$352)</f>
        <v>39</v>
      </c>
      <c r="AK202" s="20">
        <f>MIN('3.1 Market'!$H193,'1.1 Control Panel'!AK371*'1.1 Control Panel'!AK$352)</f>
        <v>51</v>
      </c>
      <c r="AL202" s="20">
        <f>MIN('3.1 Market'!$H193,'1.1 Control Panel'!AL371*'1.1 Control Panel'!AL$352)</f>
        <v>51</v>
      </c>
      <c r="AM202" s="20">
        <f>MIN('3.1 Market'!$H193,'1.1 Control Panel'!AM371*'1.1 Control Panel'!AM$352)</f>
        <v>51</v>
      </c>
      <c r="AN202" s="20">
        <f>MIN('3.1 Market'!$H193,'1.1 Control Panel'!AN371*'1.1 Control Panel'!AN$352)</f>
        <v>51</v>
      </c>
      <c r="AP202" s="20"/>
    </row>
    <row r="203" spans="2:42" x14ac:dyDescent="0.25">
      <c r="C203" s="21" t="s">
        <v>455</v>
      </c>
      <c r="D203" s="38" t="s">
        <v>162</v>
      </c>
      <c r="E203" s="21">
        <f>MIN('3.1 Market'!$F194,'1.1 Control Panel'!E372*'1.1 Control Panel'!E$352)</f>
        <v>2</v>
      </c>
      <c r="F203" s="21">
        <f>MIN('3.1 Market'!$F194,'1.1 Control Panel'!F372*'1.1 Control Panel'!F$352)</f>
        <v>2</v>
      </c>
      <c r="G203" s="21">
        <f>MIN('3.1 Market'!$F194,'1.1 Control Panel'!G372*'1.1 Control Panel'!G$352)</f>
        <v>2</v>
      </c>
      <c r="H203" s="21">
        <f>MIN('3.1 Market'!$F194,'1.1 Control Panel'!H372*'1.1 Control Panel'!H$352)</f>
        <v>2</v>
      </c>
      <c r="I203" s="21">
        <f>MIN('3.1 Market'!$F194,'1.1 Control Panel'!I372*'1.1 Control Panel'!I$352)</f>
        <v>2</v>
      </c>
      <c r="J203" s="21">
        <f>MIN('3.1 Market'!$F194,'1.1 Control Panel'!J372*'1.1 Control Panel'!J$352)</f>
        <v>4</v>
      </c>
      <c r="K203" s="21">
        <f>MIN('3.1 Market'!$F194,'1.1 Control Panel'!K372*'1.1 Control Panel'!K$352)</f>
        <v>4</v>
      </c>
      <c r="L203" s="21">
        <f>MIN('3.1 Market'!$F194,'1.1 Control Panel'!L372*'1.1 Control Panel'!L$352)</f>
        <v>4</v>
      </c>
      <c r="M203" s="21">
        <f>MIN('3.1 Market'!$F194,'1.1 Control Panel'!M372*'1.1 Control Panel'!M$352)</f>
        <v>4</v>
      </c>
      <c r="N203" s="21">
        <f>MIN('3.1 Market'!$F194,'1.1 Control Panel'!N372*'1.1 Control Panel'!N$352)</f>
        <v>4</v>
      </c>
      <c r="O203" s="21">
        <f>MIN('3.1 Market'!$F194,'1.1 Control Panel'!O372*'1.1 Control Panel'!O$352)</f>
        <v>4</v>
      </c>
      <c r="P203" s="21">
        <f>MIN('3.1 Market'!$F194,'1.1 Control Panel'!P372*'1.1 Control Panel'!P$352)</f>
        <v>4</v>
      </c>
      <c r="Q203" s="21">
        <f>MIN('3.1 Market'!$G194,'1.1 Control Panel'!Q372*'1.1 Control Panel'!Q$352)</f>
        <v>6</v>
      </c>
      <c r="R203" s="21">
        <f>MIN('3.1 Market'!$G194,'1.1 Control Panel'!R372*'1.1 Control Panel'!R$352)</f>
        <v>6</v>
      </c>
      <c r="S203" s="21">
        <f>MIN('3.1 Market'!$G194,'1.1 Control Panel'!S372*'1.1 Control Panel'!S$352)</f>
        <v>6</v>
      </c>
      <c r="T203" s="21">
        <f>MIN('3.1 Market'!$G194,'1.1 Control Panel'!T372*'1.1 Control Panel'!T$352)</f>
        <v>6</v>
      </c>
      <c r="U203" s="21">
        <f>MIN('3.1 Market'!$G194,'1.1 Control Panel'!U372*'1.1 Control Panel'!U$352)</f>
        <v>8</v>
      </c>
      <c r="V203" s="21">
        <f>MIN('3.1 Market'!$G194,'1.1 Control Panel'!V372*'1.1 Control Panel'!V$352)</f>
        <v>8</v>
      </c>
      <c r="W203" s="21">
        <f>MIN('3.1 Market'!$G194,'1.1 Control Panel'!W372*'1.1 Control Panel'!W$352)</f>
        <v>8</v>
      </c>
      <c r="X203" s="21">
        <f>MIN('3.1 Market'!$G194,'1.1 Control Panel'!X372*'1.1 Control Panel'!X$352)</f>
        <v>8</v>
      </c>
      <c r="Y203" s="21">
        <f>MIN('3.1 Market'!$G194,'1.1 Control Panel'!Y372*'1.1 Control Panel'!Y$352)</f>
        <v>10</v>
      </c>
      <c r="Z203" s="21">
        <f>MIN('3.1 Market'!$G194,'1.1 Control Panel'!Z372*'1.1 Control Panel'!Z$352)</f>
        <v>10</v>
      </c>
      <c r="AA203" s="21">
        <f>MIN('3.1 Market'!$G194,'1.1 Control Panel'!AA372*'1.1 Control Panel'!AA$352)</f>
        <v>10</v>
      </c>
      <c r="AB203" s="21">
        <f>MIN('3.1 Market'!$G194,'1.1 Control Panel'!AB372*'1.1 Control Panel'!AB$352)</f>
        <v>10</v>
      </c>
      <c r="AC203" s="21">
        <f>MIN('3.1 Market'!$H194,'1.1 Control Panel'!AC372*'1.1 Control Panel'!AC$352)</f>
        <v>18</v>
      </c>
      <c r="AD203" s="20">
        <f>MIN('3.1 Market'!$H194,'1.1 Control Panel'!AD372*'1.1 Control Panel'!AD$352)</f>
        <v>18</v>
      </c>
      <c r="AE203" s="20">
        <f>MIN('3.1 Market'!$H194,'1.1 Control Panel'!AE372*'1.1 Control Panel'!AE$352)</f>
        <v>18</v>
      </c>
      <c r="AF203" s="20">
        <f>MIN('3.1 Market'!$H194,'1.1 Control Panel'!AF372*'1.1 Control Panel'!AF$352)</f>
        <v>18</v>
      </c>
      <c r="AG203" s="20">
        <f>MIN('3.1 Market'!$H194,'1.1 Control Panel'!AG372*'1.1 Control Panel'!AG$352)</f>
        <v>26</v>
      </c>
      <c r="AH203" s="20">
        <f>MIN('3.1 Market'!$H194,'1.1 Control Panel'!AH372*'1.1 Control Panel'!AH$352)</f>
        <v>26</v>
      </c>
      <c r="AI203" s="20">
        <f>MIN('3.1 Market'!$H194,'1.1 Control Panel'!AI372*'1.1 Control Panel'!AI$352)</f>
        <v>26</v>
      </c>
      <c r="AJ203" s="20">
        <f>MIN('3.1 Market'!$H194,'1.1 Control Panel'!AJ372*'1.1 Control Panel'!AJ$352)</f>
        <v>26</v>
      </c>
      <c r="AK203" s="20">
        <f>MIN('3.1 Market'!$H194,'1.1 Control Panel'!AK372*'1.1 Control Panel'!AK$352)</f>
        <v>34</v>
      </c>
      <c r="AL203" s="20">
        <f>MIN('3.1 Market'!$H194,'1.1 Control Panel'!AL372*'1.1 Control Panel'!AL$352)</f>
        <v>34</v>
      </c>
      <c r="AM203" s="20">
        <f>MIN('3.1 Market'!$H194,'1.1 Control Panel'!AM372*'1.1 Control Panel'!AM$352)</f>
        <v>34</v>
      </c>
      <c r="AN203" s="20">
        <f>MIN('3.1 Market'!$H194,'1.1 Control Panel'!AN372*'1.1 Control Panel'!AN$352)</f>
        <v>34</v>
      </c>
      <c r="AP203" s="21"/>
    </row>
    <row r="204" spans="2:42" x14ac:dyDescent="0.25">
      <c r="C204" s="21" t="s">
        <v>393</v>
      </c>
      <c r="D204" s="38" t="s">
        <v>162</v>
      </c>
      <c r="E204" s="21">
        <f>MIN('3.1 Market'!$F195,'1.1 Control Panel'!E373*'1.1 Control Panel'!E$352)</f>
        <v>1</v>
      </c>
      <c r="F204" s="21">
        <f>MIN('3.1 Market'!$F195,'1.1 Control Panel'!F373*'1.1 Control Panel'!F$352)</f>
        <v>1</v>
      </c>
      <c r="G204" s="21">
        <f>MIN('3.1 Market'!$F195,'1.1 Control Panel'!G373*'1.1 Control Panel'!G$352)</f>
        <v>1</v>
      </c>
      <c r="H204" s="21">
        <f>MIN('3.1 Market'!$F195,'1.1 Control Panel'!H373*'1.1 Control Panel'!H$352)</f>
        <v>1</v>
      </c>
      <c r="I204" s="21">
        <f>MIN('3.1 Market'!$F195,'1.1 Control Panel'!I373*'1.1 Control Panel'!I$352)</f>
        <v>1</v>
      </c>
      <c r="J204" s="21">
        <f>MIN('3.1 Market'!$F195,'1.1 Control Panel'!J373*'1.1 Control Panel'!J$352)</f>
        <v>2</v>
      </c>
      <c r="K204" s="21">
        <f>MIN('3.1 Market'!$F195,'1.1 Control Panel'!K373*'1.1 Control Panel'!K$352)</f>
        <v>2</v>
      </c>
      <c r="L204" s="21">
        <f>MIN('3.1 Market'!$F195,'1.1 Control Panel'!L373*'1.1 Control Panel'!L$352)</f>
        <v>2</v>
      </c>
      <c r="M204" s="21">
        <f>MIN('3.1 Market'!$F195,'1.1 Control Panel'!M373*'1.1 Control Panel'!M$352)</f>
        <v>2</v>
      </c>
      <c r="N204" s="21">
        <f>MIN('3.1 Market'!$F195,'1.1 Control Panel'!N373*'1.1 Control Panel'!N$352)</f>
        <v>2</v>
      </c>
      <c r="O204" s="21">
        <f>MIN('3.1 Market'!$F195,'1.1 Control Panel'!O373*'1.1 Control Panel'!O$352)</f>
        <v>2</v>
      </c>
      <c r="P204" s="21">
        <f>MIN('3.1 Market'!$F195,'1.1 Control Panel'!P373*'1.1 Control Panel'!P$352)</f>
        <v>2</v>
      </c>
      <c r="Q204" s="21">
        <f>MIN('3.1 Market'!$G195,'1.1 Control Panel'!Q373*'1.1 Control Panel'!Q$352)</f>
        <v>3</v>
      </c>
      <c r="R204" s="21">
        <f>MIN('3.1 Market'!$G195,'1.1 Control Panel'!R373*'1.1 Control Panel'!R$352)</f>
        <v>3</v>
      </c>
      <c r="S204" s="21">
        <f>MIN('3.1 Market'!$G195,'1.1 Control Panel'!S373*'1.1 Control Panel'!S$352)</f>
        <v>3</v>
      </c>
      <c r="T204" s="21">
        <f>MIN('3.1 Market'!$G195,'1.1 Control Panel'!T373*'1.1 Control Panel'!T$352)</f>
        <v>3</v>
      </c>
      <c r="U204" s="21">
        <f>MIN('3.1 Market'!$G195,'1.1 Control Panel'!U373*'1.1 Control Panel'!U$352)</f>
        <v>4</v>
      </c>
      <c r="V204" s="21">
        <f>MIN('3.1 Market'!$G195,'1.1 Control Panel'!V373*'1.1 Control Panel'!V$352)</f>
        <v>4</v>
      </c>
      <c r="W204" s="21">
        <f>MIN('3.1 Market'!$G195,'1.1 Control Panel'!W373*'1.1 Control Panel'!W$352)</f>
        <v>4</v>
      </c>
      <c r="X204" s="21">
        <f>MIN('3.1 Market'!$G195,'1.1 Control Panel'!X373*'1.1 Control Panel'!X$352)</f>
        <v>4</v>
      </c>
      <c r="Y204" s="21">
        <f>MIN('3.1 Market'!$G195,'1.1 Control Panel'!Y373*'1.1 Control Panel'!Y$352)</f>
        <v>5</v>
      </c>
      <c r="Z204" s="21">
        <f>MIN('3.1 Market'!$G195,'1.1 Control Panel'!Z373*'1.1 Control Panel'!Z$352)</f>
        <v>5</v>
      </c>
      <c r="AA204" s="21">
        <f>MIN('3.1 Market'!$G195,'1.1 Control Panel'!AA373*'1.1 Control Panel'!AA$352)</f>
        <v>5</v>
      </c>
      <c r="AB204" s="21">
        <f>MIN('3.1 Market'!$G195,'1.1 Control Panel'!AB373*'1.1 Control Panel'!AB$352)</f>
        <v>5</v>
      </c>
      <c r="AC204" s="21">
        <f>MIN('3.1 Market'!$H195,'1.1 Control Panel'!AC373*'1.1 Control Panel'!AC$352)</f>
        <v>9</v>
      </c>
      <c r="AD204" s="20">
        <f>MIN('3.1 Market'!$H195,'1.1 Control Panel'!AD373*'1.1 Control Panel'!AD$352)</f>
        <v>9</v>
      </c>
      <c r="AE204" s="20">
        <f>MIN('3.1 Market'!$H195,'1.1 Control Panel'!AE373*'1.1 Control Panel'!AE$352)</f>
        <v>9</v>
      </c>
      <c r="AF204" s="20">
        <f>MIN('3.1 Market'!$H195,'1.1 Control Panel'!AF373*'1.1 Control Panel'!AF$352)</f>
        <v>9</v>
      </c>
      <c r="AG204" s="20">
        <f>MIN('3.1 Market'!$H195,'1.1 Control Panel'!AG373*'1.1 Control Panel'!AG$352)</f>
        <v>13</v>
      </c>
      <c r="AH204" s="20">
        <f>MIN('3.1 Market'!$H195,'1.1 Control Panel'!AH373*'1.1 Control Panel'!AH$352)</f>
        <v>13</v>
      </c>
      <c r="AI204" s="20">
        <f>MIN('3.1 Market'!$H195,'1.1 Control Panel'!AI373*'1.1 Control Panel'!AI$352)</f>
        <v>13</v>
      </c>
      <c r="AJ204" s="20">
        <f>MIN('3.1 Market'!$H195,'1.1 Control Panel'!AJ373*'1.1 Control Panel'!AJ$352)</f>
        <v>13</v>
      </c>
      <c r="AK204" s="20">
        <f>MIN('3.1 Market'!$H195,'1.1 Control Panel'!AK373*'1.1 Control Panel'!AK$352)</f>
        <v>17</v>
      </c>
      <c r="AL204" s="20">
        <f>MIN('3.1 Market'!$H195,'1.1 Control Panel'!AL373*'1.1 Control Panel'!AL$352)</f>
        <v>17</v>
      </c>
      <c r="AM204" s="20">
        <f>MIN('3.1 Market'!$H195,'1.1 Control Panel'!AM373*'1.1 Control Panel'!AM$352)</f>
        <v>17</v>
      </c>
      <c r="AN204" s="20">
        <f>MIN('3.1 Market'!$H195,'1.1 Control Panel'!AN373*'1.1 Control Panel'!AN$352)</f>
        <v>17</v>
      </c>
      <c r="AP204" s="21"/>
    </row>
    <row r="205" spans="2:42" x14ac:dyDescent="0.25">
      <c r="C205" s="21" t="s">
        <v>456</v>
      </c>
      <c r="D205" s="38" t="s">
        <v>162</v>
      </c>
      <c r="E205" s="21">
        <f>MIN('3.1 Market'!$F196,'1.1 Control Panel'!E374*'1.1 Control Panel'!E$352)</f>
        <v>0</v>
      </c>
      <c r="F205" s="21">
        <f>MIN('3.1 Market'!$F196,'1.1 Control Panel'!F374*'1.1 Control Panel'!F$352)</f>
        <v>0</v>
      </c>
      <c r="G205" s="21">
        <f>MIN('3.1 Market'!$F196,'1.1 Control Panel'!G374*'1.1 Control Panel'!G$352)</f>
        <v>0</v>
      </c>
      <c r="H205" s="21">
        <f>MIN('3.1 Market'!$F196,'1.1 Control Panel'!H374*'1.1 Control Panel'!H$352)</f>
        <v>0</v>
      </c>
      <c r="I205" s="21">
        <f>MIN('3.1 Market'!$F196,'1.1 Control Panel'!I374*'1.1 Control Panel'!I$352)</f>
        <v>0</v>
      </c>
      <c r="J205" s="21">
        <f>MIN('3.1 Market'!$F196,'1.1 Control Panel'!J374*'1.1 Control Panel'!J$352)</f>
        <v>0</v>
      </c>
      <c r="K205" s="21">
        <f>MIN('3.1 Market'!$F196,'1.1 Control Panel'!K374*'1.1 Control Panel'!K$352)</f>
        <v>0</v>
      </c>
      <c r="L205" s="21">
        <f>MIN('3.1 Market'!$F196,'1.1 Control Panel'!L374*'1.1 Control Panel'!L$352)</f>
        <v>0</v>
      </c>
      <c r="M205" s="21">
        <f>MIN('3.1 Market'!$F196,'1.1 Control Panel'!M374*'1.1 Control Panel'!M$352)</f>
        <v>0</v>
      </c>
      <c r="N205" s="21">
        <f>MIN('3.1 Market'!$F196,'1.1 Control Panel'!N374*'1.1 Control Panel'!N$352)</f>
        <v>0</v>
      </c>
      <c r="O205" s="21">
        <f>MIN('3.1 Market'!$F196,'1.1 Control Panel'!O374*'1.1 Control Panel'!O$352)</f>
        <v>0</v>
      </c>
      <c r="P205" s="21">
        <f>MIN('3.1 Market'!$F196,'1.1 Control Panel'!P374*'1.1 Control Panel'!P$352)</f>
        <v>0</v>
      </c>
      <c r="Q205" s="21">
        <f>MIN('3.1 Market'!$G196,'1.1 Control Panel'!Q374*'1.1 Control Panel'!Q$352)</f>
        <v>0</v>
      </c>
      <c r="R205" s="21">
        <f>MIN('3.1 Market'!$G196,'1.1 Control Panel'!R374*'1.1 Control Panel'!R$352)</f>
        <v>0</v>
      </c>
      <c r="S205" s="21">
        <f>MIN('3.1 Market'!$G196,'1.1 Control Panel'!S374*'1.1 Control Panel'!S$352)</f>
        <v>0</v>
      </c>
      <c r="T205" s="21">
        <f>MIN('3.1 Market'!$G196,'1.1 Control Panel'!T374*'1.1 Control Panel'!T$352)</f>
        <v>0</v>
      </c>
      <c r="U205" s="21">
        <f>MIN('3.1 Market'!$G196,'1.1 Control Panel'!U374*'1.1 Control Panel'!U$352)</f>
        <v>0</v>
      </c>
      <c r="V205" s="21">
        <f>MIN('3.1 Market'!$G196,'1.1 Control Panel'!V374*'1.1 Control Panel'!V$352)</f>
        <v>0</v>
      </c>
      <c r="W205" s="21">
        <f>MIN('3.1 Market'!$G196,'1.1 Control Panel'!W374*'1.1 Control Panel'!W$352)</f>
        <v>0</v>
      </c>
      <c r="X205" s="21">
        <f>MIN('3.1 Market'!$G196,'1.1 Control Panel'!X374*'1.1 Control Panel'!X$352)</f>
        <v>0</v>
      </c>
      <c r="Y205" s="21">
        <f>MIN('3.1 Market'!$G196,'1.1 Control Panel'!Y374*'1.1 Control Panel'!Y$352)</f>
        <v>0</v>
      </c>
      <c r="Z205" s="21">
        <f>MIN('3.1 Market'!$G196,'1.1 Control Panel'!Z374*'1.1 Control Panel'!Z$352)</f>
        <v>0</v>
      </c>
      <c r="AA205" s="21">
        <f>MIN('3.1 Market'!$G196,'1.1 Control Panel'!AA374*'1.1 Control Panel'!AA$352)</f>
        <v>0</v>
      </c>
      <c r="AB205" s="21">
        <f>MIN('3.1 Market'!$G196,'1.1 Control Panel'!AB374*'1.1 Control Panel'!AB$352)</f>
        <v>0</v>
      </c>
      <c r="AC205" s="21">
        <f>MIN('3.1 Market'!$H196,'1.1 Control Panel'!AC374*'1.1 Control Panel'!AC$352)</f>
        <v>0</v>
      </c>
      <c r="AD205" s="20">
        <f>MIN('3.1 Market'!$H196,'1.1 Control Panel'!AD374*'1.1 Control Panel'!AD$352)</f>
        <v>0</v>
      </c>
      <c r="AE205" s="20">
        <f>MIN('3.1 Market'!$H196,'1.1 Control Panel'!AE374*'1.1 Control Panel'!AE$352)</f>
        <v>0</v>
      </c>
      <c r="AF205" s="20">
        <f>MIN('3.1 Market'!$H196,'1.1 Control Panel'!AF374*'1.1 Control Panel'!AF$352)</f>
        <v>0</v>
      </c>
      <c r="AG205" s="20">
        <f>MIN('3.1 Market'!$H196,'1.1 Control Panel'!AG374*'1.1 Control Panel'!AG$352)</f>
        <v>0</v>
      </c>
      <c r="AH205" s="20">
        <f>MIN('3.1 Market'!$H196,'1.1 Control Panel'!AH374*'1.1 Control Panel'!AH$352)</f>
        <v>0</v>
      </c>
      <c r="AI205" s="20">
        <f>MIN('3.1 Market'!$H196,'1.1 Control Panel'!AI374*'1.1 Control Panel'!AI$352)</f>
        <v>0</v>
      </c>
      <c r="AJ205" s="20">
        <f>MIN('3.1 Market'!$H196,'1.1 Control Panel'!AJ374*'1.1 Control Panel'!AJ$352)</f>
        <v>0</v>
      </c>
      <c r="AK205" s="20">
        <f>MIN('3.1 Market'!$H196,'1.1 Control Panel'!AK374*'1.1 Control Panel'!AK$352)</f>
        <v>0</v>
      </c>
      <c r="AL205" s="20">
        <f>MIN('3.1 Market'!$H196,'1.1 Control Panel'!AL374*'1.1 Control Panel'!AL$352)</f>
        <v>0</v>
      </c>
      <c r="AM205" s="20">
        <f>MIN('3.1 Market'!$H196,'1.1 Control Panel'!AM374*'1.1 Control Panel'!AM$352)</f>
        <v>0</v>
      </c>
      <c r="AN205" s="20">
        <f>MIN('3.1 Market'!$H196,'1.1 Control Panel'!AN374*'1.1 Control Panel'!AN$352)</f>
        <v>0</v>
      </c>
      <c r="AP205" s="21"/>
    </row>
    <row r="206" spans="2:42" x14ac:dyDescent="0.25">
      <c r="B206" s="99" t="s">
        <v>9</v>
      </c>
      <c r="C206" s="105" t="str">
        <f>'4.2 Sector Mapping'!$B$7</f>
        <v>Energy and Environment</v>
      </c>
      <c r="D206" s="106" t="s">
        <v>162</v>
      </c>
      <c r="E206" s="105">
        <f>SUM(E207:E212)</f>
        <v>0</v>
      </c>
      <c r="F206" s="105">
        <f t="shared" ref="F206:H206" si="123">SUM(F207:F212)</f>
        <v>0</v>
      </c>
      <c r="G206" s="105">
        <f t="shared" si="123"/>
        <v>0</v>
      </c>
      <c r="H206" s="105">
        <f t="shared" si="123"/>
        <v>0</v>
      </c>
      <c r="I206" s="105">
        <f t="shared" ref="I206:AN206" si="124">SUM(I207:I212)</f>
        <v>0</v>
      </c>
      <c r="J206" s="105">
        <f t="shared" si="124"/>
        <v>0</v>
      </c>
      <c r="K206" s="105">
        <f t="shared" si="124"/>
        <v>0</v>
      </c>
      <c r="L206" s="105">
        <f t="shared" si="124"/>
        <v>0</v>
      </c>
      <c r="M206" s="105">
        <f t="shared" si="124"/>
        <v>0</v>
      </c>
      <c r="N206" s="105">
        <f t="shared" si="124"/>
        <v>0</v>
      </c>
      <c r="O206" s="105">
        <f t="shared" si="124"/>
        <v>0</v>
      </c>
      <c r="P206" s="105">
        <f t="shared" si="124"/>
        <v>0</v>
      </c>
      <c r="Q206" s="105">
        <f t="shared" si="124"/>
        <v>28.969207848960004</v>
      </c>
      <c r="R206" s="105">
        <f t="shared" si="124"/>
        <v>29.175366279168006</v>
      </c>
      <c r="S206" s="105">
        <f t="shared" si="124"/>
        <v>29.340293023334404</v>
      </c>
      <c r="T206" s="105">
        <f t="shared" si="124"/>
        <v>29.472234418667526</v>
      </c>
      <c r="U206" s="105">
        <f t="shared" si="124"/>
        <v>59.155575069868036</v>
      </c>
      <c r="V206" s="105">
        <f t="shared" si="124"/>
        <v>59.324460055894434</v>
      </c>
      <c r="W206" s="105">
        <f t="shared" si="124"/>
        <v>59.459568044715553</v>
      </c>
      <c r="X206" s="105">
        <f t="shared" si="124"/>
        <v>59.56765443577244</v>
      </c>
      <c r="Y206" s="105">
        <f t="shared" si="124"/>
        <v>59.654123548617953</v>
      </c>
      <c r="Z206" s="105">
        <f t="shared" si="124"/>
        <v>59.723298838894358</v>
      </c>
      <c r="AA206" s="105">
        <f t="shared" si="124"/>
        <v>59.778639071115492</v>
      </c>
      <c r="AB206" s="105">
        <f t="shared" si="124"/>
        <v>59.822911256892397</v>
      </c>
      <c r="AC206" s="105">
        <f t="shared" si="124"/>
        <v>89.787493508270884</v>
      </c>
      <c r="AD206" s="105">
        <f t="shared" si="124"/>
        <v>89.82999480661671</v>
      </c>
      <c r="AE206" s="105">
        <f t="shared" si="124"/>
        <v>89.86399584529336</v>
      </c>
      <c r="AF206" s="105">
        <f t="shared" si="124"/>
        <v>89.891196676234699</v>
      </c>
      <c r="AG206" s="105">
        <f t="shared" si="124"/>
        <v>119.88394312131702</v>
      </c>
      <c r="AH206" s="105">
        <f t="shared" si="124"/>
        <v>119.90715449705363</v>
      </c>
      <c r="AI206" s="105">
        <f t="shared" si="124"/>
        <v>119.92572359764289</v>
      </c>
      <c r="AJ206" s="105">
        <f t="shared" si="124"/>
        <v>119.94057887811432</v>
      </c>
      <c r="AK206" s="105">
        <f t="shared" si="124"/>
        <v>149.94057887811434</v>
      </c>
      <c r="AL206" s="105">
        <f t="shared" si="124"/>
        <v>149.95246310249146</v>
      </c>
      <c r="AM206" s="105">
        <f t="shared" si="124"/>
        <v>149.96197048199321</v>
      </c>
      <c r="AN206" s="105">
        <f t="shared" si="124"/>
        <v>149.96957638559454</v>
      </c>
      <c r="AP206" s="105"/>
    </row>
    <row r="207" spans="2:42" x14ac:dyDescent="0.25">
      <c r="C207" s="20" t="s">
        <v>600</v>
      </c>
      <c r="D207" s="34" t="s">
        <v>162</v>
      </c>
      <c r="E207" s="20">
        <f>MIN('3.1 Market'!$F198,'1.1 Control Panel'!E400*'1.1 Control Panel'!E$383)</f>
        <v>0</v>
      </c>
      <c r="F207" s="20">
        <f>MIN('3.1 Market'!$F198,'1.1 Control Panel'!F400*'1.1 Control Panel'!F$383)</f>
        <v>0</v>
      </c>
      <c r="G207" s="20">
        <f>MIN('3.1 Market'!$F198,'1.1 Control Panel'!G400*'1.1 Control Panel'!G$383)</f>
        <v>0</v>
      </c>
      <c r="H207" s="20">
        <f>MIN('3.1 Market'!$F198,'1.1 Control Panel'!H400*'1.1 Control Panel'!H$383)</f>
        <v>0</v>
      </c>
      <c r="I207" s="20">
        <f>MIN('3.1 Market'!$F198,'1.1 Control Panel'!I400*'1.1 Control Panel'!I$383)</f>
        <v>0</v>
      </c>
      <c r="J207" s="20">
        <f>MIN('3.1 Market'!$F198,'1.1 Control Panel'!J400*'1.1 Control Panel'!J$383)</f>
        <v>0</v>
      </c>
      <c r="K207" s="20">
        <f>MIN('3.1 Market'!$F198,'1.1 Control Panel'!K400*'1.1 Control Panel'!K$383)</f>
        <v>0</v>
      </c>
      <c r="L207" s="20">
        <f>MIN('3.1 Market'!$F198,'1.1 Control Panel'!L400*'1.1 Control Panel'!L$383)</f>
        <v>0</v>
      </c>
      <c r="M207" s="20">
        <f>MIN('3.1 Market'!$F198,'1.1 Control Panel'!M400*'1.1 Control Panel'!M$383)</f>
        <v>0</v>
      </c>
      <c r="N207" s="20">
        <f>MIN('3.1 Market'!$F198,'1.1 Control Panel'!N400*'1.1 Control Panel'!N$383)</f>
        <v>0</v>
      </c>
      <c r="O207" s="20">
        <f>MIN('3.1 Market'!$F198,'1.1 Control Panel'!O400*'1.1 Control Panel'!O$383)</f>
        <v>0</v>
      </c>
      <c r="P207" s="20">
        <f>MIN('3.1 Market'!$F198,'1.1 Control Panel'!P400*'1.1 Control Panel'!P$383)</f>
        <v>0</v>
      </c>
      <c r="Q207" s="20">
        <f>MIN('3.1 Market'!$G198,'1.1 Control Panel'!Q400*'1.1 Control Panel'!Q$383)</f>
        <v>5</v>
      </c>
      <c r="R207" s="20">
        <f>MIN('3.1 Market'!$G198,'1.1 Control Panel'!R400*'1.1 Control Panel'!R$383)</f>
        <v>5</v>
      </c>
      <c r="S207" s="20">
        <f>MIN('3.1 Market'!$G198,'1.1 Control Panel'!S400*'1.1 Control Panel'!S$383)</f>
        <v>5</v>
      </c>
      <c r="T207" s="20">
        <f>MIN('3.1 Market'!$G198,'1.1 Control Panel'!T400*'1.1 Control Panel'!T$383)</f>
        <v>5</v>
      </c>
      <c r="U207" s="20">
        <f>MIN('3.1 Market'!$G198,'1.1 Control Panel'!U400*'1.1 Control Panel'!U$383)</f>
        <v>10</v>
      </c>
      <c r="V207" s="20">
        <f>MIN('3.1 Market'!$G198,'1.1 Control Panel'!V400*'1.1 Control Panel'!V$383)</f>
        <v>10</v>
      </c>
      <c r="W207" s="20">
        <f>MIN('3.1 Market'!$G198,'1.1 Control Panel'!W400*'1.1 Control Panel'!W$383)</f>
        <v>10</v>
      </c>
      <c r="X207" s="20">
        <f>MIN('3.1 Market'!$G198,'1.1 Control Panel'!X400*'1.1 Control Panel'!X$383)</f>
        <v>10</v>
      </c>
      <c r="Y207" s="20">
        <f>MIN('3.1 Market'!$G198,'1.1 Control Panel'!Y400*'1.1 Control Panel'!Y$383)</f>
        <v>10</v>
      </c>
      <c r="Z207" s="20">
        <f>MIN('3.1 Market'!$G198,'1.1 Control Panel'!Z400*'1.1 Control Panel'!Z$383)</f>
        <v>10</v>
      </c>
      <c r="AA207" s="20">
        <f>MIN('3.1 Market'!$G198,'1.1 Control Panel'!AA400*'1.1 Control Panel'!AA$383)</f>
        <v>10</v>
      </c>
      <c r="AB207" s="20">
        <f>MIN('3.1 Market'!$G198,'1.1 Control Panel'!AB400*'1.1 Control Panel'!AB$383)</f>
        <v>10</v>
      </c>
      <c r="AC207" s="20">
        <f>MIN('3.1 Market'!$H198,'1.1 Control Panel'!AC400*'1.1 Control Panel'!AC$383)</f>
        <v>15</v>
      </c>
      <c r="AD207" s="20">
        <f>MIN('3.1 Market'!$H198,'1.1 Control Panel'!AD400*'1.1 Control Panel'!AD$383)</f>
        <v>15</v>
      </c>
      <c r="AE207" s="20">
        <f>MIN('3.1 Market'!$H198,'1.1 Control Panel'!AE400*'1.1 Control Panel'!AE$383)</f>
        <v>15</v>
      </c>
      <c r="AF207" s="20">
        <f>MIN('3.1 Market'!$H198,'1.1 Control Panel'!AF400*'1.1 Control Panel'!AF$383)</f>
        <v>15</v>
      </c>
      <c r="AG207" s="20">
        <f>MIN('3.1 Market'!$H198,'1.1 Control Panel'!AG400*'1.1 Control Panel'!AG$383)</f>
        <v>20</v>
      </c>
      <c r="AH207" s="20">
        <f>MIN('3.1 Market'!$H198,'1.1 Control Panel'!AH400*'1.1 Control Panel'!AH$383)</f>
        <v>20</v>
      </c>
      <c r="AI207" s="20">
        <f>MIN('3.1 Market'!$H198,'1.1 Control Panel'!AI400*'1.1 Control Panel'!AI$383)</f>
        <v>20</v>
      </c>
      <c r="AJ207" s="20">
        <f>MIN('3.1 Market'!$H198,'1.1 Control Panel'!AJ400*'1.1 Control Panel'!AJ$383)</f>
        <v>20</v>
      </c>
      <c r="AK207" s="20">
        <f>MIN('3.1 Market'!$H198,'1.1 Control Panel'!AK400*'1.1 Control Panel'!AK$383)</f>
        <v>25</v>
      </c>
      <c r="AL207" s="20">
        <f>MIN('3.1 Market'!$H198,'1.1 Control Panel'!AL400*'1.1 Control Panel'!AL$383)</f>
        <v>25</v>
      </c>
      <c r="AM207" s="20">
        <f>MIN('3.1 Market'!$H198,'1.1 Control Panel'!AM400*'1.1 Control Panel'!AM$383)</f>
        <v>25</v>
      </c>
      <c r="AN207" s="20">
        <f>MIN('3.1 Market'!$H198,'1.1 Control Panel'!AN400*'1.1 Control Panel'!AN$383)</f>
        <v>25</v>
      </c>
      <c r="AP207" s="20"/>
    </row>
    <row r="208" spans="2:42" x14ac:dyDescent="0.25">
      <c r="C208" s="20" t="s">
        <v>392</v>
      </c>
      <c r="D208" s="34" t="s">
        <v>162</v>
      </c>
      <c r="E208" s="20">
        <f>MIN('3.1 Market'!$F199,'1.1 Control Panel'!E401*'1.1 Control Panel'!E$383)</f>
        <v>0</v>
      </c>
      <c r="F208" s="20">
        <f>MIN('3.1 Market'!$F199,'1.1 Control Panel'!F401*'1.1 Control Panel'!F$383)</f>
        <v>0</v>
      </c>
      <c r="G208" s="20">
        <f>MIN('3.1 Market'!$F199,'1.1 Control Panel'!G401*'1.1 Control Panel'!G$383)</f>
        <v>0</v>
      </c>
      <c r="H208" s="20">
        <f>MIN('3.1 Market'!$F199,'1.1 Control Panel'!H401*'1.1 Control Panel'!H$383)</f>
        <v>0</v>
      </c>
      <c r="I208" s="20">
        <f>MIN('3.1 Market'!$F199,'1.1 Control Panel'!I401*'1.1 Control Panel'!I$383)</f>
        <v>0</v>
      </c>
      <c r="J208" s="20">
        <f>MIN('3.1 Market'!$F199,'1.1 Control Panel'!J401*'1.1 Control Panel'!J$383)</f>
        <v>0</v>
      </c>
      <c r="K208" s="20">
        <f>MIN('3.1 Market'!$F199,'1.1 Control Panel'!K401*'1.1 Control Panel'!K$383)</f>
        <v>0</v>
      </c>
      <c r="L208" s="20">
        <f>MIN('3.1 Market'!$F199,'1.1 Control Panel'!L401*'1.1 Control Panel'!L$383)</f>
        <v>0</v>
      </c>
      <c r="M208" s="20">
        <f>MIN('3.1 Market'!$F199,'1.1 Control Panel'!M401*'1.1 Control Panel'!M$383)</f>
        <v>0</v>
      </c>
      <c r="N208" s="20">
        <f>MIN('3.1 Market'!$F199,'1.1 Control Panel'!N401*'1.1 Control Panel'!N$383)</f>
        <v>0</v>
      </c>
      <c r="O208" s="20">
        <f>MIN('3.1 Market'!$F199,'1.1 Control Panel'!O401*'1.1 Control Panel'!O$383)</f>
        <v>0</v>
      </c>
      <c r="P208" s="20">
        <f>MIN('3.1 Market'!$F199,'1.1 Control Panel'!P401*'1.1 Control Panel'!P$383)</f>
        <v>0</v>
      </c>
      <c r="Q208" s="20">
        <f>MIN('3.1 Market'!$G199,'1.1 Control Panel'!Q401*'1.1 Control Panel'!Q$383)</f>
        <v>4.9312805232640002</v>
      </c>
      <c r="R208" s="20">
        <f>MIN('3.1 Market'!$G199,'1.1 Control Panel'!R401*'1.1 Control Panel'!R$383)</f>
        <v>4.9450244186112009</v>
      </c>
      <c r="S208" s="20">
        <f>MIN('3.1 Market'!$G199,'1.1 Control Panel'!S401*'1.1 Control Panel'!S$383)</f>
        <v>4.9560195348889611</v>
      </c>
      <c r="T208" s="20">
        <f>MIN('3.1 Market'!$G199,'1.1 Control Panel'!T401*'1.1 Control Panel'!T$383)</f>
        <v>4.964815627911169</v>
      </c>
      <c r="U208" s="20">
        <f>MIN('3.1 Market'!$G199,'1.1 Control Panel'!U401*'1.1 Control Panel'!U$383)</f>
        <v>9.9437050046578719</v>
      </c>
      <c r="V208" s="20">
        <f>MIN('3.1 Market'!$G199,'1.1 Control Panel'!V401*'1.1 Control Panel'!V$383)</f>
        <v>9.9549640037262979</v>
      </c>
      <c r="W208" s="20">
        <f>MIN('3.1 Market'!$G199,'1.1 Control Panel'!W401*'1.1 Control Panel'!W$383)</f>
        <v>9.963971202981039</v>
      </c>
      <c r="X208" s="20">
        <f>MIN('3.1 Market'!$G199,'1.1 Control Panel'!X401*'1.1 Control Panel'!X$383)</f>
        <v>9.9711769623848312</v>
      </c>
      <c r="Y208" s="20">
        <f>MIN('3.1 Market'!$G199,'1.1 Control Panel'!Y401*'1.1 Control Panel'!Y$383)</f>
        <v>9.976941569907865</v>
      </c>
      <c r="Z208" s="20">
        <f>MIN('3.1 Market'!$G199,'1.1 Control Panel'!Z401*'1.1 Control Panel'!Z$383)</f>
        <v>9.9815532559262934</v>
      </c>
      <c r="AA208" s="20">
        <f>MIN('3.1 Market'!$G199,'1.1 Control Panel'!AA401*'1.1 Control Panel'!AA$383)</f>
        <v>9.9852426047410354</v>
      </c>
      <c r="AB208" s="20">
        <f>MIN('3.1 Market'!$G199,'1.1 Control Panel'!AB401*'1.1 Control Panel'!AB$383)</f>
        <v>9.9881940837928287</v>
      </c>
      <c r="AC208" s="20">
        <f>MIN('3.1 Market'!$H199,'1.1 Control Panel'!AC401*'1.1 Control Panel'!AC$383)</f>
        <v>14.985832900551395</v>
      </c>
      <c r="AD208" s="20">
        <f>MIN('3.1 Market'!$H199,'1.1 Control Panel'!AD401*'1.1 Control Panel'!AD$383)</f>
        <v>14.988666320441117</v>
      </c>
      <c r="AE208" s="20">
        <f>MIN('3.1 Market'!$H199,'1.1 Control Panel'!AE401*'1.1 Control Panel'!AE$383)</f>
        <v>14.990933056352894</v>
      </c>
      <c r="AF208" s="20">
        <f>MIN('3.1 Market'!$H199,'1.1 Control Panel'!AF401*'1.1 Control Panel'!AF$383)</f>
        <v>14.992746445082316</v>
      </c>
      <c r="AG208" s="20">
        <f>MIN('3.1 Market'!$H199,'1.1 Control Panel'!AG401*'1.1 Control Panel'!AG$383)</f>
        <v>19.992262874754474</v>
      </c>
      <c r="AH208" s="20">
        <f>MIN('3.1 Market'!$H199,'1.1 Control Panel'!AH401*'1.1 Control Panel'!AH$383)</f>
        <v>19.993810299803577</v>
      </c>
      <c r="AI208" s="20">
        <f>MIN('3.1 Market'!$H199,'1.1 Control Panel'!AI401*'1.1 Control Panel'!AI$383)</f>
        <v>19.995048239842863</v>
      </c>
      <c r="AJ208" s="20">
        <f>MIN('3.1 Market'!$H199,'1.1 Control Panel'!AJ401*'1.1 Control Panel'!AJ$383)</f>
        <v>19.996038591874289</v>
      </c>
      <c r="AK208" s="20">
        <f>MIN('3.1 Market'!$H199,'1.1 Control Panel'!AK401*'1.1 Control Panel'!AK$383)</f>
        <v>24.996038591874292</v>
      </c>
      <c r="AL208" s="20">
        <f>MIN('3.1 Market'!$H199,'1.1 Control Panel'!AL401*'1.1 Control Panel'!AL$383)</f>
        <v>24.996830873499434</v>
      </c>
      <c r="AM208" s="20">
        <f>MIN('3.1 Market'!$H199,'1.1 Control Panel'!AM401*'1.1 Control Panel'!AM$383)</f>
        <v>24.997464698799547</v>
      </c>
      <c r="AN208" s="20">
        <f>MIN('3.1 Market'!$H199,'1.1 Control Panel'!AN401*'1.1 Control Panel'!AN$383)</f>
        <v>24.997971759039636</v>
      </c>
      <c r="AP208" s="20"/>
    </row>
    <row r="209" spans="2:42" x14ac:dyDescent="0.25">
      <c r="C209" s="20" t="s">
        <v>454</v>
      </c>
      <c r="D209" s="34" t="s">
        <v>162</v>
      </c>
      <c r="E209" s="20">
        <f>MIN('3.1 Market'!$F200,'1.1 Control Panel'!E402*'1.1 Control Panel'!E$383)</f>
        <v>0</v>
      </c>
      <c r="F209" s="20">
        <f>MIN('3.1 Market'!$F200,'1.1 Control Panel'!F402*'1.1 Control Panel'!F$383)</f>
        <v>0</v>
      </c>
      <c r="G209" s="20">
        <f>MIN('3.1 Market'!$F200,'1.1 Control Panel'!G402*'1.1 Control Panel'!G$383)</f>
        <v>0</v>
      </c>
      <c r="H209" s="20">
        <f>MIN('3.1 Market'!$F200,'1.1 Control Panel'!H402*'1.1 Control Panel'!H$383)</f>
        <v>0</v>
      </c>
      <c r="I209" s="20">
        <f>MIN('3.1 Market'!$F200,'1.1 Control Panel'!I402*'1.1 Control Panel'!I$383)</f>
        <v>0</v>
      </c>
      <c r="J209" s="20">
        <f>MIN('3.1 Market'!$F200,'1.1 Control Panel'!J402*'1.1 Control Panel'!J$383)</f>
        <v>0</v>
      </c>
      <c r="K209" s="20">
        <f>MIN('3.1 Market'!$F200,'1.1 Control Panel'!K402*'1.1 Control Panel'!K$383)</f>
        <v>0</v>
      </c>
      <c r="L209" s="20">
        <f>MIN('3.1 Market'!$F200,'1.1 Control Panel'!L402*'1.1 Control Panel'!L$383)</f>
        <v>0</v>
      </c>
      <c r="M209" s="20">
        <f>MIN('3.1 Market'!$F200,'1.1 Control Panel'!M402*'1.1 Control Panel'!M$383)</f>
        <v>0</v>
      </c>
      <c r="N209" s="20">
        <f>MIN('3.1 Market'!$F200,'1.1 Control Panel'!N402*'1.1 Control Panel'!N$383)</f>
        <v>0</v>
      </c>
      <c r="O209" s="20">
        <f>MIN('3.1 Market'!$F200,'1.1 Control Panel'!O402*'1.1 Control Panel'!O$383)</f>
        <v>0</v>
      </c>
      <c r="P209" s="20">
        <f>MIN('3.1 Market'!$F200,'1.1 Control Panel'!P402*'1.1 Control Panel'!P$383)</f>
        <v>0</v>
      </c>
      <c r="Q209" s="20">
        <f>MIN('3.1 Market'!$G200,'1.1 Control Panel'!Q402*'1.1 Control Panel'!Q$383)</f>
        <v>4.8625610465280014</v>
      </c>
      <c r="R209" s="20">
        <f>MIN('3.1 Market'!$G200,'1.1 Control Panel'!R402*'1.1 Control Panel'!R$383)</f>
        <v>4.8900488372224018</v>
      </c>
      <c r="S209" s="20">
        <f>MIN('3.1 Market'!$G200,'1.1 Control Panel'!S402*'1.1 Control Panel'!S$383)</f>
        <v>4.9120390697779222</v>
      </c>
      <c r="T209" s="20">
        <f>MIN('3.1 Market'!$G200,'1.1 Control Panel'!T402*'1.1 Control Panel'!T$383)</f>
        <v>4.9296312558223381</v>
      </c>
      <c r="U209" s="20">
        <f>MIN('3.1 Market'!$G200,'1.1 Control Panel'!U402*'1.1 Control Panel'!U$383)</f>
        <v>9.8874100093157402</v>
      </c>
      <c r="V209" s="20">
        <f>MIN('3.1 Market'!$G200,'1.1 Control Panel'!V402*'1.1 Control Panel'!V$383)</f>
        <v>9.9099280074525922</v>
      </c>
      <c r="W209" s="20">
        <f>MIN('3.1 Market'!$G200,'1.1 Control Panel'!W402*'1.1 Control Panel'!W$383)</f>
        <v>9.9279424059620744</v>
      </c>
      <c r="X209" s="20">
        <f>MIN('3.1 Market'!$G200,'1.1 Control Panel'!X402*'1.1 Control Panel'!X$383)</f>
        <v>9.9423539247696588</v>
      </c>
      <c r="Y209" s="20">
        <f>MIN('3.1 Market'!$G200,'1.1 Control Panel'!Y402*'1.1 Control Panel'!Y$383)</f>
        <v>9.9538831398157264</v>
      </c>
      <c r="Z209" s="20">
        <f>MIN('3.1 Market'!$G200,'1.1 Control Panel'!Z402*'1.1 Control Panel'!Z$383)</f>
        <v>9.9631065118525814</v>
      </c>
      <c r="AA209" s="20">
        <f>MIN('3.1 Market'!$G200,'1.1 Control Panel'!AA402*'1.1 Control Panel'!AA$383)</f>
        <v>9.9704852094820655</v>
      </c>
      <c r="AB209" s="20">
        <f>MIN('3.1 Market'!$G200,'1.1 Control Panel'!AB402*'1.1 Control Panel'!AB$383)</f>
        <v>9.9763881675856538</v>
      </c>
      <c r="AC209" s="20">
        <f>MIN('3.1 Market'!$H200,'1.1 Control Panel'!AC402*'1.1 Control Panel'!AC$383)</f>
        <v>14.971665801102786</v>
      </c>
      <c r="AD209" s="20">
        <f>MIN('3.1 Market'!$H200,'1.1 Control Panel'!AD402*'1.1 Control Panel'!AD$383)</f>
        <v>14.97733264088223</v>
      </c>
      <c r="AE209" s="20">
        <f>MIN('3.1 Market'!$H200,'1.1 Control Panel'!AE402*'1.1 Control Panel'!AE$383)</f>
        <v>14.981866112705783</v>
      </c>
      <c r="AF209" s="20">
        <f>MIN('3.1 Market'!$H200,'1.1 Control Panel'!AF402*'1.1 Control Panel'!AF$383)</f>
        <v>14.985492890164627</v>
      </c>
      <c r="AG209" s="20">
        <f>MIN('3.1 Market'!$H200,'1.1 Control Panel'!AG402*'1.1 Control Panel'!AG$383)</f>
        <v>19.984525749508936</v>
      </c>
      <c r="AH209" s="20">
        <f>MIN('3.1 Market'!$H200,'1.1 Control Panel'!AH402*'1.1 Control Panel'!AH$383)</f>
        <v>19.987620599607148</v>
      </c>
      <c r="AI209" s="20">
        <f>MIN('3.1 Market'!$H200,'1.1 Control Panel'!AI402*'1.1 Control Panel'!AI$383)</f>
        <v>19.990096479685718</v>
      </c>
      <c r="AJ209" s="20">
        <f>MIN('3.1 Market'!$H200,'1.1 Control Panel'!AJ402*'1.1 Control Panel'!AJ$383)</f>
        <v>19.992077183748577</v>
      </c>
      <c r="AK209" s="20">
        <f>MIN('3.1 Market'!$H200,'1.1 Control Panel'!AK402*'1.1 Control Panel'!AK$383)</f>
        <v>24.992077183748577</v>
      </c>
      <c r="AL209" s="20">
        <f>MIN('3.1 Market'!$H200,'1.1 Control Panel'!AL402*'1.1 Control Panel'!AL$383)</f>
        <v>24.99366174699886</v>
      </c>
      <c r="AM209" s="20">
        <f>MIN('3.1 Market'!$H200,'1.1 Control Panel'!AM402*'1.1 Control Panel'!AM$383)</f>
        <v>24.99492939759909</v>
      </c>
      <c r="AN209" s="20">
        <f>MIN('3.1 Market'!$H200,'1.1 Control Panel'!AN402*'1.1 Control Panel'!AN$383)</f>
        <v>24.995943518079272</v>
      </c>
      <c r="AP209" s="20"/>
    </row>
    <row r="210" spans="2:42" x14ac:dyDescent="0.25">
      <c r="C210" s="21" t="s">
        <v>455</v>
      </c>
      <c r="D210" s="38" t="s">
        <v>162</v>
      </c>
      <c r="E210" s="21">
        <f>MIN('3.1 Market'!$F201,'1.1 Control Panel'!E403*'1.1 Control Panel'!E$383)</f>
        <v>0</v>
      </c>
      <c r="F210" s="21">
        <f>MIN('3.1 Market'!$F201,'1.1 Control Panel'!F403*'1.1 Control Panel'!F$383)</f>
        <v>0</v>
      </c>
      <c r="G210" s="21">
        <f>MIN('3.1 Market'!$F201,'1.1 Control Panel'!G403*'1.1 Control Panel'!G$383)</f>
        <v>0</v>
      </c>
      <c r="H210" s="21">
        <f>MIN('3.1 Market'!$F201,'1.1 Control Panel'!H403*'1.1 Control Panel'!H$383)</f>
        <v>0</v>
      </c>
      <c r="I210" s="21">
        <f>MIN('3.1 Market'!$F201,'1.1 Control Panel'!I403*'1.1 Control Panel'!I$383)</f>
        <v>0</v>
      </c>
      <c r="J210" s="21">
        <f>MIN('3.1 Market'!$F201,'1.1 Control Panel'!J403*'1.1 Control Panel'!J$383)</f>
        <v>0</v>
      </c>
      <c r="K210" s="21">
        <f>MIN('3.1 Market'!$F201,'1.1 Control Panel'!K403*'1.1 Control Panel'!K$383)</f>
        <v>0</v>
      </c>
      <c r="L210" s="21">
        <f>MIN('3.1 Market'!$F201,'1.1 Control Panel'!L403*'1.1 Control Panel'!L$383)</f>
        <v>0</v>
      </c>
      <c r="M210" s="21">
        <f>MIN('3.1 Market'!$F201,'1.1 Control Panel'!M403*'1.1 Control Panel'!M$383)</f>
        <v>0</v>
      </c>
      <c r="N210" s="21">
        <f>MIN('3.1 Market'!$F201,'1.1 Control Panel'!N403*'1.1 Control Panel'!N$383)</f>
        <v>0</v>
      </c>
      <c r="O210" s="21">
        <f>MIN('3.1 Market'!$F201,'1.1 Control Panel'!O403*'1.1 Control Panel'!O$383)</f>
        <v>0</v>
      </c>
      <c r="P210" s="21">
        <f>MIN('3.1 Market'!$F201,'1.1 Control Panel'!P403*'1.1 Control Panel'!P$383)</f>
        <v>0</v>
      </c>
      <c r="Q210" s="21">
        <f>MIN('3.1 Market'!$G201,'1.1 Control Panel'!Q403*'1.1 Control Panel'!Q$383)</f>
        <v>4.7938415697920007</v>
      </c>
      <c r="R210" s="21">
        <f>MIN('3.1 Market'!$G201,'1.1 Control Panel'!R403*'1.1 Control Panel'!R$383)</f>
        <v>4.8350732558336009</v>
      </c>
      <c r="S210" s="21">
        <f>MIN('3.1 Market'!$G201,'1.1 Control Panel'!S403*'1.1 Control Panel'!S$383)</f>
        <v>4.8680586046668815</v>
      </c>
      <c r="T210" s="21">
        <f>MIN('3.1 Market'!$G201,'1.1 Control Panel'!T403*'1.1 Control Panel'!T$383)</f>
        <v>4.8944468837335053</v>
      </c>
      <c r="U210" s="21">
        <f>MIN('3.1 Market'!$G201,'1.1 Control Panel'!U403*'1.1 Control Panel'!U$383)</f>
        <v>9.8311150139736085</v>
      </c>
      <c r="V210" s="21">
        <f>MIN('3.1 Market'!$G201,'1.1 Control Panel'!V403*'1.1 Control Panel'!V$383)</f>
        <v>9.8648920111788883</v>
      </c>
      <c r="W210" s="21">
        <f>MIN('3.1 Market'!$G201,'1.1 Control Panel'!W403*'1.1 Control Panel'!W$383)</f>
        <v>9.8919136089431099</v>
      </c>
      <c r="X210" s="21">
        <f>MIN('3.1 Market'!$G201,'1.1 Control Panel'!X403*'1.1 Control Panel'!X$383)</f>
        <v>9.9135308871544883</v>
      </c>
      <c r="Y210" s="21">
        <f>MIN('3.1 Market'!$G201,'1.1 Control Panel'!Y403*'1.1 Control Panel'!Y$383)</f>
        <v>9.9308247097235913</v>
      </c>
      <c r="Z210" s="21">
        <f>MIN('3.1 Market'!$G201,'1.1 Control Panel'!Z403*'1.1 Control Panel'!Z$383)</f>
        <v>9.9446597677788731</v>
      </c>
      <c r="AA210" s="21">
        <f>MIN('3.1 Market'!$G201,'1.1 Control Panel'!AA403*'1.1 Control Panel'!AA$383)</f>
        <v>9.9557278142230992</v>
      </c>
      <c r="AB210" s="21">
        <f>MIN('3.1 Market'!$G201,'1.1 Control Panel'!AB403*'1.1 Control Panel'!AB$383)</f>
        <v>9.9645822513784807</v>
      </c>
      <c r="AC210" s="21">
        <f>MIN('3.1 Market'!$H201,'1.1 Control Panel'!AC403*'1.1 Control Panel'!AC$383)</f>
        <v>14.957498701654176</v>
      </c>
      <c r="AD210" s="20">
        <f>MIN('3.1 Market'!$H201,'1.1 Control Panel'!AD403*'1.1 Control Panel'!AD$383)</f>
        <v>14.965998961323342</v>
      </c>
      <c r="AE210" s="20">
        <f>MIN('3.1 Market'!$H201,'1.1 Control Panel'!AE403*'1.1 Control Panel'!AE$383)</f>
        <v>14.972799169058675</v>
      </c>
      <c r="AF210" s="20">
        <f>MIN('3.1 Market'!$H201,'1.1 Control Panel'!AF403*'1.1 Control Panel'!AF$383)</f>
        <v>14.978239335246938</v>
      </c>
      <c r="AG210" s="20">
        <f>MIN('3.1 Market'!$H201,'1.1 Control Panel'!AG403*'1.1 Control Panel'!AG$383)</f>
        <v>19.976788624263399</v>
      </c>
      <c r="AH210" s="20">
        <f>MIN('3.1 Market'!$H201,'1.1 Control Panel'!AH403*'1.1 Control Panel'!AH$383)</f>
        <v>19.981430899410718</v>
      </c>
      <c r="AI210" s="20">
        <f>MIN('3.1 Market'!$H201,'1.1 Control Panel'!AI403*'1.1 Control Panel'!AI$383)</f>
        <v>19.985144719528577</v>
      </c>
      <c r="AJ210" s="20">
        <f>MIN('3.1 Market'!$H201,'1.1 Control Panel'!AJ403*'1.1 Control Panel'!AJ$383)</f>
        <v>19.988115775622862</v>
      </c>
      <c r="AK210" s="20">
        <f>MIN('3.1 Market'!$H201,'1.1 Control Panel'!AK403*'1.1 Control Panel'!AK$383)</f>
        <v>24.988115775622862</v>
      </c>
      <c r="AL210" s="20">
        <f>MIN('3.1 Market'!$H201,'1.1 Control Panel'!AL403*'1.1 Control Panel'!AL$383)</f>
        <v>24.990492620498294</v>
      </c>
      <c r="AM210" s="20">
        <f>MIN('3.1 Market'!$H201,'1.1 Control Panel'!AM403*'1.1 Control Panel'!AM$383)</f>
        <v>24.992394096398634</v>
      </c>
      <c r="AN210" s="20">
        <f>MIN('3.1 Market'!$H201,'1.1 Control Panel'!AN403*'1.1 Control Panel'!AN$383)</f>
        <v>24.993915277118912</v>
      </c>
      <c r="AP210" s="21"/>
    </row>
    <row r="211" spans="2:42" x14ac:dyDescent="0.25">
      <c r="C211" s="21" t="s">
        <v>393</v>
      </c>
      <c r="D211" s="38" t="s">
        <v>162</v>
      </c>
      <c r="E211" s="21">
        <f>MIN('3.1 Market'!$F202,'1.1 Control Panel'!E404*'1.1 Control Panel'!E$383)</f>
        <v>0</v>
      </c>
      <c r="F211" s="21">
        <f>MIN('3.1 Market'!$F202,'1.1 Control Panel'!F404*'1.1 Control Panel'!F$383)</f>
        <v>0</v>
      </c>
      <c r="G211" s="21">
        <f>MIN('3.1 Market'!$F202,'1.1 Control Panel'!G404*'1.1 Control Panel'!G$383)</f>
        <v>0</v>
      </c>
      <c r="H211" s="21">
        <f>MIN('3.1 Market'!$F202,'1.1 Control Panel'!H404*'1.1 Control Panel'!H$383)</f>
        <v>0</v>
      </c>
      <c r="I211" s="21">
        <f>MIN('3.1 Market'!$F202,'1.1 Control Panel'!I404*'1.1 Control Panel'!I$383)</f>
        <v>0</v>
      </c>
      <c r="J211" s="21">
        <f>MIN('3.1 Market'!$F202,'1.1 Control Panel'!J404*'1.1 Control Panel'!J$383)</f>
        <v>0</v>
      </c>
      <c r="K211" s="21">
        <f>MIN('3.1 Market'!$F202,'1.1 Control Panel'!K404*'1.1 Control Panel'!K$383)</f>
        <v>0</v>
      </c>
      <c r="L211" s="21">
        <f>MIN('3.1 Market'!$F202,'1.1 Control Panel'!L404*'1.1 Control Panel'!L$383)</f>
        <v>0</v>
      </c>
      <c r="M211" s="21">
        <f>MIN('3.1 Market'!$F202,'1.1 Control Panel'!M404*'1.1 Control Panel'!M$383)</f>
        <v>0</v>
      </c>
      <c r="N211" s="21">
        <f>MIN('3.1 Market'!$F202,'1.1 Control Panel'!N404*'1.1 Control Panel'!N$383)</f>
        <v>0</v>
      </c>
      <c r="O211" s="21">
        <f>MIN('3.1 Market'!$F202,'1.1 Control Panel'!O404*'1.1 Control Panel'!O$383)</f>
        <v>0</v>
      </c>
      <c r="P211" s="21">
        <f>MIN('3.1 Market'!$F202,'1.1 Control Panel'!P404*'1.1 Control Panel'!P$383)</f>
        <v>0</v>
      </c>
      <c r="Q211" s="21">
        <f>MIN('3.1 Market'!$G202,'1.1 Control Panel'!Q404*'1.1 Control Panel'!Q$383)</f>
        <v>4.7251220930560009</v>
      </c>
      <c r="R211" s="21">
        <f>MIN('3.1 Market'!$G202,'1.1 Control Panel'!R404*'1.1 Control Panel'!R$383)</f>
        <v>4.7800976744448009</v>
      </c>
      <c r="S211" s="21">
        <f>MIN('3.1 Market'!$G202,'1.1 Control Panel'!S404*'1.1 Control Panel'!S$383)</f>
        <v>4.8240781395558407</v>
      </c>
      <c r="T211" s="21">
        <f>MIN('3.1 Market'!$G202,'1.1 Control Panel'!T404*'1.1 Control Panel'!T$383)</f>
        <v>4.8592625116446726</v>
      </c>
      <c r="U211" s="21">
        <f>MIN('3.1 Market'!$G202,'1.1 Control Panel'!U404*'1.1 Control Panel'!U$383)</f>
        <v>9.7748200186314769</v>
      </c>
      <c r="V211" s="21">
        <f>MIN('3.1 Market'!$G202,'1.1 Control Panel'!V404*'1.1 Control Panel'!V$383)</f>
        <v>9.8198560149051808</v>
      </c>
      <c r="W211" s="21">
        <f>MIN('3.1 Market'!$G202,'1.1 Control Panel'!W404*'1.1 Control Panel'!W$383)</f>
        <v>9.8558848119241453</v>
      </c>
      <c r="X211" s="21">
        <f>MIN('3.1 Market'!$G202,'1.1 Control Panel'!X404*'1.1 Control Panel'!X$383)</f>
        <v>9.8847078495393177</v>
      </c>
      <c r="Y211" s="21">
        <f>MIN('3.1 Market'!$G202,'1.1 Control Panel'!Y404*'1.1 Control Panel'!Y$383)</f>
        <v>9.9077662796314545</v>
      </c>
      <c r="Z211" s="21">
        <f>MIN('3.1 Market'!$G202,'1.1 Control Panel'!Z404*'1.1 Control Panel'!Z$383)</f>
        <v>9.9262130237051629</v>
      </c>
      <c r="AA211" s="21">
        <f>MIN('3.1 Market'!$G202,'1.1 Control Panel'!AA404*'1.1 Control Panel'!AA$383)</f>
        <v>9.940970418964131</v>
      </c>
      <c r="AB211" s="21">
        <f>MIN('3.1 Market'!$G202,'1.1 Control Panel'!AB404*'1.1 Control Panel'!AB$383)</f>
        <v>9.9527763351713041</v>
      </c>
      <c r="AC211" s="21">
        <f>MIN('3.1 Market'!$H202,'1.1 Control Panel'!AC404*'1.1 Control Panel'!AC$383)</f>
        <v>14.943331602205566</v>
      </c>
      <c r="AD211" s="20">
        <f>MIN('3.1 Market'!$H202,'1.1 Control Panel'!AD404*'1.1 Control Panel'!AD$383)</f>
        <v>14.954665281764454</v>
      </c>
      <c r="AE211" s="20">
        <f>MIN('3.1 Market'!$H202,'1.1 Control Panel'!AE404*'1.1 Control Panel'!AE$383)</f>
        <v>14.963732225411565</v>
      </c>
      <c r="AF211" s="20">
        <f>MIN('3.1 Market'!$H202,'1.1 Control Panel'!AF404*'1.1 Control Panel'!AF$383)</f>
        <v>14.970985780329254</v>
      </c>
      <c r="AG211" s="20">
        <f>MIN('3.1 Market'!$H202,'1.1 Control Panel'!AG404*'1.1 Control Panel'!AG$383)</f>
        <v>19.969051499017873</v>
      </c>
      <c r="AH211" s="20">
        <f>MIN('3.1 Market'!$H202,'1.1 Control Panel'!AH404*'1.1 Control Panel'!AH$383)</f>
        <v>19.975241199214299</v>
      </c>
      <c r="AI211" s="20">
        <f>MIN('3.1 Market'!$H202,'1.1 Control Panel'!AI404*'1.1 Control Panel'!AI$383)</f>
        <v>19.98019295937144</v>
      </c>
      <c r="AJ211" s="20">
        <f>MIN('3.1 Market'!$H202,'1.1 Control Panel'!AJ404*'1.1 Control Panel'!AJ$383)</f>
        <v>19.984154367497155</v>
      </c>
      <c r="AK211" s="20">
        <f>MIN('3.1 Market'!$H202,'1.1 Control Panel'!AK404*'1.1 Control Panel'!AK$383)</f>
        <v>24.984154367497155</v>
      </c>
      <c r="AL211" s="20">
        <f>MIN('3.1 Market'!$H202,'1.1 Control Panel'!AL404*'1.1 Control Panel'!AL$383)</f>
        <v>24.987323493997728</v>
      </c>
      <c r="AM211" s="20">
        <f>MIN('3.1 Market'!$H202,'1.1 Control Panel'!AM404*'1.1 Control Panel'!AM$383)</f>
        <v>24.989858795198181</v>
      </c>
      <c r="AN211" s="20">
        <f>MIN('3.1 Market'!$H202,'1.1 Control Panel'!AN404*'1.1 Control Panel'!AN$383)</f>
        <v>24.991887036158545</v>
      </c>
      <c r="AP211" s="21"/>
    </row>
    <row r="212" spans="2:42" x14ac:dyDescent="0.25">
      <c r="C212" s="21" t="s">
        <v>456</v>
      </c>
      <c r="D212" s="38" t="s">
        <v>162</v>
      </c>
      <c r="E212" s="21">
        <f>MIN('3.1 Market'!$F203,'1.1 Control Panel'!E405*'1.1 Control Panel'!E$383)</f>
        <v>0</v>
      </c>
      <c r="F212" s="21">
        <f>MIN('3.1 Market'!$F203,'1.1 Control Panel'!F405*'1.1 Control Panel'!F$383)</f>
        <v>0</v>
      </c>
      <c r="G212" s="21">
        <f>MIN('3.1 Market'!$F203,'1.1 Control Panel'!G405*'1.1 Control Panel'!G$383)</f>
        <v>0</v>
      </c>
      <c r="H212" s="21">
        <f>MIN('3.1 Market'!$F203,'1.1 Control Panel'!H405*'1.1 Control Panel'!H$383)</f>
        <v>0</v>
      </c>
      <c r="I212" s="21">
        <f>MIN('3.1 Market'!$F203,'1.1 Control Panel'!I405*'1.1 Control Panel'!I$383)</f>
        <v>0</v>
      </c>
      <c r="J212" s="21">
        <f>MIN('3.1 Market'!$F203,'1.1 Control Panel'!J405*'1.1 Control Panel'!J$383)</f>
        <v>0</v>
      </c>
      <c r="K212" s="21">
        <f>MIN('3.1 Market'!$F203,'1.1 Control Panel'!K405*'1.1 Control Panel'!K$383)</f>
        <v>0</v>
      </c>
      <c r="L212" s="21">
        <f>MIN('3.1 Market'!$F203,'1.1 Control Panel'!L405*'1.1 Control Panel'!L$383)</f>
        <v>0</v>
      </c>
      <c r="M212" s="21">
        <f>MIN('3.1 Market'!$F203,'1.1 Control Panel'!M405*'1.1 Control Panel'!M$383)</f>
        <v>0</v>
      </c>
      <c r="N212" s="21">
        <f>MIN('3.1 Market'!$F203,'1.1 Control Panel'!N405*'1.1 Control Panel'!N$383)</f>
        <v>0</v>
      </c>
      <c r="O212" s="21">
        <f>MIN('3.1 Market'!$F203,'1.1 Control Panel'!O405*'1.1 Control Panel'!O$383)</f>
        <v>0</v>
      </c>
      <c r="P212" s="21">
        <f>MIN('3.1 Market'!$F203,'1.1 Control Panel'!P405*'1.1 Control Panel'!P$383)</f>
        <v>0</v>
      </c>
      <c r="Q212" s="21">
        <f>MIN('3.1 Market'!$G203,'1.1 Control Panel'!Q405*'1.1 Control Panel'!Q$383)</f>
        <v>4.6564026163200012</v>
      </c>
      <c r="R212" s="21">
        <f>MIN('3.1 Market'!$G203,'1.1 Control Panel'!R405*'1.1 Control Panel'!R$383)</f>
        <v>4.7251220930560009</v>
      </c>
      <c r="S212" s="21">
        <f>MIN('3.1 Market'!$G203,'1.1 Control Panel'!S405*'1.1 Control Panel'!S$383)</f>
        <v>4.7800976744448009</v>
      </c>
      <c r="T212" s="21">
        <f>MIN('3.1 Market'!$G203,'1.1 Control Panel'!T405*'1.1 Control Panel'!T$383)</f>
        <v>4.8240781395558407</v>
      </c>
      <c r="U212" s="21">
        <f>MIN('3.1 Market'!$G203,'1.1 Control Panel'!U405*'1.1 Control Panel'!U$383)</f>
        <v>9.7185250232893452</v>
      </c>
      <c r="V212" s="21">
        <f>MIN('3.1 Market'!$G203,'1.1 Control Panel'!V405*'1.1 Control Panel'!V$383)</f>
        <v>9.7748200186314769</v>
      </c>
      <c r="W212" s="21">
        <f>MIN('3.1 Market'!$G203,'1.1 Control Panel'!W405*'1.1 Control Panel'!W$383)</f>
        <v>9.8198560149051808</v>
      </c>
      <c r="X212" s="21">
        <f>MIN('3.1 Market'!$G203,'1.1 Control Panel'!X405*'1.1 Control Panel'!X$383)</f>
        <v>9.8558848119241453</v>
      </c>
      <c r="Y212" s="21">
        <f>MIN('3.1 Market'!$G203,'1.1 Control Panel'!Y405*'1.1 Control Panel'!Y$383)</f>
        <v>9.8847078495393177</v>
      </c>
      <c r="Z212" s="21">
        <f>MIN('3.1 Market'!$G203,'1.1 Control Panel'!Z405*'1.1 Control Panel'!Z$383)</f>
        <v>9.9077662796314545</v>
      </c>
      <c r="AA212" s="21">
        <f>MIN('3.1 Market'!$G203,'1.1 Control Panel'!AA405*'1.1 Control Panel'!AA$383)</f>
        <v>9.9262130237051629</v>
      </c>
      <c r="AB212" s="21">
        <f>MIN('3.1 Market'!$G203,'1.1 Control Panel'!AB405*'1.1 Control Panel'!AB$383)</f>
        <v>9.940970418964131</v>
      </c>
      <c r="AC212" s="21">
        <f>MIN('3.1 Market'!$H203,'1.1 Control Panel'!AC405*'1.1 Control Panel'!AC$383)</f>
        <v>14.929164502756956</v>
      </c>
      <c r="AD212" s="20">
        <f>MIN('3.1 Market'!$H203,'1.1 Control Panel'!AD405*'1.1 Control Panel'!AD$383)</f>
        <v>14.943331602205566</v>
      </c>
      <c r="AE212" s="20">
        <f>MIN('3.1 Market'!$H203,'1.1 Control Panel'!AE405*'1.1 Control Panel'!AE$383)</f>
        <v>14.954665281764454</v>
      </c>
      <c r="AF212" s="20">
        <f>MIN('3.1 Market'!$H203,'1.1 Control Panel'!AF405*'1.1 Control Panel'!AF$383)</f>
        <v>14.963732225411565</v>
      </c>
      <c r="AG212" s="20">
        <f>MIN('3.1 Market'!$H203,'1.1 Control Panel'!AG405*'1.1 Control Panel'!AG$383)</f>
        <v>19.961314373772339</v>
      </c>
      <c r="AH212" s="20">
        <f>MIN('3.1 Market'!$H203,'1.1 Control Panel'!AH405*'1.1 Control Panel'!AH$383)</f>
        <v>19.969051499017873</v>
      </c>
      <c r="AI212" s="20">
        <f>MIN('3.1 Market'!$H203,'1.1 Control Panel'!AI405*'1.1 Control Panel'!AI$383)</f>
        <v>19.975241199214299</v>
      </c>
      <c r="AJ212" s="20">
        <f>MIN('3.1 Market'!$H203,'1.1 Control Panel'!AJ405*'1.1 Control Panel'!AJ$383)</f>
        <v>19.98019295937144</v>
      </c>
      <c r="AK212" s="20">
        <f>MIN('3.1 Market'!$H203,'1.1 Control Panel'!AK405*'1.1 Control Panel'!AK$383)</f>
        <v>24.980192959371443</v>
      </c>
      <c r="AL212" s="20">
        <f>MIN('3.1 Market'!$H203,'1.1 Control Panel'!AL405*'1.1 Control Panel'!AL$383)</f>
        <v>24.984154367497155</v>
      </c>
      <c r="AM212" s="20">
        <f>MIN('3.1 Market'!$H203,'1.1 Control Panel'!AM405*'1.1 Control Panel'!AM$383)</f>
        <v>24.987323493997728</v>
      </c>
      <c r="AN212" s="20">
        <f>MIN('3.1 Market'!$H203,'1.1 Control Panel'!AN405*'1.1 Control Panel'!AN$383)</f>
        <v>24.989858795198181</v>
      </c>
      <c r="AP212" s="21"/>
    </row>
    <row r="213" spans="2:42" x14ac:dyDescent="0.25">
      <c r="B213" s="99" t="s">
        <v>9</v>
      </c>
      <c r="C213" s="105" t="str">
        <f>'4.2 Sector Mapping'!$B$8</f>
        <v>Financial Services</v>
      </c>
      <c r="D213" s="106" t="s">
        <v>162</v>
      </c>
      <c r="E213" s="105">
        <f>SUM(E214:E219)</f>
        <v>15</v>
      </c>
      <c r="F213" s="105">
        <f t="shared" ref="F213:H213" si="125">SUM(F214:F219)</f>
        <v>18</v>
      </c>
      <c r="G213" s="105">
        <f t="shared" si="125"/>
        <v>20.400000000000002</v>
      </c>
      <c r="H213" s="105">
        <f t="shared" si="125"/>
        <v>22.320000000000004</v>
      </c>
      <c r="I213" s="105">
        <f t="shared" ref="I213:AN213" si="126">SUM(I214:I219)</f>
        <v>23.856000000000002</v>
      </c>
      <c r="J213" s="105">
        <f t="shared" si="126"/>
        <v>50.169600000000003</v>
      </c>
      <c r="K213" s="105">
        <f t="shared" si="126"/>
        <v>52.135680000000008</v>
      </c>
      <c r="L213" s="105">
        <f t="shared" si="126"/>
        <v>53.70854400000001</v>
      </c>
      <c r="M213" s="105">
        <f t="shared" si="126"/>
        <v>54.966835200000006</v>
      </c>
      <c r="N213" s="105">
        <f t="shared" si="126"/>
        <v>55.97346816000001</v>
      </c>
      <c r="O213" s="105">
        <f t="shared" si="126"/>
        <v>56.778774528000014</v>
      </c>
      <c r="P213" s="105">
        <f t="shared" si="126"/>
        <v>57.423019622400012</v>
      </c>
      <c r="Q213" s="105">
        <f t="shared" si="126"/>
        <v>86.907623546880018</v>
      </c>
      <c r="R213" s="105">
        <f t="shared" si="126"/>
        <v>87.526098837504009</v>
      </c>
      <c r="S213" s="105">
        <f t="shared" si="126"/>
        <v>88.020879070003218</v>
      </c>
      <c r="T213" s="105">
        <f t="shared" si="126"/>
        <v>88.416703256002577</v>
      </c>
      <c r="U213" s="105">
        <f t="shared" si="126"/>
        <v>118.31115013973607</v>
      </c>
      <c r="V213" s="105">
        <f t="shared" si="126"/>
        <v>118.64892011178887</v>
      </c>
      <c r="W213" s="105">
        <f t="shared" si="126"/>
        <v>118.91913608943111</v>
      </c>
      <c r="X213" s="105">
        <f t="shared" si="126"/>
        <v>119.13530887154488</v>
      </c>
      <c r="Y213" s="105">
        <f t="shared" si="126"/>
        <v>119.30824709723591</v>
      </c>
      <c r="Z213" s="105">
        <f t="shared" si="126"/>
        <v>119.44659767778872</v>
      </c>
      <c r="AA213" s="105">
        <f t="shared" si="126"/>
        <v>119.55727814223098</v>
      </c>
      <c r="AB213" s="105">
        <f t="shared" si="126"/>
        <v>119.64582251378479</v>
      </c>
      <c r="AC213" s="105">
        <f t="shared" si="126"/>
        <v>239.43331602205569</v>
      </c>
      <c r="AD213" s="105">
        <f t="shared" si="126"/>
        <v>239.54665281764454</v>
      </c>
      <c r="AE213" s="105">
        <f t="shared" si="126"/>
        <v>239.63732225411565</v>
      </c>
      <c r="AF213" s="105">
        <f t="shared" si="126"/>
        <v>239.70985780329255</v>
      </c>
      <c r="AG213" s="105">
        <f t="shared" si="126"/>
        <v>359.65182936395104</v>
      </c>
      <c r="AH213" s="105">
        <f t="shared" si="126"/>
        <v>359.72146349116088</v>
      </c>
      <c r="AI213" s="105">
        <f t="shared" si="126"/>
        <v>359.7771707929287</v>
      </c>
      <c r="AJ213" s="105">
        <f t="shared" si="126"/>
        <v>359.82173663434298</v>
      </c>
      <c r="AK213" s="105">
        <f t="shared" si="126"/>
        <v>479.80985240996586</v>
      </c>
      <c r="AL213" s="105">
        <f t="shared" si="126"/>
        <v>479.84788192797265</v>
      </c>
      <c r="AM213" s="105">
        <f t="shared" si="126"/>
        <v>479.87830554237814</v>
      </c>
      <c r="AN213" s="105">
        <f t="shared" si="126"/>
        <v>479.90264443390254</v>
      </c>
      <c r="AP213" s="105"/>
    </row>
    <row r="214" spans="2:42" x14ac:dyDescent="0.25">
      <c r="C214" s="20" t="s">
        <v>600</v>
      </c>
      <c r="D214" s="34" t="s">
        <v>162</v>
      </c>
      <c r="E214" s="20">
        <f>MIN('3.1 Market'!$F205,'1.1 Control Panel'!E431*'1.1 Control Panel'!E$414)</f>
        <v>5</v>
      </c>
      <c r="F214" s="20">
        <f>MIN('3.1 Market'!$F205,'1.1 Control Panel'!F431*'1.1 Control Panel'!F$414)</f>
        <v>5</v>
      </c>
      <c r="G214" s="20">
        <f>MIN('3.1 Market'!$F205,'1.1 Control Panel'!G431*'1.1 Control Panel'!G$414)</f>
        <v>5</v>
      </c>
      <c r="H214" s="20">
        <f>MIN('3.1 Market'!$F205,'1.1 Control Panel'!H431*'1.1 Control Panel'!H$414)</f>
        <v>5</v>
      </c>
      <c r="I214" s="20">
        <f>MIN('3.1 Market'!$F205,'1.1 Control Panel'!I431*'1.1 Control Panel'!I$414)</f>
        <v>5</v>
      </c>
      <c r="J214" s="20">
        <f>MIN('3.1 Market'!$F205,'1.1 Control Panel'!J431*'1.1 Control Panel'!J$414)</f>
        <v>10</v>
      </c>
      <c r="K214" s="20">
        <f>MIN('3.1 Market'!$F205,'1.1 Control Panel'!K431*'1.1 Control Panel'!K$414)</f>
        <v>10</v>
      </c>
      <c r="L214" s="20">
        <f>MIN('3.1 Market'!$F205,'1.1 Control Panel'!L431*'1.1 Control Panel'!L$414)</f>
        <v>10</v>
      </c>
      <c r="M214" s="20">
        <f>MIN('3.1 Market'!$F205,'1.1 Control Panel'!M431*'1.1 Control Panel'!M$414)</f>
        <v>10</v>
      </c>
      <c r="N214" s="20">
        <f>MIN('3.1 Market'!$F205,'1.1 Control Panel'!N431*'1.1 Control Panel'!N$414)</f>
        <v>10</v>
      </c>
      <c r="O214" s="20">
        <f>MIN('3.1 Market'!$F205,'1.1 Control Panel'!O431*'1.1 Control Panel'!O$414)</f>
        <v>10</v>
      </c>
      <c r="P214" s="20">
        <f>MIN('3.1 Market'!$F205,'1.1 Control Panel'!P431*'1.1 Control Panel'!P$414)</f>
        <v>10</v>
      </c>
      <c r="Q214" s="20">
        <f>MIN('3.1 Market'!$G205,'1.1 Control Panel'!Q431*'1.1 Control Panel'!Q$414)</f>
        <v>15</v>
      </c>
      <c r="R214" s="20">
        <f>MIN('3.1 Market'!$G205,'1.1 Control Panel'!R431*'1.1 Control Panel'!R$414)</f>
        <v>15</v>
      </c>
      <c r="S214" s="20">
        <f>MIN('3.1 Market'!$G205,'1.1 Control Panel'!S431*'1.1 Control Panel'!S$414)</f>
        <v>15</v>
      </c>
      <c r="T214" s="20">
        <f>MIN('3.1 Market'!$G205,'1.1 Control Panel'!T431*'1.1 Control Panel'!T$414)</f>
        <v>15</v>
      </c>
      <c r="U214" s="20">
        <f>MIN('3.1 Market'!$G205,'1.1 Control Panel'!U431*'1.1 Control Panel'!U$414)</f>
        <v>20</v>
      </c>
      <c r="V214" s="20">
        <f>MIN('3.1 Market'!$G205,'1.1 Control Panel'!V431*'1.1 Control Panel'!V$414)</f>
        <v>20</v>
      </c>
      <c r="W214" s="20">
        <f>MIN('3.1 Market'!$G205,'1.1 Control Panel'!W431*'1.1 Control Panel'!W$414)</f>
        <v>20</v>
      </c>
      <c r="X214" s="20">
        <f>MIN('3.1 Market'!$G205,'1.1 Control Panel'!X431*'1.1 Control Panel'!X$414)</f>
        <v>20</v>
      </c>
      <c r="Y214" s="20">
        <f>MIN('3.1 Market'!$G205,'1.1 Control Panel'!Y431*'1.1 Control Panel'!Y$414)</f>
        <v>20</v>
      </c>
      <c r="Z214" s="20">
        <f>MIN('3.1 Market'!$G205,'1.1 Control Panel'!Z431*'1.1 Control Panel'!Z$414)</f>
        <v>20</v>
      </c>
      <c r="AA214" s="20">
        <f>MIN('3.1 Market'!$G205,'1.1 Control Panel'!AA431*'1.1 Control Panel'!AA$414)</f>
        <v>20</v>
      </c>
      <c r="AB214" s="20">
        <f>MIN('3.1 Market'!$G205,'1.1 Control Panel'!AB431*'1.1 Control Panel'!AB$414)</f>
        <v>20</v>
      </c>
      <c r="AC214" s="20">
        <f>MIN('3.1 Market'!$H205,'1.1 Control Panel'!AC431*'1.1 Control Panel'!AC$414)</f>
        <v>40</v>
      </c>
      <c r="AD214" s="20">
        <f>MIN('3.1 Market'!$H205,'1.1 Control Panel'!AD431*'1.1 Control Panel'!AD$414)</f>
        <v>40</v>
      </c>
      <c r="AE214" s="20">
        <f>MIN('3.1 Market'!$H205,'1.1 Control Panel'!AE431*'1.1 Control Panel'!AE$414)</f>
        <v>40</v>
      </c>
      <c r="AF214" s="20">
        <f>MIN('3.1 Market'!$H205,'1.1 Control Panel'!AF431*'1.1 Control Panel'!AF$414)</f>
        <v>40</v>
      </c>
      <c r="AG214" s="20">
        <f>MIN('3.1 Market'!$H205,'1.1 Control Panel'!AG431*'1.1 Control Panel'!AG$414)</f>
        <v>60</v>
      </c>
      <c r="AH214" s="20">
        <f>MIN('3.1 Market'!$H205,'1.1 Control Panel'!AH431*'1.1 Control Panel'!AH$414)</f>
        <v>60</v>
      </c>
      <c r="AI214" s="20">
        <f>MIN('3.1 Market'!$H205,'1.1 Control Panel'!AI431*'1.1 Control Panel'!AI$414)</f>
        <v>60</v>
      </c>
      <c r="AJ214" s="20">
        <f>MIN('3.1 Market'!$H205,'1.1 Control Panel'!AJ431*'1.1 Control Panel'!AJ$414)</f>
        <v>60</v>
      </c>
      <c r="AK214" s="20">
        <f>MIN('3.1 Market'!$H205,'1.1 Control Panel'!AK431*'1.1 Control Panel'!AK$414)</f>
        <v>80</v>
      </c>
      <c r="AL214" s="20">
        <f>MIN('3.1 Market'!$H205,'1.1 Control Panel'!AL431*'1.1 Control Panel'!AL$414)</f>
        <v>80</v>
      </c>
      <c r="AM214" s="20">
        <f>MIN('3.1 Market'!$H205,'1.1 Control Panel'!AM431*'1.1 Control Panel'!AM$414)</f>
        <v>80</v>
      </c>
      <c r="AN214" s="20">
        <f>MIN('3.1 Market'!$H205,'1.1 Control Panel'!AN431*'1.1 Control Panel'!AN$414)</f>
        <v>80</v>
      </c>
      <c r="AP214" s="20"/>
    </row>
    <row r="215" spans="2:42" x14ac:dyDescent="0.25">
      <c r="C215" s="20" t="s">
        <v>392</v>
      </c>
      <c r="D215" s="34" t="s">
        <v>162</v>
      </c>
      <c r="E215" s="20">
        <f>MIN('3.1 Market'!$F206,'1.1 Control Panel'!E432*'1.1 Control Panel'!E$414)</f>
        <v>4</v>
      </c>
      <c r="F215" s="20">
        <f>MIN('3.1 Market'!$F206,'1.1 Control Panel'!F432*'1.1 Control Panel'!F$414)</f>
        <v>4.2</v>
      </c>
      <c r="G215" s="20">
        <f>MIN('3.1 Market'!$F206,'1.1 Control Panel'!G432*'1.1 Control Panel'!G$414)</f>
        <v>4.3600000000000003</v>
      </c>
      <c r="H215" s="20">
        <f>MIN('3.1 Market'!$F206,'1.1 Control Panel'!H432*'1.1 Control Panel'!H$414)</f>
        <v>4.4880000000000004</v>
      </c>
      <c r="I215" s="20">
        <f>MIN('3.1 Market'!$F206,'1.1 Control Panel'!I432*'1.1 Control Panel'!I$414)</f>
        <v>4.5904000000000007</v>
      </c>
      <c r="J215" s="20">
        <f>MIN('3.1 Market'!$F206,'1.1 Control Panel'!J432*'1.1 Control Panel'!J$414)</f>
        <v>9.3446400000000018</v>
      </c>
      <c r="K215" s="20">
        <f>MIN('3.1 Market'!$F206,'1.1 Control Panel'!K432*'1.1 Control Panel'!K$414)</f>
        <v>9.4757120000000015</v>
      </c>
      <c r="L215" s="20">
        <f>MIN('3.1 Market'!$F206,'1.1 Control Panel'!L432*'1.1 Control Panel'!L$414)</f>
        <v>9.5805696000000005</v>
      </c>
      <c r="M215" s="20">
        <f>MIN('3.1 Market'!$F206,'1.1 Control Panel'!M432*'1.1 Control Panel'!M$414)</f>
        <v>9.6644556799999997</v>
      </c>
      <c r="N215" s="20">
        <f>MIN('3.1 Market'!$F206,'1.1 Control Panel'!N432*'1.1 Control Panel'!N$414)</f>
        <v>9.7315645440000011</v>
      </c>
      <c r="O215" s="20">
        <f>MIN('3.1 Market'!$F206,'1.1 Control Panel'!O432*'1.1 Control Panel'!O$414)</f>
        <v>9.7852516352000016</v>
      </c>
      <c r="P215" s="20">
        <f>MIN('3.1 Market'!$F206,'1.1 Control Panel'!P432*'1.1 Control Panel'!P$414)</f>
        <v>9.8282013081600006</v>
      </c>
      <c r="Q215" s="20">
        <f>MIN('3.1 Market'!$G206,'1.1 Control Panel'!Q432*'1.1 Control Panel'!Q$414)</f>
        <v>14.793841569792001</v>
      </c>
      <c r="R215" s="20">
        <f>MIN('3.1 Market'!$G206,'1.1 Control Panel'!R432*'1.1 Control Panel'!R$414)</f>
        <v>14.835073255833603</v>
      </c>
      <c r="S215" s="20">
        <f>MIN('3.1 Market'!$G206,'1.1 Control Panel'!S432*'1.1 Control Panel'!S$414)</f>
        <v>14.868058604666883</v>
      </c>
      <c r="T215" s="20">
        <f>MIN('3.1 Market'!$G206,'1.1 Control Panel'!T432*'1.1 Control Panel'!T$414)</f>
        <v>14.894446883733508</v>
      </c>
      <c r="U215" s="20">
        <f>MIN('3.1 Market'!$G206,'1.1 Control Panel'!U432*'1.1 Control Panel'!U$414)</f>
        <v>19.887410009315744</v>
      </c>
      <c r="V215" s="20">
        <f>MIN('3.1 Market'!$G206,'1.1 Control Panel'!V432*'1.1 Control Panel'!V$414)</f>
        <v>19.909928007452596</v>
      </c>
      <c r="W215" s="20">
        <f>MIN('3.1 Market'!$G206,'1.1 Control Panel'!W432*'1.1 Control Panel'!W$414)</f>
        <v>19.927942405962078</v>
      </c>
      <c r="X215" s="20">
        <f>MIN('3.1 Market'!$G206,'1.1 Control Panel'!X432*'1.1 Control Panel'!X$414)</f>
        <v>19.942353924769662</v>
      </c>
      <c r="Y215" s="20">
        <f>MIN('3.1 Market'!$G206,'1.1 Control Panel'!Y432*'1.1 Control Panel'!Y$414)</f>
        <v>19.95388313981573</v>
      </c>
      <c r="Z215" s="20">
        <f>MIN('3.1 Market'!$G206,'1.1 Control Panel'!Z432*'1.1 Control Panel'!Z$414)</f>
        <v>19.963106511852587</v>
      </c>
      <c r="AA215" s="20">
        <f>MIN('3.1 Market'!$G206,'1.1 Control Panel'!AA432*'1.1 Control Panel'!AA$414)</f>
        <v>19.970485209482071</v>
      </c>
      <c r="AB215" s="20">
        <f>MIN('3.1 Market'!$G206,'1.1 Control Panel'!AB432*'1.1 Control Panel'!AB$414)</f>
        <v>19.976388167585657</v>
      </c>
      <c r="AC215" s="20">
        <f>MIN('3.1 Market'!$H206,'1.1 Control Panel'!AC432*'1.1 Control Panel'!AC$414)</f>
        <v>39.962221068137055</v>
      </c>
      <c r="AD215" s="20">
        <f>MIN('3.1 Market'!$H206,'1.1 Control Panel'!AD432*'1.1 Control Panel'!AD$414)</f>
        <v>39.969776854509647</v>
      </c>
      <c r="AE215" s="20">
        <f>MIN('3.1 Market'!$H206,'1.1 Control Panel'!AE432*'1.1 Control Panel'!AE$414)</f>
        <v>39.975821483607717</v>
      </c>
      <c r="AF215" s="20">
        <f>MIN('3.1 Market'!$H206,'1.1 Control Panel'!AF432*'1.1 Control Panel'!AF$414)</f>
        <v>39.980657186886177</v>
      </c>
      <c r="AG215" s="20">
        <f>MIN('3.1 Market'!$H206,'1.1 Control Panel'!AG432*'1.1 Control Panel'!AG$414)</f>
        <v>59.976788624263421</v>
      </c>
      <c r="AH215" s="20">
        <f>MIN('3.1 Market'!$H206,'1.1 Control Panel'!AH432*'1.1 Control Panel'!AH$414)</f>
        <v>59.981430899410732</v>
      </c>
      <c r="AI215" s="20">
        <f>MIN('3.1 Market'!$H206,'1.1 Control Panel'!AI432*'1.1 Control Panel'!AI$414)</f>
        <v>59.985144719528591</v>
      </c>
      <c r="AJ215" s="20">
        <f>MIN('3.1 Market'!$H206,'1.1 Control Panel'!AJ432*'1.1 Control Panel'!AJ$414)</f>
        <v>59.988115775622866</v>
      </c>
      <c r="AK215" s="20">
        <f>MIN('3.1 Market'!$H206,'1.1 Control Panel'!AK432*'1.1 Control Panel'!AK$414)</f>
        <v>79.987323493997735</v>
      </c>
      <c r="AL215" s="20">
        <f>MIN('3.1 Market'!$H206,'1.1 Control Panel'!AL432*'1.1 Control Panel'!AL$414)</f>
        <v>79.989858795198188</v>
      </c>
      <c r="AM215" s="20">
        <f>MIN('3.1 Market'!$H206,'1.1 Control Panel'!AM432*'1.1 Control Panel'!AM$414)</f>
        <v>79.991887036158545</v>
      </c>
      <c r="AN215" s="20">
        <f>MIN('3.1 Market'!$H206,'1.1 Control Panel'!AN432*'1.1 Control Panel'!AN$414)</f>
        <v>79.99350962892683</v>
      </c>
      <c r="AP215" s="20"/>
    </row>
    <row r="216" spans="2:42" x14ac:dyDescent="0.25">
      <c r="C216" s="20" t="s">
        <v>454</v>
      </c>
      <c r="D216" s="34" t="s">
        <v>162</v>
      </c>
      <c r="E216" s="20">
        <f>MIN('3.1 Market'!$F207,'1.1 Control Panel'!E433*'1.1 Control Panel'!E$414)</f>
        <v>3</v>
      </c>
      <c r="F216" s="20">
        <f>MIN('3.1 Market'!$F207,'1.1 Control Panel'!F433*'1.1 Control Panel'!F$414)</f>
        <v>3.4000000000000004</v>
      </c>
      <c r="G216" s="20">
        <f>MIN('3.1 Market'!$F207,'1.1 Control Panel'!G433*'1.1 Control Panel'!G$414)</f>
        <v>3.7200000000000006</v>
      </c>
      <c r="H216" s="20">
        <f>MIN('3.1 Market'!$F207,'1.1 Control Panel'!H433*'1.1 Control Panel'!H$414)</f>
        <v>3.9760000000000009</v>
      </c>
      <c r="I216" s="20">
        <f>MIN('3.1 Market'!$F207,'1.1 Control Panel'!I433*'1.1 Control Panel'!I$414)</f>
        <v>4.1808000000000014</v>
      </c>
      <c r="J216" s="20">
        <f>MIN('3.1 Market'!$F207,'1.1 Control Panel'!J433*'1.1 Control Panel'!J$414)</f>
        <v>8.6892800000000037</v>
      </c>
      <c r="K216" s="20">
        <f>MIN('3.1 Market'!$F207,'1.1 Control Panel'!K433*'1.1 Control Panel'!K$414)</f>
        <v>8.9514240000000029</v>
      </c>
      <c r="L216" s="20">
        <f>MIN('3.1 Market'!$F207,'1.1 Control Panel'!L433*'1.1 Control Panel'!L$414)</f>
        <v>9.1611392000000027</v>
      </c>
      <c r="M216" s="20">
        <f>MIN('3.1 Market'!$F207,'1.1 Control Panel'!M433*'1.1 Control Panel'!M$414)</f>
        <v>9.3289113600000029</v>
      </c>
      <c r="N216" s="20">
        <f>MIN('3.1 Market'!$F207,'1.1 Control Panel'!N433*'1.1 Control Panel'!N$414)</f>
        <v>9.4631290880000023</v>
      </c>
      <c r="O216" s="20">
        <f>MIN('3.1 Market'!$F207,'1.1 Control Panel'!O433*'1.1 Control Panel'!O$414)</f>
        <v>9.5705032704000033</v>
      </c>
      <c r="P216" s="20">
        <f>MIN('3.1 Market'!$F207,'1.1 Control Panel'!P433*'1.1 Control Panel'!P$414)</f>
        <v>9.656402616320003</v>
      </c>
      <c r="Q216" s="20">
        <f>MIN('3.1 Market'!$G207,'1.1 Control Panel'!Q433*'1.1 Control Panel'!Q$414)</f>
        <v>14.587683139584005</v>
      </c>
      <c r="R216" s="20">
        <f>MIN('3.1 Market'!$G207,'1.1 Control Panel'!R433*'1.1 Control Panel'!R$414)</f>
        <v>14.670146511667205</v>
      </c>
      <c r="S216" s="20">
        <f>MIN('3.1 Market'!$G207,'1.1 Control Panel'!S433*'1.1 Control Panel'!S$414)</f>
        <v>14.736117209333766</v>
      </c>
      <c r="T216" s="20">
        <f>MIN('3.1 Market'!$G207,'1.1 Control Panel'!T433*'1.1 Control Panel'!T$414)</f>
        <v>14.788893767467014</v>
      </c>
      <c r="U216" s="20">
        <f>MIN('3.1 Market'!$G207,'1.1 Control Panel'!U433*'1.1 Control Panel'!U$414)</f>
        <v>19.77482001863148</v>
      </c>
      <c r="V216" s="20">
        <f>MIN('3.1 Market'!$G207,'1.1 Control Panel'!V433*'1.1 Control Panel'!V$414)</f>
        <v>19.819856014905184</v>
      </c>
      <c r="W216" s="20">
        <f>MIN('3.1 Market'!$G207,'1.1 Control Panel'!W433*'1.1 Control Panel'!W$414)</f>
        <v>19.855884811924149</v>
      </c>
      <c r="X216" s="20">
        <f>MIN('3.1 Market'!$G207,'1.1 Control Panel'!X433*'1.1 Control Panel'!X$414)</f>
        <v>19.884707849539318</v>
      </c>
      <c r="Y216" s="20">
        <f>MIN('3.1 Market'!$G207,'1.1 Control Panel'!Y433*'1.1 Control Panel'!Y$414)</f>
        <v>19.907766279631453</v>
      </c>
      <c r="Z216" s="20">
        <f>MIN('3.1 Market'!$G207,'1.1 Control Panel'!Z433*'1.1 Control Panel'!Z$414)</f>
        <v>19.926213023705163</v>
      </c>
      <c r="AA216" s="20">
        <f>MIN('3.1 Market'!$G207,'1.1 Control Panel'!AA433*'1.1 Control Panel'!AA$414)</f>
        <v>19.940970418964131</v>
      </c>
      <c r="AB216" s="20">
        <f>MIN('3.1 Market'!$G207,'1.1 Control Panel'!AB433*'1.1 Control Panel'!AB$414)</f>
        <v>19.952776335171308</v>
      </c>
      <c r="AC216" s="20">
        <f>MIN('3.1 Market'!$H207,'1.1 Control Panel'!AC433*'1.1 Control Panel'!AC$414)</f>
        <v>39.924442136274095</v>
      </c>
      <c r="AD216" s="20">
        <f>MIN('3.1 Market'!$H207,'1.1 Control Panel'!AD433*'1.1 Control Panel'!AD$414)</f>
        <v>39.939553709019279</v>
      </c>
      <c r="AE216" s="20">
        <f>MIN('3.1 Market'!$H207,'1.1 Control Panel'!AE433*'1.1 Control Panel'!AE$414)</f>
        <v>39.95164296721542</v>
      </c>
      <c r="AF216" s="20">
        <f>MIN('3.1 Market'!$H207,'1.1 Control Panel'!AF433*'1.1 Control Panel'!AF$414)</f>
        <v>39.961314373772339</v>
      </c>
      <c r="AG216" s="20">
        <f>MIN('3.1 Market'!$H207,'1.1 Control Panel'!AG433*'1.1 Control Panel'!AG$414)</f>
        <v>59.953577248526813</v>
      </c>
      <c r="AH216" s="20">
        <f>MIN('3.1 Market'!$H207,'1.1 Control Panel'!AH433*'1.1 Control Panel'!AH$414)</f>
        <v>59.962861798821443</v>
      </c>
      <c r="AI216" s="20">
        <f>MIN('3.1 Market'!$H207,'1.1 Control Panel'!AI433*'1.1 Control Panel'!AI$414)</f>
        <v>59.970289439057154</v>
      </c>
      <c r="AJ216" s="20">
        <f>MIN('3.1 Market'!$H207,'1.1 Control Panel'!AJ433*'1.1 Control Panel'!AJ$414)</f>
        <v>59.976231551245732</v>
      </c>
      <c r="AK216" s="20">
        <f>MIN('3.1 Market'!$H207,'1.1 Control Panel'!AK433*'1.1 Control Panel'!AK$414)</f>
        <v>79.974646987995442</v>
      </c>
      <c r="AL216" s="20">
        <f>MIN('3.1 Market'!$H207,'1.1 Control Panel'!AL433*'1.1 Control Panel'!AL$414)</f>
        <v>79.979717590396348</v>
      </c>
      <c r="AM216" s="20">
        <f>MIN('3.1 Market'!$H207,'1.1 Control Panel'!AM433*'1.1 Control Panel'!AM$414)</f>
        <v>79.98377407231709</v>
      </c>
      <c r="AN216" s="20">
        <f>MIN('3.1 Market'!$H207,'1.1 Control Panel'!AN433*'1.1 Control Panel'!AN$414)</f>
        <v>79.987019257853675</v>
      </c>
      <c r="AP216" s="20"/>
    </row>
    <row r="217" spans="2:42" x14ac:dyDescent="0.25">
      <c r="C217" s="21" t="s">
        <v>455</v>
      </c>
      <c r="D217" s="38" t="s">
        <v>162</v>
      </c>
      <c r="E217" s="21">
        <f>MIN('3.1 Market'!$F208,'1.1 Control Panel'!E434*'1.1 Control Panel'!E$414)</f>
        <v>2</v>
      </c>
      <c r="F217" s="21">
        <f>MIN('3.1 Market'!$F208,'1.1 Control Panel'!F434*'1.1 Control Panel'!F$414)</f>
        <v>2.6</v>
      </c>
      <c r="G217" s="21">
        <f>MIN('3.1 Market'!$F208,'1.1 Control Panel'!G434*'1.1 Control Panel'!G$414)</f>
        <v>3.08</v>
      </c>
      <c r="H217" s="21">
        <f>MIN('3.1 Market'!$F208,'1.1 Control Panel'!H434*'1.1 Control Panel'!H$414)</f>
        <v>3.4640000000000004</v>
      </c>
      <c r="I217" s="21">
        <f>MIN('3.1 Market'!$F208,'1.1 Control Panel'!I434*'1.1 Control Panel'!I$414)</f>
        <v>3.7712000000000003</v>
      </c>
      <c r="J217" s="21">
        <f>MIN('3.1 Market'!$F208,'1.1 Control Panel'!J434*'1.1 Control Panel'!J$414)</f>
        <v>8.0339200000000019</v>
      </c>
      <c r="K217" s="21">
        <f>MIN('3.1 Market'!$F208,'1.1 Control Panel'!K434*'1.1 Control Panel'!K$414)</f>
        <v>8.4271360000000008</v>
      </c>
      <c r="L217" s="21">
        <f>MIN('3.1 Market'!$F208,'1.1 Control Panel'!L434*'1.1 Control Panel'!L$414)</f>
        <v>8.7417088000000014</v>
      </c>
      <c r="M217" s="21">
        <f>MIN('3.1 Market'!$F208,'1.1 Control Panel'!M434*'1.1 Control Panel'!M$414)</f>
        <v>8.9933670400000025</v>
      </c>
      <c r="N217" s="21">
        <f>MIN('3.1 Market'!$F208,'1.1 Control Panel'!N434*'1.1 Control Panel'!N$414)</f>
        <v>9.1946936320000034</v>
      </c>
      <c r="O217" s="21">
        <f>MIN('3.1 Market'!$F208,'1.1 Control Panel'!O434*'1.1 Control Panel'!O$414)</f>
        <v>9.3557549056000031</v>
      </c>
      <c r="P217" s="21">
        <f>MIN('3.1 Market'!$F208,'1.1 Control Panel'!P434*'1.1 Control Panel'!P$414)</f>
        <v>9.4846039244800018</v>
      </c>
      <c r="Q217" s="21">
        <f>MIN('3.1 Market'!$G208,'1.1 Control Panel'!Q434*'1.1 Control Panel'!Q$414)</f>
        <v>14.381524709376002</v>
      </c>
      <c r="R217" s="21">
        <f>MIN('3.1 Market'!$G208,'1.1 Control Panel'!R434*'1.1 Control Panel'!R$414)</f>
        <v>14.505219767500803</v>
      </c>
      <c r="S217" s="21">
        <f>MIN('3.1 Market'!$G208,'1.1 Control Panel'!S434*'1.1 Control Panel'!S$414)</f>
        <v>14.604175814000644</v>
      </c>
      <c r="T217" s="21">
        <f>MIN('3.1 Market'!$G208,'1.1 Control Panel'!T434*'1.1 Control Panel'!T$414)</f>
        <v>14.683340651200517</v>
      </c>
      <c r="U217" s="21">
        <f>MIN('3.1 Market'!$G208,'1.1 Control Panel'!U434*'1.1 Control Panel'!U$414)</f>
        <v>19.662230027947217</v>
      </c>
      <c r="V217" s="21">
        <f>MIN('3.1 Market'!$G208,'1.1 Control Panel'!V434*'1.1 Control Panel'!V$414)</f>
        <v>19.729784022357777</v>
      </c>
      <c r="W217" s="21">
        <f>MIN('3.1 Market'!$G208,'1.1 Control Panel'!W434*'1.1 Control Panel'!W$414)</f>
        <v>19.78382721788622</v>
      </c>
      <c r="X217" s="21">
        <f>MIN('3.1 Market'!$G208,'1.1 Control Panel'!X434*'1.1 Control Panel'!X$414)</f>
        <v>19.827061774308977</v>
      </c>
      <c r="Y217" s="21">
        <f>MIN('3.1 Market'!$G208,'1.1 Control Panel'!Y434*'1.1 Control Panel'!Y$414)</f>
        <v>19.861649419447183</v>
      </c>
      <c r="Z217" s="21">
        <f>MIN('3.1 Market'!$G208,'1.1 Control Panel'!Z434*'1.1 Control Panel'!Z$414)</f>
        <v>19.889319535557746</v>
      </c>
      <c r="AA217" s="21">
        <f>MIN('3.1 Market'!$G208,'1.1 Control Panel'!AA434*'1.1 Control Panel'!AA$414)</f>
        <v>19.911455628446198</v>
      </c>
      <c r="AB217" s="21">
        <f>MIN('3.1 Market'!$G208,'1.1 Control Panel'!AB434*'1.1 Control Panel'!AB$414)</f>
        <v>19.929164502756961</v>
      </c>
      <c r="AC217" s="21">
        <f>MIN('3.1 Market'!$H208,'1.1 Control Panel'!AC434*'1.1 Control Panel'!AC$414)</f>
        <v>39.886663204411136</v>
      </c>
      <c r="AD217" s="20">
        <f>MIN('3.1 Market'!$H208,'1.1 Control Panel'!AD434*'1.1 Control Panel'!AD$414)</f>
        <v>39.909330563528911</v>
      </c>
      <c r="AE217" s="20">
        <f>MIN('3.1 Market'!$H208,'1.1 Control Panel'!AE434*'1.1 Control Panel'!AE$414)</f>
        <v>39.92746445082313</v>
      </c>
      <c r="AF217" s="20">
        <f>MIN('3.1 Market'!$H208,'1.1 Control Panel'!AF434*'1.1 Control Panel'!AF$414)</f>
        <v>39.941971560658502</v>
      </c>
      <c r="AG217" s="20">
        <f>MIN('3.1 Market'!$H208,'1.1 Control Panel'!AG434*'1.1 Control Panel'!AG$414)</f>
        <v>59.930365872790198</v>
      </c>
      <c r="AH217" s="20">
        <f>MIN('3.1 Market'!$H208,'1.1 Control Panel'!AH434*'1.1 Control Panel'!AH$414)</f>
        <v>59.944292698232154</v>
      </c>
      <c r="AI217" s="20">
        <f>MIN('3.1 Market'!$H208,'1.1 Control Panel'!AI434*'1.1 Control Panel'!AI$414)</f>
        <v>59.955434158585732</v>
      </c>
      <c r="AJ217" s="20">
        <f>MIN('3.1 Market'!$H208,'1.1 Control Panel'!AJ434*'1.1 Control Panel'!AJ$414)</f>
        <v>59.964347326868591</v>
      </c>
      <c r="AK217" s="20">
        <f>MIN('3.1 Market'!$H208,'1.1 Control Panel'!AK434*'1.1 Control Panel'!AK$414)</f>
        <v>79.961970481993163</v>
      </c>
      <c r="AL217" s="20">
        <f>MIN('3.1 Market'!$H208,'1.1 Control Panel'!AL434*'1.1 Control Panel'!AL$414)</f>
        <v>79.969576385594536</v>
      </c>
      <c r="AM217" s="20">
        <f>MIN('3.1 Market'!$H208,'1.1 Control Panel'!AM434*'1.1 Control Panel'!AM$414)</f>
        <v>79.975661108475634</v>
      </c>
      <c r="AN217" s="20">
        <f>MIN('3.1 Market'!$H208,'1.1 Control Panel'!AN434*'1.1 Control Panel'!AN$414)</f>
        <v>79.980528886780519</v>
      </c>
      <c r="AP217" s="21"/>
    </row>
    <row r="218" spans="2:42" x14ac:dyDescent="0.25">
      <c r="C218" s="21" t="s">
        <v>393</v>
      </c>
      <c r="D218" s="38" t="s">
        <v>162</v>
      </c>
      <c r="E218" s="21">
        <f>MIN('3.1 Market'!$F209,'1.1 Control Panel'!E435*'1.1 Control Panel'!E$414)</f>
        <v>1</v>
      </c>
      <c r="F218" s="21">
        <f>MIN('3.1 Market'!$F209,'1.1 Control Panel'!F435*'1.1 Control Panel'!F$414)</f>
        <v>1.8</v>
      </c>
      <c r="G218" s="21">
        <f>MIN('3.1 Market'!$F209,'1.1 Control Panel'!G435*'1.1 Control Panel'!G$414)</f>
        <v>2.4400000000000004</v>
      </c>
      <c r="H218" s="21">
        <f>MIN('3.1 Market'!$F209,'1.1 Control Panel'!H435*'1.1 Control Panel'!H$414)</f>
        <v>2.9520000000000004</v>
      </c>
      <c r="I218" s="21">
        <f>MIN('3.1 Market'!$F209,'1.1 Control Panel'!I435*'1.1 Control Panel'!I$414)</f>
        <v>3.3616000000000006</v>
      </c>
      <c r="J218" s="21">
        <f>MIN('3.1 Market'!$F209,'1.1 Control Panel'!J435*'1.1 Control Panel'!J$414)</f>
        <v>7.3785600000000011</v>
      </c>
      <c r="K218" s="21">
        <f>MIN('3.1 Market'!$F209,'1.1 Control Panel'!K435*'1.1 Control Panel'!K$414)</f>
        <v>7.9028480000000014</v>
      </c>
      <c r="L218" s="21">
        <f>MIN('3.1 Market'!$F209,'1.1 Control Panel'!L435*'1.1 Control Panel'!L$414)</f>
        <v>8.3222784000000019</v>
      </c>
      <c r="M218" s="21">
        <f>MIN('3.1 Market'!$F209,'1.1 Control Panel'!M435*'1.1 Control Panel'!M$414)</f>
        <v>8.6578227200000022</v>
      </c>
      <c r="N218" s="21">
        <f>MIN('3.1 Market'!$F209,'1.1 Control Panel'!N435*'1.1 Control Panel'!N$414)</f>
        <v>8.926258176000001</v>
      </c>
      <c r="O218" s="21">
        <f>MIN('3.1 Market'!$F209,'1.1 Control Panel'!O435*'1.1 Control Panel'!O$414)</f>
        <v>9.1410065408000012</v>
      </c>
      <c r="P218" s="21">
        <f>MIN('3.1 Market'!$F209,'1.1 Control Panel'!P435*'1.1 Control Panel'!P$414)</f>
        <v>9.3128052326400024</v>
      </c>
      <c r="Q218" s="21">
        <f>MIN('3.1 Market'!$G209,'1.1 Control Panel'!Q435*'1.1 Control Panel'!Q$414)</f>
        <v>14.175366279168003</v>
      </c>
      <c r="R218" s="21">
        <f>MIN('3.1 Market'!$G209,'1.1 Control Panel'!R435*'1.1 Control Panel'!R$414)</f>
        <v>14.340293023334404</v>
      </c>
      <c r="S218" s="21">
        <f>MIN('3.1 Market'!$G209,'1.1 Control Panel'!S435*'1.1 Control Panel'!S$414)</f>
        <v>14.472234418667522</v>
      </c>
      <c r="T218" s="21">
        <f>MIN('3.1 Market'!$G209,'1.1 Control Panel'!T435*'1.1 Control Panel'!T$414)</f>
        <v>14.577787534934018</v>
      </c>
      <c r="U218" s="21">
        <f>MIN('3.1 Market'!$G209,'1.1 Control Panel'!U435*'1.1 Control Panel'!U$414)</f>
        <v>19.549640037262954</v>
      </c>
      <c r="V218" s="21">
        <f>MIN('3.1 Market'!$G209,'1.1 Control Panel'!V435*'1.1 Control Panel'!V$414)</f>
        <v>19.639712029810362</v>
      </c>
      <c r="W218" s="21">
        <f>MIN('3.1 Market'!$G209,'1.1 Control Panel'!W435*'1.1 Control Panel'!W$414)</f>
        <v>19.711769623848291</v>
      </c>
      <c r="X218" s="21">
        <f>MIN('3.1 Market'!$G209,'1.1 Control Panel'!X435*'1.1 Control Panel'!X$414)</f>
        <v>19.769415699078635</v>
      </c>
      <c r="Y218" s="21">
        <f>MIN('3.1 Market'!$G209,'1.1 Control Panel'!Y435*'1.1 Control Panel'!Y$414)</f>
        <v>19.815532559262909</v>
      </c>
      <c r="Z218" s="21">
        <f>MIN('3.1 Market'!$G209,'1.1 Control Panel'!Z435*'1.1 Control Panel'!Z$414)</f>
        <v>19.852426047410326</v>
      </c>
      <c r="AA218" s="21">
        <f>MIN('3.1 Market'!$G209,'1.1 Control Panel'!AA435*'1.1 Control Panel'!AA$414)</f>
        <v>19.881940837928262</v>
      </c>
      <c r="AB218" s="21">
        <f>MIN('3.1 Market'!$G209,'1.1 Control Panel'!AB435*'1.1 Control Panel'!AB$414)</f>
        <v>19.905552670342608</v>
      </c>
      <c r="AC218" s="21">
        <f>MIN('3.1 Market'!$H209,'1.1 Control Panel'!AC435*'1.1 Control Panel'!AC$414)</f>
        <v>39.848884272548176</v>
      </c>
      <c r="AD218" s="20">
        <f>MIN('3.1 Market'!$H209,'1.1 Control Panel'!AD435*'1.1 Control Panel'!AD$414)</f>
        <v>39.879107418038544</v>
      </c>
      <c r="AE218" s="20">
        <f>MIN('3.1 Market'!$H209,'1.1 Control Panel'!AE435*'1.1 Control Panel'!AE$414)</f>
        <v>39.903285934430841</v>
      </c>
      <c r="AF218" s="20">
        <f>MIN('3.1 Market'!$H209,'1.1 Control Panel'!AF435*'1.1 Control Panel'!AF$414)</f>
        <v>39.922628747544678</v>
      </c>
      <c r="AG218" s="20">
        <f>MIN('3.1 Market'!$H209,'1.1 Control Panel'!AG435*'1.1 Control Panel'!AG$414)</f>
        <v>59.907154497053618</v>
      </c>
      <c r="AH218" s="20">
        <f>MIN('3.1 Market'!$H209,'1.1 Control Panel'!AH435*'1.1 Control Panel'!AH$414)</f>
        <v>59.9257235976429</v>
      </c>
      <c r="AI218" s="20">
        <f>MIN('3.1 Market'!$H209,'1.1 Control Panel'!AI435*'1.1 Control Panel'!AI$414)</f>
        <v>59.940578878114323</v>
      </c>
      <c r="AJ218" s="20">
        <f>MIN('3.1 Market'!$H209,'1.1 Control Panel'!AJ435*'1.1 Control Panel'!AJ$414)</f>
        <v>59.952463102491464</v>
      </c>
      <c r="AK218" s="20">
        <f>MIN('3.1 Market'!$H209,'1.1 Control Panel'!AK435*'1.1 Control Panel'!AK$414)</f>
        <v>79.949293975990898</v>
      </c>
      <c r="AL218" s="20">
        <f>MIN('3.1 Market'!$H209,'1.1 Control Panel'!AL435*'1.1 Control Panel'!AL$414)</f>
        <v>79.959435180792724</v>
      </c>
      <c r="AM218" s="20">
        <f>MIN('3.1 Market'!$H209,'1.1 Control Panel'!AM435*'1.1 Control Panel'!AM$414)</f>
        <v>79.967548144634179</v>
      </c>
      <c r="AN218" s="20">
        <f>MIN('3.1 Market'!$H209,'1.1 Control Panel'!AN435*'1.1 Control Panel'!AN$414)</f>
        <v>79.974038515707349</v>
      </c>
      <c r="AP218" s="21"/>
    </row>
    <row r="219" spans="2:42" x14ac:dyDescent="0.25">
      <c r="C219" s="21" t="s">
        <v>456</v>
      </c>
      <c r="D219" s="38" t="s">
        <v>162</v>
      </c>
      <c r="E219" s="21">
        <f>MIN('3.1 Market'!$F210,'1.1 Control Panel'!E436*'1.1 Control Panel'!E$414)</f>
        <v>0</v>
      </c>
      <c r="F219" s="21">
        <f>MIN('3.1 Market'!$F210,'1.1 Control Panel'!F436*'1.1 Control Panel'!F$414)</f>
        <v>1</v>
      </c>
      <c r="G219" s="21">
        <f>MIN('3.1 Market'!$F210,'1.1 Control Panel'!G436*'1.1 Control Panel'!G$414)</f>
        <v>1.8</v>
      </c>
      <c r="H219" s="21">
        <f>MIN('3.1 Market'!$F210,'1.1 Control Panel'!H436*'1.1 Control Panel'!H$414)</f>
        <v>2.4400000000000004</v>
      </c>
      <c r="I219" s="21">
        <f>MIN('3.1 Market'!$F210,'1.1 Control Panel'!I436*'1.1 Control Panel'!I$414)</f>
        <v>2.9520000000000004</v>
      </c>
      <c r="J219" s="21">
        <f>MIN('3.1 Market'!$F210,'1.1 Control Panel'!J436*'1.1 Control Panel'!J$414)</f>
        <v>6.7232000000000012</v>
      </c>
      <c r="K219" s="21">
        <f>MIN('3.1 Market'!$F210,'1.1 Control Panel'!K436*'1.1 Control Panel'!K$414)</f>
        <v>7.3785600000000011</v>
      </c>
      <c r="L219" s="21">
        <f>MIN('3.1 Market'!$F210,'1.1 Control Panel'!L436*'1.1 Control Panel'!L$414)</f>
        <v>7.9028480000000014</v>
      </c>
      <c r="M219" s="21">
        <f>MIN('3.1 Market'!$F210,'1.1 Control Panel'!M436*'1.1 Control Panel'!M$414)</f>
        <v>8.3222784000000019</v>
      </c>
      <c r="N219" s="21">
        <f>MIN('3.1 Market'!$F210,'1.1 Control Panel'!N436*'1.1 Control Panel'!N$414)</f>
        <v>8.6578227200000022</v>
      </c>
      <c r="O219" s="21">
        <f>MIN('3.1 Market'!$F210,'1.1 Control Panel'!O436*'1.1 Control Panel'!O$414)</f>
        <v>8.926258176000001</v>
      </c>
      <c r="P219" s="21">
        <f>MIN('3.1 Market'!$F210,'1.1 Control Panel'!P436*'1.1 Control Panel'!P$414)</f>
        <v>9.1410065408000012</v>
      </c>
      <c r="Q219" s="21">
        <f>MIN('3.1 Market'!$G210,'1.1 Control Panel'!Q436*'1.1 Control Panel'!Q$414)</f>
        <v>13.969207848960004</v>
      </c>
      <c r="R219" s="21">
        <f>MIN('3.1 Market'!$G210,'1.1 Control Panel'!R436*'1.1 Control Panel'!R$414)</f>
        <v>14.175366279168003</v>
      </c>
      <c r="S219" s="21">
        <f>MIN('3.1 Market'!$G210,'1.1 Control Panel'!S436*'1.1 Control Panel'!S$414)</f>
        <v>14.340293023334404</v>
      </c>
      <c r="T219" s="21">
        <f>MIN('3.1 Market'!$G210,'1.1 Control Panel'!T436*'1.1 Control Panel'!T$414)</f>
        <v>14.472234418667522</v>
      </c>
      <c r="U219" s="21">
        <f>MIN('3.1 Market'!$G210,'1.1 Control Panel'!U436*'1.1 Control Panel'!U$414)</f>
        <v>19.43705004657869</v>
      </c>
      <c r="V219" s="21">
        <f>MIN('3.1 Market'!$G210,'1.1 Control Panel'!V436*'1.1 Control Panel'!V$414)</f>
        <v>19.549640037262954</v>
      </c>
      <c r="W219" s="21">
        <f>MIN('3.1 Market'!$G210,'1.1 Control Panel'!W436*'1.1 Control Panel'!W$414)</f>
        <v>19.639712029810362</v>
      </c>
      <c r="X219" s="21">
        <f>MIN('3.1 Market'!$G210,'1.1 Control Panel'!X436*'1.1 Control Panel'!X$414)</f>
        <v>19.711769623848291</v>
      </c>
      <c r="Y219" s="21">
        <f>MIN('3.1 Market'!$G210,'1.1 Control Panel'!Y436*'1.1 Control Panel'!Y$414)</f>
        <v>19.769415699078635</v>
      </c>
      <c r="Z219" s="21">
        <f>MIN('3.1 Market'!$G210,'1.1 Control Panel'!Z436*'1.1 Control Panel'!Z$414)</f>
        <v>19.815532559262909</v>
      </c>
      <c r="AA219" s="21">
        <f>MIN('3.1 Market'!$G210,'1.1 Control Panel'!AA436*'1.1 Control Panel'!AA$414)</f>
        <v>19.852426047410326</v>
      </c>
      <c r="AB219" s="21">
        <f>MIN('3.1 Market'!$G210,'1.1 Control Panel'!AB436*'1.1 Control Panel'!AB$414)</f>
        <v>19.881940837928262</v>
      </c>
      <c r="AC219" s="21">
        <f>MIN('3.1 Market'!$H210,'1.1 Control Panel'!AC436*'1.1 Control Panel'!AC$414)</f>
        <v>39.811105340685216</v>
      </c>
      <c r="AD219" s="20">
        <f>MIN('3.1 Market'!$H210,'1.1 Control Panel'!AD436*'1.1 Control Panel'!AD$414)</f>
        <v>39.848884272548176</v>
      </c>
      <c r="AE219" s="20">
        <f>MIN('3.1 Market'!$H210,'1.1 Control Panel'!AE436*'1.1 Control Panel'!AE$414)</f>
        <v>39.879107418038544</v>
      </c>
      <c r="AF219" s="20">
        <f>MIN('3.1 Market'!$H210,'1.1 Control Panel'!AF436*'1.1 Control Panel'!AF$414)</f>
        <v>39.903285934430841</v>
      </c>
      <c r="AG219" s="20">
        <f>MIN('3.1 Market'!$H210,'1.1 Control Panel'!AG436*'1.1 Control Panel'!AG$414)</f>
        <v>59.883943121317017</v>
      </c>
      <c r="AH219" s="20">
        <f>MIN('3.1 Market'!$H210,'1.1 Control Panel'!AH436*'1.1 Control Panel'!AH$414)</f>
        <v>59.907154497053618</v>
      </c>
      <c r="AI219" s="20">
        <f>MIN('3.1 Market'!$H210,'1.1 Control Panel'!AI436*'1.1 Control Panel'!AI$414)</f>
        <v>59.9257235976429</v>
      </c>
      <c r="AJ219" s="20">
        <f>MIN('3.1 Market'!$H210,'1.1 Control Panel'!AJ436*'1.1 Control Panel'!AJ$414)</f>
        <v>59.940578878114323</v>
      </c>
      <c r="AK219" s="20">
        <f>MIN('3.1 Market'!$H210,'1.1 Control Panel'!AK436*'1.1 Control Panel'!AK$414)</f>
        <v>79.936617469988619</v>
      </c>
      <c r="AL219" s="20">
        <f>MIN('3.1 Market'!$H210,'1.1 Control Panel'!AL436*'1.1 Control Panel'!AL$414)</f>
        <v>79.949293975990898</v>
      </c>
      <c r="AM219" s="20">
        <f>MIN('3.1 Market'!$H210,'1.1 Control Panel'!AM436*'1.1 Control Panel'!AM$414)</f>
        <v>79.959435180792724</v>
      </c>
      <c r="AN219" s="20">
        <f>MIN('3.1 Market'!$H210,'1.1 Control Panel'!AN436*'1.1 Control Panel'!AN$414)</f>
        <v>79.967548144634179</v>
      </c>
      <c r="AP219" s="21"/>
    </row>
    <row r="220" spans="2:42" x14ac:dyDescent="0.25">
      <c r="B220" s="99" t="s">
        <v>9</v>
      </c>
      <c r="C220" s="105" t="str">
        <f>'4.2 Sector Mapping'!$B$9</f>
        <v>Healthcare</v>
      </c>
      <c r="D220" s="106" t="s">
        <v>162</v>
      </c>
      <c r="E220" s="105">
        <f>SUM(E221:E226)</f>
        <v>0</v>
      </c>
      <c r="F220" s="105">
        <f t="shared" ref="F220:H220" si="127">SUM(F221:F226)</f>
        <v>0</v>
      </c>
      <c r="G220" s="105">
        <f t="shared" si="127"/>
        <v>20.400000000000002</v>
      </c>
      <c r="H220" s="105">
        <f t="shared" si="127"/>
        <v>22.320000000000004</v>
      </c>
      <c r="I220" s="105">
        <f t="shared" ref="I220:AN220" si="128">SUM(I221:I226)</f>
        <v>23.856000000000002</v>
      </c>
      <c r="J220" s="105">
        <f t="shared" si="128"/>
        <v>25.084800000000001</v>
      </c>
      <c r="K220" s="105">
        <f t="shared" si="128"/>
        <v>26.067840000000004</v>
      </c>
      <c r="L220" s="105">
        <f t="shared" si="128"/>
        <v>26.854272000000005</v>
      </c>
      <c r="M220" s="105">
        <f t="shared" si="128"/>
        <v>27.483417600000003</v>
      </c>
      <c r="N220" s="105">
        <f t="shared" si="128"/>
        <v>27.986734080000005</v>
      </c>
      <c r="O220" s="105">
        <f t="shared" si="128"/>
        <v>28.389387264000007</v>
      </c>
      <c r="P220" s="105">
        <f t="shared" si="128"/>
        <v>28.711509811200006</v>
      </c>
      <c r="Q220" s="105">
        <f t="shared" si="128"/>
        <v>57.938415697920007</v>
      </c>
      <c r="R220" s="105">
        <f t="shared" si="128"/>
        <v>58.350732558336013</v>
      </c>
      <c r="S220" s="105">
        <f t="shared" si="128"/>
        <v>58.680586046668807</v>
      </c>
      <c r="T220" s="105">
        <f t="shared" si="128"/>
        <v>58.944468837335052</v>
      </c>
      <c r="U220" s="105">
        <f t="shared" si="128"/>
        <v>88.733362604802068</v>
      </c>
      <c r="V220" s="105">
        <f t="shared" si="128"/>
        <v>88.986690083841665</v>
      </c>
      <c r="W220" s="105">
        <f t="shared" si="128"/>
        <v>89.18935206707333</v>
      </c>
      <c r="X220" s="105">
        <f t="shared" si="128"/>
        <v>89.351481653658652</v>
      </c>
      <c r="Y220" s="105">
        <f t="shared" si="128"/>
        <v>89.481185322926919</v>
      </c>
      <c r="Z220" s="105">
        <f t="shared" si="128"/>
        <v>89.584948258341541</v>
      </c>
      <c r="AA220" s="105">
        <f t="shared" si="128"/>
        <v>89.667958606673238</v>
      </c>
      <c r="AB220" s="105">
        <f t="shared" si="128"/>
        <v>89.734366885338602</v>
      </c>
      <c r="AC220" s="105">
        <f t="shared" si="128"/>
        <v>149.64582251378479</v>
      </c>
      <c r="AD220" s="105">
        <f t="shared" si="128"/>
        <v>149.71665801102785</v>
      </c>
      <c r="AE220" s="105">
        <f t="shared" si="128"/>
        <v>149.7733264088223</v>
      </c>
      <c r="AF220" s="105">
        <f t="shared" si="128"/>
        <v>149.81866112705782</v>
      </c>
      <c r="AG220" s="105">
        <f t="shared" si="128"/>
        <v>209.79690046230476</v>
      </c>
      <c r="AH220" s="105">
        <f t="shared" si="128"/>
        <v>209.83752036984382</v>
      </c>
      <c r="AI220" s="105">
        <f t="shared" si="128"/>
        <v>209.87001629587508</v>
      </c>
      <c r="AJ220" s="105">
        <f t="shared" si="128"/>
        <v>209.89601303670008</v>
      </c>
      <c r="AK220" s="105">
        <f t="shared" si="128"/>
        <v>239.90492620498293</v>
      </c>
      <c r="AL220" s="105">
        <f t="shared" si="128"/>
        <v>239.92394096398633</v>
      </c>
      <c r="AM220" s="105">
        <f t="shared" si="128"/>
        <v>239.93915277118907</v>
      </c>
      <c r="AN220" s="105">
        <f t="shared" si="128"/>
        <v>239.95132221695127</v>
      </c>
      <c r="AP220" s="105"/>
    </row>
    <row r="221" spans="2:42" x14ac:dyDescent="0.25">
      <c r="C221" s="20" t="s">
        <v>600</v>
      </c>
      <c r="D221" s="34" t="s">
        <v>162</v>
      </c>
      <c r="E221" s="20">
        <f>MIN('3.1 Market'!$F212,'1.1 Control Panel'!E462*'1.1 Control Panel'!E$445)</f>
        <v>0</v>
      </c>
      <c r="F221" s="20">
        <f>MIN('3.1 Market'!$F212,'1.1 Control Panel'!F462*'1.1 Control Panel'!F$445)</f>
        <v>0</v>
      </c>
      <c r="G221" s="20">
        <f>MIN('3.1 Market'!$F212,'1.1 Control Panel'!G462*'1.1 Control Panel'!G$445)</f>
        <v>5</v>
      </c>
      <c r="H221" s="20">
        <f>MIN('3.1 Market'!$F212,'1.1 Control Panel'!H462*'1.1 Control Panel'!H$445)</f>
        <v>5</v>
      </c>
      <c r="I221" s="20">
        <f>MIN('3.1 Market'!$F212,'1.1 Control Panel'!I462*'1.1 Control Panel'!I$445)</f>
        <v>5</v>
      </c>
      <c r="J221" s="20">
        <f>MIN('3.1 Market'!$F212,'1.1 Control Panel'!J462*'1.1 Control Panel'!J$445)</f>
        <v>5</v>
      </c>
      <c r="K221" s="20">
        <f>MIN('3.1 Market'!$F212,'1.1 Control Panel'!K462*'1.1 Control Panel'!K$445)</f>
        <v>5</v>
      </c>
      <c r="L221" s="20">
        <f>MIN('3.1 Market'!$F212,'1.1 Control Panel'!L462*'1.1 Control Panel'!L$445)</f>
        <v>5</v>
      </c>
      <c r="M221" s="20">
        <f>MIN('3.1 Market'!$F212,'1.1 Control Panel'!M462*'1.1 Control Panel'!M$445)</f>
        <v>5</v>
      </c>
      <c r="N221" s="20">
        <f>MIN('3.1 Market'!$F212,'1.1 Control Panel'!N462*'1.1 Control Panel'!N$445)</f>
        <v>5</v>
      </c>
      <c r="O221" s="20">
        <f>MIN('3.1 Market'!$F212,'1.1 Control Panel'!O462*'1.1 Control Panel'!O$445)</f>
        <v>5</v>
      </c>
      <c r="P221" s="20">
        <f>MIN('3.1 Market'!$F212,'1.1 Control Panel'!P462*'1.1 Control Panel'!P$445)</f>
        <v>5</v>
      </c>
      <c r="Q221" s="20">
        <f>MIN('3.1 Market'!$G212,'1.1 Control Panel'!Q462*'1.1 Control Panel'!Q$445)</f>
        <v>10</v>
      </c>
      <c r="R221" s="20">
        <f>MIN('3.1 Market'!$G212,'1.1 Control Panel'!R462*'1.1 Control Panel'!R$445)</f>
        <v>10</v>
      </c>
      <c r="S221" s="20">
        <f>MIN('3.1 Market'!$G212,'1.1 Control Panel'!S462*'1.1 Control Panel'!S$445)</f>
        <v>10</v>
      </c>
      <c r="T221" s="20">
        <f>MIN('3.1 Market'!$G212,'1.1 Control Panel'!T462*'1.1 Control Panel'!T$445)</f>
        <v>10</v>
      </c>
      <c r="U221" s="20">
        <f>MIN('3.1 Market'!$G212,'1.1 Control Panel'!U462*'1.1 Control Panel'!U$445)</f>
        <v>15</v>
      </c>
      <c r="V221" s="20">
        <f>MIN('3.1 Market'!$G212,'1.1 Control Panel'!V462*'1.1 Control Panel'!V$445)</f>
        <v>15</v>
      </c>
      <c r="W221" s="20">
        <f>MIN('3.1 Market'!$G212,'1.1 Control Panel'!W462*'1.1 Control Panel'!W$445)</f>
        <v>15</v>
      </c>
      <c r="X221" s="20">
        <f>MIN('3.1 Market'!$G212,'1.1 Control Panel'!X462*'1.1 Control Panel'!X$445)</f>
        <v>15</v>
      </c>
      <c r="Y221" s="20">
        <f>MIN('3.1 Market'!$G212,'1.1 Control Panel'!Y462*'1.1 Control Panel'!Y$445)</f>
        <v>15</v>
      </c>
      <c r="Z221" s="20">
        <f>MIN('3.1 Market'!$G212,'1.1 Control Panel'!Z462*'1.1 Control Panel'!Z$445)</f>
        <v>15</v>
      </c>
      <c r="AA221" s="20">
        <f>MIN('3.1 Market'!$G212,'1.1 Control Panel'!AA462*'1.1 Control Panel'!AA$445)</f>
        <v>15</v>
      </c>
      <c r="AB221" s="20">
        <f>MIN('3.1 Market'!$G212,'1.1 Control Panel'!AB462*'1.1 Control Panel'!AB$445)</f>
        <v>15</v>
      </c>
      <c r="AC221" s="20">
        <f>MIN('3.1 Market'!$H212,'1.1 Control Panel'!AC462*'1.1 Control Panel'!AC$445)</f>
        <v>25</v>
      </c>
      <c r="AD221" s="20">
        <f>MIN('3.1 Market'!$H212,'1.1 Control Panel'!AD462*'1.1 Control Panel'!AD$445)</f>
        <v>25</v>
      </c>
      <c r="AE221" s="20">
        <f>MIN('3.1 Market'!$H212,'1.1 Control Panel'!AE462*'1.1 Control Panel'!AE$445)</f>
        <v>25</v>
      </c>
      <c r="AF221" s="20">
        <f>MIN('3.1 Market'!$H212,'1.1 Control Panel'!AF462*'1.1 Control Panel'!AF$445)</f>
        <v>25</v>
      </c>
      <c r="AG221" s="20">
        <f>MIN('3.1 Market'!$H212,'1.1 Control Panel'!AG462*'1.1 Control Panel'!AG$445)</f>
        <v>35</v>
      </c>
      <c r="AH221" s="20">
        <f>MIN('3.1 Market'!$H212,'1.1 Control Panel'!AH462*'1.1 Control Panel'!AH$445)</f>
        <v>35</v>
      </c>
      <c r="AI221" s="20">
        <f>MIN('3.1 Market'!$H212,'1.1 Control Panel'!AI462*'1.1 Control Panel'!AI$445)</f>
        <v>35</v>
      </c>
      <c r="AJ221" s="20">
        <f>MIN('3.1 Market'!$H212,'1.1 Control Panel'!AJ462*'1.1 Control Panel'!AJ$445)</f>
        <v>35</v>
      </c>
      <c r="AK221" s="20">
        <f>MIN('3.1 Market'!$H212,'1.1 Control Panel'!AK462*'1.1 Control Panel'!AK$445)</f>
        <v>40</v>
      </c>
      <c r="AL221" s="20">
        <f>MIN('3.1 Market'!$H212,'1.1 Control Panel'!AL462*'1.1 Control Panel'!AL$445)</f>
        <v>40</v>
      </c>
      <c r="AM221" s="20">
        <f>MIN('3.1 Market'!$H212,'1.1 Control Panel'!AM462*'1.1 Control Panel'!AM$445)</f>
        <v>40</v>
      </c>
      <c r="AN221" s="20">
        <f>MIN('3.1 Market'!$H212,'1.1 Control Panel'!AN462*'1.1 Control Panel'!AN$445)</f>
        <v>40</v>
      </c>
      <c r="AP221" s="20"/>
    </row>
    <row r="222" spans="2:42" x14ac:dyDescent="0.25">
      <c r="C222" s="20" t="s">
        <v>392</v>
      </c>
      <c r="D222" s="34" t="s">
        <v>162</v>
      </c>
      <c r="E222" s="20">
        <f>MIN('3.1 Market'!$F213,'1.1 Control Panel'!E463*'1.1 Control Panel'!E$445)</f>
        <v>0</v>
      </c>
      <c r="F222" s="20">
        <f>MIN('3.1 Market'!$F213,'1.1 Control Panel'!F463*'1.1 Control Panel'!F$445)</f>
        <v>0</v>
      </c>
      <c r="G222" s="20">
        <f>MIN('3.1 Market'!$F213,'1.1 Control Panel'!G463*'1.1 Control Panel'!G$445)</f>
        <v>4.3600000000000003</v>
      </c>
      <c r="H222" s="20">
        <f>MIN('3.1 Market'!$F213,'1.1 Control Panel'!H463*'1.1 Control Panel'!H$445)</f>
        <v>4.4880000000000004</v>
      </c>
      <c r="I222" s="20">
        <f>MIN('3.1 Market'!$F213,'1.1 Control Panel'!I463*'1.1 Control Panel'!I$445)</f>
        <v>4.5904000000000007</v>
      </c>
      <c r="J222" s="20">
        <f>MIN('3.1 Market'!$F213,'1.1 Control Panel'!J463*'1.1 Control Panel'!J$445)</f>
        <v>4.6723200000000009</v>
      </c>
      <c r="K222" s="20">
        <f>MIN('3.1 Market'!$F213,'1.1 Control Panel'!K463*'1.1 Control Panel'!K$445)</f>
        <v>4.7378560000000007</v>
      </c>
      <c r="L222" s="20">
        <f>MIN('3.1 Market'!$F213,'1.1 Control Panel'!L463*'1.1 Control Panel'!L$445)</f>
        <v>4.7902848000000002</v>
      </c>
      <c r="M222" s="20">
        <f>MIN('3.1 Market'!$F213,'1.1 Control Panel'!M463*'1.1 Control Panel'!M$445)</f>
        <v>4.8322278399999998</v>
      </c>
      <c r="N222" s="20">
        <f>MIN('3.1 Market'!$F213,'1.1 Control Panel'!N463*'1.1 Control Panel'!N$445)</f>
        <v>4.8657822720000006</v>
      </c>
      <c r="O222" s="20">
        <f>MIN('3.1 Market'!$F213,'1.1 Control Panel'!O463*'1.1 Control Panel'!O$445)</f>
        <v>4.8926258176000008</v>
      </c>
      <c r="P222" s="20">
        <f>MIN('3.1 Market'!$F213,'1.1 Control Panel'!P463*'1.1 Control Panel'!P$445)</f>
        <v>4.9141006540800003</v>
      </c>
      <c r="Q222" s="20">
        <f>MIN('3.1 Market'!$G213,'1.1 Control Panel'!Q463*'1.1 Control Panel'!Q$445)</f>
        <v>9.8625610465280005</v>
      </c>
      <c r="R222" s="20">
        <f>MIN('3.1 Market'!$G213,'1.1 Control Panel'!R463*'1.1 Control Panel'!R$445)</f>
        <v>9.8900488372224018</v>
      </c>
      <c r="S222" s="20">
        <f>MIN('3.1 Market'!$G213,'1.1 Control Panel'!S463*'1.1 Control Panel'!S$445)</f>
        <v>9.9120390697779222</v>
      </c>
      <c r="T222" s="20">
        <f>MIN('3.1 Market'!$G213,'1.1 Control Panel'!T463*'1.1 Control Panel'!T$445)</f>
        <v>9.9296312558223381</v>
      </c>
      <c r="U222" s="20">
        <f>MIN('3.1 Market'!$G213,'1.1 Control Panel'!U463*'1.1 Control Panel'!U$445)</f>
        <v>14.915557506986808</v>
      </c>
      <c r="V222" s="20">
        <f>MIN('3.1 Market'!$G213,'1.1 Control Panel'!V463*'1.1 Control Panel'!V$445)</f>
        <v>14.932446005589448</v>
      </c>
      <c r="W222" s="20">
        <f>MIN('3.1 Market'!$G213,'1.1 Control Panel'!W463*'1.1 Control Panel'!W$445)</f>
        <v>14.945956804471558</v>
      </c>
      <c r="X222" s="20">
        <f>MIN('3.1 Market'!$G213,'1.1 Control Panel'!X463*'1.1 Control Panel'!X$445)</f>
        <v>14.956765443577247</v>
      </c>
      <c r="Y222" s="20">
        <f>MIN('3.1 Market'!$G213,'1.1 Control Panel'!Y463*'1.1 Control Panel'!Y$445)</f>
        <v>14.965412354861797</v>
      </c>
      <c r="Z222" s="20">
        <f>MIN('3.1 Market'!$G213,'1.1 Control Panel'!Z463*'1.1 Control Panel'!Z$445)</f>
        <v>14.97232988388944</v>
      </c>
      <c r="AA222" s="20">
        <f>MIN('3.1 Market'!$G213,'1.1 Control Panel'!AA463*'1.1 Control Panel'!AA$445)</f>
        <v>14.977863907111553</v>
      </c>
      <c r="AB222" s="20">
        <f>MIN('3.1 Market'!$G213,'1.1 Control Panel'!AB463*'1.1 Control Panel'!AB$445)</f>
        <v>14.982291125689244</v>
      </c>
      <c r="AC222" s="20">
        <f>MIN('3.1 Market'!$H213,'1.1 Control Panel'!AC463*'1.1 Control Panel'!AC$445)</f>
        <v>24.976388167585661</v>
      </c>
      <c r="AD222" s="20">
        <f>MIN('3.1 Market'!$H213,'1.1 Control Panel'!AD463*'1.1 Control Panel'!AD$445)</f>
        <v>24.981110534068527</v>
      </c>
      <c r="AE222" s="20">
        <f>MIN('3.1 Market'!$H213,'1.1 Control Panel'!AE463*'1.1 Control Panel'!AE$445)</f>
        <v>24.984888427254823</v>
      </c>
      <c r="AF222" s="20">
        <f>MIN('3.1 Market'!$H213,'1.1 Control Panel'!AF463*'1.1 Control Panel'!AF$445)</f>
        <v>24.987910741803859</v>
      </c>
      <c r="AG222" s="20">
        <f>MIN('3.1 Market'!$H213,'1.1 Control Panel'!AG463*'1.1 Control Panel'!AG$445)</f>
        <v>34.986460030820325</v>
      </c>
      <c r="AH222" s="20">
        <f>MIN('3.1 Market'!$H213,'1.1 Control Panel'!AH463*'1.1 Control Panel'!AH$445)</f>
        <v>34.989168024656259</v>
      </c>
      <c r="AI222" s="20">
        <f>MIN('3.1 Market'!$H213,'1.1 Control Panel'!AI463*'1.1 Control Panel'!AI$445)</f>
        <v>34.991334419725007</v>
      </c>
      <c r="AJ222" s="20">
        <f>MIN('3.1 Market'!$H213,'1.1 Control Panel'!AJ463*'1.1 Control Panel'!AJ$445)</f>
        <v>34.993067535780007</v>
      </c>
      <c r="AK222" s="20">
        <f>MIN('3.1 Market'!$H213,'1.1 Control Panel'!AK463*'1.1 Control Panel'!AK$445)</f>
        <v>39.993661746998868</v>
      </c>
      <c r="AL222" s="20">
        <f>MIN('3.1 Market'!$H213,'1.1 Control Panel'!AL463*'1.1 Control Panel'!AL$445)</f>
        <v>39.994929397599094</v>
      </c>
      <c r="AM222" s="20">
        <f>MIN('3.1 Market'!$H213,'1.1 Control Panel'!AM463*'1.1 Control Panel'!AM$445)</f>
        <v>39.995943518079272</v>
      </c>
      <c r="AN222" s="20">
        <f>MIN('3.1 Market'!$H213,'1.1 Control Panel'!AN463*'1.1 Control Panel'!AN$445)</f>
        <v>39.996754814463415</v>
      </c>
      <c r="AP222" s="20"/>
    </row>
    <row r="223" spans="2:42" x14ac:dyDescent="0.25">
      <c r="C223" s="20" t="s">
        <v>454</v>
      </c>
      <c r="D223" s="34" t="s">
        <v>162</v>
      </c>
      <c r="E223" s="20">
        <f>MIN('3.1 Market'!$F214,'1.1 Control Panel'!E464*'1.1 Control Panel'!E$445)</f>
        <v>0</v>
      </c>
      <c r="F223" s="20">
        <f>MIN('3.1 Market'!$F214,'1.1 Control Panel'!F464*'1.1 Control Panel'!F$445)</f>
        <v>0</v>
      </c>
      <c r="G223" s="20">
        <f>MIN('3.1 Market'!$F214,'1.1 Control Panel'!G464*'1.1 Control Panel'!G$445)</f>
        <v>3.7200000000000006</v>
      </c>
      <c r="H223" s="20">
        <f>MIN('3.1 Market'!$F214,'1.1 Control Panel'!H464*'1.1 Control Panel'!H$445)</f>
        <v>3.9760000000000009</v>
      </c>
      <c r="I223" s="20">
        <f>MIN('3.1 Market'!$F214,'1.1 Control Panel'!I464*'1.1 Control Panel'!I$445)</f>
        <v>4.1808000000000014</v>
      </c>
      <c r="J223" s="20">
        <f>MIN('3.1 Market'!$F214,'1.1 Control Panel'!J464*'1.1 Control Panel'!J$445)</f>
        <v>4.3446400000000018</v>
      </c>
      <c r="K223" s="20">
        <f>MIN('3.1 Market'!$F214,'1.1 Control Panel'!K464*'1.1 Control Panel'!K$445)</f>
        <v>4.4757120000000015</v>
      </c>
      <c r="L223" s="20">
        <f>MIN('3.1 Market'!$F214,'1.1 Control Panel'!L464*'1.1 Control Panel'!L$445)</f>
        <v>4.5805696000000014</v>
      </c>
      <c r="M223" s="20">
        <f>MIN('3.1 Market'!$F214,'1.1 Control Panel'!M464*'1.1 Control Panel'!M$445)</f>
        <v>4.6644556800000014</v>
      </c>
      <c r="N223" s="20">
        <f>MIN('3.1 Market'!$F214,'1.1 Control Panel'!N464*'1.1 Control Panel'!N$445)</f>
        <v>4.7315645440000011</v>
      </c>
      <c r="O223" s="20">
        <f>MIN('3.1 Market'!$F214,'1.1 Control Panel'!O464*'1.1 Control Panel'!O$445)</f>
        <v>4.7852516352000016</v>
      </c>
      <c r="P223" s="20">
        <f>MIN('3.1 Market'!$F214,'1.1 Control Panel'!P464*'1.1 Control Panel'!P$445)</f>
        <v>4.8282013081600015</v>
      </c>
      <c r="Q223" s="20">
        <f>MIN('3.1 Market'!$G214,'1.1 Control Panel'!Q464*'1.1 Control Panel'!Q$445)</f>
        <v>9.7251220930560027</v>
      </c>
      <c r="R223" s="20">
        <f>MIN('3.1 Market'!$G214,'1.1 Control Panel'!R464*'1.1 Control Panel'!R$445)</f>
        <v>9.7800976744448036</v>
      </c>
      <c r="S223" s="20">
        <f>MIN('3.1 Market'!$G214,'1.1 Control Panel'!S464*'1.1 Control Panel'!S$445)</f>
        <v>9.8240781395558443</v>
      </c>
      <c r="T223" s="20">
        <f>MIN('3.1 Market'!$G214,'1.1 Control Panel'!T464*'1.1 Control Panel'!T$445)</f>
        <v>9.8592625116446762</v>
      </c>
      <c r="U223" s="20">
        <f>MIN('3.1 Market'!$G214,'1.1 Control Panel'!U464*'1.1 Control Panel'!U$445)</f>
        <v>14.83111501397361</v>
      </c>
      <c r="V223" s="20">
        <f>MIN('3.1 Market'!$G214,'1.1 Control Panel'!V464*'1.1 Control Panel'!V$445)</f>
        <v>14.864892011178888</v>
      </c>
      <c r="W223" s="20">
        <f>MIN('3.1 Market'!$G214,'1.1 Control Panel'!W464*'1.1 Control Panel'!W$445)</f>
        <v>14.891913608943112</v>
      </c>
      <c r="X223" s="20">
        <f>MIN('3.1 Market'!$G214,'1.1 Control Panel'!X464*'1.1 Control Panel'!X$445)</f>
        <v>14.913530887154488</v>
      </c>
      <c r="Y223" s="20">
        <f>MIN('3.1 Market'!$G214,'1.1 Control Panel'!Y464*'1.1 Control Panel'!Y$445)</f>
        <v>14.93082470972359</v>
      </c>
      <c r="Z223" s="20">
        <f>MIN('3.1 Market'!$G214,'1.1 Control Panel'!Z464*'1.1 Control Panel'!Z$445)</f>
        <v>14.944659767778873</v>
      </c>
      <c r="AA223" s="20">
        <f>MIN('3.1 Market'!$G214,'1.1 Control Panel'!AA464*'1.1 Control Panel'!AA$445)</f>
        <v>14.955727814223099</v>
      </c>
      <c r="AB223" s="20">
        <f>MIN('3.1 Market'!$G214,'1.1 Control Panel'!AB464*'1.1 Control Panel'!AB$445)</f>
        <v>14.964582251378481</v>
      </c>
      <c r="AC223" s="20">
        <f>MIN('3.1 Market'!$H214,'1.1 Control Panel'!AC464*'1.1 Control Panel'!AC$445)</f>
        <v>24.952776335171308</v>
      </c>
      <c r="AD223" s="20">
        <f>MIN('3.1 Market'!$H214,'1.1 Control Panel'!AD464*'1.1 Control Panel'!AD$445)</f>
        <v>24.962221068137048</v>
      </c>
      <c r="AE223" s="20">
        <f>MIN('3.1 Market'!$H214,'1.1 Control Panel'!AE464*'1.1 Control Panel'!AE$445)</f>
        <v>24.969776854509639</v>
      </c>
      <c r="AF223" s="20">
        <f>MIN('3.1 Market'!$H214,'1.1 Control Panel'!AF464*'1.1 Control Panel'!AF$445)</f>
        <v>24.97582148360771</v>
      </c>
      <c r="AG223" s="20">
        <f>MIN('3.1 Market'!$H214,'1.1 Control Panel'!AG464*'1.1 Control Panel'!AG$445)</f>
        <v>34.972920061640636</v>
      </c>
      <c r="AH223" s="20">
        <f>MIN('3.1 Market'!$H214,'1.1 Control Panel'!AH464*'1.1 Control Panel'!AH$445)</f>
        <v>34.97833604931251</v>
      </c>
      <c r="AI223" s="20">
        <f>MIN('3.1 Market'!$H214,'1.1 Control Panel'!AI464*'1.1 Control Panel'!AI$445)</f>
        <v>34.982668839450007</v>
      </c>
      <c r="AJ223" s="20">
        <f>MIN('3.1 Market'!$H214,'1.1 Control Panel'!AJ464*'1.1 Control Panel'!AJ$445)</f>
        <v>34.986135071560014</v>
      </c>
      <c r="AK223" s="20">
        <f>MIN('3.1 Market'!$H214,'1.1 Control Panel'!AK464*'1.1 Control Panel'!AK$445)</f>
        <v>39.987323493997721</v>
      </c>
      <c r="AL223" s="20">
        <f>MIN('3.1 Market'!$H214,'1.1 Control Panel'!AL464*'1.1 Control Panel'!AL$445)</f>
        <v>39.989858795198174</v>
      </c>
      <c r="AM223" s="20">
        <f>MIN('3.1 Market'!$H214,'1.1 Control Panel'!AM464*'1.1 Control Panel'!AM$445)</f>
        <v>39.991887036158545</v>
      </c>
      <c r="AN223" s="20">
        <f>MIN('3.1 Market'!$H214,'1.1 Control Panel'!AN464*'1.1 Control Panel'!AN$445)</f>
        <v>39.993509628926837</v>
      </c>
      <c r="AP223" s="20"/>
    </row>
    <row r="224" spans="2:42" x14ac:dyDescent="0.25">
      <c r="C224" s="21" t="s">
        <v>455</v>
      </c>
      <c r="D224" s="38" t="s">
        <v>162</v>
      </c>
      <c r="E224" s="21">
        <f>MIN('3.1 Market'!$F215,'1.1 Control Panel'!E465*'1.1 Control Panel'!E$445)</f>
        <v>0</v>
      </c>
      <c r="F224" s="21">
        <f>MIN('3.1 Market'!$F215,'1.1 Control Panel'!F465*'1.1 Control Panel'!F$445)</f>
        <v>0</v>
      </c>
      <c r="G224" s="21">
        <f>MIN('3.1 Market'!$F215,'1.1 Control Panel'!G465*'1.1 Control Panel'!G$445)</f>
        <v>3.08</v>
      </c>
      <c r="H224" s="21">
        <f>MIN('3.1 Market'!$F215,'1.1 Control Panel'!H465*'1.1 Control Panel'!H$445)</f>
        <v>3.4640000000000004</v>
      </c>
      <c r="I224" s="21">
        <f>MIN('3.1 Market'!$F215,'1.1 Control Panel'!I465*'1.1 Control Panel'!I$445)</f>
        <v>3.7712000000000003</v>
      </c>
      <c r="J224" s="21">
        <f>MIN('3.1 Market'!$F215,'1.1 Control Panel'!J465*'1.1 Control Panel'!J$445)</f>
        <v>4.016960000000001</v>
      </c>
      <c r="K224" s="21">
        <f>MIN('3.1 Market'!$F215,'1.1 Control Panel'!K465*'1.1 Control Panel'!K$445)</f>
        <v>4.2135680000000004</v>
      </c>
      <c r="L224" s="21">
        <f>MIN('3.1 Market'!$F215,'1.1 Control Panel'!L465*'1.1 Control Panel'!L$445)</f>
        <v>4.3708544000000007</v>
      </c>
      <c r="M224" s="21">
        <f>MIN('3.1 Market'!$F215,'1.1 Control Panel'!M465*'1.1 Control Panel'!M$445)</f>
        <v>4.4966835200000013</v>
      </c>
      <c r="N224" s="21">
        <f>MIN('3.1 Market'!$F215,'1.1 Control Panel'!N465*'1.1 Control Panel'!N$445)</f>
        <v>4.5973468160000017</v>
      </c>
      <c r="O224" s="21">
        <f>MIN('3.1 Market'!$F215,'1.1 Control Panel'!O465*'1.1 Control Panel'!O$445)</f>
        <v>4.6778774528000016</v>
      </c>
      <c r="P224" s="21">
        <f>MIN('3.1 Market'!$F215,'1.1 Control Panel'!P465*'1.1 Control Panel'!P$445)</f>
        <v>4.7423019622400009</v>
      </c>
      <c r="Q224" s="21">
        <f>MIN('3.1 Market'!$G215,'1.1 Control Panel'!Q465*'1.1 Control Panel'!Q$445)</f>
        <v>9.5876831395840014</v>
      </c>
      <c r="R224" s="21">
        <f>MIN('3.1 Market'!$G215,'1.1 Control Panel'!R465*'1.1 Control Panel'!R$445)</f>
        <v>9.6701465116672018</v>
      </c>
      <c r="S224" s="21">
        <f>MIN('3.1 Market'!$G215,'1.1 Control Panel'!S465*'1.1 Control Panel'!S$445)</f>
        <v>9.7361172093337629</v>
      </c>
      <c r="T224" s="21">
        <f>MIN('3.1 Market'!$G215,'1.1 Control Panel'!T465*'1.1 Control Panel'!T$445)</f>
        <v>9.7888937674670107</v>
      </c>
      <c r="U224" s="21">
        <f>MIN('3.1 Market'!$G215,'1.1 Control Panel'!U465*'1.1 Control Panel'!U$445)</f>
        <v>14.746672520960413</v>
      </c>
      <c r="V224" s="21">
        <f>MIN('3.1 Market'!$G215,'1.1 Control Panel'!V465*'1.1 Control Panel'!V$445)</f>
        <v>14.797338016768332</v>
      </c>
      <c r="W224" s="21">
        <f>MIN('3.1 Market'!$G215,'1.1 Control Panel'!W465*'1.1 Control Panel'!W$445)</f>
        <v>14.837870413414665</v>
      </c>
      <c r="X224" s="21">
        <f>MIN('3.1 Market'!$G215,'1.1 Control Panel'!X465*'1.1 Control Panel'!X$445)</f>
        <v>14.870296330731733</v>
      </c>
      <c r="Y224" s="21">
        <f>MIN('3.1 Market'!$G215,'1.1 Control Panel'!Y465*'1.1 Control Panel'!Y$445)</f>
        <v>14.896237064585387</v>
      </c>
      <c r="Z224" s="21">
        <f>MIN('3.1 Market'!$G215,'1.1 Control Panel'!Z465*'1.1 Control Panel'!Z$445)</f>
        <v>14.91698965166831</v>
      </c>
      <c r="AA224" s="21">
        <f>MIN('3.1 Market'!$G215,'1.1 Control Panel'!AA465*'1.1 Control Panel'!AA$445)</f>
        <v>14.933591721334649</v>
      </c>
      <c r="AB224" s="21">
        <f>MIN('3.1 Market'!$G215,'1.1 Control Panel'!AB465*'1.1 Control Panel'!AB$445)</f>
        <v>14.946873377067721</v>
      </c>
      <c r="AC224" s="21">
        <f>MIN('3.1 Market'!$H215,'1.1 Control Panel'!AC465*'1.1 Control Panel'!AC$445)</f>
        <v>24.929164502756961</v>
      </c>
      <c r="AD224" s="21">
        <f>MIN('3.1 Market'!$H215,'1.1 Control Panel'!AD465*'1.1 Control Panel'!AD$445)</f>
        <v>24.943331602205568</v>
      </c>
      <c r="AE224" s="21">
        <f>MIN('3.1 Market'!$H215,'1.1 Control Panel'!AE465*'1.1 Control Panel'!AE$445)</f>
        <v>24.954665281764456</v>
      </c>
      <c r="AF224" s="21">
        <f>MIN('3.1 Market'!$H215,'1.1 Control Panel'!AF465*'1.1 Control Panel'!AF$445)</f>
        <v>24.963732225411562</v>
      </c>
      <c r="AG224" s="21">
        <f>MIN('3.1 Market'!$H215,'1.1 Control Panel'!AG465*'1.1 Control Panel'!AG$445)</f>
        <v>34.959380092460947</v>
      </c>
      <c r="AH224" s="21">
        <f>MIN('3.1 Market'!$H215,'1.1 Control Panel'!AH465*'1.1 Control Panel'!AH$445)</f>
        <v>34.967504073968755</v>
      </c>
      <c r="AI224" s="21">
        <f>MIN('3.1 Market'!$H215,'1.1 Control Panel'!AI465*'1.1 Control Panel'!AI$445)</f>
        <v>34.974003259175007</v>
      </c>
      <c r="AJ224" s="21">
        <f>MIN('3.1 Market'!$H215,'1.1 Control Panel'!AJ465*'1.1 Control Panel'!AJ$445)</f>
        <v>34.979202607340007</v>
      </c>
      <c r="AK224" s="21">
        <f>MIN('3.1 Market'!$H215,'1.1 Control Panel'!AK465*'1.1 Control Panel'!AK$445)</f>
        <v>39.980985240996581</v>
      </c>
      <c r="AL224" s="21">
        <f>MIN('3.1 Market'!$H215,'1.1 Control Panel'!AL465*'1.1 Control Panel'!AL$445)</f>
        <v>39.984788192797268</v>
      </c>
      <c r="AM224" s="21">
        <f>MIN('3.1 Market'!$H215,'1.1 Control Panel'!AM465*'1.1 Control Panel'!AM$445)</f>
        <v>39.987830554237817</v>
      </c>
      <c r="AN224" s="21">
        <f>MIN('3.1 Market'!$H215,'1.1 Control Panel'!AN465*'1.1 Control Panel'!AN$445)</f>
        <v>39.990264443390259</v>
      </c>
      <c r="AP224" s="21"/>
    </row>
    <row r="225" spans="2:42" x14ac:dyDescent="0.25">
      <c r="C225" s="21" t="s">
        <v>393</v>
      </c>
      <c r="D225" s="38" t="s">
        <v>162</v>
      </c>
      <c r="E225" s="21">
        <f>MIN('3.1 Market'!$F216,'1.1 Control Panel'!E466*'1.1 Control Panel'!E$445)</f>
        <v>0</v>
      </c>
      <c r="F225" s="21">
        <f>MIN('3.1 Market'!$F216,'1.1 Control Panel'!F466*'1.1 Control Panel'!F$445)</f>
        <v>0</v>
      </c>
      <c r="G225" s="21">
        <f>MIN('3.1 Market'!$F216,'1.1 Control Panel'!G466*'1.1 Control Panel'!G$445)</f>
        <v>2.4400000000000004</v>
      </c>
      <c r="H225" s="21">
        <f>MIN('3.1 Market'!$F216,'1.1 Control Panel'!H466*'1.1 Control Panel'!H$445)</f>
        <v>2.9520000000000004</v>
      </c>
      <c r="I225" s="21">
        <f>MIN('3.1 Market'!$F216,'1.1 Control Panel'!I466*'1.1 Control Panel'!I$445)</f>
        <v>3.3616000000000006</v>
      </c>
      <c r="J225" s="21">
        <f>MIN('3.1 Market'!$F216,'1.1 Control Panel'!J466*'1.1 Control Panel'!J$445)</f>
        <v>3.6892800000000006</v>
      </c>
      <c r="K225" s="21">
        <f>MIN('3.1 Market'!$F216,'1.1 Control Panel'!K466*'1.1 Control Panel'!K$445)</f>
        <v>3.9514240000000007</v>
      </c>
      <c r="L225" s="21">
        <f>MIN('3.1 Market'!$F216,'1.1 Control Panel'!L466*'1.1 Control Panel'!L$445)</f>
        <v>4.1611392000000009</v>
      </c>
      <c r="M225" s="21">
        <f>MIN('3.1 Market'!$F216,'1.1 Control Panel'!M466*'1.1 Control Panel'!M$445)</f>
        <v>4.3289113600000011</v>
      </c>
      <c r="N225" s="21">
        <f>MIN('3.1 Market'!$F216,'1.1 Control Panel'!N466*'1.1 Control Panel'!N$445)</f>
        <v>4.4631290880000005</v>
      </c>
      <c r="O225" s="21">
        <f>MIN('3.1 Market'!$F216,'1.1 Control Panel'!O466*'1.1 Control Panel'!O$445)</f>
        <v>4.5705032704000006</v>
      </c>
      <c r="P225" s="21">
        <f>MIN('3.1 Market'!$F216,'1.1 Control Panel'!P466*'1.1 Control Panel'!P$445)</f>
        <v>4.6564026163200012</v>
      </c>
      <c r="Q225" s="21">
        <f>MIN('3.1 Market'!$G216,'1.1 Control Panel'!Q466*'1.1 Control Panel'!Q$445)</f>
        <v>9.4502441861120019</v>
      </c>
      <c r="R225" s="21">
        <f>MIN('3.1 Market'!$G216,'1.1 Control Panel'!R466*'1.1 Control Panel'!R$445)</f>
        <v>9.5601953488896019</v>
      </c>
      <c r="S225" s="21">
        <f>MIN('3.1 Market'!$G216,'1.1 Control Panel'!S466*'1.1 Control Panel'!S$445)</f>
        <v>9.6481562791116815</v>
      </c>
      <c r="T225" s="21">
        <f>MIN('3.1 Market'!$G216,'1.1 Control Panel'!T466*'1.1 Control Panel'!T$445)</f>
        <v>9.7185250232893452</v>
      </c>
      <c r="U225" s="21">
        <f>MIN('3.1 Market'!$G216,'1.1 Control Panel'!U466*'1.1 Control Panel'!U$445)</f>
        <v>14.662230027947215</v>
      </c>
      <c r="V225" s="21">
        <f>MIN('3.1 Market'!$G216,'1.1 Control Panel'!V466*'1.1 Control Panel'!V$445)</f>
        <v>14.729784022357771</v>
      </c>
      <c r="W225" s="21">
        <f>MIN('3.1 Market'!$G216,'1.1 Control Panel'!W466*'1.1 Control Panel'!W$445)</f>
        <v>14.783827217886218</v>
      </c>
      <c r="X225" s="21">
        <f>MIN('3.1 Market'!$G216,'1.1 Control Panel'!X466*'1.1 Control Panel'!X$445)</f>
        <v>14.827061774308977</v>
      </c>
      <c r="Y225" s="21">
        <f>MIN('3.1 Market'!$G216,'1.1 Control Panel'!Y466*'1.1 Control Panel'!Y$445)</f>
        <v>14.861649419447183</v>
      </c>
      <c r="Z225" s="21">
        <f>MIN('3.1 Market'!$G216,'1.1 Control Panel'!Z466*'1.1 Control Panel'!Z$445)</f>
        <v>14.889319535557744</v>
      </c>
      <c r="AA225" s="21">
        <f>MIN('3.1 Market'!$G216,'1.1 Control Panel'!AA466*'1.1 Control Panel'!AA$445)</f>
        <v>14.911455628446197</v>
      </c>
      <c r="AB225" s="21">
        <f>MIN('3.1 Market'!$G216,'1.1 Control Panel'!AB466*'1.1 Control Panel'!AB$445)</f>
        <v>14.929164502756956</v>
      </c>
      <c r="AC225" s="21">
        <f>MIN('3.1 Market'!$H216,'1.1 Control Panel'!AC466*'1.1 Control Panel'!AC$445)</f>
        <v>24.905552670342608</v>
      </c>
      <c r="AD225" s="21">
        <f>MIN('3.1 Market'!$H216,'1.1 Control Panel'!AD466*'1.1 Control Panel'!AD$445)</f>
        <v>24.924442136274088</v>
      </c>
      <c r="AE225" s="21">
        <f>MIN('3.1 Market'!$H216,'1.1 Control Panel'!AE466*'1.1 Control Panel'!AE$445)</f>
        <v>24.939553709019275</v>
      </c>
      <c r="AF225" s="21">
        <f>MIN('3.1 Market'!$H216,'1.1 Control Panel'!AF466*'1.1 Control Panel'!AF$445)</f>
        <v>24.951642967215424</v>
      </c>
      <c r="AG225" s="21">
        <f>MIN('3.1 Market'!$H216,'1.1 Control Panel'!AG466*'1.1 Control Panel'!AG$445)</f>
        <v>34.945840123281279</v>
      </c>
      <c r="AH225" s="21">
        <f>MIN('3.1 Market'!$H216,'1.1 Control Panel'!AH466*'1.1 Control Panel'!AH$445)</f>
        <v>34.95667209862502</v>
      </c>
      <c r="AI225" s="21">
        <f>MIN('3.1 Market'!$H216,'1.1 Control Panel'!AI466*'1.1 Control Panel'!AI$445)</f>
        <v>34.965337678900021</v>
      </c>
      <c r="AJ225" s="21">
        <f>MIN('3.1 Market'!$H216,'1.1 Control Panel'!AJ466*'1.1 Control Panel'!AJ$445)</f>
        <v>34.972270143120021</v>
      </c>
      <c r="AK225" s="21">
        <f>MIN('3.1 Market'!$H216,'1.1 Control Panel'!AK466*'1.1 Control Panel'!AK$445)</f>
        <v>39.974646987995449</v>
      </c>
      <c r="AL225" s="21">
        <f>MIN('3.1 Market'!$H216,'1.1 Control Panel'!AL466*'1.1 Control Panel'!AL$445)</f>
        <v>39.979717590396362</v>
      </c>
      <c r="AM225" s="21">
        <f>MIN('3.1 Market'!$H216,'1.1 Control Panel'!AM466*'1.1 Control Panel'!AM$445)</f>
        <v>39.98377407231709</v>
      </c>
      <c r="AN225" s="21">
        <f>MIN('3.1 Market'!$H216,'1.1 Control Panel'!AN466*'1.1 Control Panel'!AN$445)</f>
        <v>39.987019257853675</v>
      </c>
      <c r="AP225" s="21"/>
    </row>
    <row r="226" spans="2:42" x14ac:dyDescent="0.25">
      <c r="C226" s="21" t="s">
        <v>456</v>
      </c>
      <c r="D226" s="38" t="s">
        <v>162</v>
      </c>
      <c r="E226" s="21">
        <f>MIN('3.1 Market'!$F217,'1.1 Control Panel'!E467*'1.1 Control Panel'!E$445)</f>
        <v>0</v>
      </c>
      <c r="F226" s="21">
        <f>MIN('3.1 Market'!$F217,'1.1 Control Panel'!F467*'1.1 Control Panel'!F$445)</f>
        <v>0</v>
      </c>
      <c r="G226" s="21">
        <f>MIN('3.1 Market'!$F217,'1.1 Control Panel'!G467*'1.1 Control Panel'!G$445)</f>
        <v>1.8</v>
      </c>
      <c r="H226" s="21">
        <f>MIN('3.1 Market'!$F217,'1.1 Control Panel'!H467*'1.1 Control Panel'!H$445)</f>
        <v>2.4400000000000004</v>
      </c>
      <c r="I226" s="21">
        <f>MIN('3.1 Market'!$F217,'1.1 Control Panel'!I467*'1.1 Control Panel'!I$445)</f>
        <v>2.9520000000000004</v>
      </c>
      <c r="J226" s="21">
        <f>MIN('3.1 Market'!$F217,'1.1 Control Panel'!J467*'1.1 Control Panel'!J$445)</f>
        <v>3.3616000000000006</v>
      </c>
      <c r="K226" s="21">
        <f>MIN('3.1 Market'!$F217,'1.1 Control Panel'!K467*'1.1 Control Panel'!K$445)</f>
        <v>3.6892800000000006</v>
      </c>
      <c r="L226" s="21">
        <f>MIN('3.1 Market'!$F217,'1.1 Control Panel'!L467*'1.1 Control Panel'!L$445)</f>
        <v>3.9514240000000007</v>
      </c>
      <c r="M226" s="21">
        <f>MIN('3.1 Market'!$F217,'1.1 Control Panel'!M467*'1.1 Control Panel'!M$445)</f>
        <v>4.1611392000000009</v>
      </c>
      <c r="N226" s="21">
        <f>MIN('3.1 Market'!$F217,'1.1 Control Panel'!N467*'1.1 Control Panel'!N$445)</f>
        <v>4.3289113600000011</v>
      </c>
      <c r="O226" s="21">
        <f>MIN('3.1 Market'!$F217,'1.1 Control Panel'!O467*'1.1 Control Panel'!O$445)</f>
        <v>4.4631290880000005</v>
      </c>
      <c r="P226" s="21">
        <f>MIN('3.1 Market'!$F217,'1.1 Control Panel'!P467*'1.1 Control Panel'!P$445)</f>
        <v>4.5705032704000006</v>
      </c>
      <c r="Q226" s="21">
        <f>MIN('3.1 Market'!$G217,'1.1 Control Panel'!Q467*'1.1 Control Panel'!Q$445)</f>
        <v>9.3128052326400024</v>
      </c>
      <c r="R226" s="21">
        <f>MIN('3.1 Market'!$G217,'1.1 Control Panel'!R467*'1.1 Control Panel'!R$445)</f>
        <v>9.4502441861120019</v>
      </c>
      <c r="S226" s="21">
        <f>MIN('3.1 Market'!$G217,'1.1 Control Panel'!S467*'1.1 Control Panel'!S$445)</f>
        <v>9.5601953488896019</v>
      </c>
      <c r="T226" s="21">
        <f>MIN('3.1 Market'!$G217,'1.1 Control Panel'!T467*'1.1 Control Panel'!T$445)</f>
        <v>9.6481562791116815</v>
      </c>
      <c r="U226" s="21">
        <f>MIN('3.1 Market'!$G217,'1.1 Control Panel'!U467*'1.1 Control Panel'!U$445)</f>
        <v>14.577787534934018</v>
      </c>
      <c r="V226" s="21">
        <f>MIN('3.1 Market'!$G217,'1.1 Control Panel'!V467*'1.1 Control Panel'!V$445)</f>
        <v>14.662230027947215</v>
      </c>
      <c r="W226" s="21">
        <f>MIN('3.1 Market'!$G217,'1.1 Control Panel'!W467*'1.1 Control Panel'!W$445)</f>
        <v>14.729784022357771</v>
      </c>
      <c r="X226" s="21">
        <f>MIN('3.1 Market'!$G217,'1.1 Control Panel'!X467*'1.1 Control Panel'!X$445)</f>
        <v>14.783827217886218</v>
      </c>
      <c r="Y226" s="21">
        <f>MIN('3.1 Market'!$G217,'1.1 Control Panel'!Y467*'1.1 Control Panel'!Y$445)</f>
        <v>14.827061774308977</v>
      </c>
      <c r="Z226" s="21">
        <f>MIN('3.1 Market'!$G217,'1.1 Control Panel'!Z467*'1.1 Control Panel'!Z$445)</f>
        <v>14.861649419447183</v>
      </c>
      <c r="AA226" s="21">
        <f>MIN('3.1 Market'!$G217,'1.1 Control Panel'!AA467*'1.1 Control Panel'!AA$445)</f>
        <v>14.889319535557744</v>
      </c>
      <c r="AB226" s="21">
        <f>MIN('3.1 Market'!$G217,'1.1 Control Panel'!AB467*'1.1 Control Panel'!AB$445)</f>
        <v>14.911455628446197</v>
      </c>
      <c r="AC226" s="21">
        <f>MIN('3.1 Market'!$H217,'1.1 Control Panel'!AC467*'1.1 Control Panel'!AC$445)</f>
        <v>24.881940837928262</v>
      </c>
      <c r="AD226" s="21">
        <f>MIN('3.1 Market'!$H217,'1.1 Control Panel'!AD467*'1.1 Control Panel'!AD$445)</f>
        <v>24.905552670342608</v>
      </c>
      <c r="AE226" s="21">
        <f>MIN('3.1 Market'!$H217,'1.1 Control Panel'!AE467*'1.1 Control Panel'!AE$445)</f>
        <v>24.924442136274088</v>
      </c>
      <c r="AF226" s="21">
        <f>MIN('3.1 Market'!$H217,'1.1 Control Panel'!AF467*'1.1 Control Panel'!AF$445)</f>
        <v>24.939553709019275</v>
      </c>
      <c r="AG226" s="21">
        <f>MIN('3.1 Market'!$H217,'1.1 Control Panel'!AG467*'1.1 Control Panel'!AG$445)</f>
        <v>34.932300154101597</v>
      </c>
      <c r="AH226" s="21">
        <f>MIN('3.1 Market'!$H217,'1.1 Control Panel'!AH467*'1.1 Control Panel'!AH$445)</f>
        <v>34.945840123281279</v>
      </c>
      <c r="AI226" s="21">
        <f>MIN('3.1 Market'!$H217,'1.1 Control Panel'!AI467*'1.1 Control Panel'!AI$445)</f>
        <v>34.95667209862502</v>
      </c>
      <c r="AJ226" s="21">
        <f>MIN('3.1 Market'!$H217,'1.1 Control Panel'!AJ467*'1.1 Control Panel'!AJ$445)</f>
        <v>34.965337678900021</v>
      </c>
      <c r="AK226" s="21">
        <f>MIN('3.1 Market'!$H217,'1.1 Control Panel'!AK467*'1.1 Control Panel'!AK$445)</f>
        <v>39.968308734994309</v>
      </c>
      <c r="AL226" s="21">
        <f>MIN('3.1 Market'!$H217,'1.1 Control Panel'!AL467*'1.1 Control Panel'!AL$445)</f>
        <v>39.974646987995449</v>
      </c>
      <c r="AM226" s="21">
        <f>MIN('3.1 Market'!$H217,'1.1 Control Panel'!AM467*'1.1 Control Panel'!AM$445)</f>
        <v>39.979717590396362</v>
      </c>
      <c r="AN226" s="21">
        <f>MIN('3.1 Market'!$H217,'1.1 Control Panel'!AN467*'1.1 Control Panel'!AN$445)</f>
        <v>39.98377407231709</v>
      </c>
      <c r="AP226" s="21"/>
    </row>
    <row r="227" spans="2:42" x14ac:dyDescent="0.25">
      <c r="B227" s="99" t="s">
        <v>9</v>
      </c>
      <c r="C227" s="105" t="str">
        <f>'4.2 Sector Mapping'!$B$10</f>
        <v>Industrials and Services</v>
      </c>
      <c r="D227" s="106" t="s">
        <v>162</v>
      </c>
      <c r="E227" s="105">
        <f>SUM(E228:E233)</f>
        <v>0</v>
      </c>
      <c r="F227" s="105">
        <f t="shared" ref="F227:H227" si="129">SUM(F228:F233)</f>
        <v>0</v>
      </c>
      <c r="G227" s="105">
        <f t="shared" si="129"/>
        <v>0</v>
      </c>
      <c r="H227" s="105">
        <f t="shared" si="129"/>
        <v>0</v>
      </c>
      <c r="I227" s="105">
        <f t="shared" ref="I227:AN227" si="130">SUM(I228:I233)</f>
        <v>0</v>
      </c>
      <c r="J227" s="105">
        <f t="shared" si="130"/>
        <v>0</v>
      </c>
      <c r="K227" s="105">
        <f t="shared" si="130"/>
        <v>0</v>
      </c>
      <c r="L227" s="105">
        <f t="shared" si="130"/>
        <v>0</v>
      </c>
      <c r="M227" s="105">
        <f t="shared" si="130"/>
        <v>0</v>
      </c>
      <c r="N227" s="105">
        <f t="shared" si="130"/>
        <v>0</v>
      </c>
      <c r="O227" s="105">
        <f t="shared" si="130"/>
        <v>0</v>
      </c>
      <c r="P227" s="105">
        <f t="shared" si="130"/>
        <v>0</v>
      </c>
      <c r="Q227" s="105">
        <f t="shared" si="130"/>
        <v>28.969207848960004</v>
      </c>
      <c r="R227" s="105">
        <f t="shared" si="130"/>
        <v>29.175366279168006</v>
      </c>
      <c r="S227" s="105">
        <f t="shared" si="130"/>
        <v>29.340293023334404</v>
      </c>
      <c r="T227" s="105">
        <f t="shared" si="130"/>
        <v>29.472234418667526</v>
      </c>
      <c r="U227" s="105">
        <f t="shared" si="130"/>
        <v>59.155575069868036</v>
      </c>
      <c r="V227" s="105">
        <f t="shared" si="130"/>
        <v>59.324460055894434</v>
      </c>
      <c r="W227" s="105">
        <f t="shared" si="130"/>
        <v>59.459568044715553</v>
      </c>
      <c r="X227" s="105">
        <f t="shared" si="130"/>
        <v>59.56765443577244</v>
      </c>
      <c r="Y227" s="105">
        <f t="shared" si="130"/>
        <v>59.654123548617953</v>
      </c>
      <c r="Z227" s="105">
        <f t="shared" si="130"/>
        <v>59.723298838894358</v>
      </c>
      <c r="AA227" s="105">
        <f t="shared" si="130"/>
        <v>59.778639071115492</v>
      </c>
      <c r="AB227" s="105">
        <f t="shared" si="130"/>
        <v>59.822911256892397</v>
      </c>
      <c r="AC227" s="105">
        <f t="shared" si="130"/>
        <v>179.57498701654177</v>
      </c>
      <c r="AD227" s="105">
        <f t="shared" si="130"/>
        <v>179.65998961323342</v>
      </c>
      <c r="AE227" s="105">
        <f t="shared" si="130"/>
        <v>179.72799169058672</v>
      </c>
      <c r="AF227" s="105">
        <f t="shared" si="130"/>
        <v>179.7823933524694</v>
      </c>
      <c r="AG227" s="105">
        <f t="shared" si="130"/>
        <v>299.70985780329255</v>
      </c>
      <c r="AH227" s="105">
        <f t="shared" si="130"/>
        <v>299.76788624263406</v>
      </c>
      <c r="AI227" s="105">
        <f t="shared" si="130"/>
        <v>299.81430899410725</v>
      </c>
      <c r="AJ227" s="105">
        <f t="shared" si="130"/>
        <v>299.8514471952858</v>
      </c>
      <c r="AK227" s="105">
        <f t="shared" si="130"/>
        <v>389.84550508309724</v>
      </c>
      <c r="AL227" s="105">
        <f t="shared" si="130"/>
        <v>389.87640406647779</v>
      </c>
      <c r="AM227" s="105">
        <f t="shared" si="130"/>
        <v>389.90112325318228</v>
      </c>
      <c r="AN227" s="105">
        <f t="shared" si="130"/>
        <v>389.92089860254583</v>
      </c>
      <c r="AP227" s="105"/>
    </row>
    <row r="228" spans="2:42" x14ac:dyDescent="0.25">
      <c r="C228" s="20" t="s">
        <v>600</v>
      </c>
      <c r="D228" s="34" t="s">
        <v>162</v>
      </c>
      <c r="E228" s="20">
        <f>MIN('3.1 Market'!$F219,'1.1 Control Panel'!E493*'1.1 Control Panel'!E$476)</f>
        <v>0</v>
      </c>
      <c r="F228" s="20">
        <f>MIN('3.1 Market'!$F219,'1.1 Control Panel'!F493*'1.1 Control Panel'!F$476)</f>
        <v>0</v>
      </c>
      <c r="G228" s="20">
        <f>MIN('3.1 Market'!$F219,'1.1 Control Panel'!G493*'1.1 Control Panel'!G$476)</f>
        <v>0</v>
      </c>
      <c r="H228" s="20">
        <f>MIN('3.1 Market'!$F219,'1.1 Control Panel'!H493*'1.1 Control Panel'!H$476)</f>
        <v>0</v>
      </c>
      <c r="I228" s="20">
        <f>MIN('3.1 Market'!$F219,'1.1 Control Panel'!I493*'1.1 Control Panel'!I$476)</f>
        <v>0</v>
      </c>
      <c r="J228" s="20">
        <f>MIN('3.1 Market'!$F219,'1.1 Control Panel'!J493*'1.1 Control Panel'!J$476)</f>
        <v>0</v>
      </c>
      <c r="K228" s="20">
        <f>MIN('3.1 Market'!$F219,'1.1 Control Panel'!K493*'1.1 Control Panel'!K$476)</f>
        <v>0</v>
      </c>
      <c r="L228" s="20">
        <f>MIN('3.1 Market'!$F219,'1.1 Control Panel'!L493*'1.1 Control Panel'!L$476)</f>
        <v>0</v>
      </c>
      <c r="M228" s="20">
        <f>MIN('3.1 Market'!$F219,'1.1 Control Panel'!M493*'1.1 Control Panel'!M$476)</f>
        <v>0</v>
      </c>
      <c r="N228" s="20">
        <f>MIN('3.1 Market'!$F219,'1.1 Control Panel'!N493*'1.1 Control Panel'!N$476)</f>
        <v>0</v>
      </c>
      <c r="O228" s="20">
        <f>MIN('3.1 Market'!$F219,'1.1 Control Panel'!O493*'1.1 Control Panel'!O$476)</f>
        <v>0</v>
      </c>
      <c r="P228" s="20">
        <f>MIN('3.1 Market'!$F219,'1.1 Control Panel'!P493*'1.1 Control Panel'!P$476)</f>
        <v>0</v>
      </c>
      <c r="Q228" s="20">
        <f>MIN('3.1 Market'!$G219,'1.1 Control Panel'!Q493*'1.1 Control Panel'!Q$476)</f>
        <v>5</v>
      </c>
      <c r="R228" s="20">
        <f>MIN('3.1 Market'!$G219,'1.1 Control Panel'!R493*'1.1 Control Panel'!R$476)</f>
        <v>5</v>
      </c>
      <c r="S228" s="20">
        <f>MIN('3.1 Market'!$G219,'1.1 Control Panel'!S493*'1.1 Control Panel'!S$476)</f>
        <v>5</v>
      </c>
      <c r="T228" s="20">
        <f>MIN('3.1 Market'!$G219,'1.1 Control Panel'!T493*'1.1 Control Panel'!T$476)</f>
        <v>5</v>
      </c>
      <c r="U228" s="20">
        <f>MIN('3.1 Market'!$G219,'1.1 Control Panel'!U493*'1.1 Control Panel'!U$476)</f>
        <v>10</v>
      </c>
      <c r="V228" s="20">
        <f>MIN('3.1 Market'!$G219,'1.1 Control Panel'!V493*'1.1 Control Panel'!V$476)</f>
        <v>10</v>
      </c>
      <c r="W228" s="20">
        <f>MIN('3.1 Market'!$G219,'1.1 Control Panel'!W493*'1.1 Control Panel'!W$476)</f>
        <v>10</v>
      </c>
      <c r="X228" s="20">
        <f>MIN('3.1 Market'!$G219,'1.1 Control Panel'!X493*'1.1 Control Panel'!X$476)</f>
        <v>10</v>
      </c>
      <c r="Y228" s="20">
        <f>MIN('3.1 Market'!$G219,'1.1 Control Panel'!Y493*'1.1 Control Panel'!Y$476)</f>
        <v>10</v>
      </c>
      <c r="Z228" s="20">
        <f>MIN('3.1 Market'!$G219,'1.1 Control Panel'!Z493*'1.1 Control Panel'!Z$476)</f>
        <v>10</v>
      </c>
      <c r="AA228" s="20">
        <f>MIN('3.1 Market'!$G219,'1.1 Control Panel'!AA493*'1.1 Control Panel'!AA$476)</f>
        <v>10</v>
      </c>
      <c r="AB228" s="20">
        <f>MIN('3.1 Market'!$G219,'1.1 Control Panel'!AB493*'1.1 Control Panel'!AB$476)</f>
        <v>10</v>
      </c>
      <c r="AC228" s="20">
        <f>MIN('3.1 Market'!$H219,'1.1 Control Panel'!AC493*'1.1 Control Panel'!AC$476)</f>
        <v>30</v>
      </c>
      <c r="AD228" s="20">
        <f>MIN('3.1 Market'!$H219,'1.1 Control Panel'!AD493*'1.1 Control Panel'!AD$476)</f>
        <v>30</v>
      </c>
      <c r="AE228" s="20">
        <f>MIN('3.1 Market'!$H219,'1.1 Control Panel'!AE493*'1.1 Control Panel'!AE$476)</f>
        <v>30</v>
      </c>
      <c r="AF228" s="20">
        <f>MIN('3.1 Market'!$H219,'1.1 Control Panel'!AF493*'1.1 Control Panel'!AF$476)</f>
        <v>30</v>
      </c>
      <c r="AG228" s="20">
        <f>MIN('3.1 Market'!$H219,'1.1 Control Panel'!AG493*'1.1 Control Panel'!AG$476)</f>
        <v>50</v>
      </c>
      <c r="AH228" s="20">
        <f>MIN('3.1 Market'!$H219,'1.1 Control Panel'!AH493*'1.1 Control Panel'!AH$476)</f>
        <v>50</v>
      </c>
      <c r="AI228" s="20">
        <f>MIN('3.1 Market'!$H219,'1.1 Control Panel'!AI493*'1.1 Control Panel'!AI$476)</f>
        <v>50</v>
      </c>
      <c r="AJ228" s="20">
        <f>MIN('3.1 Market'!$H219,'1.1 Control Panel'!AJ493*'1.1 Control Panel'!AJ$476)</f>
        <v>50</v>
      </c>
      <c r="AK228" s="20">
        <f>MIN('3.1 Market'!$H219,'1.1 Control Panel'!AK493*'1.1 Control Panel'!AK$476)</f>
        <v>65</v>
      </c>
      <c r="AL228" s="20">
        <f>MIN('3.1 Market'!$H219,'1.1 Control Panel'!AL493*'1.1 Control Panel'!AL$476)</f>
        <v>65</v>
      </c>
      <c r="AM228" s="20">
        <f>MIN('3.1 Market'!$H219,'1.1 Control Panel'!AM493*'1.1 Control Panel'!AM$476)</f>
        <v>65</v>
      </c>
      <c r="AN228" s="20">
        <f>MIN('3.1 Market'!$H219,'1.1 Control Panel'!AN493*'1.1 Control Panel'!AN$476)</f>
        <v>65</v>
      </c>
      <c r="AP228" s="20"/>
    </row>
    <row r="229" spans="2:42" x14ac:dyDescent="0.25">
      <c r="C229" s="20" t="s">
        <v>392</v>
      </c>
      <c r="D229" s="34" t="s">
        <v>162</v>
      </c>
      <c r="E229" s="20">
        <f>MIN('3.1 Market'!$F220,'1.1 Control Panel'!E494*'1.1 Control Panel'!E$476)</f>
        <v>0</v>
      </c>
      <c r="F229" s="20">
        <f>MIN('3.1 Market'!$F220,'1.1 Control Panel'!F494*'1.1 Control Panel'!F$476)</f>
        <v>0</v>
      </c>
      <c r="G229" s="20">
        <f>MIN('3.1 Market'!$F220,'1.1 Control Panel'!G494*'1.1 Control Panel'!G$476)</f>
        <v>0</v>
      </c>
      <c r="H229" s="20">
        <f>MIN('3.1 Market'!$F220,'1.1 Control Panel'!H494*'1.1 Control Panel'!H$476)</f>
        <v>0</v>
      </c>
      <c r="I229" s="20">
        <f>MIN('3.1 Market'!$F220,'1.1 Control Panel'!I494*'1.1 Control Panel'!I$476)</f>
        <v>0</v>
      </c>
      <c r="J229" s="20">
        <f>MIN('3.1 Market'!$F220,'1.1 Control Panel'!J494*'1.1 Control Panel'!J$476)</f>
        <v>0</v>
      </c>
      <c r="K229" s="20">
        <f>MIN('3.1 Market'!$F220,'1.1 Control Panel'!K494*'1.1 Control Panel'!K$476)</f>
        <v>0</v>
      </c>
      <c r="L229" s="20">
        <f>MIN('3.1 Market'!$F220,'1.1 Control Panel'!L494*'1.1 Control Panel'!L$476)</f>
        <v>0</v>
      </c>
      <c r="M229" s="20">
        <f>MIN('3.1 Market'!$F220,'1.1 Control Panel'!M494*'1.1 Control Panel'!M$476)</f>
        <v>0</v>
      </c>
      <c r="N229" s="20">
        <f>MIN('3.1 Market'!$F220,'1.1 Control Panel'!N494*'1.1 Control Panel'!N$476)</f>
        <v>0</v>
      </c>
      <c r="O229" s="20">
        <f>MIN('3.1 Market'!$F220,'1.1 Control Panel'!O494*'1.1 Control Panel'!O$476)</f>
        <v>0</v>
      </c>
      <c r="P229" s="20">
        <f>MIN('3.1 Market'!$F220,'1.1 Control Panel'!P494*'1.1 Control Panel'!P$476)</f>
        <v>0</v>
      </c>
      <c r="Q229" s="20">
        <f>MIN('3.1 Market'!$G220,'1.1 Control Panel'!Q494*'1.1 Control Panel'!Q$476)</f>
        <v>4.9312805232640002</v>
      </c>
      <c r="R229" s="20">
        <f>MIN('3.1 Market'!$G220,'1.1 Control Panel'!R494*'1.1 Control Panel'!R$476)</f>
        <v>4.9450244186112009</v>
      </c>
      <c r="S229" s="20">
        <f>MIN('3.1 Market'!$G220,'1.1 Control Panel'!S494*'1.1 Control Panel'!S$476)</f>
        <v>4.9560195348889611</v>
      </c>
      <c r="T229" s="20">
        <f>MIN('3.1 Market'!$G220,'1.1 Control Panel'!T494*'1.1 Control Panel'!T$476)</f>
        <v>4.964815627911169</v>
      </c>
      <c r="U229" s="20">
        <f>MIN('3.1 Market'!$G220,'1.1 Control Panel'!U494*'1.1 Control Panel'!U$476)</f>
        <v>9.9437050046578719</v>
      </c>
      <c r="V229" s="20">
        <f>MIN('3.1 Market'!$G220,'1.1 Control Panel'!V494*'1.1 Control Panel'!V$476)</f>
        <v>9.9549640037262979</v>
      </c>
      <c r="W229" s="20">
        <f>MIN('3.1 Market'!$G220,'1.1 Control Panel'!W494*'1.1 Control Panel'!W$476)</f>
        <v>9.963971202981039</v>
      </c>
      <c r="X229" s="20">
        <f>MIN('3.1 Market'!$G220,'1.1 Control Panel'!X494*'1.1 Control Panel'!X$476)</f>
        <v>9.9711769623848312</v>
      </c>
      <c r="Y229" s="20">
        <f>MIN('3.1 Market'!$G220,'1.1 Control Panel'!Y494*'1.1 Control Panel'!Y$476)</f>
        <v>9.976941569907865</v>
      </c>
      <c r="Z229" s="20">
        <f>MIN('3.1 Market'!$G220,'1.1 Control Panel'!Z494*'1.1 Control Panel'!Z$476)</f>
        <v>9.9815532559262934</v>
      </c>
      <c r="AA229" s="20">
        <f>MIN('3.1 Market'!$G220,'1.1 Control Panel'!AA494*'1.1 Control Panel'!AA$476)</f>
        <v>9.9852426047410354</v>
      </c>
      <c r="AB229" s="20">
        <f>MIN('3.1 Market'!$G220,'1.1 Control Panel'!AB494*'1.1 Control Panel'!AB$476)</f>
        <v>9.9881940837928287</v>
      </c>
      <c r="AC229" s="20">
        <f>MIN('3.1 Market'!$H220,'1.1 Control Panel'!AC494*'1.1 Control Panel'!AC$476)</f>
        <v>29.971665801102791</v>
      </c>
      <c r="AD229" s="20">
        <f>MIN('3.1 Market'!$H220,'1.1 Control Panel'!AD494*'1.1 Control Panel'!AD$476)</f>
        <v>29.977332640882235</v>
      </c>
      <c r="AE229" s="20">
        <f>MIN('3.1 Market'!$H220,'1.1 Control Panel'!AE494*'1.1 Control Panel'!AE$476)</f>
        <v>29.981866112705788</v>
      </c>
      <c r="AF229" s="20">
        <f>MIN('3.1 Market'!$H220,'1.1 Control Panel'!AF494*'1.1 Control Panel'!AF$476)</f>
        <v>29.985492890164632</v>
      </c>
      <c r="AG229" s="20">
        <f>MIN('3.1 Market'!$H220,'1.1 Control Panel'!AG494*'1.1 Control Panel'!AG$476)</f>
        <v>49.980657186886184</v>
      </c>
      <c r="AH229" s="20">
        <f>MIN('3.1 Market'!$H220,'1.1 Control Panel'!AH494*'1.1 Control Panel'!AH$476)</f>
        <v>49.984525749508947</v>
      </c>
      <c r="AI229" s="20">
        <f>MIN('3.1 Market'!$H220,'1.1 Control Panel'!AI494*'1.1 Control Panel'!AI$476)</f>
        <v>49.987620599607155</v>
      </c>
      <c r="AJ229" s="20">
        <f>MIN('3.1 Market'!$H220,'1.1 Control Panel'!AJ494*'1.1 Control Panel'!AJ$476)</f>
        <v>49.990096479685718</v>
      </c>
      <c r="AK229" s="20">
        <f>MIN('3.1 Market'!$H220,'1.1 Control Panel'!AK494*'1.1 Control Panel'!AK$476)</f>
        <v>64.989700338873163</v>
      </c>
      <c r="AL229" s="20">
        <f>MIN('3.1 Market'!$H220,'1.1 Control Panel'!AL494*'1.1 Control Panel'!AL$476)</f>
        <v>64.991760271098528</v>
      </c>
      <c r="AM229" s="20">
        <f>MIN('3.1 Market'!$H220,'1.1 Control Panel'!AM494*'1.1 Control Panel'!AM$476)</f>
        <v>64.993408216878819</v>
      </c>
      <c r="AN229" s="20">
        <f>MIN('3.1 Market'!$H220,'1.1 Control Panel'!AN494*'1.1 Control Panel'!AN$476)</f>
        <v>64.994726573503044</v>
      </c>
      <c r="AP229" s="20"/>
    </row>
    <row r="230" spans="2:42" x14ac:dyDescent="0.25">
      <c r="C230" s="20" t="s">
        <v>454</v>
      </c>
      <c r="D230" s="34" t="s">
        <v>162</v>
      </c>
      <c r="E230" s="20">
        <f>MIN('3.1 Market'!$F221,'1.1 Control Panel'!E495*'1.1 Control Panel'!E$476)</f>
        <v>0</v>
      </c>
      <c r="F230" s="20">
        <f>MIN('3.1 Market'!$F221,'1.1 Control Panel'!F495*'1.1 Control Panel'!F$476)</f>
        <v>0</v>
      </c>
      <c r="G230" s="20">
        <f>MIN('3.1 Market'!$F221,'1.1 Control Panel'!G495*'1.1 Control Panel'!G$476)</f>
        <v>0</v>
      </c>
      <c r="H230" s="20">
        <f>MIN('3.1 Market'!$F221,'1.1 Control Panel'!H495*'1.1 Control Panel'!H$476)</f>
        <v>0</v>
      </c>
      <c r="I230" s="20">
        <f>MIN('3.1 Market'!$F221,'1.1 Control Panel'!I495*'1.1 Control Panel'!I$476)</f>
        <v>0</v>
      </c>
      <c r="J230" s="20">
        <f>MIN('3.1 Market'!$F221,'1.1 Control Panel'!J495*'1.1 Control Panel'!J$476)</f>
        <v>0</v>
      </c>
      <c r="K230" s="20">
        <f>MIN('3.1 Market'!$F221,'1.1 Control Panel'!K495*'1.1 Control Panel'!K$476)</f>
        <v>0</v>
      </c>
      <c r="L230" s="20">
        <f>MIN('3.1 Market'!$F221,'1.1 Control Panel'!L495*'1.1 Control Panel'!L$476)</f>
        <v>0</v>
      </c>
      <c r="M230" s="20">
        <f>MIN('3.1 Market'!$F221,'1.1 Control Panel'!M495*'1.1 Control Panel'!M$476)</f>
        <v>0</v>
      </c>
      <c r="N230" s="20">
        <f>MIN('3.1 Market'!$F221,'1.1 Control Panel'!N495*'1.1 Control Panel'!N$476)</f>
        <v>0</v>
      </c>
      <c r="O230" s="20">
        <f>MIN('3.1 Market'!$F221,'1.1 Control Panel'!O495*'1.1 Control Panel'!O$476)</f>
        <v>0</v>
      </c>
      <c r="P230" s="20">
        <f>MIN('3.1 Market'!$F221,'1.1 Control Panel'!P495*'1.1 Control Panel'!P$476)</f>
        <v>0</v>
      </c>
      <c r="Q230" s="20">
        <f>MIN('3.1 Market'!$G221,'1.1 Control Panel'!Q495*'1.1 Control Panel'!Q$476)</f>
        <v>4.8625610465280014</v>
      </c>
      <c r="R230" s="20">
        <f>MIN('3.1 Market'!$G221,'1.1 Control Panel'!R495*'1.1 Control Panel'!R$476)</f>
        <v>4.8900488372224018</v>
      </c>
      <c r="S230" s="20">
        <f>MIN('3.1 Market'!$G221,'1.1 Control Panel'!S495*'1.1 Control Panel'!S$476)</f>
        <v>4.9120390697779222</v>
      </c>
      <c r="T230" s="20">
        <f>MIN('3.1 Market'!$G221,'1.1 Control Panel'!T495*'1.1 Control Panel'!T$476)</f>
        <v>4.9296312558223381</v>
      </c>
      <c r="U230" s="20">
        <f>MIN('3.1 Market'!$G221,'1.1 Control Panel'!U495*'1.1 Control Panel'!U$476)</f>
        <v>9.8874100093157402</v>
      </c>
      <c r="V230" s="20">
        <f>MIN('3.1 Market'!$G221,'1.1 Control Panel'!V495*'1.1 Control Panel'!V$476)</f>
        <v>9.9099280074525922</v>
      </c>
      <c r="W230" s="20">
        <f>MIN('3.1 Market'!$G221,'1.1 Control Panel'!W495*'1.1 Control Panel'!W$476)</f>
        <v>9.9279424059620744</v>
      </c>
      <c r="X230" s="20">
        <f>MIN('3.1 Market'!$G221,'1.1 Control Panel'!X495*'1.1 Control Panel'!X$476)</f>
        <v>9.9423539247696588</v>
      </c>
      <c r="Y230" s="20">
        <f>MIN('3.1 Market'!$G221,'1.1 Control Panel'!Y495*'1.1 Control Panel'!Y$476)</f>
        <v>9.9538831398157264</v>
      </c>
      <c r="Z230" s="20">
        <f>MIN('3.1 Market'!$G221,'1.1 Control Panel'!Z495*'1.1 Control Panel'!Z$476)</f>
        <v>9.9631065118525814</v>
      </c>
      <c r="AA230" s="20">
        <f>MIN('3.1 Market'!$G221,'1.1 Control Panel'!AA495*'1.1 Control Panel'!AA$476)</f>
        <v>9.9704852094820655</v>
      </c>
      <c r="AB230" s="20">
        <f>MIN('3.1 Market'!$G221,'1.1 Control Panel'!AB495*'1.1 Control Panel'!AB$476)</f>
        <v>9.9763881675856538</v>
      </c>
      <c r="AC230" s="20">
        <f>MIN('3.1 Market'!$H221,'1.1 Control Panel'!AC495*'1.1 Control Panel'!AC$476)</f>
        <v>29.943331602205571</v>
      </c>
      <c r="AD230" s="20">
        <f>MIN('3.1 Market'!$H221,'1.1 Control Panel'!AD495*'1.1 Control Panel'!AD$476)</f>
        <v>29.954665281764459</v>
      </c>
      <c r="AE230" s="20">
        <f>MIN('3.1 Market'!$H221,'1.1 Control Panel'!AE495*'1.1 Control Panel'!AE$476)</f>
        <v>29.963732225411565</v>
      </c>
      <c r="AF230" s="20">
        <f>MIN('3.1 Market'!$H221,'1.1 Control Panel'!AF495*'1.1 Control Panel'!AF$476)</f>
        <v>29.970985780329254</v>
      </c>
      <c r="AG230" s="20">
        <f>MIN('3.1 Market'!$H221,'1.1 Control Panel'!AG495*'1.1 Control Panel'!AG$476)</f>
        <v>49.961314373772339</v>
      </c>
      <c r="AH230" s="20">
        <f>MIN('3.1 Market'!$H221,'1.1 Control Panel'!AH495*'1.1 Control Panel'!AH$476)</f>
        <v>49.969051499017866</v>
      </c>
      <c r="AI230" s="20">
        <f>MIN('3.1 Market'!$H221,'1.1 Control Panel'!AI495*'1.1 Control Panel'!AI$476)</f>
        <v>49.975241199214295</v>
      </c>
      <c r="AJ230" s="20">
        <f>MIN('3.1 Market'!$H221,'1.1 Control Panel'!AJ495*'1.1 Control Panel'!AJ$476)</f>
        <v>49.980192959371443</v>
      </c>
      <c r="AK230" s="20">
        <f>MIN('3.1 Market'!$H221,'1.1 Control Panel'!AK495*'1.1 Control Panel'!AK$476)</f>
        <v>64.979400677746298</v>
      </c>
      <c r="AL230" s="20">
        <f>MIN('3.1 Market'!$H221,'1.1 Control Panel'!AL495*'1.1 Control Panel'!AL$476)</f>
        <v>64.983520542197027</v>
      </c>
      <c r="AM230" s="20">
        <f>MIN('3.1 Market'!$H221,'1.1 Control Panel'!AM495*'1.1 Control Panel'!AM$476)</f>
        <v>64.986816433757639</v>
      </c>
      <c r="AN230" s="20">
        <f>MIN('3.1 Market'!$H221,'1.1 Control Panel'!AN495*'1.1 Control Panel'!AN$476)</f>
        <v>64.989453147006117</v>
      </c>
      <c r="AP230" s="20"/>
    </row>
    <row r="231" spans="2:42" x14ac:dyDescent="0.25">
      <c r="C231" s="21" t="s">
        <v>455</v>
      </c>
      <c r="D231" s="38" t="s">
        <v>162</v>
      </c>
      <c r="E231" s="21">
        <f>MIN('3.1 Market'!$F222,'1.1 Control Panel'!E496*'1.1 Control Panel'!E$476)</f>
        <v>0</v>
      </c>
      <c r="F231" s="21">
        <f>MIN('3.1 Market'!$F222,'1.1 Control Panel'!F496*'1.1 Control Panel'!F$476)</f>
        <v>0</v>
      </c>
      <c r="G231" s="21">
        <f>MIN('3.1 Market'!$F222,'1.1 Control Panel'!G496*'1.1 Control Panel'!G$476)</f>
        <v>0</v>
      </c>
      <c r="H231" s="21">
        <f>MIN('3.1 Market'!$F222,'1.1 Control Panel'!H496*'1.1 Control Panel'!H$476)</f>
        <v>0</v>
      </c>
      <c r="I231" s="21">
        <f>MIN('3.1 Market'!$F222,'1.1 Control Panel'!I496*'1.1 Control Panel'!I$476)</f>
        <v>0</v>
      </c>
      <c r="J231" s="21">
        <f>MIN('3.1 Market'!$F222,'1.1 Control Panel'!J496*'1.1 Control Panel'!J$476)</f>
        <v>0</v>
      </c>
      <c r="K231" s="21">
        <f>MIN('3.1 Market'!$F222,'1.1 Control Panel'!K496*'1.1 Control Panel'!K$476)</f>
        <v>0</v>
      </c>
      <c r="L231" s="21">
        <f>MIN('3.1 Market'!$F222,'1.1 Control Panel'!L496*'1.1 Control Panel'!L$476)</f>
        <v>0</v>
      </c>
      <c r="M231" s="21">
        <f>MIN('3.1 Market'!$F222,'1.1 Control Panel'!M496*'1.1 Control Panel'!M$476)</f>
        <v>0</v>
      </c>
      <c r="N231" s="21">
        <f>MIN('3.1 Market'!$F222,'1.1 Control Panel'!N496*'1.1 Control Panel'!N$476)</f>
        <v>0</v>
      </c>
      <c r="O231" s="21">
        <f>MIN('3.1 Market'!$F222,'1.1 Control Panel'!O496*'1.1 Control Panel'!O$476)</f>
        <v>0</v>
      </c>
      <c r="P231" s="21">
        <f>MIN('3.1 Market'!$F222,'1.1 Control Panel'!P496*'1.1 Control Panel'!P$476)</f>
        <v>0</v>
      </c>
      <c r="Q231" s="21">
        <f>MIN('3.1 Market'!$G222,'1.1 Control Panel'!Q496*'1.1 Control Panel'!Q$476)</f>
        <v>4.7938415697920007</v>
      </c>
      <c r="R231" s="21">
        <f>MIN('3.1 Market'!$G222,'1.1 Control Panel'!R496*'1.1 Control Panel'!R$476)</f>
        <v>4.8350732558336009</v>
      </c>
      <c r="S231" s="21">
        <f>MIN('3.1 Market'!$G222,'1.1 Control Panel'!S496*'1.1 Control Panel'!S$476)</f>
        <v>4.8680586046668815</v>
      </c>
      <c r="T231" s="21">
        <f>MIN('3.1 Market'!$G222,'1.1 Control Panel'!T496*'1.1 Control Panel'!T$476)</f>
        <v>4.8944468837335053</v>
      </c>
      <c r="U231" s="21">
        <f>MIN('3.1 Market'!$G222,'1.1 Control Panel'!U496*'1.1 Control Panel'!U$476)</f>
        <v>9.8311150139736085</v>
      </c>
      <c r="V231" s="21">
        <f>MIN('3.1 Market'!$G222,'1.1 Control Panel'!V496*'1.1 Control Panel'!V$476)</f>
        <v>9.8648920111788883</v>
      </c>
      <c r="W231" s="21">
        <f>MIN('3.1 Market'!$G222,'1.1 Control Panel'!W496*'1.1 Control Panel'!W$476)</f>
        <v>9.8919136089431099</v>
      </c>
      <c r="X231" s="21">
        <f>MIN('3.1 Market'!$G222,'1.1 Control Panel'!X496*'1.1 Control Panel'!X$476)</f>
        <v>9.9135308871544883</v>
      </c>
      <c r="Y231" s="21">
        <f>MIN('3.1 Market'!$G222,'1.1 Control Panel'!Y496*'1.1 Control Panel'!Y$476)</f>
        <v>9.9308247097235913</v>
      </c>
      <c r="Z231" s="21">
        <f>MIN('3.1 Market'!$G222,'1.1 Control Panel'!Z496*'1.1 Control Panel'!Z$476)</f>
        <v>9.9446597677788731</v>
      </c>
      <c r="AA231" s="21">
        <f>MIN('3.1 Market'!$G222,'1.1 Control Panel'!AA496*'1.1 Control Panel'!AA$476)</f>
        <v>9.9557278142230992</v>
      </c>
      <c r="AB231" s="21">
        <f>MIN('3.1 Market'!$G222,'1.1 Control Panel'!AB496*'1.1 Control Panel'!AB$476)</f>
        <v>9.9645822513784807</v>
      </c>
      <c r="AC231" s="21">
        <f>MIN('3.1 Market'!$H222,'1.1 Control Panel'!AC496*'1.1 Control Panel'!AC$476)</f>
        <v>29.914997403308352</v>
      </c>
      <c r="AD231" s="21">
        <f>MIN('3.1 Market'!$H222,'1.1 Control Panel'!AD496*'1.1 Control Panel'!AD$476)</f>
        <v>29.931997922646683</v>
      </c>
      <c r="AE231" s="21">
        <f>MIN('3.1 Market'!$H222,'1.1 Control Panel'!AE496*'1.1 Control Panel'!AE$476)</f>
        <v>29.94559833811735</v>
      </c>
      <c r="AF231" s="21">
        <f>MIN('3.1 Market'!$H222,'1.1 Control Panel'!AF496*'1.1 Control Panel'!AF$476)</f>
        <v>29.956478670493876</v>
      </c>
      <c r="AG231" s="21">
        <f>MIN('3.1 Market'!$H222,'1.1 Control Panel'!AG496*'1.1 Control Panel'!AG$476)</f>
        <v>49.941971560658502</v>
      </c>
      <c r="AH231" s="21">
        <f>MIN('3.1 Market'!$H222,'1.1 Control Panel'!AH496*'1.1 Control Panel'!AH$476)</f>
        <v>49.953577248526798</v>
      </c>
      <c r="AI231" s="21">
        <f>MIN('3.1 Market'!$H222,'1.1 Control Panel'!AI496*'1.1 Control Panel'!AI$476)</f>
        <v>49.962861798821443</v>
      </c>
      <c r="AJ231" s="21">
        <f>MIN('3.1 Market'!$H222,'1.1 Control Panel'!AJ496*'1.1 Control Panel'!AJ$476)</f>
        <v>49.970289439057154</v>
      </c>
      <c r="AK231" s="21">
        <f>MIN('3.1 Market'!$H222,'1.1 Control Panel'!AK496*'1.1 Control Panel'!AK$476)</f>
        <v>64.969101016619447</v>
      </c>
      <c r="AL231" s="21">
        <f>MIN('3.1 Market'!$H222,'1.1 Control Panel'!AL496*'1.1 Control Panel'!AL$476)</f>
        <v>64.975280813295555</v>
      </c>
      <c r="AM231" s="21">
        <f>MIN('3.1 Market'!$H222,'1.1 Control Panel'!AM496*'1.1 Control Panel'!AM$476)</f>
        <v>64.980224650636458</v>
      </c>
      <c r="AN231" s="21">
        <f>MIN('3.1 Market'!$H222,'1.1 Control Panel'!AN496*'1.1 Control Panel'!AN$476)</f>
        <v>64.984179720509175</v>
      </c>
      <c r="AP231" s="21"/>
    </row>
    <row r="232" spans="2:42" x14ac:dyDescent="0.25">
      <c r="C232" s="21" t="s">
        <v>393</v>
      </c>
      <c r="D232" s="38" t="s">
        <v>162</v>
      </c>
      <c r="E232" s="21">
        <f>MIN('3.1 Market'!$F223,'1.1 Control Panel'!E497*'1.1 Control Panel'!E$476)</f>
        <v>0</v>
      </c>
      <c r="F232" s="21">
        <f>MIN('3.1 Market'!$F223,'1.1 Control Panel'!F497*'1.1 Control Panel'!F$476)</f>
        <v>0</v>
      </c>
      <c r="G232" s="21">
        <f>MIN('3.1 Market'!$F223,'1.1 Control Panel'!G497*'1.1 Control Panel'!G$476)</f>
        <v>0</v>
      </c>
      <c r="H232" s="21">
        <f>MIN('3.1 Market'!$F223,'1.1 Control Panel'!H497*'1.1 Control Panel'!H$476)</f>
        <v>0</v>
      </c>
      <c r="I232" s="21">
        <f>MIN('3.1 Market'!$F223,'1.1 Control Panel'!I497*'1.1 Control Panel'!I$476)</f>
        <v>0</v>
      </c>
      <c r="J232" s="21">
        <f>MIN('3.1 Market'!$F223,'1.1 Control Panel'!J497*'1.1 Control Panel'!J$476)</f>
        <v>0</v>
      </c>
      <c r="K232" s="21">
        <f>MIN('3.1 Market'!$F223,'1.1 Control Panel'!K497*'1.1 Control Panel'!K$476)</f>
        <v>0</v>
      </c>
      <c r="L232" s="21">
        <f>MIN('3.1 Market'!$F223,'1.1 Control Panel'!L497*'1.1 Control Panel'!L$476)</f>
        <v>0</v>
      </c>
      <c r="M232" s="21">
        <f>MIN('3.1 Market'!$F223,'1.1 Control Panel'!M497*'1.1 Control Panel'!M$476)</f>
        <v>0</v>
      </c>
      <c r="N232" s="21">
        <f>MIN('3.1 Market'!$F223,'1.1 Control Panel'!N497*'1.1 Control Panel'!N$476)</f>
        <v>0</v>
      </c>
      <c r="O232" s="21">
        <f>MIN('3.1 Market'!$F223,'1.1 Control Panel'!O497*'1.1 Control Panel'!O$476)</f>
        <v>0</v>
      </c>
      <c r="P232" s="21">
        <f>MIN('3.1 Market'!$F223,'1.1 Control Panel'!P497*'1.1 Control Panel'!P$476)</f>
        <v>0</v>
      </c>
      <c r="Q232" s="21">
        <f>MIN('3.1 Market'!$G223,'1.1 Control Panel'!Q497*'1.1 Control Panel'!Q$476)</f>
        <v>4.7251220930560009</v>
      </c>
      <c r="R232" s="21">
        <f>MIN('3.1 Market'!$G223,'1.1 Control Panel'!R497*'1.1 Control Panel'!R$476)</f>
        <v>4.7800976744448009</v>
      </c>
      <c r="S232" s="21">
        <f>MIN('3.1 Market'!$G223,'1.1 Control Panel'!S497*'1.1 Control Panel'!S$476)</f>
        <v>4.8240781395558407</v>
      </c>
      <c r="T232" s="21">
        <f>MIN('3.1 Market'!$G223,'1.1 Control Panel'!T497*'1.1 Control Panel'!T$476)</f>
        <v>4.8592625116446726</v>
      </c>
      <c r="U232" s="21">
        <f>MIN('3.1 Market'!$G223,'1.1 Control Panel'!U497*'1.1 Control Panel'!U$476)</f>
        <v>9.7748200186314769</v>
      </c>
      <c r="V232" s="21">
        <f>MIN('3.1 Market'!$G223,'1.1 Control Panel'!V497*'1.1 Control Panel'!V$476)</f>
        <v>9.8198560149051808</v>
      </c>
      <c r="W232" s="21">
        <f>MIN('3.1 Market'!$G223,'1.1 Control Panel'!W497*'1.1 Control Panel'!W$476)</f>
        <v>9.8558848119241453</v>
      </c>
      <c r="X232" s="21">
        <f>MIN('3.1 Market'!$G223,'1.1 Control Panel'!X497*'1.1 Control Panel'!X$476)</f>
        <v>9.8847078495393177</v>
      </c>
      <c r="Y232" s="21">
        <f>MIN('3.1 Market'!$G223,'1.1 Control Panel'!Y497*'1.1 Control Panel'!Y$476)</f>
        <v>9.9077662796314545</v>
      </c>
      <c r="Z232" s="21">
        <f>MIN('3.1 Market'!$G223,'1.1 Control Panel'!Z497*'1.1 Control Panel'!Z$476)</f>
        <v>9.9262130237051629</v>
      </c>
      <c r="AA232" s="21">
        <f>MIN('3.1 Market'!$G223,'1.1 Control Panel'!AA497*'1.1 Control Panel'!AA$476)</f>
        <v>9.940970418964131</v>
      </c>
      <c r="AB232" s="21">
        <f>MIN('3.1 Market'!$G223,'1.1 Control Panel'!AB497*'1.1 Control Panel'!AB$476)</f>
        <v>9.9527763351713041</v>
      </c>
      <c r="AC232" s="21">
        <f>MIN('3.1 Market'!$H223,'1.1 Control Panel'!AC497*'1.1 Control Panel'!AC$476)</f>
        <v>29.886663204411132</v>
      </c>
      <c r="AD232" s="21">
        <f>MIN('3.1 Market'!$H223,'1.1 Control Panel'!AD497*'1.1 Control Panel'!AD$476)</f>
        <v>29.909330563528908</v>
      </c>
      <c r="AE232" s="21">
        <f>MIN('3.1 Market'!$H223,'1.1 Control Panel'!AE497*'1.1 Control Panel'!AE$476)</f>
        <v>29.92746445082313</v>
      </c>
      <c r="AF232" s="21">
        <f>MIN('3.1 Market'!$H223,'1.1 Control Panel'!AF497*'1.1 Control Panel'!AF$476)</f>
        <v>29.941971560658509</v>
      </c>
      <c r="AG232" s="21">
        <f>MIN('3.1 Market'!$H223,'1.1 Control Panel'!AG497*'1.1 Control Panel'!AG$476)</f>
        <v>49.922628747544678</v>
      </c>
      <c r="AH232" s="21">
        <f>MIN('3.1 Market'!$H223,'1.1 Control Panel'!AH497*'1.1 Control Panel'!AH$476)</f>
        <v>49.938102998035745</v>
      </c>
      <c r="AI232" s="21">
        <f>MIN('3.1 Market'!$H223,'1.1 Control Panel'!AI497*'1.1 Control Panel'!AI$476)</f>
        <v>49.950482398428598</v>
      </c>
      <c r="AJ232" s="21">
        <f>MIN('3.1 Market'!$H223,'1.1 Control Panel'!AJ497*'1.1 Control Panel'!AJ$476)</f>
        <v>49.960385918742887</v>
      </c>
      <c r="AK232" s="21">
        <f>MIN('3.1 Market'!$H223,'1.1 Control Panel'!AK497*'1.1 Control Panel'!AK$476)</f>
        <v>64.958801355492611</v>
      </c>
      <c r="AL232" s="21">
        <f>MIN('3.1 Market'!$H223,'1.1 Control Panel'!AL497*'1.1 Control Panel'!AL$476)</f>
        <v>64.967041084394083</v>
      </c>
      <c r="AM232" s="21">
        <f>MIN('3.1 Market'!$H223,'1.1 Control Panel'!AM497*'1.1 Control Panel'!AM$476)</f>
        <v>64.973632867515278</v>
      </c>
      <c r="AN232" s="21">
        <f>MIN('3.1 Market'!$H223,'1.1 Control Panel'!AN497*'1.1 Control Panel'!AN$476)</f>
        <v>64.978906294012219</v>
      </c>
      <c r="AP232" s="21"/>
    </row>
    <row r="233" spans="2:42" x14ac:dyDescent="0.25">
      <c r="C233" s="21" t="s">
        <v>456</v>
      </c>
      <c r="D233" s="38" t="s">
        <v>162</v>
      </c>
      <c r="E233" s="21">
        <f>MIN('3.1 Market'!$F224,'1.1 Control Panel'!E498*'1.1 Control Panel'!E$476)</f>
        <v>0</v>
      </c>
      <c r="F233" s="21">
        <f>MIN('3.1 Market'!$F224,'1.1 Control Panel'!F498*'1.1 Control Panel'!F$476)</f>
        <v>0</v>
      </c>
      <c r="G233" s="21">
        <f>MIN('3.1 Market'!$F224,'1.1 Control Panel'!G498*'1.1 Control Panel'!G$476)</f>
        <v>0</v>
      </c>
      <c r="H233" s="21">
        <f>MIN('3.1 Market'!$F224,'1.1 Control Panel'!H498*'1.1 Control Panel'!H$476)</f>
        <v>0</v>
      </c>
      <c r="I233" s="21">
        <f>MIN('3.1 Market'!$F224,'1.1 Control Panel'!I498*'1.1 Control Panel'!I$476)</f>
        <v>0</v>
      </c>
      <c r="J233" s="21">
        <f>MIN('3.1 Market'!$F224,'1.1 Control Panel'!J498*'1.1 Control Panel'!J$476)</f>
        <v>0</v>
      </c>
      <c r="K233" s="21">
        <f>MIN('3.1 Market'!$F224,'1.1 Control Panel'!K498*'1.1 Control Panel'!K$476)</f>
        <v>0</v>
      </c>
      <c r="L233" s="21">
        <f>MIN('3.1 Market'!$F224,'1.1 Control Panel'!L498*'1.1 Control Panel'!L$476)</f>
        <v>0</v>
      </c>
      <c r="M233" s="21">
        <f>MIN('3.1 Market'!$F224,'1.1 Control Panel'!M498*'1.1 Control Panel'!M$476)</f>
        <v>0</v>
      </c>
      <c r="N233" s="21">
        <f>MIN('3.1 Market'!$F224,'1.1 Control Panel'!N498*'1.1 Control Panel'!N$476)</f>
        <v>0</v>
      </c>
      <c r="O233" s="21">
        <f>MIN('3.1 Market'!$F224,'1.1 Control Panel'!O498*'1.1 Control Panel'!O$476)</f>
        <v>0</v>
      </c>
      <c r="P233" s="21">
        <f>MIN('3.1 Market'!$F224,'1.1 Control Panel'!P498*'1.1 Control Panel'!P$476)</f>
        <v>0</v>
      </c>
      <c r="Q233" s="21">
        <f>MIN('3.1 Market'!$G224,'1.1 Control Panel'!Q498*'1.1 Control Panel'!Q$476)</f>
        <v>4.6564026163200012</v>
      </c>
      <c r="R233" s="21">
        <f>MIN('3.1 Market'!$G224,'1.1 Control Panel'!R498*'1.1 Control Panel'!R$476)</f>
        <v>4.7251220930560009</v>
      </c>
      <c r="S233" s="21">
        <f>MIN('3.1 Market'!$G224,'1.1 Control Panel'!S498*'1.1 Control Panel'!S$476)</f>
        <v>4.7800976744448009</v>
      </c>
      <c r="T233" s="21">
        <f>MIN('3.1 Market'!$G224,'1.1 Control Panel'!T498*'1.1 Control Panel'!T$476)</f>
        <v>4.8240781395558407</v>
      </c>
      <c r="U233" s="21">
        <f>MIN('3.1 Market'!$G224,'1.1 Control Panel'!U498*'1.1 Control Panel'!U$476)</f>
        <v>9.7185250232893452</v>
      </c>
      <c r="V233" s="21">
        <f>MIN('3.1 Market'!$G224,'1.1 Control Panel'!V498*'1.1 Control Panel'!V$476)</f>
        <v>9.7748200186314769</v>
      </c>
      <c r="W233" s="21">
        <f>MIN('3.1 Market'!$G224,'1.1 Control Panel'!W498*'1.1 Control Panel'!W$476)</f>
        <v>9.8198560149051808</v>
      </c>
      <c r="X233" s="21">
        <f>MIN('3.1 Market'!$G224,'1.1 Control Panel'!X498*'1.1 Control Panel'!X$476)</f>
        <v>9.8558848119241453</v>
      </c>
      <c r="Y233" s="21">
        <f>MIN('3.1 Market'!$G224,'1.1 Control Panel'!Y498*'1.1 Control Panel'!Y$476)</f>
        <v>9.8847078495393177</v>
      </c>
      <c r="Z233" s="21">
        <f>MIN('3.1 Market'!$G224,'1.1 Control Panel'!Z498*'1.1 Control Panel'!Z$476)</f>
        <v>9.9077662796314545</v>
      </c>
      <c r="AA233" s="21">
        <f>MIN('3.1 Market'!$G224,'1.1 Control Panel'!AA498*'1.1 Control Panel'!AA$476)</f>
        <v>9.9262130237051629</v>
      </c>
      <c r="AB233" s="21">
        <f>MIN('3.1 Market'!$G224,'1.1 Control Panel'!AB498*'1.1 Control Panel'!AB$476)</f>
        <v>9.940970418964131</v>
      </c>
      <c r="AC233" s="21">
        <f>MIN('3.1 Market'!$H224,'1.1 Control Panel'!AC498*'1.1 Control Panel'!AC$476)</f>
        <v>29.858329005513912</v>
      </c>
      <c r="AD233" s="21">
        <f>MIN('3.1 Market'!$H224,'1.1 Control Panel'!AD498*'1.1 Control Panel'!AD$476)</f>
        <v>29.886663204411132</v>
      </c>
      <c r="AE233" s="21">
        <f>MIN('3.1 Market'!$H224,'1.1 Control Panel'!AE498*'1.1 Control Panel'!AE$476)</f>
        <v>29.909330563528908</v>
      </c>
      <c r="AF233" s="21">
        <f>MIN('3.1 Market'!$H224,'1.1 Control Panel'!AF498*'1.1 Control Panel'!AF$476)</f>
        <v>29.92746445082313</v>
      </c>
      <c r="AG233" s="21">
        <f>MIN('3.1 Market'!$H224,'1.1 Control Panel'!AG498*'1.1 Control Panel'!AG$476)</f>
        <v>49.903285934430848</v>
      </c>
      <c r="AH233" s="21">
        <f>MIN('3.1 Market'!$H224,'1.1 Control Panel'!AH498*'1.1 Control Panel'!AH$476)</f>
        <v>49.922628747544678</v>
      </c>
      <c r="AI233" s="21">
        <f>MIN('3.1 Market'!$H224,'1.1 Control Panel'!AI498*'1.1 Control Panel'!AI$476)</f>
        <v>49.938102998035745</v>
      </c>
      <c r="AJ233" s="21">
        <f>MIN('3.1 Market'!$H224,'1.1 Control Panel'!AJ498*'1.1 Control Panel'!AJ$476)</f>
        <v>49.950482398428598</v>
      </c>
      <c r="AK233" s="21">
        <f>MIN('3.1 Market'!$H224,'1.1 Control Panel'!AK498*'1.1 Control Panel'!AK$476)</f>
        <v>64.948501694365746</v>
      </c>
      <c r="AL233" s="21">
        <f>MIN('3.1 Market'!$H224,'1.1 Control Panel'!AL498*'1.1 Control Panel'!AL$476)</f>
        <v>64.958801355492611</v>
      </c>
      <c r="AM233" s="21">
        <f>MIN('3.1 Market'!$H224,'1.1 Control Panel'!AM498*'1.1 Control Panel'!AM$476)</f>
        <v>64.967041084394083</v>
      </c>
      <c r="AN233" s="21">
        <f>MIN('3.1 Market'!$H224,'1.1 Control Panel'!AN498*'1.1 Control Panel'!AN$476)</f>
        <v>64.973632867515278</v>
      </c>
      <c r="AP233" s="21"/>
    </row>
    <row r="234" spans="2:42" x14ac:dyDescent="0.25">
      <c r="B234" s="99" t="s">
        <v>9</v>
      </c>
      <c r="C234" s="105" t="str">
        <f>'4.2 Sector Mapping'!$B$11</f>
        <v>Professional Services: Human Resources, Education, Consulting, Legal</v>
      </c>
      <c r="D234" s="106" t="s">
        <v>162</v>
      </c>
      <c r="E234" s="105">
        <f>SUM(E235:E240)</f>
        <v>15</v>
      </c>
      <c r="F234" s="105">
        <f t="shared" ref="F234:H234" si="131">SUM(F235:F240)</f>
        <v>18</v>
      </c>
      <c r="G234" s="105">
        <f t="shared" si="131"/>
        <v>81.600000000000009</v>
      </c>
      <c r="H234" s="105">
        <f t="shared" si="131"/>
        <v>89.280000000000015</v>
      </c>
      <c r="I234" s="105">
        <f t="shared" ref="I234:AN234" si="132">SUM(I235:I240)</f>
        <v>95.424000000000007</v>
      </c>
      <c r="J234" s="105">
        <f t="shared" si="132"/>
        <v>150.50880000000004</v>
      </c>
      <c r="K234" s="105">
        <f t="shared" si="132"/>
        <v>156.40704000000002</v>
      </c>
      <c r="L234" s="105">
        <f t="shared" si="132"/>
        <v>161.12563200000005</v>
      </c>
      <c r="M234" s="105">
        <f t="shared" si="132"/>
        <v>192.38392320000003</v>
      </c>
      <c r="N234" s="105">
        <f t="shared" si="132"/>
        <v>195.90713856000005</v>
      </c>
      <c r="O234" s="105">
        <f t="shared" si="132"/>
        <v>198.72571084800003</v>
      </c>
      <c r="P234" s="105">
        <f t="shared" si="132"/>
        <v>200.9805686784</v>
      </c>
      <c r="Q234" s="105">
        <f t="shared" si="132"/>
        <v>231.75366279168003</v>
      </c>
      <c r="R234" s="105">
        <f t="shared" si="132"/>
        <v>233.40293023334405</v>
      </c>
      <c r="S234" s="105">
        <f t="shared" si="132"/>
        <v>234.72234418667523</v>
      </c>
      <c r="T234" s="105">
        <f t="shared" si="132"/>
        <v>235.77787534934021</v>
      </c>
      <c r="U234" s="105">
        <f t="shared" si="132"/>
        <v>266.20008781440617</v>
      </c>
      <c r="V234" s="105">
        <f t="shared" si="132"/>
        <v>266.960070251525</v>
      </c>
      <c r="W234" s="105">
        <f t="shared" si="132"/>
        <v>267.56805620121997</v>
      </c>
      <c r="X234" s="105">
        <f t="shared" si="132"/>
        <v>268.05444496097601</v>
      </c>
      <c r="Y234" s="105">
        <f t="shared" si="132"/>
        <v>298.27061774308982</v>
      </c>
      <c r="Z234" s="105">
        <f t="shared" si="132"/>
        <v>298.61649419447184</v>
      </c>
      <c r="AA234" s="105">
        <f t="shared" si="132"/>
        <v>298.8931953555774</v>
      </c>
      <c r="AB234" s="105">
        <f t="shared" si="132"/>
        <v>299.11455628446197</v>
      </c>
      <c r="AC234" s="105">
        <f t="shared" si="132"/>
        <v>448.93746754135441</v>
      </c>
      <c r="AD234" s="105">
        <f t="shared" si="132"/>
        <v>449.14997403308354</v>
      </c>
      <c r="AE234" s="105">
        <f t="shared" si="132"/>
        <v>449.3199792264669</v>
      </c>
      <c r="AF234" s="105">
        <f t="shared" si="132"/>
        <v>449.4559833811735</v>
      </c>
      <c r="AG234" s="105">
        <f t="shared" si="132"/>
        <v>629.39070138691432</v>
      </c>
      <c r="AH234" s="105">
        <f t="shared" si="132"/>
        <v>629.51256110953136</v>
      </c>
      <c r="AI234" s="105">
        <f t="shared" si="132"/>
        <v>629.61004888762523</v>
      </c>
      <c r="AJ234" s="105">
        <f t="shared" si="132"/>
        <v>629.68803911010025</v>
      </c>
      <c r="AK234" s="105">
        <f t="shared" si="132"/>
        <v>779.69101016619447</v>
      </c>
      <c r="AL234" s="105">
        <f t="shared" si="132"/>
        <v>779.75280813295558</v>
      </c>
      <c r="AM234" s="105">
        <f t="shared" si="132"/>
        <v>779.80224650636455</v>
      </c>
      <c r="AN234" s="105">
        <f t="shared" si="132"/>
        <v>779.84179720509167</v>
      </c>
      <c r="AP234" s="105"/>
    </row>
    <row r="235" spans="2:42" x14ac:dyDescent="0.25">
      <c r="C235" s="20" t="s">
        <v>600</v>
      </c>
      <c r="D235" s="34" t="s">
        <v>162</v>
      </c>
      <c r="E235" s="20">
        <f>MIN('3.1 Market'!$F226,'1.1 Control Panel'!E524*'1.1 Control Panel'!E$507)</f>
        <v>5</v>
      </c>
      <c r="F235" s="20">
        <f>MIN('3.1 Market'!$F226,'1.1 Control Panel'!F524*'1.1 Control Panel'!F$507)</f>
        <v>5</v>
      </c>
      <c r="G235" s="20">
        <f>MIN('3.1 Market'!$F226,'1.1 Control Panel'!G524*'1.1 Control Panel'!G$507)</f>
        <v>20</v>
      </c>
      <c r="H235" s="20">
        <f>MIN('3.1 Market'!$F226,'1.1 Control Panel'!H524*'1.1 Control Panel'!H$507)</f>
        <v>20</v>
      </c>
      <c r="I235" s="20">
        <f>MIN('3.1 Market'!$F226,'1.1 Control Panel'!I524*'1.1 Control Panel'!I$507)</f>
        <v>20</v>
      </c>
      <c r="J235" s="20">
        <f>MIN('3.1 Market'!$F226,'1.1 Control Panel'!J524*'1.1 Control Panel'!J$507)</f>
        <v>30</v>
      </c>
      <c r="K235" s="20">
        <f>MIN('3.1 Market'!$F226,'1.1 Control Panel'!K524*'1.1 Control Panel'!K$507)</f>
        <v>30</v>
      </c>
      <c r="L235" s="20">
        <f>MIN('3.1 Market'!$F226,'1.1 Control Panel'!L524*'1.1 Control Panel'!L$507)</f>
        <v>30</v>
      </c>
      <c r="M235" s="20">
        <f>MIN('3.1 Market'!$F226,'1.1 Control Panel'!M524*'1.1 Control Panel'!M$507)</f>
        <v>35</v>
      </c>
      <c r="N235" s="20">
        <f>MIN('3.1 Market'!$F226,'1.1 Control Panel'!N524*'1.1 Control Panel'!N$507)</f>
        <v>35</v>
      </c>
      <c r="O235" s="20">
        <f>MIN('3.1 Market'!$F226,'1.1 Control Panel'!O524*'1.1 Control Panel'!O$507)</f>
        <v>35</v>
      </c>
      <c r="P235" s="20">
        <f>MIN('3.1 Market'!$F226,'1.1 Control Panel'!P524*'1.1 Control Panel'!P$507)</f>
        <v>35</v>
      </c>
      <c r="Q235" s="20">
        <f>MIN('3.1 Market'!$G226,'1.1 Control Panel'!Q524*'1.1 Control Panel'!Q$507)</f>
        <v>40</v>
      </c>
      <c r="R235" s="20">
        <f>MIN('3.1 Market'!$G226,'1.1 Control Panel'!R524*'1.1 Control Panel'!R$507)</f>
        <v>40</v>
      </c>
      <c r="S235" s="20">
        <f>MIN('3.1 Market'!$G226,'1.1 Control Panel'!S524*'1.1 Control Panel'!S$507)</f>
        <v>40</v>
      </c>
      <c r="T235" s="20">
        <f>MIN('3.1 Market'!$G226,'1.1 Control Panel'!T524*'1.1 Control Panel'!T$507)</f>
        <v>40</v>
      </c>
      <c r="U235" s="20">
        <f>MIN('3.1 Market'!$G226,'1.1 Control Panel'!U524*'1.1 Control Panel'!U$507)</f>
        <v>45</v>
      </c>
      <c r="V235" s="20">
        <f>MIN('3.1 Market'!$G226,'1.1 Control Panel'!V524*'1.1 Control Panel'!V$507)</f>
        <v>45</v>
      </c>
      <c r="W235" s="20">
        <f>MIN('3.1 Market'!$G226,'1.1 Control Panel'!W524*'1.1 Control Panel'!W$507)</f>
        <v>45</v>
      </c>
      <c r="X235" s="20">
        <f>MIN('3.1 Market'!$G226,'1.1 Control Panel'!X524*'1.1 Control Panel'!X$507)</f>
        <v>45</v>
      </c>
      <c r="Y235" s="20">
        <f>MIN('3.1 Market'!$G226,'1.1 Control Panel'!Y524*'1.1 Control Panel'!Y$507)</f>
        <v>50</v>
      </c>
      <c r="Z235" s="20">
        <f>MIN('3.1 Market'!$G226,'1.1 Control Panel'!Z524*'1.1 Control Panel'!Z$507)</f>
        <v>50</v>
      </c>
      <c r="AA235" s="20">
        <f>MIN('3.1 Market'!$G226,'1.1 Control Panel'!AA524*'1.1 Control Panel'!AA$507)</f>
        <v>50</v>
      </c>
      <c r="AB235" s="20">
        <f>MIN('3.1 Market'!$G226,'1.1 Control Panel'!AB524*'1.1 Control Panel'!AB$507)</f>
        <v>50</v>
      </c>
      <c r="AC235" s="20">
        <f>MIN('3.1 Market'!$H226,'1.1 Control Panel'!AC524*'1.1 Control Panel'!AC$507)</f>
        <v>75</v>
      </c>
      <c r="AD235" s="20">
        <f>MIN('3.1 Market'!$H226,'1.1 Control Panel'!AD524*'1.1 Control Panel'!AD$507)</f>
        <v>75</v>
      </c>
      <c r="AE235" s="20">
        <f>MIN('3.1 Market'!$H226,'1.1 Control Panel'!AE524*'1.1 Control Panel'!AE$507)</f>
        <v>75</v>
      </c>
      <c r="AF235" s="20">
        <f>MIN('3.1 Market'!$H226,'1.1 Control Panel'!AF524*'1.1 Control Panel'!AF$507)</f>
        <v>75</v>
      </c>
      <c r="AG235" s="20">
        <f>MIN('3.1 Market'!$H226,'1.1 Control Panel'!AG524*'1.1 Control Panel'!AG$507)</f>
        <v>105</v>
      </c>
      <c r="AH235" s="20">
        <f>MIN('3.1 Market'!$H226,'1.1 Control Panel'!AH524*'1.1 Control Panel'!AH$507)</f>
        <v>105</v>
      </c>
      <c r="AI235" s="20">
        <f>MIN('3.1 Market'!$H226,'1.1 Control Panel'!AI524*'1.1 Control Panel'!AI$507)</f>
        <v>105</v>
      </c>
      <c r="AJ235" s="20">
        <f>MIN('3.1 Market'!$H226,'1.1 Control Panel'!AJ524*'1.1 Control Panel'!AJ$507)</f>
        <v>105</v>
      </c>
      <c r="AK235" s="20">
        <f>MIN('3.1 Market'!$H226,'1.1 Control Panel'!AK524*'1.1 Control Panel'!AK$507)</f>
        <v>130</v>
      </c>
      <c r="AL235" s="20">
        <f>MIN('3.1 Market'!$H226,'1.1 Control Panel'!AL524*'1.1 Control Panel'!AL$507)</f>
        <v>130</v>
      </c>
      <c r="AM235" s="20">
        <f>MIN('3.1 Market'!$H226,'1.1 Control Panel'!AM524*'1.1 Control Panel'!AM$507)</f>
        <v>130</v>
      </c>
      <c r="AN235" s="20">
        <f>MIN('3.1 Market'!$H226,'1.1 Control Panel'!AN524*'1.1 Control Panel'!AN$507)</f>
        <v>130</v>
      </c>
      <c r="AP235" s="20"/>
    </row>
    <row r="236" spans="2:42" x14ac:dyDescent="0.25">
      <c r="C236" s="20" t="s">
        <v>392</v>
      </c>
      <c r="D236" s="34" t="s">
        <v>162</v>
      </c>
      <c r="E236" s="20">
        <f>MIN('3.1 Market'!$F227,'1.1 Control Panel'!E525*'1.1 Control Panel'!E$507)</f>
        <v>4</v>
      </c>
      <c r="F236" s="20">
        <f>MIN('3.1 Market'!$F227,'1.1 Control Panel'!F525*'1.1 Control Panel'!F$507)</f>
        <v>4.2</v>
      </c>
      <c r="G236" s="20">
        <f>MIN('3.1 Market'!$F227,'1.1 Control Panel'!G525*'1.1 Control Panel'!G$507)</f>
        <v>17.440000000000001</v>
      </c>
      <c r="H236" s="20">
        <f>MIN('3.1 Market'!$F227,'1.1 Control Panel'!H525*'1.1 Control Panel'!H$507)</f>
        <v>17.952000000000002</v>
      </c>
      <c r="I236" s="20">
        <f>MIN('3.1 Market'!$F227,'1.1 Control Panel'!I525*'1.1 Control Panel'!I$507)</f>
        <v>18.361600000000003</v>
      </c>
      <c r="J236" s="20">
        <f>MIN('3.1 Market'!$F227,'1.1 Control Panel'!J525*'1.1 Control Panel'!J$507)</f>
        <v>28.033920000000006</v>
      </c>
      <c r="K236" s="20">
        <f>MIN('3.1 Market'!$F227,'1.1 Control Panel'!K525*'1.1 Control Panel'!K$507)</f>
        <v>28.427136000000004</v>
      </c>
      <c r="L236" s="20">
        <f>MIN('3.1 Market'!$F227,'1.1 Control Panel'!L525*'1.1 Control Panel'!L$507)</f>
        <v>28.741708800000001</v>
      </c>
      <c r="M236" s="20">
        <f>MIN('3.1 Market'!$F227,'1.1 Control Panel'!M525*'1.1 Control Panel'!M$507)</f>
        <v>33.825594879999997</v>
      </c>
      <c r="N236" s="20">
        <f>MIN('3.1 Market'!$F227,'1.1 Control Panel'!N525*'1.1 Control Panel'!N$507)</f>
        <v>34.060475904</v>
      </c>
      <c r="O236" s="20">
        <f>MIN('3.1 Market'!$F227,'1.1 Control Panel'!O525*'1.1 Control Panel'!O$507)</f>
        <v>34.248380723200007</v>
      </c>
      <c r="P236" s="20">
        <f>MIN('3.1 Market'!$F227,'1.1 Control Panel'!P525*'1.1 Control Panel'!P$507)</f>
        <v>34.39870457856</v>
      </c>
      <c r="Q236" s="20">
        <f>MIN('3.1 Market'!$G227,'1.1 Control Panel'!Q525*'1.1 Control Panel'!Q$507)</f>
        <v>39.450244186112002</v>
      </c>
      <c r="R236" s="20">
        <f>MIN('3.1 Market'!$G227,'1.1 Control Panel'!R525*'1.1 Control Panel'!R$507)</f>
        <v>39.560195348889607</v>
      </c>
      <c r="S236" s="20">
        <f>MIN('3.1 Market'!$G227,'1.1 Control Panel'!S525*'1.1 Control Panel'!S$507)</f>
        <v>39.648156279111689</v>
      </c>
      <c r="T236" s="20">
        <f>MIN('3.1 Market'!$G227,'1.1 Control Panel'!T525*'1.1 Control Panel'!T$507)</f>
        <v>39.718525023289352</v>
      </c>
      <c r="U236" s="20">
        <f>MIN('3.1 Market'!$G227,'1.1 Control Panel'!U525*'1.1 Control Panel'!U$507)</f>
        <v>44.746672520960423</v>
      </c>
      <c r="V236" s="20">
        <f>MIN('3.1 Market'!$G227,'1.1 Control Panel'!V525*'1.1 Control Panel'!V$507)</f>
        <v>44.797338016768343</v>
      </c>
      <c r="W236" s="20">
        <f>MIN('3.1 Market'!$G227,'1.1 Control Panel'!W525*'1.1 Control Panel'!W$507)</f>
        <v>44.837870413414677</v>
      </c>
      <c r="X236" s="20">
        <f>MIN('3.1 Market'!$G227,'1.1 Control Panel'!X525*'1.1 Control Panel'!X$507)</f>
        <v>44.87029633073174</v>
      </c>
      <c r="Y236" s="20">
        <f>MIN('3.1 Market'!$G227,'1.1 Control Panel'!Y525*'1.1 Control Panel'!Y$507)</f>
        <v>49.884707849539325</v>
      </c>
      <c r="Z236" s="20">
        <f>MIN('3.1 Market'!$G227,'1.1 Control Panel'!Z525*'1.1 Control Panel'!Z$507)</f>
        <v>49.907766279631467</v>
      </c>
      <c r="AA236" s="20">
        <f>MIN('3.1 Market'!$G227,'1.1 Control Panel'!AA525*'1.1 Control Panel'!AA$507)</f>
        <v>49.926213023705174</v>
      </c>
      <c r="AB236" s="20">
        <f>MIN('3.1 Market'!$G227,'1.1 Control Panel'!AB525*'1.1 Control Panel'!AB$507)</f>
        <v>49.940970418964142</v>
      </c>
      <c r="AC236" s="20">
        <f>MIN('3.1 Market'!$H227,'1.1 Control Panel'!AC525*'1.1 Control Panel'!AC$507)</f>
        <v>74.929164502756976</v>
      </c>
      <c r="AD236" s="20">
        <f>MIN('3.1 Market'!$H227,'1.1 Control Panel'!AD525*'1.1 Control Panel'!AD$507)</f>
        <v>74.943331602205589</v>
      </c>
      <c r="AE236" s="20">
        <f>MIN('3.1 Market'!$H227,'1.1 Control Panel'!AE525*'1.1 Control Panel'!AE$507)</f>
        <v>74.954665281764477</v>
      </c>
      <c r="AF236" s="20">
        <f>MIN('3.1 Market'!$H227,'1.1 Control Panel'!AF525*'1.1 Control Panel'!AF$507)</f>
        <v>74.963732225411576</v>
      </c>
      <c r="AG236" s="20">
        <f>MIN('3.1 Market'!$H227,'1.1 Control Panel'!AG525*'1.1 Control Panel'!AG$507)</f>
        <v>104.95938009246099</v>
      </c>
      <c r="AH236" s="20">
        <f>MIN('3.1 Market'!$H227,'1.1 Control Panel'!AH525*'1.1 Control Panel'!AH$507)</f>
        <v>104.96750407396878</v>
      </c>
      <c r="AI236" s="20">
        <f>MIN('3.1 Market'!$H227,'1.1 Control Panel'!AI525*'1.1 Control Panel'!AI$507)</f>
        <v>104.97400325917503</v>
      </c>
      <c r="AJ236" s="20">
        <f>MIN('3.1 Market'!$H227,'1.1 Control Panel'!AJ525*'1.1 Control Panel'!AJ$507)</f>
        <v>104.97920260734001</v>
      </c>
      <c r="AK236" s="20">
        <f>MIN('3.1 Market'!$H227,'1.1 Control Panel'!AK525*'1.1 Control Panel'!AK$507)</f>
        <v>129.97940067774633</v>
      </c>
      <c r="AL236" s="20">
        <f>MIN('3.1 Market'!$H227,'1.1 Control Panel'!AL525*'1.1 Control Panel'!AL$507)</f>
        <v>129.98352054219706</v>
      </c>
      <c r="AM236" s="20">
        <f>MIN('3.1 Market'!$H227,'1.1 Control Panel'!AM525*'1.1 Control Panel'!AM$507)</f>
        <v>129.98681643375764</v>
      </c>
      <c r="AN236" s="20">
        <f>MIN('3.1 Market'!$H227,'1.1 Control Panel'!AN525*'1.1 Control Panel'!AN$507)</f>
        <v>129.98945314700609</v>
      </c>
      <c r="AP236" s="20"/>
    </row>
    <row r="237" spans="2:42" x14ac:dyDescent="0.25">
      <c r="C237" s="20" t="s">
        <v>454</v>
      </c>
      <c r="D237" s="34" t="s">
        <v>162</v>
      </c>
      <c r="E237" s="20">
        <f>MIN('3.1 Market'!$F228,'1.1 Control Panel'!E526*'1.1 Control Panel'!E$507)</f>
        <v>3</v>
      </c>
      <c r="F237" s="20">
        <f>MIN('3.1 Market'!$F228,'1.1 Control Panel'!F526*'1.1 Control Panel'!F$507)</f>
        <v>3.4000000000000004</v>
      </c>
      <c r="G237" s="20">
        <f>MIN('3.1 Market'!$F228,'1.1 Control Panel'!G526*'1.1 Control Panel'!G$507)</f>
        <v>14.880000000000003</v>
      </c>
      <c r="H237" s="20">
        <f>MIN('3.1 Market'!$F228,'1.1 Control Panel'!H526*'1.1 Control Panel'!H$507)</f>
        <v>15.904000000000003</v>
      </c>
      <c r="I237" s="20">
        <f>MIN('3.1 Market'!$F228,'1.1 Control Panel'!I526*'1.1 Control Panel'!I$507)</f>
        <v>16.723200000000006</v>
      </c>
      <c r="J237" s="20">
        <f>MIN('3.1 Market'!$F228,'1.1 Control Panel'!J526*'1.1 Control Panel'!J$507)</f>
        <v>26.067840000000011</v>
      </c>
      <c r="K237" s="20">
        <f>MIN('3.1 Market'!$F228,'1.1 Control Panel'!K526*'1.1 Control Panel'!K$507)</f>
        <v>26.854272000000009</v>
      </c>
      <c r="L237" s="20">
        <f>MIN('3.1 Market'!$F228,'1.1 Control Panel'!L526*'1.1 Control Panel'!L$507)</f>
        <v>27.48341760000001</v>
      </c>
      <c r="M237" s="20">
        <f>MIN('3.1 Market'!$F228,'1.1 Control Panel'!M526*'1.1 Control Panel'!M$507)</f>
        <v>32.651189760000008</v>
      </c>
      <c r="N237" s="20">
        <f>MIN('3.1 Market'!$F228,'1.1 Control Panel'!N526*'1.1 Control Panel'!N$507)</f>
        <v>33.120951808000008</v>
      </c>
      <c r="O237" s="20">
        <f>MIN('3.1 Market'!$F228,'1.1 Control Panel'!O526*'1.1 Control Panel'!O$507)</f>
        <v>33.496761446400015</v>
      </c>
      <c r="P237" s="20">
        <f>MIN('3.1 Market'!$F228,'1.1 Control Panel'!P526*'1.1 Control Panel'!P$507)</f>
        <v>33.797409157120008</v>
      </c>
      <c r="Q237" s="20">
        <f>MIN('3.1 Market'!$G228,'1.1 Control Panel'!Q526*'1.1 Control Panel'!Q$507)</f>
        <v>38.900488372224011</v>
      </c>
      <c r="R237" s="20">
        <f>MIN('3.1 Market'!$G228,'1.1 Control Panel'!R526*'1.1 Control Panel'!R$507)</f>
        <v>39.120390697779214</v>
      </c>
      <c r="S237" s="20">
        <f>MIN('3.1 Market'!$G228,'1.1 Control Panel'!S526*'1.1 Control Panel'!S$507)</f>
        <v>39.296312558223377</v>
      </c>
      <c r="T237" s="20">
        <f>MIN('3.1 Market'!$G228,'1.1 Control Panel'!T526*'1.1 Control Panel'!T$507)</f>
        <v>39.437050046578705</v>
      </c>
      <c r="U237" s="20">
        <f>MIN('3.1 Market'!$G228,'1.1 Control Panel'!U526*'1.1 Control Panel'!U$507)</f>
        <v>44.493345041920833</v>
      </c>
      <c r="V237" s="20">
        <f>MIN('3.1 Market'!$G228,'1.1 Control Panel'!V526*'1.1 Control Panel'!V$507)</f>
        <v>44.594676033536665</v>
      </c>
      <c r="W237" s="20">
        <f>MIN('3.1 Market'!$G228,'1.1 Control Panel'!W526*'1.1 Control Panel'!W$507)</f>
        <v>44.675740826829333</v>
      </c>
      <c r="X237" s="20">
        <f>MIN('3.1 Market'!$G228,'1.1 Control Panel'!X526*'1.1 Control Panel'!X$507)</f>
        <v>44.740592661463467</v>
      </c>
      <c r="Y237" s="20">
        <f>MIN('3.1 Market'!$G228,'1.1 Control Panel'!Y526*'1.1 Control Panel'!Y$507)</f>
        <v>49.769415699078635</v>
      </c>
      <c r="Z237" s="20">
        <f>MIN('3.1 Market'!$G228,'1.1 Control Panel'!Z526*'1.1 Control Panel'!Z$507)</f>
        <v>49.815532559262905</v>
      </c>
      <c r="AA237" s="20">
        <f>MIN('3.1 Market'!$G228,'1.1 Control Panel'!AA526*'1.1 Control Panel'!AA$507)</f>
        <v>49.852426047410326</v>
      </c>
      <c r="AB237" s="20">
        <f>MIN('3.1 Market'!$G228,'1.1 Control Panel'!AB526*'1.1 Control Panel'!AB$507)</f>
        <v>49.881940837928269</v>
      </c>
      <c r="AC237" s="20">
        <f>MIN('3.1 Market'!$H228,'1.1 Control Panel'!AC526*'1.1 Control Panel'!AC$507)</f>
        <v>74.858329005513923</v>
      </c>
      <c r="AD237" s="20">
        <f>MIN('3.1 Market'!$H228,'1.1 Control Panel'!AD526*'1.1 Control Panel'!AD$507)</f>
        <v>74.88666320441115</v>
      </c>
      <c r="AE237" s="20">
        <f>MIN('3.1 Market'!$H228,'1.1 Control Panel'!AE526*'1.1 Control Panel'!AE$507)</f>
        <v>74.909330563528911</v>
      </c>
      <c r="AF237" s="20">
        <f>MIN('3.1 Market'!$H228,'1.1 Control Panel'!AF526*'1.1 Control Panel'!AF$507)</f>
        <v>74.927464450823138</v>
      </c>
      <c r="AG237" s="20">
        <f>MIN('3.1 Market'!$H228,'1.1 Control Panel'!AG526*'1.1 Control Panel'!AG$507)</f>
        <v>104.91876018492192</v>
      </c>
      <c r="AH237" s="20">
        <f>MIN('3.1 Market'!$H228,'1.1 Control Panel'!AH526*'1.1 Control Panel'!AH$507)</f>
        <v>104.93500814793752</v>
      </c>
      <c r="AI237" s="20">
        <f>MIN('3.1 Market'!$H228,'1.1 Control Panel'!AI526*'1.1 Control Panel'!AI$507)</f>
        <v>104.94800651835001</v>
      </c>
      <c r="AJ237" s="20">
        <f>MIN('3.1 Market'!$H228,'1.1 Control Panel'!AJ526*'1.1 Control Panel'!AJ$507)</f>
        <v>104.95840521468003</v>
      </c>
      <c r="AK237" s="20">
        <f>MIN('3.1 Market'!$H228,'1.1 Control Panel'!AK526*'1.1 Control Panel'!AK$507)</f>
        <v>129.9588013554926</v>
      </c>
      <c r="AL237" s="20">
        <f>MIN('3.1 Market'!$H228,'1.1 Control Panel'!AL526*'1.1 Control Panel'!AL$507)</f>
        <v>129.96704108439405</v>
      </c>
      <c r="AM237" s="20">
        <f>MIN('3.1 Market'!$H228,'1.1 Control Panel'!AM526*'1.1 Control Panel'!AM$507)</f>
        <v>129.97363286751528</v>
      </c>
      <c r="AN237" s="20">
        <f>MIN('3.1 Market'!$H228,'1.1 Control Panel'!AN526*'1.1 Control Panel'!AN$507)</f>
        <v>129.97890629401223</v>
      </c>
      <c r="AP237" s="20"/>
    </row>
    <row r="238" spans="2:42" x14ac:dyDescent="0.25">
      <c r="C238" s="21" t="s">
        <v>455</v>
      </c>
      <c r="D238" s="38" t="s">
        <v>162</v>
      </c>
      <c r="E238" s="21">
        <f>MIN('3.1 Market'!$F229,'1.1 Control Panel'!E527*'1.1 Control Panel'!E$507)</f>
        <v>2</v>
      </c>
      <c r="F238" s="21">
        <f>MIN('3.1 Market'!$F229,'1.1 Control Panel'!F527*'1.1 Control Panel'!F$507)</f>
        <v>2.6</v>
      </c>
      <c r="G238" s="21">
        <f>MIN('3.1 Market'!$F229,'1.1 Control Panel'!G527*'1.1 Control Panel'!G$507)</f>
        <v>12.32</v>
      </c>
      <c r="H238" s="21">
        <f>MIN('3.1 Market'!$F229,'1.1 Control Panel'!H527*'1.1 Control Panel'!H$507)</f>
        <v>13.856000000000002</v>
      </c>
      <c r="I238" s="21">
        <f>MIN('3.1 Market'!$F229,'1.1 Control Panel'!I527*'1.1 Control Panel'!I$507)</f>
        <v>15.084800000000001</v>
      </c>
      <c r="J238" s="21">
        <f>MIN('3.1 Market'!$F229,'1.1 Control Panel'!J527*'1.1 Control Panel'!J$507)</f>
        <v>24.101760000000006</v>
      </c>
      <c r="K238" s="21">
        <f>MIN('3.1 Market'!$F229,'1.1 Control Panel'!K527*'1.1 Control Panel'!K$507)</f>
        <v>25.281408000000003</v>
      </c>
      <c r="L238" s="21">
        <f>MIN('3.1 Market'!$F229,'1.1 Control Panel'!L527*'1.1 Control Panel'!L$507)</f>
        <v>26.225126400000004</v>
      </c>
      <c r="M238" s="21">
        <f>MIN('3.1 Market'!$F229,'1.1 Control Panel'!M527*'1.1 Control Panel'!M$507)</f>
        <v>31.476784640000009</v>
      </c>
      <c r="N238" s="21">
        <f>MIN('3.1 Market'!$F229,'1.1 Control Panel'!N527*'1.1 Control Panel'!N$507)</f>
        <v>32.181427712000016</v>
      </c>
      <c r="O238" s="21">
        <f>MIN('3.1 Market'!$F229,'1.1 Control Panel'!O527*'1.1 Control Panel'!O$507)</f>
        <v>32.745142169600008</v>
      </c>
      <c r="P238" s="21">
        <f>MIN('3.1 Market'!$F229,'1.1 Control Panel'!P527*'1.1 Control Panel'!P$507)</f>
        <v>33.196113735680008</v>
      </c>
      <c r="Q238" s="21">
        <f>MIN('3.1 Market'!$G229,'1.1 Control Panel'!Q527*'1.1 Control Panel'!Q$507)</f>
        <v>38.350732558336006</v>
      </c>
      <c r="R238" s="21">
        <f>MIN('3.1 Market'!$G229,'1.1 Control Panel'!R527*'1.1 Control Panel'!R$507)</f>
        <v>38.680586046668807</v>
      </c>
      <c r="S238" s="21">
        <f>MIN('3.1 Market'!$G229,'1.1 Control Panel'!S527*'1.1 Control Panel'!S$507)</f>
        <v>38.944468837335052</v>
      </c>
      <c r="T238" s="21">
        <f>MIN('3.1 Market'!$G229,'1.1 Control Panel'!T527*'1.1 Control Panel'!T$507)</f>
        <v>39.155575069868043</v>
      </c>
      <c r="U238" s="21">
        <f>MIN('3.1 Market'!$G229,'1.1 Control Panel'!U527*'1.1 Control Panel'!U$507)</f>
        <v>44.240017562881235</v>
      </c>
      <c r="V238" s="21">
        <f>MIN('3.1 Market'!$G229,'1.1 Control Panel'!V527*'1.1 Control Panel'!V$507)</f>
        <v>44.392014050304994</v>
      </c>
      <c r="W238" s="21">
        <f>MIN('3.1 Market'!$G229,'1.1 Control Panel'!W527*'1.1 Control Panel'!W$507)</f>
        <v>44.513611240243996</v>
      </c>
      <c r="X238" s="21">
        <f>MIN('3.1 Market'!$G229,'1.1 Control Panel'!X527*'1.1 Control Panel'!X$507)</f>
        <v>44.6108889921952</v>
      </c>
      <c r="Y238" s="21">
        <f>MIN('3.1 Market'!$G229,'1.1 Control Panel'!Y527*'1.1 Control Panel'!Y$507)</f>
        <v>49.65412354861796</v>
      </c>
      <c r="Z238" s="21">
        <f>MIN('3.1 Market'!$G229,'1.1 Control Panel'!Z527*'1.1 Control Panel'!Z$507)</f>
        <v>49.723298838894365</v>
      </c>
      <c r="AA238" s="21">
        <f>MIN('3.1 Market'!$G229,'1.1 Control Panel'!AA527*'1.1 Control Panel'!AA$507)</f>
        <v>49.778639071115492</v>
      </c>
      <c r="AB238" s="21">
        <f>MIN('3.1 Market'!$G229,'1.1 Control Panel'!AB527*'1.1 Control Panel'!AB$507)</f>
        <v>49.822911256892404</v>
      </c>
      <c r="AC238" s="21">
        <f>MIN('3.1 Market'!$H229,'1.1 Control Panel'!AC527*'1.1 Control Panel'!AC$507)</f>
        <v>74.787493508270884</v>
      </c>
      <c r="AD238" s="21">
        <f>MIN('3.1 Market'!$H229,'1.1 Control Panel'!AD527*'1.1 Control Panel'!AD$507)</f>
        <v>74.82999480661671</v>
      </c>
      <c r="AE238" s="21">
        <f>MIN('3.1 Market'!$H229,'1.1 Control Panel'!AE527*'1.1 Control Panel'!AE$507)</f>
        <v>74.863995845293374</v>
      </c>
      <c r="AF238" s="21">
        <f>MIN('3.1 Market'!$H229,'1.1 Control Panel'!AF527*'1.1 Control Panel'!AF$507)</f>
        <v>74.891196676234685</v>
      </c>
      <c r="AG238" s="21">
        <f>MIN('3.1 Market'!$H229,'1.1 Control Panel'!AG527*'1.1 Control Panel'!AG$507)</f>
        <v>104.87814027738284</v>
      </c>
      <c r="AH238" s="21">
        <f>MIN('3.1 Market'!$H229,'1.1 Control Panel'!AH527*'1.1 Control Panel'!AH$507)</f>
        <v>104.90251222190626</v>
      </c>
      <c r="AI238" s="21">
        <f>MIN('3.1 Market'!$H229,'1.1 Control Panel'!AI527*'1.1 Control Panel'!AI$507)</f>
        <v>104.92200977752503</v>
      </c>
      <c r="AJ238" s="21">
        <f>MIN('3.1 Market'!$H229,'1.1 Control Panel'!AJ527*'1.1 Control Panel'!AJ$507)</f>
        <v>104.93760782202003</v>
      </c>
      <c r="AK238" s="21">
        <f>MIN('3.1 Market'!$H229,'1.1 Control Panel'!AK527*'1.1 Control Panel'!AK$507)</f>
        <v>129.93820203323889</v>
      </c>
      <c r="AL238" s="21">
        <f>MIN('3.1 Market'!$H229,'1.1 Control Panel'!AL527*'1.1 Control Panel'!AL$507)</f>
        <v>129.95056162659111</v>
      </c>
      <c r="AM238" s="21">
        <f>MIN('3.1 Market'!$H229,'1.1 Control Panel'!AM527*'1.1 Control Panel'!AM$507)</f>
        <v>129.96044930127292</v>
      </c>
      <c r="AN238" s="21">
        <f>MIN('3.1 Market'!$H229,'1.1 Control Panel'!AN527*'1.1 Control Panel'!AN$507)</f>
        <v>129.96835944101835</v>
      </c>
      <c r="AP238" s="21"/>
    </row>
    <row r="239" spans="2:42" x14ac:dyDescent="0.25">
      <c r="C239" s="21" t="s">
        <v>393</v>
      </c>
      <c r="D239" s="38" t="s">
        <v>162</v>
      </c>
      <c r="E239" s="21">
        <f>MIN('3.1 Market'!$F230,'1.1 Control Panel'!E528*'1.1 Control Panel'!E$507)</f>
        <v>1</v>
      </c>
      <c r="F239" s="21">
        <f>MIN('3.1 Market'!$F230,'1.1 Control Panel'!F528*'1.1 Control Panel'!F$507)</f>
        <v>1.8</v>
      </c>
      <c r="G239" s="21">
        <f>MIN('3.1 Market'!$F230,'1.1 Control Panel'!G528*'1.1 Control Panel'!G$507)</f>
        <v>9.7600000000000016</v>
      </c>
      <c r="H239" s="21">
        <f>MIN('3.1 Market'!$F230,'1.1 Control Panel'!H528*'1.1 Control Panel'!H$507)</f>
        <v>11.808000000000002</v>
      </c>
      <c r="I239" s="21">
        <f>MIN('3.1 Market'!$F230,'1.1 Control Panel'!I528*'1.1 Control Panel'!I$507)</f>
        <v>13.446400000000002</v>
      </c>
      <c r="J239" s="21">
        <f>MIN('3.1 Market'!$F230,'1.1 Control Panel'!J528*'1.1 Control Panel'!J$507)</f>
        <v>22.135680000000004</v>
      </c>
      <c r="K239" s="21">
        <f>MIN('3.1 Market'!$F230,'1.1 Control Panel'!K528*'1.1 Control Panel'!K$507)</f>
        <v>23.708544000000003</v>
      </c>
      <c r="L239" s="21">
        <f>MIN('3.1 Market'!$F230,'1.1 Control Panel'!L528*'1.1 Control Panel'!L$507)</f>
        <v>24.966835200000006</v>
      </c>
      <c r="M239" s="21">
        <f>MIN('3.1 Market'!$F230,'1.1 Control Panel'!M528*'1.1 Control Panel'!M$507)</f>
        <v>30.302379520000009</v>
      </c>
      <c r="N239" s="21">
        <f>MIN('3.1 Market'!$F230,'1.1 Control Panel'!N528*'1.1 Control Panel'!N$507)</f>
        <v>31.241903616000002</v>
      </c>
      <c r="O239" s="21">
        <f>MIN('3.1 Market'!$F230,'1.1 Control Panel'!O528*'1.1 Control Panel'!O$507)</f>
        <v>31.993522892800005</v>
      </c>
      <c r="P239" s="21">
        <f>MIN('3.1 Market'!$F230,'1.1 Control Panel'!P528*'1.1 Control Panel'!P$507)</f>
        <v>32.594818314240008</v>
      </c>
      <c r="Q239" s="21">
        <f>MIN('3.1 Market'!$G230,'1.1 Control Panel'!Q528*'1.1 Control Panel'!Q$507)</f>
        <v>37.800976744448008</v>
      </c>
      <c r="R239" s="21">
        <f>MIN('3.1 Market'!$G230,'1.1 Control Panel'!R528*'1.1 Control Panel'!R$507)</f>
        <v>38.240781395558407</v>
      </c>
      <c r="S239" s="21">
        <f>MIN('3.1 Market'!$G230,'1.1 Control Panel'!S528*'1.1 Control Panel'!S$507)</f>
        <v>38.592625116446726</v>
      </c>
      <c r="T239" s="21">
        <f>MIN('3.1 Market'!$G230,'1.1 Control Panel'!T528*'1.1 Control Panel'!T$507)</f>
        <v>38.874100093157381</v>
      </c>
      <c r="U239" s="21">
        <f>MIN('3.1 Market'!$G230,'1.1 Control Panel'!U528*'1.1 Control Panel'!U$507)</f>
        <v>43.986690083841644</v>
      </c>
      <c r="V239" s="21">
        <f>MIN('3.1 Market'!$G230,'1.1 Control Panel'!V528*'1.1 Control Panel'!V$507)</f>
        <v>44.189352067073315</v>
      </c>
      <c r="W239" s="21">
        <f>MIN('3.1 Market'!$G230,'1.1 Control Panel'!W528*'1.1 Control Panel'!W$507)</f>
        <v>44.351481653658652</v>
      </c>
      <c r="X239" s="21">
        <f>MIN('3.1 Market'!$G230,'1.1 Control Panel'!X528*'1.1 Control Panel'!X$507)</f>
        <v>44.481185322926933</v>
      </c>
      <c r="Y239" s="21">
        <f>MIN('3.1 Market'!$G230,'1.1 Control Panel'!Y528*'1.1 Control Panel'!Y$507)</f>
        <v>49.538831398157271</v>
      </c>
      <c r="Z239" s="21">
        <f>MIN('3.1 Market'!$G230,'1.1 Control Panel'!Z528*'1.1 Control Panel'!Z$507)</f>
        <v>49.631065118525811</v>
      </c>
      <c r="AA239" s="21">
        <f>MIN('3.1 Market'!$G230,'1.1 Control Panel'!AA528*'1.1 Control Panel'!AA$507)</f>
        <v>49.704852094820652</v>
      </c>
      <c r="AB239" s="21">
        <f>MIN('3.1 Market'!$G230,'1.1 Control Panel'!AB528*'1.1 Control Panel'!AB$507)</f>
        <v>49.763881675856524</v>
      </c>
      <c r="AC239" s="21">
        <f>MIN('3.1 Market'!$H230,'1.1 Control Panel'!AC528*'1.1 Control Panel'!AC$507)</f>
        <v>74.716658011027832</v>
      </c>
      <c r="AD239" s="21">
        <f>MIN('3.1 Market'!$H230,'1.1 Control Panel'!AD528*'1.1 Control Panel'!AD$507)</f>
        <v>74.773326408822271</v>
      </c>
      <c r="AE239" s="21">
        <f>MIN('3.1 Market'!$H230,'1.1 Control Panel'!AE528*'1.1 Control Panel'!AE$507)</f>
        <v>74.818661127057823</v>
      </c>
      <c r="AF239" s="21">
        <f>MIN('3.1 Market'!$H230,'1.1 Control Panel'!AF528*'1.1 Control Panel'!AF$507)</f>
        <v>74.854928901646275</v>
      </c>
      <c r="AG239" s="21">
        <f>MIN('3.1 Market'!$H230,'1.1 Control Panel'!AG528*'1.1 Control Panel'!AG$507)</f>
        <v>104.83752036984383</v>
      </c>
      <c r="AH239" s="21">
        <f>MIN('3.1 Market'!$H230,'1.1 Control Panel'!AH528*'1.1 Control Panel'!AH$507)</f>
        <v>104.87001629587508</v>
      </c>
      <c r="AI239" s="21">
        <f>MIN('3.1 Market'!$H230,'1.1 Control Panel'!AI528*'1.1 Control Panel'!AI$507)</f>
        <v>104.89601303670005</v>
      </c>
      <c r="AJ239" s="21">
        <f>MIN('3.1 Market'!$H230,'1.1 Control Panel'!AJ528*'1.1 Control Panel'!AJ$507)</f>
        <v>104.91681042936005</v>
      </c>
      <c r="AK239" s="21">
        <f>MIN('3.1 Market'!$H230,'1.1 Control Panel'!AK528*'1.1 Control Panel'!AK$507)</f>
        <v>129.91760271098522</v>
      </c>
      <c r="AL239" s="21">
        <f>MIN('3.1 Market'!$H230,'1.1 Control Panel'!AL528*'1.1 Control Panel'!AL$507)</f>
        <v>129.93408216878817</v>
      </c>
      <c r="AM239" s="21">
        <f>MIN('3.1 Market'!$H230,'1.1 Control Panel'!AM528*'1.1 Control Panel'!AM$507)</f>
        <v>129.94726573503056</v>
      </c>
      <c r="AN239" s="21">
        <f>MIN('3.1 Market'!$H230,'1.1 Control Panel'!AN528*'1.1 Control Panel'!AN$507)</f>
        <v>129.95781258802444</v>
      </c>
      <c r="AP239" s="21"/>
    </row>
    <row r="240" spans="2:42" x14ac:dyDescent="0.25">
      <c r="C240" s="21" t="s">
        <v>456</v>
      </c>
      <c r="D240" s="38" t="s">
        <v>162</v>
      </c>
      <c r="E240" s="21">
        <f>MIN('3.1 Market'!$F231,'1.1 Control Panel'!E529*'1.1 Control Panel'!E$507)</f>
        <v>0</v>
      </c>
      <c r="F240" s="21">
        <f>MIN('3.1 Market'!$F231,'1.1 Control Panel'!F529*'1.1 Control Panel'!F$507)</f>
        <v>1</v>
      </c>
      <c r="G240" s="21">
        <f>MIN('3.1 Market'!$F231,'1.1 Control Panel'!G529*'1.1 Control Panel'!G$507)</f>
        <v>7.2</v>
      </c>
      <c r="H240" s="21">
        <f>MIN('3.1 Market'!$F231,'1.1 Control Panel'!H529*'1.1 Control Panel'!H$507)</f>
        <v>9.7600000000000016</v>
      </c>
      <c r="I240" s="21">
        <f>MIN('3.1 Market'!$F231,'1.1 Control Panel'!I529*'1.1 Control Panel'!I$507)</f>
        <v>11.808000000000002</v>
      </c>
      <c r="J240" s="21">
        <f>MIN('3.1 Market'!$F231,'1.1 Control Panel'!J529*'1.1 Control Panel'!J$507)</f>
        <v>20.169600000000003</v>
      </c>
      <c r="K240" s="21">
        <f>MIN('3.1 Market'!$F231,'1.1 Control Panel'!K529*'1.1 Control Panel'!K$507)</f>
        <v>22.135680000000004</v>
      </c>
      <c r="L240" s="21">
        <f>MIN('3.1 Market'!$F231,'1.1 Control Panel'!L529*'1.1 Control Panel'!L$507)</f>
        <v>23.708544000000003</v>
      </c>
      <c r="M240" s="21">
        <f>MIN('3.1 Market'!$F231,'1.1 Control Panel'!M529*'1.1 Control Panel'!M$507)</f>
        <v>29.127974400000006</v>
      </c>
      <c r="N240" s="21">
        <f>MIN('3.1 Market'!$F231,'1.1 Control Panel'!N529*'1.1 Control Panel'!N$507)</f>
        <v>30.302379520000009</v>
      </c>
      <c r="O240" s="21">
        <f>MIN('3.1 Market'!$F231,'1.1 Control Panel'!O529*'1.1 Control Panel'!O$507)</f>
        <v>31.241903616000002</v>
      </c>
      <c r="P240" s="21">
        <f>MIN('3.1 Market'!$F231,'1.1 Control Panel'!P529*'1.1 Control Panel'!P$507)</f>
        <v>31.993522892800005</v>
      </c>
      <c r="Q240" s="21">
        <f>MIN('3.1 Market'!$G231,'1.1 Control Panel'!Q529*'1.1 Control Panel'!Q$507)</f>
        <v>37.251220930560009</v>
      </c>
      <c r="R240" s="21">
        <f>MIN('3.1 Market'!$G231,'1.1 Control Panel'!R529*'1.1 Control Panel'!R$507)</f>
        <v>37.800976744448008</v>
      </c>
      <c r="S240" s="21">
        <f>MIN('3.1 Market'!$G231,'1.1 Control Panel'!S529*'1.1 Control Panel'!S$507)</f>
        <v>38.240781395558407</v>
      </c>
      <c r="T240" s="21">
        <f>MIN('3.1 Market'!$G231,'1.1 Control Panel'!T529*'1.1 Control Panel'!T$507)</f>
        <v>38.592625116446726</v>
      </c>
      <c r="U240" s="21">
        <f>MIN('3.1 Market'!$G231,'1.1 Control Panel'!U529*'1.1 Control Panel'!U$507)</f>
        <v>43.733362604802053</v>
      </c>
      <c r="V240" s="21">
        <f>MIN('3.1 Market'!$G231,'1.1 Control Panel'!V529*'1.1 Control Panel'!V$507)</f>
        <v>43.986690083841644</v>
      </c>
      <c r="W240" s="21">
        <f>MIN('3.1 Market'!$G231,'1.1 Control Panel'!W529*'1.1 Control Panel'!W$507)</f>
        <v>44.189352067073315</v>
      </c>
      <c r="X240" s="21">
        <f>MIN('3.1 Market'!$G231,'1.1 Control Panel'!X529*'1.1 Control Panel'!X$507)</f>
        <v>44.351481653658652</v>
      </c>
      <c r="Y240" s="21">
        <f>MIN('3.1 Market'!$G231,'1.1 Control Panel'!Y529*'1.1 Control Panel'!Y$507)</f>
        <v>49.423539247696588</v>
      </c>
      <c r="Z240" s="21">
        <f>MIN('3.1 Market'!$G231,'1.1 Control Panel'!Z529*'1.1 Control Panel'!Z$507)</f>
        <v>49.538831398157271</v>
      </c>
      <c r="AA240" s="21">
        <f>MIN('3.1 Market'!$G231,'1.1 Control Panel'!AA529*'1.1 Control Panel'!AA$507)</f>
        <v>49.631065118525811</v>
      </c>
      <c r="AB240" s="21">
        <f>MIN('3.1 Market'!$G231,'1.1 Control Panel'!AB529*'1.1 Control Panel'!AB$507)</f>
        <v>49.704852094820652</v>
      </c>
      <c r="AC240" s="21">
        <f>MIN('3.1 Market'!$H231,'1.1 Control Panel'!AC529*'1.1 Control Panel'!AC$507)</f>
        <v>74.645822513784779</v>
      </c>
      <c r="AD240" s="21">
        <f>MIN('3.1 Market'!$H231,'1.1 Control Panel'!AD529*'1.1 Control Panel'!AD$507)</f>
        <v>74.716658011027832</v>
      </c>
      <c r="AE240" s="21">
        <f>MIN('3.1 Market'!$H231,'1.1 Control Panel'!AE529*'1.1 Control Panel'!AE$507)</f>
        <v>74.773326408822271</v>
      </c>
      <c r="AF240" s="21">
        <f>MIN('3.1 Market'!$H231,'1.1 Control Panel'!AF529*'1.1 Control Panel'!AF$507)</f>
        <v>74.818661127057823</v>
      </c>
      <c r="AG240" s="21">
        <f>MIN('3.1 Market'!$H231,'1.1 Control Panel'!AG529*'1.1 Control Panel'!AG$507)</f>
        <v>104.79690046230478</v>
      </c>
      <c r="AH240" s="21">
        <f>MIN('3.1 Market'!$H231,'1.1 Control Panel'!AH529*'1.1 Control Panel'!AH$507)</f>
        <v>104.83752036984383</v>
      </c>
      <c r="AI240" s="21">
        <f>MIN('3.1 Market'!$H231,'1.1 Control Panel'!AI529*'1.1 Control Panel'!AI$507)</f>
        <v>104.87001629587508</v>
      </c>
      <c r="AJ240" s="21">
        <f>MIN('3.1 Market'!$H231,'1.1 Control Panel'!AJ529*'1.1 Control Panel'!AJ$507)</f>
        <v>104.89601303670005</v>
      </c>
      <c r="AK240" s="21">
        <f>MIN('3.1 Market'!$H231,'1.1 Control Panel'!AK529*'1.1 Control Panel'!AK$507)</f>
        <v>129.89700338873149</v>
      </c>
      <c r="AL240" s="21">
        <f>MIN('3.1 Market'!$H231,'1.1 Control Panel'!AL529*'1.1 Control Panel'!AL$507)</f>
        <v>129.91760271098522</v>
      </c>
      <c r="AM240" s="21">
        <f>MIN('3.1 Market'!$H231,'1.1 Control Panel'!AM529*'1.1 Control Panel'!AM$507)</f>
        <v>129.93408216878817</v>
      </c>
      <c r="AN240" s="21">
        <f>MIN('3.1 Market'!$H231,'1.1 Control Panel'!AN529*'1.1 Control Panel'!AN$507)</f>
        <v>129.94726573503056</v>
      </c>
      <c r="AP240" s="21"/>
    </row>
    <row r="241" spans="2:42" x14ac:dyDescent="0.25">
      <c r="B241" s="99" t="s">
        <v>9</v>
      </c>
      <c r="C241" s="105" t="str">
        <f>'4.2 Sector Mapping'!$B$12</f>
        <v>Public and Social Services</v>
      </c>
      <c r="D241" s="106" t="s">
        <v>162</v>
      </c>
      <c r="E241" s="105">
        <f>SUM(E242:E247)</f>
        <v>0</v>
      </c>
      <c r="F241" s="105">
        <f t="shared" ref="F241:H241" si="133">SUM(F242:F247)</f>
        <v>0</v>
      </c>
      <c r="G241" s="105">
        <f t="shared" si="133"/>
        <v>0</v>
      </c>
      <c r="H241" s="105">
        <f t="shared" si="133"/>
        <v>0</v>
      </c>
      <c r="I241" s="105">
        <f t="shared" ref="I241:AN241" si="134">SUM(I242:I247)</f>
        <v>23.856000000000002</v>
      </c>
      <c r="J241" s="105">
        <f t="shared" si="134"/>
        <v>25.084800000000001</v>
      </c>
      <c r="K241" s="105">
        <f t="shared" si="134"/>
        <v>26.067840000000004</v>
      </c>
      <c r="L241" s="105">
        <f t="shared" si="134"/>
        <v>26.854272000000005</v>
      </c>
      <c r="M241" s="105">
        <f t="shared" si="134"/>
        <v>27.483417600000003</v>
      </c>
      <c r="N241" s="105">
        <f t="shared" si="134"/>
        <v>27.986734080000005</v>
      </c>
      <c r="O241" s="105">
        <f t="shared" si="134"/>
        <v>28.389387264000007</v>
      </c>
      <c r="P241" s="105">
        <f t="shared" si="134"/>
        <v>28.711509811200006</v>
      </c>
      <c r="Q241" s="105">
        <f t="shared" si="134"/>
        <v>57.938415697920007</v>
      </c>
      <c r="R241" s="105">
        <f t="shared" si="134"/>
        <v>58.350732558336013</v>
      </c>
      <c r="S241" s="105">
        <f t="shared" si="134"/>
        <v>58.680586046668807</v>
      </c>
      <c r="T241" s="105">
        <f t="shared" si="134"/>
        <v>58.944468837335052</v>
      </c>
      <c r="U241" s="105">
        <f t="shared" si="134"/>
        <v>88.733362604802068</v>
      </c>
      <c r="V241" s="105">
        <f t="shared" si="134"/>
        <v>88.986690083841665</v>
      </c>
      <c r="W241" s="105">
        <f t="shared" si="134"/>
        <v>89.18935206707333</v>
      </c>
      <c r="X241" s="105">
        <f t="shared" si="134"/>
        <v>89.351481653658652</v>
      </c>
      <c r="Y241" s="105">
        <f t="shared" si="134"/>
        <v>89.481185322926919</v>
      </c>
      <c r="Z241" s="105">
        <f t="shared" si="134"/>
        <v>89.584948258341541</v>
      </c>
      <c r="AA241" s="105">
        <f t="shared" si="134"/>
        <v>89.667958606673238</v>
      </c>
      <c r="AB241" s="105">
        <f t="shared" si="134"/>
        <v>89.734366885338602</v>
      </c>
      <c r="AC241" s="105">
        <f t="shared" si="134"/>
        <v>119.71665801102785</v>
      </c>
      <c r="AD241" s="105">
        <f t="shared" si="134"/>
        <v>119.77332640882227</v>
      </c>
      <c r="AE241" s="105">
        <f t="shared" si="134"/>
        <v>119.81866112705782</v>
      </c>
      <c r="AF241" s="105">
        <f t="shared" si="134"/>
        <v>119.85492890164628</v>
      </c>
      <c r="AG241" s="105">
        <f t="shared" si="134"/>
        <v>179.82591468197552</v>
      </c>
      <c r="AH241" s="105">
        <f t="shared" si="134"/>
        <v>179.86073174558044</v>
      </c>
      <c r="AI241" s="105">
        <f t="shared" si="134"/>
        <v>179.88858539646435</v>
      </c>
      <c r="AJ241" s="105">
        <f t="shared" si="134"/>
        <v>179.91086831717149</v>
      </c>
      <c r="AK241" s="105">
        <f t="shared" si="134"/>
        <v>209.91681042936008</v>
      </c>
      <c r="AL241" s="105">
        <f t="shared" si="134"/>
        <v>209.93344834348807</v>
      </c>
      <c r="AM241" s="105">
        <f t="shared" si="134"/>
        <v>209.94675867479043</v>
      </c>
      <c r="AN241" s="105">
        <f t="shared" si="134"/>
        <v>209.95740693983237</v>
      </c>
      <c r="AP241" s="105"/>
    </row>
    <row r="242" spans="2:42" x14ac:dyDescent="0.25">
      <c r="C242" s="20" t="s">
        <v>600</v>
      </c>
      <c r="D242" s="34" t="s">
        <v>162</v>
      </c>
      <c r="E242" s="20">
        <f>MIN('3.1 Market'!$F233,'1.1 Control Panel'!E555*'1.1 Control Panel'!E$538)</f>
        <v>0</v>
      </c>
      <c r="F242" s="20">
        <f>MIN('3.1 Market'!$F233,'1.1 Control Panel'!F555*'1.1 Control Panel'!F$538)</f>
        <v>0</v>
      </c>
      <c r="G242" s="20">
        <f>MIN('3.1 Market'!$F233,'1.1 Control Panel'!G555*'1.1 Control Panel'!G$538)</f>
        <v>0</v>
      </c>
      <c r="H242" s="20">
        <f>MIN('3.1 Market'!$F233,'1.1 Control Panel'!H555*'1.1 Control Panel'!H$538)</f>
        <v>0</v>
      </c>
      <c r="I242" s="20">
        <f>MIN('3.1 Market'!$F233,'1.1 Control Panel'!I555*'1.1 Control Panel'!I$538)</f>
        <v>5</v>
      </c>
      <c r="J242" s="20">
        <f>MIN('3.1 Market'!$F233,'1.1 Control Panel'!J555*'1.1 Control Panel'!J$538)</f>
        <v>5</v>
      </c>
      <c r="K242" s="20">
        <f>MIN('3.1 Market'!$F233,'1.1 Control Panel'!K555*'1.1 Control Panel'!K$538)</f>
        <v>5</v>
      </c>
      <c r="L242" s="20">
        <f>MIN('3.1 Market'!$F233,'1.1 Control Panel'!L555*'1.1 Control Panel'!L$538)</f>
        <v>5</v>
      </c>
      <c r="M242" s="20">
        <f>MIN('3.1 Market'!$F233,'1.1 Control Panel'!M555*'1.1 Control Panel'!M$538)</f>
        <v>5</v>
      </c>
      <c r="N242" s="20">
        <f>MIN('3.1 Market'!$F233,'1.1 Control Panel'!N555*'1.1 Control Panel'!N$538)</f>
        <v>5</v>
      </c>
      <c r="O242" s="20">
        <f>MIN('3.1 Market'!$F233,'1.1 Control Panel'!O555*'1.1 Control Panel'!O$538)</f>
        <v>5</v>
      </c>
      <c r="P242" s="20">
        <f>MIN('3.1 Market'!$F233,'1.1 Control Panel'!P555*'1.1 Control Panel'!P$538)</f>
        <v>5</v>
      </c>
      <c r="Q242" s="20">
        <f>MIN('3.1 Market'!$G233,'1.1 Control Panel'!Q555*'1.1 Control Panel'!Q$538)</f>
        <v>10</v>
      </c>
      <c r="R242" s="20">
        <f>MIN('3.1 Market'!$G233,'1.1 Control Panel'!R555*'1.1 Control Panel'!R$538)</f>
        <v>10</v>
      </c>
      <c r="S242" s="20">
        <f>MIN('3.1 Market'!$G233,'1.1 Control Panel'!S555*'1.1 Control Panel'!S$538)</f>
        <v>10</v>
      </c>
      <c r="T242" s="20">
        <f>MIN('3.1 Market'!$G233,'1.1 Control Panel'!T555*'1.1 Control Panel'!T$538)</f>
        <v>10</v>
      </c>
      <c r="U242" s="20">
        <f>MIN('3.1 Market'!$G233,'1.1 Control Panel'!U555*'1.1 Control Panel'!U$538)</f>
        <v>15</v>
      </c>
      <c r="V242" s="20">
        <f>MIN('3.1 Market'!$G233,'1.1 Control Panel'!V555*'1.1 Control Panel'!V$538)</f>
        <v>15</v>
      </c>
      <c r="W242" s="20">
        <f>MIN('3.1 Market'!$G233,'1.1 Control Panel'!W555*'1.1 Control Panel'!W$538)</f>
        <v>15</v>
      </c>
      <c r="X242" s="20">
        <f>MIN('3.1 Market'!$G233,'1.1 Control Panel'!X555*'1.1 Control Panel'!X$538)</f>
        <v>15</v>
      </c>
      <c r="Y242" s="20">
        <f>MIN('3.1 Market'!$G233,'1.1 Control Panel'!Y555*'1.1 Control Panel'!Y$538)</f>
        <v>15</v>
      </c>
      <c r="Z242" s="20">
        <f>MIN('3.1 Market'!$G233,'1.1 Control Panel'!Z555*'1.1 Control Panel'!Z$538)</f>
        <v>15</v>
      </c>
      <c r="AA242" s="20">
        <f>MIN('3.1 Market'!$G233,'1.1 Control Panel'!AA555*'1.1 Control Panel'!AA$538)</f>
        <v>15</v>
      </c>
      <c r="AB242" s="20">
        <f>MIN('3.1 Market'!$G233,'1.1 Control Panel'!AB555*'1.1 Control Panel'!AB$538)</f>
        <v>15</v>
      </c>
      <c r="AC242" s="20">
        <f>MIN('3.1 Market'!$H233,'1.1 Control Panel'!AC555*'1.1 Control Panel'!AC$538)</f>
        <v>20</v>
      </c>
      <c r="AD242" s="20">
        <f>MIN('3.1 Market'!$H233,'1.1 Control Panel'!AD555*'1.1 Control Panel'!AD$538)</f>
        <v>20</v>
      </c>
      <c r="AE242" s="20">
        <f>MIN('3.1 Market'!$H233,'1.1 Control Panel'!AE555*'1.1 Control Panel'!AE$538)</f>
        <v>20</v>
      </c>
      <c r="AF242" s="20">
        <f>MIN('3.1 Market'!$H233,'1.1 Control Panel'!AF555*'1.1 Control Panel'!AF$538)</f>
        <v>20</v>
      </c>
      <c r="AG242" s="20">
        <f>MIN('3.1 Market'!$H233,'1.1 Control Panel'!AG555*'1.1 Control Panel'!AG$538)</f>
        <v>30</v>
      </c>
      <c r="AH242" s="20">
        <f>MIN('3.1 Market'!$H233,'1.1 Control Panel'!AH555*'1.1 Control Panel'!AH$538)</f>
        <v>30</v>
      </c>
      <c r="AI242" s="20">
        <f>MIN('3.1 Market'!$H233,'1.1 Control Panel'!AI555*'1.1 Control Panel'!AI$538)</f>
        <v>30</v>
      </c>
      <c r="AJ242" s="20">
        <f>MIN('3.1 Market'!$H233,'1.1 Control Panel'!AJ555*'1.1 Control Panel'!AJ$538)</f>
        <v>30</v>
      </c>
      <c r="AK242" s="20">
        <f>MIN('3.1 Market'!$H233,'1.1 Control Panel'!AK555*'1.1 Control Panel'!AK$538)</f>
        <v>35</v>
      </c>
      <c r="AL242" s="20">
        <f>MIN('3.1 Market'!$H233,'1.1 Control Panel'!AL555*'1.1 Control Panel'!AL$538)</f>
        <v>35</v>
      </c>
      <c r="AM242" s="20">
        <f>MIN('3.1 Market'!$H233,'1.1 Control Panel'!AM555*'1.1 Control Panel'!AM$538)</f>
        <v>35</v>
      </c>
      <c r="AN242" s="20">
        <f>MIN('3.1 Market'!$H233,'1.1 Control Panel'!AN555*'1.1 Control Panel'!AN$538)</f>
        <v>35</v>
      </c>
      <c r="AP242" s="20"/>
    </row>
    <row r="243" spans="2:42" x14ac:dyDescent="0.25">
      <c r="C243" s="20" t="s">
        <v>392</v>
      </c>
      <c r="D243" s="34" t="s">
        <v>162</v>
      </c>
      <c r="E243" s="20">
        <f>MIN('3.1 Market'!$F234,'1.1 Control Panel'!E556*'1.1 Control Panel'!E$538)</f>
        <v>0</v>
      </c>
      <c r="F243" s="20">
        <f>MIN('3.1 Market'!$F234,'1.1 Control Panel'!F556*'1.1 Control Panel'!F$538)</f>
        <v>0</v>
      </c>
      <c r="G243" s="20">
        <f>MIN('3.1 Market'!$F234,'1.1 Control Panel'!G556*'1.1 Control Panel'!G$538)</f>
        <v>0</v>
      </c>
      <c r="H243" s="20">
        <f>MIN('3.1 Market'!$F234,'1.1 Control Panel'!H556*'1.1 Control Panel'!H$538)</f>
        <v>0</v>
      </c>
      <c r="I243" s="20">
        <f>MIN('3.1 Market'!$F234,'1.1 Control Panel'!I556*'1.1 Control Panel'!I$538)</f>
        <v>4.5904000000000007</v>
      </c>
      <c r="J243" s="20">
        <f>MIN('3.1 Market'!$F234,'1.1 Control Panel'!J556*'1.1 Control Panel'!J$538)</f>
        <v>4.6723200000000009</v>
      </c>
      <c r="K243" s="20">
        <f>MIN('3.1 Market'!$F234,'1.1 Control Panel'!K556*'1.1 Control Panel'!K$538)</f>
        <v>4.7378560000000007</v>
      </c>
      <c r="L243" s="20">
        <f>MIN('3.1 Market'!$F234,'1.1 Control Panel'!L556*'1.1 Control Panel'!L$538)</f>
        <v>4.7902848000000002</v>
      </c>
      <c r="M243" s="20">
        <f>MIN('3.1 Market'!$F234,'1.1 Control Panel'!M556*'1.1 Control Panel'!M$538)</f>
        <v>4.8322278399999998</v>
      </c>
      <c r="N243" s="20">
        <f>MIN('3.1 Market'!$F234,'1.1 Control Panel'!N556*'1.1 Control Panel'!N$538)</f>
        <v>4.8657822720000006</v>
      </c>
      <c r="O243" s="20">
        <f>MIN('3.1 Market'!$F234,'1.1 Control Panel'!O556*'1.1 Control Panel'!O$538)</f>
        <v>4.8926258176000008</v>
      </c>
      <c r="P243" s="20">
        <f>MIN('3.1 Market'!$F234,'1.1 Control Panel'!P556*'1.1 Control Panel'!P$538)</f>
        <v>4.9141006540800003</v>
      </c>
      <c r="Q243" s="20">
        <f>MIN('3.1 Market'!$G234,'1.1 Control Panel'!Q556*'1.1 Control Panel'!Q$538)</f>
        <v>9.8625610465280005</v>
      </c>
      <c r="R243" s="20">
        <f>MIN('3.1 Market'!$G234,'1.1 Control Panel'!R556*'1.1 Control Panel'!R$538)</f>
        <v>9.8900488372224018</v>
      </c>
      <c r="S243" s="20">
        <f>MIN('3.1 Market'!$G234,'1.1 Control Panel'!S556*'1.1 Control Panel'!S$538)</f>
        <v>9.9120390697779222</v>
      </c>
      <c r="T243" s="20">
        <f>MIN('3.1 Market'!$G234,'1.1 Control Panel'!T556*'1.1 Control Panel'!T$538)</f>
        <v>9.9296312558223381</v>
      </c>
      <c r="U243" s="20">
        <f>MIN('3.1 Market'!$G234,'1.1 Control Panel'!U556*'1.1 Control Panel'!U$538)</f>
        <v>14.915557506986808</v>
      </c>
      <c r="V243" s="20">
        <f>MIN('3.1 Market'!$G234,'1.1 Control Panel'!V556*'1.1 Control Panel'!V$538)</f>
        <v>14.932446005589448</v>
      </c>
      <c r="W243" s="20">
        <f>MIN('3.1 Market'!$G234,'1.1 Control Panel'!W556*'1.1 Control Panel'!W$538)</f>
        <v>14.945956804471558</v>
      </c>
      <c r="X243" s="20">
        <f>MIN('3.1 Market'!$G234,'1.1 Control Panel'!X556*'1.1 Control Panel'!X$538)</f>
        <v>14.956765443577247</v>
      </c>
      <c r="Y243" s="20">
        <f>MIN('3.1 Market'!$G234,'1.1 Control Panel'!Y556*'1.1 Control Panel'!Y$538)</f>
        <v>14.965412354861797</v>
      </c>
      <c r="Z243" s="20">
        <f>MIN('3.1 Market'!$G234,'1.1 Control Panel'!Z556*'1.1 Control Panel'!Z$538)</f>
        <v>14.97232988388944</v>
      </c>
      <c r="AA243" s="20">
        <f>MIN('3.1 Market'!$G234,'1.1 Control Panel'!AA556*'1.1 Control Panel'!AA$538)</f>
        <v>14.977863907111553</v>
      </c>
      <c r="AB243" s="20">
        <f>MIN('3.1 Market'!$G234,'1.1 Control Panel'!AB556*'1.1 Control Panel'!AB$538)</f>
        <v>14.982291125689244</v>
      </c>
      <c r="AC243" s="20">
        <f>MIN('3.1 Market'!$H234,'1.1 Control Panel'!AC556*'1.1 Control Panel'!AC$538)</f>
        <v>19.981110534068527</v>
      </c>
      <c r="AD243" s="20">
        <f>MIN('3.1 Market'!$H234,'1.1 Control Panel'!AD556*'1.1 Control Panel'!AD$538)</f>
        <v>19.984888427254823</v>
      </c>
      <c r="AE243" s="20">
        <f>MIN('3.1 Market'!$H234,'1.1 Control Panel'!AE556*'1.1 Control Panel'!AE$538)</f>
        <v>19.987910741803859</v>
      </c>
      <c r="AF243" s="20">
        <f>MIN('3.1 Market'!$H234,'1.1 Control Panel'!AF556*'1.1 Control Panel'!AF$538)</f>
        <v>19.990328593443088</v>
      </c>
      <c r="AG243" s="20">
        <f>MIN('3.1 Market'!$H234,'1.1 Control Panel'!AG556*'1.1 Control Panel'!AG$538)</f>
        <v>29.98839431213171</v>
      </c>
      <c r="AH243" s="20">
        <f>MIN('3.1 Market'!$H234,'1.1 Control Panel'!AH556*'1.1 Control Panel'!AH$538)</f>
        <v>29.990715449705366</v>
      </c>
      <c r="AI243" s="20">
        <f>MIN('3.1 Market'!$H234,'1.1 Control Panel'!AI556*'1.1 Control Panel'!AI$538)</f>
        <v>29.992572359764296</v>
      </c>
      <c r="AJ243" s="20">
        <f>MIN('3.1 Market'!$H234,'1.1 Control Panel'!AJ556*'1.1 Control Panel'!AJ$538)</f>
        <v>29.994057887811433</v>
      </c>
      <c r="AK243" s="20">
        <f>MIN('3.1 Market'!$H234,'1.1 Control Panel'!AK556*'1.1 Control Panel'!AK$538)</f>
        <v>34.994454028624006</v>
      </c>
      <c r="AL243" s="20">
        <f>MIN('3.1 Market'!$H234,'1.1 Control Panel'!AL556*'1.1 Control Panel'!AL$538)</f>
        <v>34.995563222899207</v>
      </c>
      <c r="AM243" s="20">
        <f>MIN('3.1 Market'!$H234,'1.1 Control Panel'!AM556*'1.1 Control Panel'!AM$538)</f>
        <v>34.996450578319362</v>
      </c>
      <c r="AN243" s="20">
        <f>MIN('3.1 Market'!$H234,'1.1 Control Panel'!AN556*'1.1 Control Panel'!AN$538)</f>
        <v>34.997160462655486</v>
      </c>
      <c r="AP243" s="20"/>
    </row>
    <row r="244" spans="2:42" x14ac:dyDescent="0.25">
      <c r="C244" s="20" t="s">
        <v>454</v>
      </c>
      <c r="D244" s="34" t="s">
        <v>162</v>
      </c>
      <c r="E244" s="20">
        <f>MIN('3.1 Market'!$F235,'1.1 Control Panel'!E557*'1.1 Control Panel'!E$538)</f>
        <v>0</v>
      </c>
      <c r="F244" s="20">
        <f>MIN('3.1 Market'!$F235,'1.1 Control Panel'!F557*'1.1 Control Panel'!F$538)</f>
        <v>0</v>
      </c>
      <c r="G244" s="20">
        <f>MIN('3.1 Market'!$F235,'1.1 Control Panel'!G557*'1.1 Control Panel'!G$538)</f>
        <v>0</v>
      </c>
      <c r="H244" s="20">
        <f>MIN('3.1 Market'!$F235,'1.1 Control Panel'!H557*'1.1 Control Panel'!H$538)</f>
        <v>0</v>
      </c>
      <c r="I244" s="20">
        <f>MIN('3.1 Market'!$F235,'1.1 Control Panel'!I557*'1.1 Control Panel'!I$538)</f>
        <v>4.1808000000000014</v>
      </c>
      <c r="J244" s="20">
        <f>MIN('3.1 Market'!$F235,'1.1 Control Panel'!J557*'1.1 Control Panel'!J$538)</f>
        <v>4.3446400000000018</v>
      </c>
      <c r="K244" s="20">
        <f>MIN('3.1 Market'!$F235,'1.1 Control Panel'!K557*'1.1 Control Panel'!K$538)</f>
        <v>4.4757120000000015</v>
      </c>
      <c r="L244" s="20">
        <f>MIN('3.1 Market'!$F235,'1.1 Control Panel'!L557*'1.1 Control Panel'!L$538)</f>
        <v>4.5805696000000014</v>
      </c>
      <c r="M244" s="20">
        <f>MIN('3.1 Market'!$F235,'1.1 Control Panel'!M557*'1.1 Control Panel'!M$538)</f>
        <v>4.6644556800000014</v>
      </c>
      <c r="N244" s="20">
        <f>MIN('3.1 Market'!$F235,'1.1 Control Panel'!N557*'1.1 Control Panel'!N$538)</f>
        <v>4.7315645440000011</v>
      </c>
      <c r="O244" s="20">
        <f>MIN('3.1 Market'!$F235,'1.1 Control Panel'!O557*'1.1 Control Panel'!O$538)</f>
        <v>4.7852516352000016</v>
      </c>
      <c r="P244" s="20">
        <f>MIN('3.1 Market'!$F235,'1.1 Control Panel'!P557*'1.1 Control Panel'!P$538)</f>
        <v>4.8282013081600015</v>
      </c>
      <c r="Q244" s="20">
        <f>MIN('3.1 Market'!$G235,'1.1 Control Panel'!Q557*'1.1 Control Panel'!Q$538)</f>
        <v>9.7251220930560027</v>
      </c>
      <c r="R244" s="20">
        <f>MIN('3.1 Market'!$G235,'1.1 Control Panel'!R557*'1.1 Control Panel'!R$538)</f>
        <v>9.7800976744448036</v>
      </c>
      <c r="S244" s="20">
        <f>MIN('3.1 Market'!$G235,'1.1 Control Panel'!S557*'1.1 Control Panel'!S$538)</f>
        <v>9.8240781395558443</v>
      </c>
      <c r="T244" s="20">
        <f>MIN('3.1 Market'!$G235,'1.1 Control Panel'!T557*'1.1 Control Panel'!T$538)</f>
        <v>9.8592625116446762</v>
      </c>
      <c r="U244" s="20">
        <f>MIN('3.1 Market'!$G235,'1.1 Control Panel'!U557*'1.1 Control Panel'!U$538)</f>
        <v>14.83111501397361</v>
      </c>
      <c r="V244" s="20">
        <f>MIN('3.1 Market'!$G235,'1.1 Control Panel'!V557*'1.1 Control Panel'!V$538)</f>
        <v>14.864892011178888</v>
      </c>
      <c r="W244" s="20">
        <f>MIN('3.1 Market'!$G235,'1.1 Control Panel'!W557*'1.1 Control Panel'!W$538)</f>
        <v>14.891913608943112</v>
      </c>
      <c r="X244" s="20">
        <f>MIN('3.1 Market'!$G235,'1.1 Control Panel'!X557*'1.1 Control Panel'!X$538)</f>
        <v>14.913530887154488</v>
      </c>
      <c r="Y244" s="20">
        <f>MIN('3.1 Market'!$G235,'1.1 Control Panel'!Y557*'1.1 Control Panel'!Y$538)</f>
        <v>14.93082470972359</v>
      </c>
      <c r="Z244" s="20">
        <f>MIN('3.1 Market'!$G235,'1.1 Control Panel'!Z557*'1.1 Control Panel'!Z$538)</f>
        <v>14.944659767778873</v>
      </c>
      <c r="AA244" s="20">
        <f>MIN('3.1 Market'!$G235,'1.1 Control Panel'!AA557*'1.1 Control Panel'!AA$538)</f>
        <v>14.955727814223099</v>
      </c>
      <c r="AB244" s="20">
        <f>MIN('3.1 Market'!$G235,'1.1 Control Panel'!AB557*'1.1 Control Panel'!AB$538)</f>
        <v>14.964582251378481</v>
      </c>
      <c r="AC244" s="20">
        <f>MIN('3.1 Market'!$H235,'1.1 Control Panel'!AC557*'1.1 Control Panel'!AC$538)</f>
        <v>19.962221068137048</v>
      </c>
      <c r="AD244" s="20">
        <f>MIN('3.1 Market'!$H235,'1.1 Control Panel'!AD557*'1.1 Control Panel'!AD$538)</f>
        <v>19.969776854509639</v>
      </c>
      <c r="AE244" s="20">
        <f>MIN('3.1 Market'!$H235,'1.1 Control Panel'!AE557*'1.1 Control Panel'!AE$538)</f>
        <v>19.97582148360771</v>
      </c>
      <c r="AF244" s="20">
        <f>MIN('3.1 Market'!$H235,'1.1 Control Panel'!AF557*'1.1 Control Panel'!AF$538)</f>
        <v>19.98065718688617</v>
      </c>
      <c r="AG244" s="20">
        <f>MIN('3.1 Market'!$H235,'1.1 Control Panel'!AG557*'1.1 Control Panel'!AG$538)</f>
        <v>29.976788624263406</v>
      </c>
      <c r="AH244" s="20">
        <f>MIN('3.1 Market'!$H235,'1.1 Control Panel'!AH557*'1.1 Control Panel'!AH$538)</f>
        <v>29.981430899410721</v>
      </c>
      <c r="AI244" s="20">
        <f>MIN('3.1 Market'!$H235,'1.1 Control Panel'!AI557*'1.1 Control Panel'!AI$538)</f>
        <v>29.985144719528577</v>
      </c>
      <c r="AJ244" s="20">
        <f>MIN('3.1 Market'!$H235,'1.1 Control Panel'!AJ557*'1.1 Control Panel'!AJ$538)</f>
        <v>29.988115775622866</v>
      </c>
      <c r="AK244" s="20">
        <f>MIN('3.1 Market'!$H235,'1.1 Control Panel'!AK557*'1.1 Control Panel'!AK$538)</f>
        <v>34.988908057248004</v>
      </c>
      <c r="AL244" s="20">
        <f>MIN('3.1 Market'!$H235,'1.1 Control Panel'!AL557*'1.1 Control Panel'!AL$538)</f>
        <v>34.9911264457984</v>
      </c>
      <c r="AM244" s="20">
        <f>MIN('3.1 Market'!$H235,'1.1 Control Panel'!AM557*'1.1 Control Panel'!AM$538)</f>
        <v>34.992901156638723</v>
      </c>
      <c r="AN244" s="20">
        <f>MIN('3.1 Market'!$H235,'1.1 Control Panel'!AN557*'1.1 Control Panel'!AN$538)</f>
        <v>34.99432092531098</v>
      </c>
      <c r="AP244" s="20"/>
    </row>
    <row r="245" spans="2:42" x14ac:dyDescent="0.25">
      <c r="C245" s="21" t="s">
        <v>455</v>
      </c>
      <c r="D245" s="38" t="s">
        <v>162</v>
      </c>
      <c r="E245" s="21">
        <f>MIN('3.1 Market'!$F236,'1.1 Control Panel'!E558*'1.1 Control Panel'!E$538)</f>
        <v>0</v>
      </c>
      <c r="F245" s="21">
        <f>MIN('3.1 Market'!$F236,'1.1 Control Panel'!F558*'1.1 Control Panel'!F$538)</f>
        <v>0</v>
      </c>
      <c r="G245" s="21">
        <f>MIN('3.1 Market'!$F236,'1.1 Control Panel'!G558*'1.1 Control Panel'!G$538)</f>
        <v>0</v>
      </c>
      <c r="H245" s="21">
        <f>MIN('3.1 Market'!$F236,'1.1 Control Panel'!H558*'1.1 Control Panel'!H$538)</f>
        <v>0</v>
      </c>
      <c r="I245" s="21">
        <f>MIN('3.1 Market'!$F236,'1.1 Control Panel'!I558*'1.1 Control Panel'!I$538)</f>
        <v>3.7712000000000003</v>
      </c>
      <c r="J245" s="21">
        <f>MIN('3.1 Market'!$F236,'1.1 Control Panel'!J558*'1.1 Control Panel'!J$538)</f>
        <v>4.016960000000001</v>
      </c>
      <c r="K245" s="21">
        <f>MIN('3.1 Market'!$F236,'1.1 Control Panel'!K558*'1.1 Control Panel'!K$538)</f>
        <v>4.2135680000000004</v>
      </c>
      <c r="L245" s="21">
        <f>MIN('3.1 Market'!$F236,'1.1 Control Panel'!L558*'1.1 Control Panel'!L$538)</f>
        <v>4.3708544000000007</v>
      </c>
      <c r="M245" s="21">
        <f>MIN('3.1 Market'!$F236,'1.1 Control Panel'!M558*'1.1 Control Panel'!M$538)</f>
        <v>4.4966835200000013</v>
      </c>
      <c r="N245" s="21">
        <f>MIN('3.1 Market'!$F236,'1.1 Control Panel'!N558*'1.1 Control Panel'!N$538)</f>
        <v>4.5973468160000017</v>
      </c>
      <c r="O245" s="21">
        <f>MIN('3.1 Market'!$F236,'1.1 Control Panel'!O558*'1.1 Control Panel'!O$538)</f>
        <v>4.6778774528000016</v>
      </c>
      <c r="P245" s="21">
        <f>MIN('3.1 Market'!$F236,'1.1 Control Panel'!P558*'1.1 Control Panel'!P$538)</f>
        <v>4.7423019622400009</v>
      </c>
      <c r="Q245" s="21">
        <f>MIN('3.1 Market'!$G236,'1.1 Control Panel'!Q558*'1.1 Control Panel'!Q$538)</f>
        <v>9.5876831395840014</v>
      </c>
      <c r="R245" s="21">
        <f>MIN('3.1 Market'!$G236,'1.1 Control Panel'!R558*'1.1 Control Panel'!R$538)</f>
        <v>9.6701465116672018</v>
      </c>
      <c r="S245" s="21">
        <f>MIN('3.1 Market'!$G236,'1.1 Control Panel'!S558*'1.1 Control Panel'!S$538)</f>
        <v>9.7361172093337629</v>
      </c>
      <c r="T245" s="21">
        <f>MIN('3.1 Market'!$G236,'1.1 Control Panel'!T558*'1.1 Control Panel'!T$538)</f>
        <v>9.7888937674670107</v>
      </c>
      <c r="U245" s="21">
        <f>MIN('3.1 Market'!$G236,'1.1 Control Panel'!U558*'1.1 Control Panel'!U$538)</f>
        <v>14.746672520960413</v>
      </c>
      <c r="V245" s="21">
        <f>MIN('3.1 Market'!$G236,'1.1 Control Panel'!V558*'1.1 Control Panel'!V$538)</f>
        <v>14.797338016768332</v>
      </c>
      <c r="W245" s="21">
        <f>MIN('3.1 Market'!$G236,'1.1 Control Panel'!W558*'1.1 Control Panel'!W$538)</f>
        <v>14.837870413414665</v>
      </c>
      <c r="X245" s="21">
        <f>MIN('3.1 Market'!$G236,'1.1 Control Panel'!X558*'1.1 Control Panel'!X$538)</f>
        <v>14.870296330731733</v>
      </c>
      <c r="Y245" s="21">
        <f>MIN('3.1 Market'!$G236,'1.1 Control Panel'!Y558*'1.1 Control Panel'!Y$538)</f>
        <v>14.896237064585387</v>
      </c>
      <c r="Z245" s="21">
        <f>MIN('3.1 Market'!$G236,'1.1 Control Panel'!Z558*'1.1 Control Panel'!Z$538)</f>
        <v>14.91698965166831</v>
      </c>
      <c r="AA245" s="21">
        <f>MIN('3.1 Market'!$G236,'1.1 Control Panel'!AA558*'1.1 Control Panel'!AA$538)</f>
        <v>14.933591721334649</v>
      </c>
      <c r="AB245" s="21">
        <f>MIN('3.1 Market'!$G236,'1.1 Control Panel'!AB558*'1.1 Control Panel'!AB$538)</f>
        <v>14.946873377067721</v>
      </c>
      <c r="AC245" s="21">
        <f>MIN('3.1 Market'!$H236,'1.1 Control Panel'!AC558*'1.1 Control Panel'!AC$538)</f>
        <v>19.943331602205568</v>
      </c>
      <c r="AD245" s="21">
        <f>MIN('3.1 Market'!$H236,'1.1 Control Panel'!AD558*'1.1 Control Panel'!AD$538)</f>
        <v>19.954665281764456</v>
      </c>
      <c r="AE245" s="21">
        <f>MIN('3.1 Market'!$H236,'1.1 Control Panel'!AE558*'1.1 Control Panel'!AE$538)</f>
        <v>19.963732225411565</v>
      </c>
      <c r="AF245" s="21">
        <f>MIN('3.1 Market'!$H236,'1.1 Control Panel'!AF558*'1.1 Control Panel'!AF$538)</f>
        <v>19.970985780329251</v>
      </c>
      <c r="AG245" s="21">
        <f>MIN('3.1 Market'!$H236,'1.1 Control Panel'!AG558*'1.1 Control Panel'!AG$538)</f>
        <v>29.965182936395099</v>
      </c>
      <c r="AH245" s="21">
        <f>MIN('3.1 Market'!$H236,'1.1 Control Panel'!AH558*'1.1 Control Panel'!AH$538)</f>
        <v>29.972146349116077</v>
      </c>
      <c r="AI245" s="21">
        <f>MIN('3.1 Market'!$H236,'1.1 Control Panel'!AI558*'1.1 Control Panel'!AI$538)</f>
        <v>29.977717079292866</v>
      </c>
      <c r="AJ245" s="21">
        <f>MIN('3.1 Market'!$H236,'1.1 Control Panel'!AJ558*'1.1 Control Panel'!AJ$538)</f>
        <v>29.982173663434295</v>
      </c>
      <c r="AK245" s="21">
        <f>MIN('3.1 Market'!$H236,'1.1 Control Panel'!AK558*'1.1 Control Panel'!AK$538)</f>
        <v>34.98336208587201</v>
      </c>
      <c r="AL245" s="21">
        <f>MIN('3.1 Market'!$H236,'1.1 Control Panel'!AL558*'1.1 Control Panel'!AL$538)</f>
        <v>34.986689668697608</v>
      </c>
      <c r="AM245" s="21">
        <f>MIN('3.1 Market'!$H236,'1.1 Control Panel'!AM558*'1.1 Control Panel'!AM$538)</f>
        <v>34.989351734958092</v>
      </c>
      <c r="AN245" s="21">
        <f>MIN('3.1 Market'!$H236,'1.1 Control Panel'!AN558*'1.1 Control Panel'!AN$538)</f>
        <v>34.991481387966473</v>
      </c>
      <c r="AP245" s="21"/>
    </row>
    <row r="246" spans="2:42" x14ac:dyDescent="0.25">
      <c r="C246" s="21" t="s">
        <v>393</v>
      </c>
      <c r="D246" s="38" t="s">
        <v>162</v>
      </c>
      <c r="E246" s="21">
        <f>MIN('3.1 Market'!$F237,'1.1 Control Panel'!E559*'1.1 Control Panel'!E$538)</f>
        <v>0</v>
      </c>
      <c r="F246" s="21">
        <f>MIN('3.1 Market'!$F237,'1.1 Control Panel'!F559*'1.1 Control Panel'!F$538)</f>
        <v>0</v>
      </c>
      <c r="G246" s="21">
        <f>MIN('3.1 Market'!$F237,'1.1 Control Panel'!G559*'1.1 Control Panel'!G$538)</f>
        <v>0</v>
      </c>
      <c r="H246" s="21">
        <f>MIN('3.1 Market'!$F237,'1.1 Control Panel'!H559*'1.1 Control Panel'!H$538)</f>
        <v>0</v>
      </c>
      <c r="I246" s="21">
        <f>MIN('3.1 Market'!$F237,'1.1 Control Panel'!I559*'1.1 Control Panel'!I$538)</f>
        <v>3.3616000000000006</v>
      </c>
      <c r="J246" s="21">
        <f>MIN('3.1 Market'!$F237,'1.1 Control Panel'!J559*'1.1 Control Panel'!J$538)</f>
        <v>3.6892800000000006</v>
      </c>
      <c r="K246" s="21">
        <f>MIN('3.1 Market'!$F237,'1.1 Control Panel'!K559*'1.1 Control Panel'!K$538)</f>
        <v>3.9514240000000007</v>
      </c>
      <c r="L246" s="21">
        <f>MIN('3.1 Market'!$F237,'1.1 Control Panel'!L559*'1.1 Control Panel'!L$538)</f>
        <v>4.1611392000000009</v>
      </c>
      <c r="M246" s="21">
        <f>MIN('3.1 Market'!$F237,'1.1 Control Panel'!M559*'1.1 Control Panel'!M$538)</f>
        <v>4.3289113600000011</v>
      </c>
      <c r="N246" s="21">
        <f>MIN('3.1 Market'!$F237,'1.1 Control Panel'!N559*'1.1 Control Panel'!N$538)</f>
        <v>4.4631290880000005</v>
      </c>
      <c r="O246" s="21">
        <f>MIN('3.1 Market'!$F237,'1.1 Control Panel'!O559*'1.1 Control Panel'!O$538)</f>
        <v>4.5705032704000006</v>
      </c>
      <c r="P246" s="21">
        <f>MIN('3.1 Market'!$F237,'1.1 Control Panel'!P559*'1.1 Control Panel'!P$538)</f>
        <v>4.6564026163200012</v>
      </c>
      <c r="Q246" s="21">
        <f>MIN('3.1 Market'!$G237,'1.1 Control Panel'!Q559*'1.1 Control Panel'!Q$538)</f>
        <v>9.4502441861120019</v>
      </c>
      <c r="R246" s="21">
        <f>MIN('3.1 Market'!$G237,'1.1 Control Panel'!R559*'1.1 Control Panel'!R$538)</f>
        <v>9.5601953488896019</v>
      </c>
      <c r="S246" s="21">
        <f>MIN('3.1 Market'!$G237,'1.1 Control Panel'!S559*'1.1 Control Panel'!S$538)</f>
        <v>9.6481562791116815</v>
      </c>
      <c r="T246" s="21">
        <f>MIN('3.1 Market'!$G237,'1.1 Control Panel'!T559*'1.1 Control Panel'!T$538)</f>
        <v>9.7185250232893452</v>
      </c>
      <c r="U246" s="21">
        <f>MIN('3.1 Market'!$G237,'1.1 Control Panel'!U559*'1.1 Control Panel'!U$538)</f>
        <v>14.662230027947215</v>
      </c>
      <c r="V246" s="21">
        <f>MIN('3.1 Market'!$G237,'1.1 Control Panel'!V559*'1.1 Control Panel'!V$538)</f>
        <v>14.729784022357771</v>
      </c>
      <c r="W246" s="21">
        <f>MIN('3.1 Market'!$G237,'1.1 Control Panel'!W559*'1.1 Control Panel'!W$538)</f>
        <v>14.783827217886218</v>
      </c>
      <c r="X246" s="21">
        <f>MIN('3.1 Market'!$G237,'1.1 Control Panel'!X559*'1.1 Control Panel'!X$538)</f>
        <v>14.827061774308977</v>
      </c>
      <c r="Y246" s="21">
        <f>MIN('3.1 Market'!$G237,'1.1 Control Panel'!Y559*'1.1 Control Panel'!Y$538)</f>
        <v>14.861649419447183</v>
      </c>
      <c r="Z246" s="21">
        <f>MIN('3.1 Market'!$G237,'1.1 Control Panel'!Z559*'1.1 Control Panel'!Z$538)</f>
        <v>14.889319535557744</v>
      </c>
      <c r="AA246" s="21">
        <f>MIN('3.1 Market'!$G237,'1.1 Control Panel'!AA559*'1.1 Control Panel'!AA$538)</f>
        <v>14.911455628446197</v>
      </c>
      <c r="AB246" s="21">
        <f>MIN('3.1 Market'!$G237,'1.1 Control Panel'!AB559*'1.1 Control Panel'!AB$538)</f>
        <v>14.929164502756956</v>
      </c>
      <c r="AC246" s="21">
        <f>MIN('3.1 Market'!$H237,'1.1 Control Panel'!AC559*'1.1 Control Panel'!AC$538)</f>
        <v>19.924442136274088</v>
      </c>
      <c r="AD246" s="21">
        <f>MIN('3.1 Market'!$H237,'1.1 Control Panel'!AD559*'1.1 Control Panel'!AD$538)</f>
        <v>19.939553709019272</v>
      </c>
      <c r="AE246" s="21">
        <f>MIN('3.1 Market'!$H237,'1.1 Control Panel'!AE559*'1.1 Control Panel'!AE$538)</f>
        <v>19.95164296721542</v>
      </c>
      <c r="AF246" s="21">
        <f>MIN('3.1 Market'!$H237,'1.1 Control Panel'!AF559*'1.1 Control Panel'!AF$538)</f>
        <v>19.961314373772339</v>
      </c>
      <c r="AG246" s="21">
        <f>MIN('3.1 Market'!$H237,'1.1 Control Panel'!AG559*'1.1 Control Panel'!AG$538)</f>
        <v>29.953577248526809</v>
      </c>
      <c r="AH246" s="21">
        <f>MIN('3.1 Market'!$H237,'1.1 Control Panel'!AH559*'1.1 Control Panel'!AH$538)</f>
        <v>29.96286179882145</v>
      </c>
      <c r="AI246" s="21">
        <f>MIN('3.1 Market'!$H237,'1.1 Control Panel'!AI559*'1.1 Control Panel'!AI$538)</f>
        <v>29.970289439057161</v>
      </c>
      <c r="AJ246" s="21">
        <f>MIN('3.1 Market'!$H237,'1.1 Control Panel'!AJ559*'1.1 Control Panel'!AJ$538)</f>
        <v>29.976231551245732</v>
      </c>
      <c r="AK246" s="21">
        <f>MIN('3.1 Market'!$H237,'1.1 Control Panel'!AK559*'1.1 Control Panel'!AK$538)</f>
        <v>34.977816114496015</v>
      </c>
      <c r="AL246" s="21">
        <f>MIN('3.1 Market'!$H237,'1.1 Control Panel'!AL559*'1.1 Control Panel'!AL$538)</f>
        <v>34.982252891596815</v>
      </c>
      <c r="AM246" s="21">
        <f>MIN('3.1 Market'!$H237,'1.1 Control Panel'!AM559*'1.1 Control Panel'!AM$538)</f>
        <v>34.985802313277453</v>
      </c>
      <c r="AN246" s="21">
        <f>MIN('3.1 Market'!$H237,'1.1 Control Panel'!AN559*'1.1 Control Panel'!AN$538)</f>
        <v>34.988641850621967</v>
      </c>
      <c r="AP246" s="21"/>
    </row>
    <row r="247" spans="2:42" x14ac:dyDescent="0.25">
      <c r="C247" s="21" t="s">
        <v>456</v>
      </c>
      <c r="D247" s="38" t="s">
        <v>162</v>
      </c>
      <c r="E247" s="21">
        <f>MIN('3.1 Market'!$F238,'1.1 Control Panel'!E560*'1.1 Control Panel'!E$538)</f>
        <v>0</v>
      </c>
      <c r="F247" s="21">
        <f>MIN('3.1 Market'!$F238,'1.1 Control Panel'!F560*'1.1 Control Panel'!F$538)</f>
        <v>0</v>
      </c>
      <c r="G247" s="21">
        <f>MIN('3.1 Market'!$F238,'1.1 Control Panel'!G560*'1.1 Control Panel'!G$538)</f>
        <v>0</v>
      </c>
      <c r="H247" s="21">
        <f>MIN('3.1 Market'!$F238,'1.1 Control Panel'!H560*'1.1 Control Panel'!H$538)</f>
        <v>0</v>
      </c>
      <c r="I247" s="21">
        <f>MIN('3.1 Market'!$F238,'1.1 Control Panel'!I560*'1.1 Control Panel'!I$538)</f>
        <v>2.9520000000000004</v>
      </c>
      <c r="J247" s="21">
        <f>MIN('3.1 Market'!$F238,'1.1 Control Panel'!J560*'1.1 Control Panel'!J$538)</f>
        <v>3.3616000000000006</v>
      </c>
      <c r="K247" s="21">
        <f>MIN('3.1 Market'!$F238,'1.1 Control Panel'!K560*'1.1 Control Panel'!K$538)</f>
        <v>3.6892800000000006</v>
      </c>
      <c r="L247" s="21">
        <f>MIN('3.1 Market'!$F238,'1.1 Control Panel'!L560*'1.1 Control Panel'!L$538)</f>
        <v>3.9514240000000007</v>
      </c>
      <c r="M247" s="21">
        <f>MIN('3.1 Market'!$F238,'1.1 Control Panel'!M560*'1.1 Control Panel'!M$538)</f>
        <v>4.1611392000000009</v>
      </c>
      <c r="N247" s="21">
        <f>MIN('3.1 Market'!$F238,'1.1 Control Panel'!N560*'1.1 Control Panel'!N$538)</f>
        <v>4.3289113600000011</v>
      </c>
      <c r="O247" s="21">
        <f>MIN('3.1 Market'!$F238,'1.1 Control Panel'!O560*'1.1 Control Panel'!O$538)</f>
        <v>4.4631290880000005</v>
      </c>
      <c r="P247" s="21">
        <f>MIN('3.1 Market'!$F238,'1.1 Control Panel'!P560*'1.1 Control Panel'!P$538)</f>
        <v>4.5705032704000006</v>
      </c>
      <c r="Q247" s="21">
        <f>MIN('3.1 Market'!$G238,'1.1 Control Panel'!Q560*'1.1 Control Panel'!Q$538)</f>
        <v>9.3128052326400024</v>
      </c>
      <c r="R247" s="21">
        <f>MIN('3.1 Market'!$G238,'1.1 Control Panel'!R560*'1.1 Control Panel'!R$538)</f>
        <v>9.4502441861120019</v>
      </c>
      <c r="S247" s="21">
        <f>MIN('3.1 Market'!$G238,'1.1 Control Panel'!S560*'1.1 Control Panel'!S$538)</f>
        <v>9.5601953488896019</v>
      </c>
      <c r="T247" s="21">
        <f>MIN('3.1 Market'!$G238,'1.1 Control Panel'!T560*'1.1 Control Panel'!T$538)</f>
        <v>9.6481562791116815</v>
      </c>
      <c r="U247" s="21">
        <f>MIN('3.1 Market'!$G238,'1.1 Control Panel'!U560*'1.1 Control Panel'!U$538)</f>
        <v>14.577787534934018</v>
      </c>
      <c r="V247" s="21">
        <f>MIN('3.1 Market'!$G238,'1.1 Control Panel'!V560*'1.1 Control Panel'!V$538)</f>
        <v>14.662230027947215</v>
      </c>
      <c r="W247" s="21">
        <f>MIN('3.1 Market'!$G238,'1.1 Control Panel'!W560*'1.1 Control Panel'!W$538)</f>
        <v>14.729784022357771</v>
      </c>
      <c r="X247" s="21">
        <f>MIN('3.1 Market'!$G238,'1.1 Control Panel'!X560*'1.1 Control Panel'!X$538)</f>
        <v>14.783827217886218</v>
      </c>
      <c r="Y247" s="21">
        <f>MIN('3.1 Market'!$G238,'1.1 Control Panel'!Y560*'1.1 Control Panel'!Y$538)</f>
        <v>14.827061774308977</v>
      </c>
      <c r="Z247" s="21">
        <f>MIN('3.1 Market'!$G238,'1.1 Control Panel'!Z560*'1.1 Control Panel'!Z$538)</f>
        <v>14.861649419447183</v>
      </c>
      <c r="AA247" s="21">
        <f>MIN('3.1 Market'!$G238,'1.1 Control Panel'!AA560*'1.1 Control Panel'!AA$538)</f>
        <v>14.889319535557744</v>
      </c>
      <c r="AB247" s="21">
        <f>MIN('3.1 Market'!$G238,'1.1 Control Panel'!AB560*'1.1 Control Panel'!AB$538)</f>
        <v>14.911455628446197</v>
      </c>
      <c r="AC247" s="21">
        <f>MIN('3.1 Market'!$H238,'1.1 Control Panel'!AC560*'1.1 Control Panel'!AC$538)</f>
        <v>19.905552670342608</v>
      </c>
      <c r="AD247" s="21">
        <f>MIN('3.1 Market'!$H238,'1.1 Control Panel'!AD560*'1.1 Control Panel'!AD$538)</f>
        <v>19.924442136274088</v>
      </c>
      <c r="AE247" s="21">
        <f>MIN('3.1 Market'!$H238,'1.1 Control Panel'!AE560*'1.1 Control Panel'!AE$538)</f>
        <v>19.939553709019272</v>
      </c>
      <c r="AF247" s="21">
        <f>MIN('3.1 Market'!$H238,'1.1 Control Panel'!AF560*'1.1 Control Panel'!AF$538)</f>
        <v>19.95164296721542</v>
      </c>
      <c r="AG247" s="21">
        <f>MIN('3.1 Market'!$H238,'1.1 Control Panel'!AG560*'1.1 Control Panel'!AG$538)</f>
        <v>29.941971560658509</v>
      </c>
      <c r="AH247" s="21">
        <f>MIN('3.1 Market'!$H238,'1.1 Control Panel'!AH560*'1.1 Control Panel'!AH$538)</f>
        <v>29.953577248526809</v>
      </c>
      <c r="AI247" s="21">
        <f>MIN('3.1 Market'!$H238,'1.1 Control Panel'!AI560*'1.1 Control Panel'!AI$538)</f>
        <v>29.96286179882145</v>
      </c>
      <c r="AJ247" s="21">
        <f>MIN('3.1 Market'!$H238,'1.1 Control Panel'!AJ560*'1.1 Control Panel'!AJ$538)</f>
        <v>29.970289439057161</v>
      </c>
      <c r="AK247" s="21">
        <f>MIN('3.1 Market'!$H238,'1.1 Control Panel'!AK560*'1.1 Control Panel'!AK$538)</f>
        <v>34.972270143120021</v>
      </c>
      <c r="AL247" s="21">
        <f>MIN('3.1 Market'!$H238,'1.1 Control Panel'!AL560*'1.1 Control Panel'!AL$538)</f>
        <v>34.977816114496015</v>
      </c>
      <c r="AM247" s="21">
        <f>MIN('3.1 Market'!$H238,'1.1 Control Panel'!AM560*'1.1 Control Panel'!AM$538)</f>
        <v>34.982252891596815</v>
      </c>
      <c r="AN247" s="21">
        <f>MIN('3.1 Market'!$H238,'1.1 Control Panel'!AN560*'1.1 Control Panel'!AN$538)</f>
        <v>34.985802313277453</v>
      </c>
      <c r="AP247" s="21"/>
    </row>
    <row r="248" spans="2:42" x14ac:dyDescent="0.25">
      <c r="B248" s="99" t="s">
        <v>9</v>
      </c>
      <c r="C248" s="105" t="str">
        <f>'4.2 Sector Mapping'!$B$13</f>
        <v>Real Estate and Construction</v>
      </c>
      <c r="D248" s="106" t="s">
        <v>162</v>
      </c>
      <c r="E248" s="105">
        <f>SUM(E249:E254)</f>
        <v>45</v>
      </c>
      <c r="F248" s="105">
        <f t="shared" ref="F248:H248" si="135">SUM(F249:F254)</f>
        <v>54.000000000000007</v>
      </c>
      <c r="G248" s="105">
        <f t="shared" si="135"/>
        <v>0</v>
      </c>
      <c r="H248" s="105">
        <f t="shared" si="135"/>
        <v>0</v>
      </c>
      <c r="I248" s="105">
        <f t="shared" ref="I248:AN248" si="136">SUM(I249:I254)</f>
        <v>0</v>
      </c>
      <c r="J248" s="105">
        <f t="shared" si="136"/>
        <v>0</v>
      </c>
      <c r="K248" s="105">
        <f t="shared" si="136"/>
        <v>0</v>
      </c>
      <c r="L248" s="105">
        <f t="shared" si="136"/>
        <v>0</v>
      </c>
      <c r="M248" s="105">
        <f t="shared" si="136"/>
        <v>0</v>
      </c>
      <c r="N248" s="105">
        <f t="shared" si="136"/>
        <v>0</v>
      </c>
      <c r="O248" s="105">
        <f t="shared" si="136"/>
        <v>0</v>
      </c>
      <c r="P248" s="105">
        <f t="shared" si="136"/>
        <v>0</v>
      </c>
      <c r="Q248" s="105">
        <f t="shared" si="136"/>
        <v>28.969207848960004</v>
      </c>
      <c r="R248" s="105">
        <f t="shared" si="136"/>
        <v>29.175366279168006</v>
      </c>
      <c r="S248" s="105">
        <f t="shared" si="136"/>
        <v>29.340293023334404</v>
      </c>
      <c r="T248" s="105">
        <f t="shared" si="136"/>
        <v>29.472234418667526</v>
      </c>
      <c r="U248" s="105">
        <f t="shared" si="136"/>
        <v>88.733362604802068</v>
      </c>
      <c r="V248" s="105">
        <f t="shared" si="136"/>
        <v>88.986690083841665</v>
      </c>
      <c r="W248" s="105">
        <f t="shared" si="136"/>
        <v>89.18935206707333</v>
      </c>
      <c r="X248" s="105">
        <f t="shared" si="136"/>
        <v>89.351481653658652</v>
      </c>
      <c r="Y248" s="105">
        <f t="shared" si="136"/>
        <v>119.30824709723591</v>
      </c>
      <c r="Z248" s="105">
        <f t="shared" si="136"/>
        <v>119.44659767778872</v>
      </c>
      <c r="AA248" s="105">
        <f t="shared" si="136"/>
        <v>119.55727814223098</v>
      </c>
      <c r="AB248" s="105">
        <f t="shared" si="136"/>
        <v>119.64582251378479</v>
      </c>
      <c r="AC248" s="105">
        <f t="shared" si="136"/>
        <v>209.50415151929872</v>
      </c>
      <c r="AD248" s="105">
        <f t="shared" si="136"/>
        <v>209.60332121543897</v>
      </c>
      <c r="AE248" s="105">
        <f t="shared" si="136"/>
        <v>209.6826569723512</v>
      </c>
      <c r="AF248" s="105">
        <f t="shared" si="136"/>
        <v>209.74612557788097</v>
      </c>
      <c r="AG248" s="105">
        <f t="shared" si="136"/>
        <v>299.70985780329255</v>
      </c>
      <c r="AH248" s="105">
        <f t="shared" si="136"/>
        <v>299.76788624263406</v>
      </c>
      <c r="AI248" s="105">
        <f t="shared" si="136"/>
        <v>299.81430899410725</v>
      </c>
      <c r="AJ248" s="105">
        <f t="shared" si="136"/>
        <v>299.8514471952858</v>
      </c>
      <c r="AK248" s="105">
        <f t="shared" si="136"/>
        <v>359.85738930747448</v>
      </c>
      <c r="AL248" s="105">
        <f t="shared" si="136"/>
        <v>359.88591144597956</v>
      </c>
      <c r="AM248" s="105">
        <f t="shared" si="136"/>
        <v>359.90872915678364</v>
      </c>
      <c r="AN248" s="105">
        <f t="shared" si="136"/>
        <v>359.92698332542693</v>
      </c>
      <c r="AP248" s="105"/>
    </row>
    <row r="249" spans="2:42" x14ac:dyDescent="0.25">
      <c r="C249" s="20" t="s">
        <v>600</v>
      </c>
      <c r="D249" s="34" t="s">
        <v>162</v>
      </c>
      <c r="E249" s="20">
        <f>MIN('3.1 Market'!$F240,'1.1 Control Panel'!E586*'1.1 Control Panel'!E$569)</f>
        <v>15</v>
      </c>
      <c r="F249" s="20">
        <f>MIN('3.1 Market'!$F240,'1.1 Control Panel'!F586*'1.1 Control Panel'!F$569)</f>
        <v>15</v>
      </c>
      <c r="G249" s="20">
        <f>MIN('3.1 Market'!$F240,'1.1 Control Panel'!G586*'1.1 Control Panel'!G$569)</f>
        <v>0</v>
      </c>
      <c r="H249" s="20">
        <f>MIN('3.1 Market'!$F240,'1.1 Control Panel'!H586*'1.1 Control Panel'!H$569)</f>
        <v>0</v>
      </c>
      <c r="I249" s="20">
        <f>MIN('3.1 Market'!$F240,'1.1 Control Panel'!I586*'1.1 Control Panel'!I$569)</f>
        <v>0</v>
      </c>
      <c r="J249" s="20">
        <f>MIN('3.1 Market'!$F240,'1.1 Control Panel'!J586*'1.1 Control Panel'!J$569)</f>
        <v>0</v>
      </c>
      <c r="K249" s="20">
        <f>MIN('3.1 Market'!$F240,'1.1 Control Panel'!K586*'1.1 Control Panel'!K$569)</f>
        <v>0</v>
      </c>
      <c r="L249" s="20">
        <f>MIN('3.1 Market'!$F240,'1.1 Control Panel'!L586*'1.1 Control Panel'!L$569)</f>
        <v>0</v>
      </c>
      <c r="M249" s="20">
        <f>MIN('3.1 Market'!$F240,'1.1 Control Panel'!M586*'1.1 Control Panel'!M$569)</f>
        <v>0</v>
      </c>
      <c r="N249" s="20">
        <f>MIN('3.1 Market'!$F240,'1.1 Control Panel'!N586*'1.1 Control Panel'!N$569)</f>
        <v>0</v>
      </c>
      <c r="O249" s="20">
        <f>MIN('3.1 Market'!$F240,'1.1 Control Panel'!O586*'1.1 Control Panel'!O$569)</f>
        <v>0</v>
      </c>
      <c r="P249" s="20">
        <f>MIN('3.1 Market'!$F240,'1.1 Control Panel'!P586*'1.1 Control Panel'!P$569)</f>
        <v>0</v>
      </c>
      <c r="Q249" s="20">
        <f>MIN('3.1 Market'!$G240,'1.1 Control Panel'!Q586*'1.1 Control Panel'!Q$569)</f>
        <v>5</v>
      </c>
      <c r="R249" s="20">
        <f>MIN('3.1 Market'!$G240,'1.1 Control Panel'!R586*'1.1 Control Panel'!R$569)</f>
        <v>5</v>
      </c>
      <c r="S249" s="20">
        <f>MIN('3.1 Market'!$G240,'1.1 Control Panel'!S586*'1.1 Control Panel'!S$569)</f>
        <v>5</v>
      </c>
      <c r="T249" s="20">
        <f>MIN('3.1 Market'!$G240,'1.1 Control Panel'!T586*'1.1 Control Panel'!T$569)</f>
        <v>5</v>
      </c>
      <c r="U249" s="20">
        <f>MIN('3.1 Market'!$G240,'1.1 Control Panel'!U586*'1.1 Control Panel'!U$569)</f>
        <v>15</v>
      </c>
      <c r="V249" s="20">
        <f>MIN('3.1 Market'!$G240,'1.1 Control Panel'!V586*'1.1 Control Panel'!V$569)</f>
        <v>15</v>
      </c>
      <c r="W249" s="20">
        <f>MIN('3.1 Market'!$G240,'1.1 Control Panel'!W586*'1.1 Control Panel'!W$569)</f>
        <v>15</v>
      </c>
      <c r="X249" s="20">
        <f>MIN('3.1 Market'!$G240,'1.1 Control Panel'!X586*'1.1 Control Panel'!X$569)</f>
        <v>15</v>
      </c>
      <c r="Y249" s="20">
        <f>MIN('3.1 Market'!$G240,'1.1 Control Panel'!Y586*'1.1 Control Panel'!Y$569)</f>
        <v>20</v>
      </c>
      <c r="Z249" s="20">
        <f>MIN('3.1 Market'!$G240,'1.1 Control Panel'!Z586*'1.1 Control Panel'!Z$569)</f>
        <v>20</v>
      </c>
      <c r="AA249" s="20">
        <f>MIN('3.1 Market'!$G240,'1.1 Control Panel'!AA586*'1.1 Control Panel'!AA$569)</f>
        <v>20</v>
      </c>
      <c r="AB249" s="20">
        <f>MIN('3.1 Market'!$G240,'1.1 Control Panel'!AB586*'1.1 Control Panel'!AB$569)</f>
        <v>20</v>
      </c>
      <c r="AC249" s="20">
        <f>MIN('3.1 Market'!$H240,'1.1 Control Panel'!AC586*'1.1 Control Panel'!AC$569)</f>
        <v>35</v>
      </c>
      <c r="AD249" s="20">
        <f>MIN('3.1 Market'!$H240,'1.1 Control Panel'!AD586*'1.1 Control Panel'!AD$569)</f>
        <v>35</v>
      </c>
      <c r="AE249" s="20">
        <f>MIN('3.1 Market'!$H240,'1.1 Control Panel'!AE586*'1.1 Control Panel'!AE$569)</f>
        <v>35</v>
      </c>
      <c r="AF249" s="20">
        <f>MIN('3.1 Market'!$H240,'1.1 Control Panel'!AF586*'1.1 Control Panel'!AF$569)</f>
        <v>35</v>
      </c>
      <c r="AG249" s="20">
        <f>MIN('3.1 Market'!$H240,'1.1 Control Panel'!AG586*'1.1 Control Panel'!AG$569)</f>
        <v>50</v>
      </c>
      <c r="AH249" s="20">
        <f>MIN('3.1 Market'!$H240,'1.1 Control Panel'!AH586*'1.1 Control Panel'!AH$569)</f>
        <v>50</v>
      </c>
      <c r="AI249" s="20">
        <f>MIN('3.1 Market'!$H240,'1.1 Control Panel'!AI586*'1.1 Control Panel'!AI$569)</f>
        <v>50</v>
      </c>
      <c r="AJ249" s="20">
        <f>MIN('3.1 Market'!$H240,'1.1 Control Panel'!AJ586*'1.1 Control Panel'!AJ$569)</f>
        <v>50</v>
      </c>
      <c r="AK249" s="20">
        <f>MIN('3.1 Market'!$H240,'1.1 Control Panel'!AK586*'1.1 Control Panel'!AK$569)</f>
        <v>60</v>
      </c>
      <c r="AL249" s="20">
        <f>MIN('3.1 Market'!$H240,'1.1 Control Panel'!AL586*'1.1 Control Panel'!AL$569)</f>
        <v>60</v>
      </c>
      <c r="AM249" s="20">
        <f>MIN('3.1 Market'!$H240,'1.1 Control Panel'!AM586*'1.1 Control Panel'!AM$569)</f>
        <v>60</v>
      </c>
      <c r="AN249" s="20">
        <f>MIN('3.1 Market'!$H240,'1.1 Control Panel'!AN586*'1.1 Control Panel'!AN$569)</f>
        <v>60</v>
      </c>
      <c r="AP249" s="20"/>
    </row>
    <row r="250" spans="2:42" x14ac:dyDescent="0.25">
      <c r="C250" s="20" t="s">
        <v>392</v>
      </c>
      <c r="D250" s="34" t="s">
        <v>162</v>
      </c>
      <c r="E250" s="20">
        <f>MIN('3.1 Market'!$F241,'1.1 Control Panel'!E587*'1.1 Control Panel'!E$569)</f>
        <v>12</v>
      </c>
      <c r="F250" s="20">
        <f>MIN('3.1 Market'!$F241,'1.1 Control Panel'!F587*'1.1 Control Panel'!F$569)</f>
        <v>12.600000000000001</v>
      </c>
      <c r="G250" s="20">
        <f>MIN('3.1 Market'!$F241,'1.1 Control Panel'!G587*'1.1 Control Panel'!G$569)</f>
        <v>0</v>
      </c>
      <c r="H250" s="20">
        <f>MIN('3.1 Market'!$F241,'1.1 Control Panel'!H587*'1.1 Control Panel'!H$569)</f>
        <v>0</v>
      </c>
      <c r="I250" s="20">
        <f>MIN('3.1 Market'!$F241,'1.1 Control Panel'!I587*'1.1 Control Panel'!I$569)</f>
        <v>0</v>
      </c>
      <c r="J250" s="20">
        <f>MIN('3.1 Market'!$F241,'1.1 Control Panel'!J587*'1.1 Control Panel'!J$569)</f>
        <v>0</v>
      </c>
      <c r="K250" s="20">
        <f>MIN('3.1 Market'!$F241,'1.1 Control Panel'!K587*'1.1 Control Panel'!K$569)</f>
        <v>0</v>
      </c>
      <c r="L250" s="20">
        <f>MIN('3.1 Market'!$F241,'1.1 Control Panel'!L587*'1.1 Control Panel'!L$569)</f>
        <v>0</v>
      </c>
      <c r="M250" s="20">
        <f>MIN('3.1 Market'!$F241,'1.1 Control Panel'!M587*'1.1 Control Panel'!M$569)</f>
        <v>0</v>
      </c>
      <c r="N250" s="20">
        <f>MIN('3.1 Market'!$F241,'1.1 Control Panel'!N587*'1.1 Control Panel'!N$569)</f>
        <v>0</v>
      </c>
      <c r="O250" s="20">
        <f>MIN('3.1 Market'!$F241,'1.1 Control Panel'!O587*'1.1 Control Panel'!O$569)</f>
        <v>0</v>
      </c>
      <c r="P250" s="20">
        <f>MIN('3.1 Market'!$F241,'1.1 Control Panel'!P587*'1.1 Control Panel'!P$569)</f>
        <v>0</v>
      </c>
      <c r="Q250" s="20">
        <f>MIN('3.1 Market'!$G241,'1.1 Control Panel'!Q587*'1.1 Control Panel'!Q$569)</f>
        <v>4.9312805232640002</v>
      </c>
      <c r="R250" s="20">
        <f>MIN('3.1 Market'!$G241,'1.1 Control Panel'!R587*'1.1 Control Panel'!R$569)</f>
        <v>4.9450244186112009</v>
      </c>
      <c r="S250" s="20">
        <f>MIN('3.1 Market'!$G241,'1.1 Control Panel'!S587*'1.1 Control Panel'!S$569)</f>
        <v>4.9560195348889611</v>
      </c>
      <c r="T250" s="20">
        <f>MIN('3.1 Market'!$G241,'1.1 Control Panel'!T587*'1.1 Control Panel'!T$569)</f>
        <v>4.964815627911169</v>
      </c>
      <c r="U250" s="20">
        <f>MIN('3.1 Market'!$G241,'1.1 Control Panel'!U587*'1.1 Control Panel'!U$569)</f>
        <v>14.915557506986808</v>
      </c>
      <c r="V250" s="20">
        <f>MIN('3.1 Market'!$G241,'1.1 Control Panel'!V587*'1.1 Control Panel'!V$569)</f>
        <v>14.932446005589448</v>
      </c>
      <c r="W250" s="20">
        <f>MIN('3.1 Market'!$G241,'1.1 Control Panel'!W587*'1.1 Control Panel'!W$569)</f>
        <v>14.945956804471558</v>
      </c>
      <c r="X250" s="20">
        <f>MIN('3.1 Market'!$G241,'1.1 Control Panel'!X587*'1.1 Control Panel'!X$569)</f>
        <v>14.956765443577247</v>
      </c>
      <c r="Y250" s="20">
        <f>MIN('3.1 Market'!$G241,'1.1 Control Panel'!Y587*'1.1 Control Panel'!Y$569)</f>
        <v>19.95388313981573</v>
      </c>
      <c r="Z250" s="20">
        <f>MIN('3.1 Market'!$G241,'1.1 Control Panel'!Z587*'1.1 Control Panel'!Z$569)</f>
        <v>19.963106511852587</v>
      </c>
      <c r="AA250" s="20">
        <f>MIN('3.1 Market'!$G241,'1.1 Control Panel'!AA587*'1.1 Control Panel'!AA$569)</f>
        <v>19.970485209482071</v>
      </c>
      <c r="AB250" s="20">
        <f>MIN('3.1 Market'!$G241,'1.1 Control Panel'!AB587*'1.1 Control Panel'!AB$569)</f>
        <v>19.976388167585657</v>
      </c>
      <c r="AC250" s="20">
        <f>MIN('3.1 Market'!$H241,'1.1 Control Panel'!AC587*'1.1 Control Panel'!AC$569)</f>
        <v>34.966943434619921</v>
      </c>
      <c r="AD250" s="20">
        <f>MIN('3.1 Market'!$H241,'1.1 Control Panel'!AD587*'1.1 Control Panel'!AD$569)</f>
        <v>34.973554747695943</v>
      </c>
      <c r="AE250" s="20">
        <f>MIN('3.1 Market'!$H241,'1.1 Control Panel'!AE587*'1.1 Control Panel'!AE$569)</f>
        <v>34.978843798156753</v>
      </c>
      <c r="AF250" s="20">
        <f>MIN('3.1 Market'!$H241,'1.1 Control Panel'!AF587*'1.1 Control Panel'!AF$569)</f>
        <v>34.983075038525406</v>
      </c>
      <c r="AG250" s="20">
        <f>MIN('3.1 Market'!$H241,'1.1 Control Panel'!AG587*'1.1 Control Panel'!AG$569)</f>
        <v>49.980657186886184</v>
      </c>
      <c r="AH250" s="20">
        <f>MIN('3.1 Market'!$H241,'1.1 Control Panel'!AH587*'1.1 Control Panel'!AH$569)</f>
        <v>49.984525749508947</v>
      </c>
      <c r="AI250" s="20">
        <f>MIN('3.1 Market'!$H241,'1.1 Control Panel'!AI587*'1.1 Control Panel'!AI$569)</f>
        <v>49.987620599607155</v>
      </c>
      <c r="AJ250" s="20">
        <f>MIN('3.1 Market'!$H241,'1.1 Control Panel'!AJ587*'1.1 Control Panel'!AJ$569)</f>
        <v>49.990096479685718</v>
      </c>
      <c r="AK250" s="20">
        <f>MIN('3.1 Market'!$H241,'1.1 Control Panel'!AK587*'1.1 Control Panel'!AK$569)</f>
        <v>59.990492620498301</v>
      </c>
      <c r="AL250" s="20">
        <f>MIN('3.1 Market'!$H241,'1.1 Control Panel'!AL587*'1.1 Control Panel'!AL$569)</f>
        <v>59.992394096398641</v>
      </c>
      <c r="AM250" s="20">
        <f>MIN('3.1 Market'!$H241,'1.1 Control Panel'!AM587*'1.1 Control Panel'!AM$569)</f>
        <v>59.993915277118909</v>
      </c>
      <c r="AN250" s="20">
        <f>MIN('3.1 Market'!$H241,'1.1 Control Panel'!AN587*'1.1 Control Panel'!AN$569)</f>
        <v>59.995132221695123</v>
      </c>
      <c r="AP250" s="20"/>
    </row>
    <row r="251" spans="2:42" x14ac:dyDescent="0.25">
      <c r="C251" s="20" t="s">
        <v>454</v>
      </c>
      <c r="D251" s="34" t="s">
        <v>162</v>
      </c>
      <c r="E251" s="20">
        <f>MIN('3.1 Market'!$F242,'1.1 Control Panel'!E588*'1.1 Control Panel'!E$569)</f>
        <v>9</v>
      </c>
      <c r="F251" s="20">
        <f>MIN('3.1 Market'!$F242,'1.1 Control Panel'!F588*'1.1 Control Panel'!F$569)</f>
        <v>10.200000000000001</v>
      </c>
      <c r="G251" s="20">
        <f>MIN('3.1 Market'!$F242,'1.1 Control Panel'!G588*'1.1 Control Panel'!G$569)</f>
        <v>0</v>
      </c>
      <c r="H251" s="20">
        <f>MIN('3.1 Market'!$F242,'1.1 Control Panel'!H588*'1.1 Control Panel'!H$569)</f>
        <v>0</v>
      </c>
      <c r="I251" s="20">
        <f>MIN('3.1 Market'!$F242,'1.1 Control Panel'!I588*'1.1 Control Panel'!I$569)</f>
        <v>0</v>
      </c>
      <c r="J251" s="20">
        <f>MIN('3.1 Market'!$F242,'1.1 Control Panel'!J588*'1.1 Control Panel'!J$569)</f>
        <v>0</v>
      </c>
      <c r="K251" s="20">
        <f>MIN('3.1 Market'!$F242,'1.1 Control Panel'!K588*'1.1 Control Panel'!K$569)</f>
        <v>0</v>
      </c>
      <c r="L251" s="20">
        <f>MIN('3.1 Market'!$F242,'1.1 Control Panel'!L588*'1.1 Control Panel'!L$569)</f>
        <v>0</v>
      </c>
      <c r="M251" s="20">
        <f>MIN('3.1 Market'!$F242,'1.1 Control Panel'!M588*'1.1 Control Panel'!M$569)</f>
        <v>0</v>
      </c>
      <c r="N251" s="20">
        <f>MIN('3.1 Market'!$F242,'1.1 Control Panel'!N588*'1.1 Control Panel'!N$569)</f>
        <v>0</v>
      </c>
      <c r="O251" s="20">
        <f>MIN('3.1 Market'!$F242,'1.1 Control Panel'!O588*'1.1 Control Panel'!O$569)</f>
        <v>0</v>
      </c>
      <c r="P251" s="20">
        <f>MIN('3.1 Market'!$F242,'1.1 Control Panel'!P588*'1.1 Control Panel'!P$569)</f>
        <v>0</v>
      </c>
      <c r="Q251" s="20">
        <f>MIN('3.1 Market'!$G242,'1.1 Control Panel'!Q588*'1.1 Control Panel'!Q$569)</f>
        <v>4.8625610465280014</v>
      </c>
      <c r="R251" s="20">
        <f>MIN('3.1 Market'!$G242,'1.1 Control Panel'!R588*'1.1 Control Panel'!R$569)</f>
        <v>4.8900488372224018</v>
      </c>
      <c r="S251" s="20">
        <f>MIN('3.1 Market'!$G242,'1.1 Control Panel'!S588*'1.1 Control Panel'!S$569)</f>
        <v>4.9120390697779222</v>
      </c>
      <c r="T251" s="20">
        <f>MIN('3.1 Market'!$G242,'1.1 Control Panel'!T588*'1.1 Control Panel'!T$569)</f>
        <v>4.9296312558223381</v>
      </c>
      <c r="U251" s="20">
        <f>MIN('3.1 Market'!$G242,'1.1 Control Panel'!U588*'1.1 Control Panel'!U$569)</f>
        <v>14.83111501397361</v>
      </c>
      <c r="V251" s="20">
        <f>MIN('3.1 Market'!$G242,'1.1 Control Panel'!V588*'1.1 Control Panel'!V$569)</f>
        <v>14.864892011178888</v>
      </c>
      <c r="W251" s="20">
        <f>MIN('3.1 Market'!$G242,'1.1 Control Panel'!W588*'1.1 Control Panel'!W$569)</f>
        <v>14.891913608943112</v>
      </c>
      <c r="X251" s="20">
        <f>MIN('3.1 Market'!$G242,'1.1 Control Panel'!X588*'1.1 Control Panel'!X$569)</f>
        <v>14.913530887154488</v>
      </c>
      <c r="Y251" s="20">
        <f>MIN('3.1 Market'!$G242,'1.1 Control Panel'!Y588*'1.1 Control Panel'!Y$569)</f>
        <v>19.907766279631453</v>
      </c>
      <c r="Z251" s="20">
        <f>MIN('3.1 Market'!$G242,'1.1 Control Panel'!Z588*'1.1 Control Panel'!Z$569)</f>
        <v>19.926213023705163</v>
      </c>
      <c r="AA251" s="20">
        <f>MIN('3.1 Market'!$G242,'1.1 Control Panel'!AA588*'1.1 Control Panel'!AA$569)</f>
        <v>19.940970418964131</v>
      </c>
      <c r="AB251" s="20">
        <f>MIN('3.1 Market'!$G242,'1.1 Control Panel'!AB588*'1.1 Control Panel'!AB$569)</f>
        <v>19.952776335171308</v>
      </c>
      <c r="AC251" s="20">
        <f>MIN('3.1 Market'!$H242,'1.1 Control Panel'!AC588*'1.1 Control Panel'!AC$569)</f>
        <v>34.933886869239835</v>
      </c>
      <c r="AD251" s="20">
        <f>MIN('3.1 Market'!$H242,'1.1 Control Panel'!AD588*'1.1 Control Panel'!AD$569)</f>
        <v>34.947109495391871</v>
      </c>
      <c r="AE251" s="20">
        <f>MIN('3.1 Market'!$H242,'1.1 Control Panel'!AE588*'1.1 Control Panel'!AE$569)</f>
        <v>34.957687596313491</v>
      </c>
      <c r="AF251" s="20">
        <f>MIN('3.1 Market'!$H242,'1.1 Control Panel'!AF588*'1.1 Control Panel'!AF$569)</f>
        <v>34.966150077050798</v>
      </c>
      <c r="AG251" s="20">
        <f>MIN('3.1 Market'!$H242,'1.1 Control Panel'!AG588*'1.1 Control Panel'!AG$569)</f>
        <v>49.961314373772339</v>
      </c>
      <c r="AH251" s="20">
        <f>MIN('3.1 Market'!$H242,'1.1 Control Panel'!AH588*'1.1 Control Panel'!AH$569)</f>
        <v>49.969051499017866</v>
      </c>
      <c r="AI251" s="20">
        <f>MIN('3.1 Market'!$H242,'1.1 Control Panel'!AI588*'1.1 Control Panel'!AI$569)</f>
        <v>49.975241199214295</v>
      </c>
      <c r="AJ251" s="20">
        <f>MIN('3.1 Market'!$H242,'1.1 Control Panel'!AJ588*'1.1 Control Panel'!AJ$569)</f>
        <v>49.980192959371443</v>
      </c>
      <c r="AK251" s="20">
        <f>MIN('3.1 Market'!$H242,'1.1 Control Panel'!AK588*'1.1 Control Panel'!AK$569)</f>
        <v>59.980985240996581</v>
      </c>
      <c r="AL251" s="20">
        <f>MIN('3.1 Market'!$H242,'1.1 Control Panel'!AL588*'1.1 Control Panel'!AL$569)</f>
        <v>59.984788192797261</v>
      </c>
      <c r="AM251" s="20">
        <f>MIN('3.1 Market'!$H242,'1.1 Control Panel'!AM588*'1.1 Control Panel'!AM$569)</f>
        <v>59.987830554237817</v>
      </c>
      <c r="AN251" s="20">
        <f>MIN('3.1 Market'!$H242,'1.1 Control Panel'!AN588*'1.1 Control Panel'!AN$569)</f>
        <v>59.990264443390259</v>
      </c>
      <c r="AP251" s="20"/>
    </row>
    <row r="252" spans="2:42" x14ac:dyDescent="0.25">
      <c r="C252" s="21" t="s">
        <v>455</v>
      </c>
      <c r="D252" s="38" t="s">
        <v>162</v>
      </c>
      <c r="E252" s="21">
        <f>MIN('3.1 Market'!$F243,'1.1 Control Panel'!E589*'1.1 Control Panel'!E$569)</f>
        <v>6</v>
      </c>
      <c r="F252" s="21">
        <f>MIN('3.1 Market'!$F243,'1.1 Control Panel'!F589*'1.1 Control Panel'!F$569)</f>
        <v>7.8000000000000007</v>
      </c>
      <c r="G252" s="21">
        <f>MIN('3.1 Market'!$F243,'1.1 Control Panel'!G589*'1.1 Control Panel'!G$569)</f>
        <v>0</v>
      </c>
      <c r="H252" s="21">
        <f>MIN('3.1 Market'!$F243,'1.1 Control Panel'!H589*'1.1 Control Panel'!H$569)</f>
        <v>0</v>
      </c>
      <c r="I252" s="21">
        <f>MIN('3.1 Market'!$F243,'1.1 Control Panel'!I589*'1.1 Control Panel'!I$569)</f>
        <v>0</v>
      </c>
      <c r="J252" s="21">
        <f>MIN('3.1 Market'!$F243,'1.1 Control Panel'!J589*'1.1 Control Panel'!J$569)</f>
        <v>0</v>
      </c>
      <c r="K252" s="21">
        <f>MIN('3.1 Market'!$F243,'1.1 Control Panel'!K589*'1.1 Control Panel'!K$569)</f>
        <v>0</v>
      </c>
      <c r="L252" s="21">
        <f>MIN('3.1 Market'!$F243,'1.1 Control Panel'!L589*'1.1 Control Panel'!L$569)</f>
        <v>0</v>
      </c>
      <c r="M252" s="21">
        <f>MIN('3.1 Market'!$F243,'1.1 Control Panel'!M589*'1.1 Control Panel'!M$569)</f>
        <v>0</v>
      </c>
      <c r="N252" s="21">
        <f>MIN('3.1 Market'!$F243,'1.1 Control Panel'!N589*'1.1 Control Panel'!N$569)</f>
        <v>0</v>
      </c>
      <c r="O252" s="21">
        <f>MIN('3.1 Market'!$F243,'1.1 Control Panel'!O589*'1.1 Control Panel'!O$569)</f>
        <v>0</v>
      </c>
      <c r="P252" s="21">
        <f>MIN('3.1 Market'!$F243,'1.1 Control Panel'!P589*'1.1 Control Panel'!P$569)</f>
        <v>0</v>
      </c>
      <c r="Q252" s="21">
        <f>MIN('3.1 Market'!$G243,'1.1 Control Panel'!Q589*'1.1 Control Panel'!Q$569)</f>
        <v>4.7938415697920007</v>
      </c>
      <c r="R252" s="21">
        <f>MIN('3.1 Market'!$G243,'1.1 Control Panel'!R589*'1.1 Control Panel'!R$569)</f>
        <v>4.8350732558336009</v>
      </c>
      <c r="S252" s="21">
        <f>MIN('3.1 Market'!$G243,'1.1 Control Panel'!S589*'1.1 Control Panel'!S$569)</f>
        <v>4.8680586046668815</v>
      </c>
      <c r="T252" s="21">
        <f>MIN('3.1 Market'!$G243,'1.1 Control Panel'!T589*'1.1 Control Panel'!T$569)</f>
        <v>4.8944468837335053</v>
      </c>
      <c r="U252" s="21">
        <f>MIN('3.1 Market'!$G243,'1.1 Control Panel'!U589*'1.1 Control Panel'!U$569)</f>
        <v>14.746672520960413</v>
      </c>
      <c r="V252" s="21">
        <f>MIN('3.1 Market'!$G243,'1.1 Control Panel'!V589*'1.1 Control Panel'!V$569)</f>
        <v>14.797338016768332</v>
      </c>
      <c r="W252" s="21">
        <f>MIN('3.1 Market'!$G243,'1.1 Control Panel'!W589*'1.1 Control Panel'!W$569)</f>
        <v>14.837870413414665</v>
      </c>
      <c r="X252" s="21">
        <f>MIN('3.1 Market'!$G243,'1.1 Control Panel'!X589*'1.1 Control Panel'!X$569)</f>
        <v>14.870296330731733</v>
      </c>
      <c r="Y252" s="21">
        <f>MIN('3.1 Market'!$G243,'1.1 Control Panel'!Y589*'1.1 Control Panel'!Y$569)</f>
        <v>19.861649419447183</v>
      </c>
      <c r="Z252" s="21">
        <f>MIN('3.1 Market'!$G243,'1.1 Control Panel'!Z589*'1.1 Control Panel'!Z$569)</f>
        <v>19.889319535557746</v>
      </c>
      <c r="AA252" s="21">
        <f>MIN('3.1 Market'!$G243,'1.1 Control Panel'!AA589*'1.1 Control Panel'!AA$569)</f>
        <v>19.911455628446198</v>
      </c>
      <c r="AB252" s="21">
        <f>MIN('3.1 Market'!$G243,'1.1 Control Panel'!AB589*'1.1 Control Panel'!AB$569)</f>
        <v>19.929164502756961</v>
      </c>
      <c r="AC252" s="21">
        <f>MIN('3.1 Market'!$H243,'1.1 Control Panel'!AC589*'1.1 Control Panel'!AC$569)</f>
        <v>34.900830303859742</v>
      </c>
      <c r="AD252" s="21">
        <f>MIN('3.1 Market'!$H243,'1.1 Control Panel'!AD589*'1.1 Control Panel'!AD$569)</f>
        <v>34.920664243087799</v>
      </c>
      <c r="AE252" s="21">
        <f>MIN('3.1 Market'!$H243,'1.1 Control Panel'!AE589*'1.1 Control Panel'!AE$569)</f>
        <v>34.936531394470236</v>
      </c>
      <c r="AF252" s="21">
        <f>MIN('3.1 Market'!$H243,'1.1 Control Panel'!AF589*'1.1 Control Panel'!AF$569)</f>
        <v>34.949225115576191</v>
      </c>
      <c r="AG252" s="21">
        <f>MIN('3.1 Market'!$H243,'1.1 Control Panel'!AG589*'1.1 Control Panel'!AG$569)</f>
        <v>49.941971560658502</v>
      </c>
      <c r="AH252" s="21">
        <f>MIN('3.1 Market'!$H243,'1.1 Control Panel'!AH589*'1.1 Control Panel'!AH$569)</f>
        <v>49.953577248526798</v>
      </c>
      <c r="AI252" s="21">
        <f>MIN('3.1 Market'!$H243,'1.1 Control Panel'!AI589*'1.1 Control Panel'!AI$569)</f>
        <v>49.962861798821443</v>
      </c>
      <c r="AJ252" s="21">
        <f>MIN('3.1 Market'!$H243,'1.1 Control Panel'!AJ589*'1.1 Control Panel'!AJ$569)</f>
        <v>49.970289439057154</v>
      </c>
      <c r="AK252" s="21">
        <f>MIN('3.1 Market'!$H243,'1.1 Control Panel'!AK589*'1.1 Control Panel'!AK$569)</f>
        <v>59.971477861494876</v>
      </c>
      <c r="AL252" s="21">
        <f>MIN('3.1 Market'!$H243,'1.1 Control Panel'!AL589*'1.1 Control Panel'!AL$569)</f>
        <v>59.977182289195902</v>
      </c>
      <c r="AM252" s="21">
        <f>MIN('3.1 Market'!$H243,'1.1 Control Panel'!AM589*'1.1 Control Panel'!AM$569)</f>
        <v>59.981745831356726</v>
      </c>
      <c r="AN252" s="21">
        <f>MIN('3.1 Market'!$H243,'1.1 Control Panel'!AN589*'1.1 Control Panel'!AN$569)</f>
        <v>59.985396665085389</v>
      </c>
      <c r="AP252" s="21"/>
    </row>
    <row r="253" spans="2:42" x14ac:dyDescent="0.25">
      <c r="C253" s="21" t="s">
        <v>393</v>
      </c>
      <c r="D253" s="38" t="s">
        <v>162</v>
      </c>
      <c r="E253" s="21">
        <f>MIN('3.1 Market'!$F244,'1.1 Control Panel'!E590*'1.1 Control Panel'!E$569)</f>
        <v>3</v>
      </c>
      <c r="F253" s="21">
        <f>MIN('3.1 Market'!$F244,'1.1 Control Panel'!F590*'1.1 Control Panel'!F$569)</f>
        <v>5.4</v>
      </c>
      <c r="G253" s="21">
        <f>MIN('3.1 Market'!$F244,'1.1 Control Panel'!G590*'1.1 Control Panel'!G$569)</f>
        <v>0</v>
      </c>
      <c r="H253" s="21">
        <f>MIN('3.1 Market'!$F244,'1.1 Control Panel'!H590*'1.1 Control Panel'!H$569)</f>
        <v>0</v>
      </c>
      <c r="I253" s="21">
        <f>MIN('3.1 Market'!$F244,'1.1 Control Panel'!I590*'1.1 Control Panel'!I$569)</f>
        <v>0</v>
      </c>
      <c r="J253" s="21">
        <f>MIN('3.1 Market'!$F244,'1.1 Control Panel'!J590*'1.1 Control Panel'!J$569)</f>
        <v>0</v>
      </c>
      <c r="K253" s="21">
        <f>MIN('3.1 Market'!$F244,'1.1 Control Panel'!K590*'1.1 Control Panel'!K$569)</f>
        <v>0</v>
      </c>
      <c r="L253" s="21">
        <f>MIN('3.1 Market'!$F244,'1.1 Control Panel'!L590*'1.1 Control Panel'!L$569)</f>
        <v>0</v>
      </c>
      <c r="M253" s="21">
        <f>MIN('3.1 Market'!$F244,'1.1 Control Panel'!M590*'1.1 Control Panel'!M$569)</f>
        <v>0</v>
      </c>
      <c r="N253" s="21">
        <f>MIN('3.1 Market'!$F244,'1.1 Control Panel'!N590*'1.1 Control Panel'!N$569)</f>
        <v>0</v>
      </c>
      <c r="O253" s="21">
        <f>MIN('3.1 Market'!$F244,'1.1 Control Panel'!O590*'1.1 Control Panel'!O$569)</f>
        <v>0</v>
      </c>
      <c r="P253" s="21">
        <f>MIN('3.1 Market'!$F244,'1.1 Control Panel'!P590*'1.1 Control Panel'!P$569)</f>
        <v>0</v>
      </c>
      <c r="Q253" s="21">
        <f>MIN('3.1 Market'!$G244,'1.1 Control Panel'!Q590*'1.1 Control Panel'!Q$569)</f>
        <v>4.7251220930560009</v>
      </c>
      <c r="R253" s="21">
        <f>MIN('3.1 Market'!$G244,'1.1 Control Panel'!R590*'1.1 Control Panel'!R$569)</f>
        <v>4.7800976744448009</v>
      </c>
      <c r="S253" s="21">
        <f>MIN('3.1 Market'!$G244,'1.1 Control Panel'!S590*'1.1 Control Panel'!S$569)</f>
        <v>4.8240781395558407</v>
      </c>
      <c r="T253" s="21">
        <f>MIN('3.1 Market'!$G244,'1.1 Control Panel'!T590*'1.1 Control Panel'!T$569)</f>
        <v>4.8592625116446726</v>
      </c>
      <c r="U253" s="21">
        <f>MIN('3.1 Market'!$G244,'1.1 Control Panel'!U590*'1.1 Control Panel'!U$569)</f>
        <v>14.662230027947215</v>
      </c>
      <c r="V253" s="21">
        <f>MIN('3.1 Market'!$G244,'1.1 Control Panel'!V590*'1.1 Control Panel'!V$569)</f>
        <v>14.729784022357771</v>
      </c>
      <c r="W253" s="21">
        <f>MIN('3.1 Market'!$G244,'1.1 Control Panel'!W590*'1.1 Control Panel'!W$569)</f>
        <v>14.783827217886218</v>
      </c>
      <c r="X253" s="21">
        <f>MIN('3.1 Market'!$G244,'1.1 Control Panel'!X590*'1.1 Control Panel'!X$569)</f>
        <v>14.827061774308977</v>
      </c>
      <c r="Y253" s="21">
        <f>MIN('3.1 Market'!$G244,'1.1 Control Panel'!Y590*'1.1 Control Panel'!Y$569)</f>
        <v>19.815532559262909</v>
      </c>
      <c r="Z253" s="21">
        <f>MIN('3.1 Market'!$G244,'1.1 Control Panel'!Z590*'1.1 Control Panel'!Z$569)</f>
        <v>19.852426047410326</v>
      </c>
      <c r="AA253" s="21">
        <f>MIN('3.1 Market'!$G244,'1.1 Control Panel'!AA590*'1.1 Control Panel'!AA$569)</f>
        <v>19.881940837928262</v>
      </c>
      <c r="AB253" s="21">
        <f>MIN('3.1 Market'!$G244,'1.1 Control Panel'!AB590*'1.1 Control Panel'!AB$569)</f>
        <v>19.905552670342608</v>
      </c>
      <c r="AC253" s="21">
        <f>MIN('3.1 Market'!$H244,'1.1 Control Panel'!AC590*'1.1 Control Panel'!AC$569)</f>
        <v>34.867773738479656</v>
      </c>
      <c r="AD253" s="21">
        <f>MIN('3.1 Market'!$H244,'1.1 Control Panel'!AD590*'1.1 Control Panel'!AD$569)</f>
        <v>34.894218990783727</v>
      </c>
      <c r="AE253" s="21">
        <f>MIN('3.1 Market'!$H244,'1.1 Control Panel'!AE590*'1.1 Control Panel'!AE$569)</f>
        <v>34.915375192626982</v>
      </c>
      <c r="AF253" s="21">
        <f>MIN('3.1 Market'!$H244,'1.1 Control Panel'!AF590*'1.1 Control Panel'!AF$569)</f>
        <v>34.932300154101597</v>
      </c>
      <c r="AG253" s="21">
        <f>MIN('3.1 Market'!$H244,'1.1 Control Panel'!AG590*'1.1 Control Panel'!AG$569)</f>
        <v>49.922628747544678</v>
      </c>
      <c r="AH253" s="21">
        <f>MIN('3.1 Market'!$H244,'1.1 Control Panel'!AH590*'1.1 Control Panel'!AH$569)</f>
        <v>49.938102998035745</v>
      </c>
      <c r="AI253" s="21">
        <f>MIN('3.1 Market'!$H244,'1.1 Control Panel'!AI590*'1.1 Control Panel'!AI$569)</f>
        <v>49.950482398428598</v>
      </c>
      <c r="AJ253" s="21">
        <f>MIN('3.1 Market'!$H244,'1.1 Control Panel'!AJ590*'1.1 Control Panel'!AJ$569)</f>
        <v>49.960385918742887</v>
      </c>
      <c r="AK253" s="21">
        <f>MIN('3.1 Market'!$H244,'1.1 Control Panel'!AK590*'1.1 Control Panel'!AK$569)</f>
        <v>59.961970481993177</v>
      </c>
      <c r="AL253" s="21">
        <f>MIN('3.1 Market'!$H244,'1.1 Control Panel'!AL590*'1.1 Control Panel'!AL$569)</f>
        <v>59.969576385594543</v>
      </c>
      <c r="AM253" s="21">
        <f>MIN('3.1 Market'!$H244,'1.1 Control Panel'!AM590*'1.1 Control Panel'!AM$569)</f>
        <v>59.975661108475634</v>
      </c>
      <c r="AN253" s="21">
        <f>MIN('3.1 Market'!$H244,'1.1 Control Panel'!AN590*'1.1 Control Panel'!AN$569)</f>
        <v>59.980528886780512</v>
      </c>
      <c r="AP253" s="21"/>
    </row>
    <row r="254" spans="2:42" x14ac:dyDescent="0.25">
      <c r="C254" s="21" t="s">
        <v>456</v>
      </c>
      <c r="D254" s="38" t="s">
        <v>162</v>
      </c>
      <c r="E254" s="21">
        <f>MIN('3.1 Market'!$F245,'1.1 Control Panel'!E591*'1.1 Control Panel'!E$569)</f>
        <v>0</v>
      </c>
      <c r="F254" s="21">
        <f>MIN('3.1 Market'!$F245,'1.1 Control Panel'!F591*'1.1 Control Panel'!F$569)</f>
        <v>3</v>
      </c>
      <c r="G254" s="21">
        <f>MIN('3.1 Market'!$F245,'1.1 Control Panel'!G591*'1.1 Control Panel'!G$569)</f>
        <v>0</v>
      </c>
      <c r="H254" s="21">
        <f>MIN('3.1 Market'!$F245,'1.1 Control Panel'!H591*'1.1 Control Panel'!H$569)</f>
        <v>0</v>
      </c>
      <c r="I254" s="21">
        <f>MIN('3.1 Market'!$F245,'1.1 Control Panel'!I591*'1.1 Control Panel'!I$569)</f>
        <v>0</v>
      </c>
      <c r="J254" s="21">
        <f>MIN('3.1 Market'!$F245,'1.1 Control Panel'!J591*'1.1 Control Panel'!J$569)</f>
        <v>0</v>
      </c>
      <c r="K254" s="21">
        <f>MIN('3.1 Market'!$F245,'1.1 Control Panel'!K591*'1.1 Control Panel'!K$569)</f>
        <v>0</v>
      </c>
      <c r="L254" s="21">
        <f>MIN('3.1 Market'!$F245,'1.1 Control Panel'!L591*'1.1 Control Panel'!L$569)</f>
        <v>0</v>
      </c>
      <c r="M254" s="21">
        <f>MIN('3.1 Market'!$F245,'1.1 Control Panel'!M591*'1.1 Control Panel'!M$569)</f>
        <v>0</v>
      </c>
      <c r="N254" s="21">
        <f>MIN('3.1 Market'!$F245,'1.1 Control Panel'!N591*'1.1 Control Panel'!N$569)</f>
        <v>0</v>
      </c>
      <c r="O254" s="21">
        <f>MIN('3.1 Market'!$F245,'1.1 Control Panel'!O591*'1.1 Control Panel'!O$569)</f>
        <v>0</v>
      </c>
      <c r="P254" s="21">
        <f>MIN('3.1 Market'!$F245,'1.1 Control Panel'!P591*'1.1 Control Panel'!P$569)</f>
        <v>0</v>
      </c>
      <c r="Q254" s="21">
        <f>MIN('3.1 Market'!$G245,'1.1 Control Panel'!Q591*'1.1 Control Panel'!Q$569)</f>
        <v>4.6564026163200012</v>
      </c>
      <c r="R254" s="21">
        <f>MIN('3.1 Market'!$G245,'1.1 Control Panel'!R591*'1.1 Control Panel'!R$569)</f>
        <v>4.7251220930560009</v>
      </c>
      <c r="S254" s="21">
        <f>MIN('3.1 Market'!$G245,'1.1 Control Panel'!S591*'1.1 Control Panel'!S$569)</f>
        <v>4.7800976744448009</v>
      </c>
      <c r="T254" s="21">
        <f>MIN('3.1 Market'!$G245,'1.1 Control Panel'!T591*'1.1 Control Panel'!T$569)</f>
        <v>4.8240781395558407</v>
      </c>
      <c r="U254" s="21">
        <f>MIN('3.1 Market'!$G245,'1.1 Control Panel'!U591*'1.1 Control Panel'!U$569)</f>
        <v>14.577787534934018</v>
      </c>
      <c r="V254" s="21">
        <f>MIN('3.1 Market'!$G245,'1.1 Control Panel'!V591*'1.1 Control Panel'!V$569)</f>
        <v>14.662230027947215</v>
      </c>
      <c r="W254" s="21">
        <f>MIN('3.1 Market'!$G245,'1.1 Control Panel'!W591*'1.1 Control Panel'!W$569)</f>
        <v>14.729784022357771</v>
      </c>
      <c r="X254" s="21">
        <f>MIN('3.1 Market'!$G245,'1.1 Control Panel'!X591*'1.1 Control Panel'!X$569)</f>
        <v>14.783827217886218</v>
      </c>
      <c r="Y254" s="21">
        <f>MIN('3.1 Market'!$G245,'1.1 Control Panel'!Y591*'1.1 Control Panel'!Y$569)</f>
        <v>19.769415699078635</v>
      </c>
      <c r="Z254" s="21">
        <f>MIN('3.1 Market'!$G245,'1.1 Control Panel'!Z591*'1.1 Control Panel'!Z$569)</f>
        <v>19.815532559262909</v>
      </c>
      <c r="AA254" s="21">
        <f>MIN('3.1 Market'!$G245,'1.1 Control Panel'!AA591*'1.1 Control Panel'!AA$569)</f>
        <v>19.852426047410326</v>
      </c>
      <c r="AB254" s="21">
        <f>MIN('3.1 Market'!$G245,'1.1 Control Panel'!AB591*'1.1 Control Panel'!AB$569)</f>
        <v>19.881940837928262</v>
      </c>
      <c r="AC254" s="21">
        <f>MIN('3.1 Market'!$H245,'1.1 Control Panel'!AC591*'1.1 Control Panel'!AC$569)</f>
        <v>34.834717173099563</v>
      </c>
      <c r="AD254" s="21">
        <f>MIN('3.1 Market'!$H245,'1.1 Control Panel'!AD591*'1.1 Control Panel'!AD$569)</f>
        <v>34.867773738479656</v>
      </c>
      <c r="AE254" s="21">
        <f>MIN('3.1 Market'!$H245,'1.1 Control Panel'!AE591*'1.1 Control Panel'!AE$569)</f>
        <v>34.894218990783727</v>
      </c>
      <c r="AF254" s="21">
        <f>MIN('3.1 Market'!$H245,'1.1 Control Panel'!AF591*'1.1 Control Panel'!AF$569)</f>
        <v>34.915375192626982</v>
      </c>
      <c r="AG254" s="21">
        <f>MIN('3.1 Market'!$H245,'1.1 Control Panel'!AG591*'1.1 Control Panel'!AG$569)</f>
        <v>49.903285934430848</v>
      </c>
      <c r="AH254" s="21">
        <f>MIN('3.1 Market'!$H245,'1.1 Control Panel'!AH591*'1.1 Control Panel'!AH$569)</f>
        <v>49.922628747544678</v>
      </c>
      <c r="AI254" s="21">
        <f>MIN('3.1 Market'!$H245,'1.1 Control Panel'!AI591*'1.1 Control Panel'!AI$569)</f>
        <v>49.938102998035745</v>
      </c>
      <c r="AJ254" s="21">
        <f>MIN('3.1 Market'!$H245,'1.1 Control Panel'!AJ591*'1.1 Control Panel'!AJ$569)</f>
        <v>49.950482398428598</v>
      </c>
      <c r="AK254" s="21">
        <f>MIN('3.1 Market'!$H245,'1.1 Control Panel'!AK591*'1.1 Control Panel'!AK$569)</f>
        <v>59.952463102491464</v>
      </c>
      <c r="AL254" s="21">
        <f>MIN('3.1 Market'!$H245,'1.1 Control Panel'!AL591*'1.1 Control Panel'!AL$569)</f>
        <v>59.961970481993177</v>
      </c>
      <c r="AM254" s="21">
        <f>MIN('3.1 Market'!$H245,'1.1 Control Panel'!AM591*'1.1 Control Panel'!AM$569)</f>
        <v>59.969576385594543</v>
      </c>
      <c r="AN254" s="21">
        <f>MIN('3.1 Market'!$H245,'1.1 Control Panel'!AN591*'1.1 Control Panel'!AN$569)</f>
        <v>59.975661108475634</v>
      </c>
      <c r="AP254" s="21"/>
    </row>
    <row r="255" spans="2:42" x14ac:dyDescent="0.25">
      <c r="B255" s="99" t="s">
        <v>9</v>
      </c>
      <c r="C255" s="105" t="str">
        <f>'4.2 Sector Mapping'!$B$14</f>
        <v>Retail and Consumer Goods</v>
      </c>
      <c r="D255" s="106" t="s">
        <v>162</v>
      </c>
      <c r="E255" s="105">
        <f>SUM(E256:E261)</f>
        <v>30</v>
      </c>
      <c r="F255" s="105">
        <f t="shared" ref="F255:H255" si="137">SUM(F256:F261)</f>
        <v>36</v>
      </c>
      <c r="G255" s="105">
        <f t="shared" si="137"/>
        <v>20.400000000000002</v>
      </c>
      <c r="H255" s="105">
        <f t="shared" si="137"/>
        <v>22.320000000000004</v>
      </c>
      <c r="I255" s="105">
        <f t="shared" ref="I255:AN255" si="138">SUM(I256:I261)</f>
        <v>47.712000000000003</v>
      </c>
      <c r="J255" s="105">
        <f t="shared" si="138"/>
        <v>50.169600000000003</v>
      </c>
      <c r="K255" s="105">
        <f t="shared" si="138"/>
        <v>52.135680000000008</v>
      </c>
      <c r="L255" s="105">
        <f t="shared" si="138"/>
        <v>53.70854400000001</v>
      </c>
      <c r="M255" s="105">
        <f t="shared" si="138"/>
        <v>109.93367040000001</v>
      </c>
      <c r="N255" s="105">
        <f t="shared" si="138"/>
        <v>139.93367040000004</v>
      </c>
      <c r="O255" s="105">
        <f t="shared" si="138"/>
        <v>170.33632358400004</v>
      </c>
      <c r="P255" s="105">
        <f t="shared" si="138"/>
        <v>200.9805686784</v>
      </c>
      <c r="Q255" s="105">
        <f t="shared" si="138"/>
        <v>231.75366279168003</v>
      </c>
      <c r="R255" s="105">
        <f t="shared" si="138"/>
        <v>233.40293023334405</v>
      </c>
      <c r="S255" s="105">
        <f t="shared" si="138"/>
        <v>234.72234418667523</v>
      </c>
      <c r="T255" s="105">
        <f t="shared" si="138"/>
        <v>235.77787534934021</v>
      </c>
      <c r="U255" s="105">
        <f t="shared" si="138"/>
        <v>295.77787534934021</v>
      </c>
      <c r="V255" s="105">
        <f t="shared" si="138"/>
        <v>296.6223002794722</v>
      </c>
      <c r="W255" s="105">
        <f t="shared" si="138"/>
        <v>297.29784022357774</v>
      </c>
      <c r="X255" s="105">
        <f t="shared" si="138"/>
        <v>297.83827217886221</v>
      </c>
      <c r="Y255" s="105">
        <f t="shared" si="138"/>
        <v>328.09767951739877</v>
      </c>
      <c r="Z255" s="105">
        <f t="shared" si="138"/>
        <v>328.47814361391897</v>
      </c>
      <c r="AA255" s="105">
        <f t="shared" si="138"/>
        <v>328.78251489113524</v>
      </c>
      <c r="AB255" s="105">
        <f t="shared" si="138"/>
        <v>329.02601191290819</v>
      </c>
      <c r="AC255" s="105">
        <f t="shared" si="138"/>
        <v>478.86663204411138</v>
      </c>
      <c r="AD255" s="105">
        <f t="shared" si="138"/>
        <v>479.09330563528908</v>
      </c>
      <c r="AE255" s="105">
        <f t="shared" si="138"/>
        <v>479.27464450823129</v>
      </c>
      <c r="AF255" s="105">
        <f t="shared" si="138"/>
        <v>479.4197156065851</v>
      </c>
      <c r="AG255" s="105">
        <f t="shared" si="138"/>
        <v>629.39070138691432</v>
      </c>
      <c r="AH255" s="105">
        <f t="shared" si="138"/>
        <v>629.51256110953136</v>
      </c>
      <c r="AI255" s="105">
        <f t="shared" si="138"/>
        <v>629.61004888762523</v>
      </c>
      <c r="AJ255" s="105">
        <f t="shared" si="138"/>
        <v>629.68803911010025</v>
      </c>
      <c r="AK255" s="105">
        <f t="shared" si="138"/>
        <v>779.69101016619447</v>
      </c>
      <c r="AL255" s="105">
        <f t="shared" si="138"/>
        <v>779.75280813295558</v>
      </c>
      <c r="AM255" s="105">
        <f t="shared" si="138"/>
        <v>779.80224650636455</v>
      </c>
      <c r="AN255" s="105">
        <f t="shared" si="138"/>
        <v>779.84179720509167</v>
      </c>
      <c r="AP255" s="105"/>
    </row>
    <row r="256" spans="2:42" x14ac:dyDescent="0.25">
      <c r="C256" s="20" t="s">
        <v>600</v>
      </c>
      <c r="D256" s="34" t="s">
        <v>162</v>
      </c>
      <c r="E256" s="20">
        <f>MIN('3.1 Market'!$F247,'1.1 Control Panel'!E617*'1.1 Control Panel'!E$600)</f>
        <v>10</v>
      </c>
      <c r="F256" s="20">
        <f>MIN('3.1 Market'!$F247,'1.1 Control Panel'!F617*'1.1 Control Panel'!F$600)</f>
        <v>10</v>
      </c>
      <c r="G256" s="20">
        <f>MIN('3.1 Market'!$F247,'1.1 Control Panel'!G617*'1.1 Control Panel'!G$600)</f>
        <v>5</v>
      </c>
      <c r="H256" s="20">
        <f>MIN('3.1 Market'!$F247,'1.1 Control Panel'!H617*'1.1 Control Panel'!H$600)</f>
        <v>5</v>
      </c>
      <c r="I256" s="20">
        <f>MIN('3.1 Market'!$F247,'1.1 Control Panel'!I617*'1.1 Control Panel'!I$600)</f>
        <v>10</v>
      </c>
      <c r="J256" s="20">
        <f>MIN('3.1 Market'!$F247,'1.1 Control Panel'!J617*'1.1 Control Panel'!J$600)</f>
        <v>10</v>
      </c>
      <c r="K256" s="20">
        <f>MIN('3.1 Market'!$F247,'1.1 Control Panel'!K617*'1.1 Control Panel'!K$600)</f>
        <v>10</v>
      </c>
      <c r="L256" s="20">
        <f>MIN('3.1 Market'!$F247,'1.1 Control Panel'!L617*'1.1 Control Panel'!L$600)</f>
        <v>10</v>
      </c>
      <c r="M256" s="20">
        <f>MIN('3.1 Market'!$F247,'1.1 Control Panel'!M617*'1.1 Control Panel'!M$600)</f>
        <v>20</v>
      </c>
      <c r="N256" s="20">
        <f>MIN('3.1 Market'!$F247,'1.1 Control Panel'!N617*'1.1 Control Panel'!N$600)</f>
        <v>25</v>
      </c>
      <c r="O256" s="20">
        <f>MIN('3.1 Market'!$F247,'1.1 Control Panel'!O617*'1.1 Control Panel'!O$600)</f>
        <v>30</v>
      </c>
      <c r="P256" s="20">
        <f>MIN('3.1 Market'!$F247,'1.1 Control Panel'!P617*'1.1 Control Panel'!P$600)</f>
        <v>35</v>
      </c>
      <c r="Q256" s="20">
        <f>MIN('3.1 Market'!$G247,'1.1 Control Panel'!Q617*'1.1 Control Panel'!Q$600)</f>
        <v>40</v>
      </c>
      <c r="R256" s="20">
        <f>MIN('3.1 Market'!$G247,'1.1 Control Panel'!R617*'1.1 Control Panel'!R$600)</f>
        <v>40</v>
      </c>
      <c r="S256" s="20">
        <f>MIN('3.1 Market'!$G247,'1.1 Control Panel'!S617*'1.1 Control Panel'!S$600)</f>
        <v>40</v>
      </c>
      <c r="T256" s="20">
        <f>MIN('3.1 Market'!$G247,'1.1 Control Panel'!T617*'1.1 Control Panel'!T$600)</f>
        <v>40</v>
      </c>
      <c r="U256" s="20">
        <f>MIN('3.1 Market'!$G247,'1.1 Control Panel'!U617*'1.1 Control Panel'!U$600)</f>
        <v>50</v>
      </c>
      <c r="V256" s="20">
        <f>MIN('3.1 Market'!$G247,'1.1 Control Panel'!V617*'1.1 Control Panel'!V$600)</f>
        <v>50</v>
      </c>
      <c r="W256" s="20">
        <f>MIN('3.1 Market'!$G247,'1.1 Control Panel'!W617*'1.1 Control Panel'!W$600)</f>
        <v>50</v>
      </c>
      <c r="X256" s="20">
        <f>MIN('3.1 Market'!$G247,'1.1 Control Panel'!X617*'1.1 Control Panel'!X$600)</f>
        <v>50</v>
      </c>
      <c r="Y256" s="20">
        <f>MIN('3.1 Market'!$G247,'1.1 Control Panel'!Y617*'1.1 Control Panel'!Y$600)</f>
        <v>55</v>
      </c>
      <c r="Z256" s="20">
        <f>MIN('3.1 Market'!$G247,'1.1 Control Panel'!Z617*'1.1 Control Panel'!Z$600)</f>
        <v>55</v>
      </c>
      <c r="AA256" s="20">
        <f>MIN('3.1 Market'!$G247,'1.1 Control Panel'!AA617*'1.1 Control Panel'!AA$600)</f>
        <v>55</v>
      </c>
      <c r="AB256" s="20">
        <f>MIN('3.1 Market'!$G247,'1.1 Control Panel'!AB617*'1.1 Control Panel'!AB$600)</f>
        <v>55</v>
      </c>
      <c r="AC256" s="20">
        <f>MIN('3.1 Market'!$H247,'1.1 Control Panel'!AC617*'1.1 Control Panel'!AC$600)</f>
        <v>80</v>
      </c>
      <c r="AD256" s="20">
        <f>MIN('3.1 Market'!$H247,'1.1 Control Panel'!AD617*'1.1 Control Panel'!AD$600)</f>
        <v>80</v>
      </c>
      <c r="AE256" s="20">
        <f>MIN('3.1 Market'!$H247,'1.1 Control Panel'!AE617*'1.1 Control Panel'!AE$600)</f>
        <v>80</v>
      </c>
      <c r="AF256" s="20">
        <f>MIN('3.1 Market'!$H247,'1.1 Control Panel'!AF617*'1.1 Control Panel'!AF$600)</f>
        <v>80</v>
      </c>
      <c r="AG256" s="20">
        <f>MIN('3.1 Market'!$H247,'1.1 Control Panel'!AG617*'1.1 Control Panel'!AG$600)</f>
        <v>105</v>
      </c>
      <c r="AH256" s="20">
        <f>MIN('3.1 Market'!$H247,'1.1 Control Panel'!AH617*'1.1 Control Panel'!AH$600)</f>
        <v>105</v>
      </c>
      <c r="AI256" s="20">
        <f>MIN('3.1 Market'!$H247,'1.1 Control Panel'!AI617*'1.1 Control Panel'!AI$600)</f>
        <v>105</v>
      </c>
      <c r="AJ256" s="20">
        <f>MIN('3.1 Market'!$H247,'1.1 Control Panel'!AJ617*'1.1 Control Panel'!AJ$600)</f>
        <v>105</v>
      </c>
      <c r="AK256" s="20">
        <f>MIN('3.1 Market'!$H247,'1.1 Control Panel'!AK617*'1.1 Control Panel'!AK$600)</f>
        <v>130</v>
      </c>
      <c r="AL256" s="20">
        <f>MIN('3.1 Market'!$H247,'1.1 Control Panel'!AL617*'1.1 Control Panel'!AL$600)</f>
        <v>130</v>
      </c>
      <c r="AM256" s="20">
        <f>MIN('3.1 Market'!$H247,'1.1 Control Panel'!AM617*'1.1 Control Panel'!AM$600)</f>
        <v>130</v>
      </c>
      <c r="AN256" s="20">
        <f>MIN('3.1 Market'!$H247,'1.1 Control Panel'!AN617*'1.1 Control Panel'!AN$600)</f>
        <v>130</v>
      </c>
      <c r="AP256" s="20"/>
    </row>
    <row r="257" spans="2:42" x14ac:dyDescent="0.25">
      <c r="C257" s="20" t="s">
        <v>392</v>
      </c>
      <c r="D257" s="34" t="s">
        <v>162</v>
      </c>
      <c r="E257" s="20">
        <f>MIN('3.1 Market'!$F248,'1.1 Control Panel'!E618*'1.1 Control Panel'!E$600)</f>
        <v>8</v>
      </c>
      <c r="F257" s="20">
        <f>MIN('3.1 Market'!$F248,'1.1 Control Panel'!F618*'1.1 Control Panel'!F$600)</f>
        <v>8.4</v>
      </c>
      <c r="G257" s="20">
        <f>MIN('3.1 Market'!$F248,'1.1 Control Panel'!G618*'1.1 Control Panel'!G$600)</f>
        <v>4.3600000000000003</v>
      </c>
      <c r="H257" s="20">
        <f>MIN('3.1 Market'!$F248,'1.1 Control Panel'!H618*'1.1 Control Panel'!H$600)</f>
        <v>4.4880000000000004</v>
      </c>
      <c r="I257" s="20">
        <f>MIN('3.1 Market'!$F248,'1.1 Control Panel'!I618*'1.1 Control Panel'!I$600)</f>
        <v>9.1808000000000014</v>
      </c>
      <c r="J257" s="20">
        <f>MIN('3.1 Market'!$F248,'1.1 Control Panel'!J618*'1.1 Control Panel'!J$600)</f>
        <v>9.3446400000000018</v>
      </c>
      <c r="K257" s="20">
        <f>MIN('3.1 Market'!$F248,'1.1 Control Panel'!K618*'1.1 Control Panel'!K$600)</f>
        <v>9.4757120000000015</v>
      </c>
      <c r="L257" s="20">
        <f>MIN('3.1 Market'!$F248,'1.1 Control Panel'!L618*'1.1 Control Panel'!L$600)</f>
        <v>9.5805696000000005</v>
      </c>
      <c r="M257" s="20">
        <f>MIN('3.1 Market'!$F248,'1.1 Control Panel'!M618*'1.1 Control Panel'!M$600)</f>
        <v>19.328911359999999</v>
      </c>
      <c r="N257" s="20">
        <f>MIN('3.1 Market'!$F248,'1.1 Control Panel'!N618*'1.1 Control Panel'!N$600)</f>
        <v>24.328911360000003</v>
      </c>
      <c r="O257" s="20">
        <f>MIN('3.1 Market'!$F248,'1.1 Control Panel'!O618*'1.1 Control Panel'!O$600)</f>
        <v>29.355754905600005</v>
      </c>
      <c r="P257" s="20">
        <f>MIN('3.1 Market'!$F248,'1.1 Control Panel'!P618*'1.1 Control Panel'!P$600)</f>
        <v>34.39870457856</v>
      </c>
      <c r="Q257" s="20">
        <f>MIN('3.1 Market'!$G248,'1.1 Control Panel'!Q618*'1.1 Control Panel'!Q$600)</f>
        <v>39.450244186112002</v>
      </c>
      <c r="R257" s="20">
        <f>MIN('3.1 Market'!$G248,'1.1 Control Panel'!R618*'1.1 Control Panel'!R$600)</f>
        <v>39.560195348889607</v>
      </c>
      <c r="S257" s="20">
        <f>MIN('3.1 Market'!$G248,'1.1 Control Panel'!S618*'1.1 Control Panel'!S$600)</f>
        <v>39.648156279111689</v>
      </c>
      <c r="T257" s="20">
        <f>MIN('3.1 Market'!$G248,'1.1 Control Panel'!T618*'1.1 Control Panel'!T$600)</f>
        <v>39.718525023289352</v>
      </c>
      <c r="U257" s="20">
        <f>MIN('3.1 Market'!$G248,'1.1 Control Panel'!U618*'1.1 Control Panel'!U$600)</f>
        <v>49.718525023289359</v>
      </c>
      <c r="V257" s="20">
        <f>MIN('3.1 Market'!$G248,'1.1 Control Panel'!V618*'1.1 Control Panel'!V$600)</f>
        <v>49.774820018631488</v>
      </c>
      <c r="W257" s="20">
        <f>MIN('3.1 Market'!$G248,'1.1 Control Panel'!W618*'1.1 Control Panel'!W$600)</f>
        <v>49.819856014905199</v>
      </c>
      <c r="X257" s="20">
        <f>MIN('3.1 Market'!$G248,'1.1 Control Panel'!X618*'1.1 Control Panel'!X$600)</f>
        <v>49.855884811924156</v>
      </c>
      <c r="Y257" s="20">
        <f>MIN('3.1 Market'!$G248,'1.1 Control Panel'!Y618*'1.1 Control Panel'!Y$600)</f>
        <v>54.873178634493257</v>
      </c>
      <c r="Z257" s="20">
        <f>MIN('3.1 Market'!$G248,'1.1 Control Panel'!Z618*'1.1 Control Panel'!Z$600)</f>
        <v>54.898542907594617</v>
      </c>
      <c r="AA257" s="20">
        <f>MIN('3.1 Market'!$G248,'1.1 Control Panel'!AA618*'1.1 Control Panel'!AA$600)</f>
        <v>54.918834326075697</v>
      </c>
      <c r="AB257" s="20">
        <f>MIN('3.1 Market'!$G248,'1.1 Control Panel'!AB618*'1.1 Control Panel'!AB$600)</f>
        <v>54.935067460860559</v>
      </c>
      <c r="AC257" s="20">
        <f>MIN('3.1 Market'!$H248,'1.1 Control Panel'!AC618*'1.1 Control Panel'!AC$600)</f>
        <v>79.924442136274109</v>
      </c>
      <c r="AD257" s="20">
        <f>MIN('3.1 Market'!$H248,'1.1 Control Panel'!AD618*'1.1 Control Panel'!AD$600)</f>
        <v>79.939553709019293</v>
      </c>
      <c r="AE257" s="20">
        <f>MIN('3.1 Market'!$H248,'1.1 Control Panel'!AE618*'1.1 Control Panel'!AE$600)</f>
        <v>79.951642967215435</v>
      </c>
      <c r="AF257" s="20">
        <f>MIN('3.1 Market'!$H248,'1.1 Control Panel'!AF618*'1.1 Control Panel'!AF$600)</f>
        <v>79.961314373772353</v>
      </c>
      <c r="AG257" s="20">
        <f>MIN('3.1 Market'!$H248,'1.1 Control Panel'!AG618*'1.1 Control Panel'!AG$600)</f>
        <v>104.95938009246099</v>
      </c>
      <c r="AH257" s="20">
        <f>MIN('3.1 Market'!$H248,'1.1 Control Panel'!AH618*'1.1 Control Panel'!AH$600)</f>
        <v>104.96750407396878</v>
      </c>
      <c r="AI257" s="20">
        <f>MIN('3.1 Market'!$H248,'1.1 Control Panel'!AI618*'1.1 Control Panel'!AI$600)</f>
        <v>104.97400325917503</v>
      </c>
      <c r="AJ257" s="20">
        <f>MIN('3.1 Market'!$H248,'1.1 Control Panel'!AJ618*'1.1 Control Panel'!AJ$600)</f>
        <v>104.97920260734001</v>
      </c>
      <c r="AK257" s="20">
        <f>MIN('3.1 Market'!$H248,'1.1 Control Panel'!AK618*'1.1 Control Panel'!AK$600)</f>
        <v>129.97940067774633</v>
      </c>
      <c r="AL257" s="20">
        <f>MIN('3.1 Market'!$H248,'1.1 Control Panel'!AL618*'1.1 Control Panel'!AL$600)</f>
        <v>129.98352054219706</v>
      </c>
      <c r="AM257" s="20">
        <f>MIN('3.1 Market'!$H248,'1.1 Control Panel'!AM618*'1.1 Control Panel'!AM$600)</f>
        <v>129.98681643375764</v>
      </c>
      <c r="AN257" s="20">
        <f>MIN('3.1 Market'!$H248,'1.1 Control Panel'!AN618*'1.1 Control Panel'!AN$600)</f>
        <v>129.98945314700609</v>
      </c>
      <c r="AP257" s="20"/>
    </row>
    <row r="258" spans="2:42" x14ac:dyDescent="0.25">
      <c r="C258" s="20" t="s">
        <v>454</v>
      </c>
      <c r="D258" s="34" t="s">
        <v>162</v>
      </c>
      <c r="E258" s="20">
        <f>MIN('3.1 Market'!$F249,'1.1 Control Panel'!E619*'1.1 Control Panel'!E$600)</f>
        <v>6</v>
      </c>
      <c r="F258" s="20">
        <f>MIN('3.1 Market'!$F249,'1.1 Control Panel'!F619*'1.1 Control Panel'!F$600)</f>
        <v>6.8000000000000007</v>
      </c>
      <c r="G258" s="20">
        <f>MIN('3.1 Market'!$F249,'1.1 Control Panel'!G619*'1.1 Control Panel'!G$600)</f>
        <v>3.7200000000000006</v>
      </c>
      <c r="H258" s="20">
        <f>MIN('3.1 Market'!$F249,'1.1 Control Panel'!H619*'1.1 Control Panel'!H$600)</f>
        <v>3.9760000000000009</v>
      </c>
      <c r="I258" s="20">
        <f>MIN('3.1 Market'!$F249,'1.1 Control Panel'!I619*'1.1 Control Panel'!I$600)</f>
        <v>8.3616000000000028</v>
      </c>
      <c r="J258" s="20">
        <f>MIN('3.1 Market'!$F249,'1.1 Control Panel'!J619*'1.1 Control Panel'!J$600)</f>
        <v>8.6892800000000037</v>
      </c>
      <c r="K258" s="20">
        <f>MIN('3.1 Market'!$F249,'1.1 Control Panel'!K619*'1.1 Control Panel'!K$600)</f>
        <v>8.9514240000000029</v>
      </c>
      <c r="L258" s="20">
        <f>MIN('3.1 Market'!$F249,'1.1 Control Panel'!L619*'1.1 Control Panel'!L$600)</f>
        <v>9.1611392000000027</v>
      </c>
      <c r="M258" s="20">
        <f>MIN('3.1 Market'!$F249,'1.1 Control Panel'!M619*'1.1 Control Panel'!M$600)</f>
        <v>18.657822720000006</v>
      </c>
      <c r="N258" s="20">
        <f>MIN('3.1 Market'!$F249,'1.1 Control Panel'!N619*'1.1 Control Panel'!N$600)</f>
        <v>23.657822720000006</v>
      </c>
      <c r="O258" s="20">
        <f>MIN('3.1 Market'!$F249,'1.1 Control Panel'!O619*'1.1 Control Panel'!O$600)</f>
        <v>28.71150981120001</v>
      </c>
      <c r="P258" s="20">
        <f>MIN('3.1 Market'!$F249,'1.1 Control Panel'!P619*'1.1 Control Panel'!P$600)</f>
        <v>33.797409157120008</v>
      </c>
      <c r="Q258" s="20">
        <f>MIN('3.1 Market'!$G249,'1.1 Control Panel'!Q619*'1.1 Control Panel'!Q$600)</f>
        <v>38.900488372224011</v>
      </c>
      <c r="R258" s="20">
        <f>MIN('3.1 Market'!$G249,'1.1 Control Panel'!R619*'1.1 Control Panel'!R$600)</f>
        <v>39.120390697779214</v>
      </c>
      <c r="S258" s="20">
        <f>MIN('3.1 Market'!$G249,'1.1 Control Panel'!S619*'1.1 Control Panel'!S$600)</f>
        <v>39.296312558223377</v>
      </c>
      <c r="T258" s="20">
        <f>MIN('3.1 Market'!$G249,'1.1 Control Panel'!T619*'1.1 Control Panel'!T$600)</f>
        <v>39.437050046578705</v>
      </c>
      <c r="U258" s="20">
        <f>MIN('3.1 Market'!$G249,'1.1 Control Panel'!U619*'1.1 Control Panel'!U$600)</f>
        <v>49.437050046578705</v>
      </c>
      <c r="V258" s="20">
        <f>MIN('3.1 Market'!$G249,'1.1 Control Panel'!V619*'1.1 Control Panel'!V$600)</f>
        <v>49.549640037262961</v>
      </c>
      <c r="W258" s="20">
        <f>MIN('3.1 Market'!$G249,'1.1 Control Panel'!W619*'1.1 Control Panel'!W$600)</f>
        <v>49.639712029810369</v>
      </c>
      <c r="X258" s="20">
        <f>MIN('3.1 Market'!$G249,'1.1 Control Panel'!X619*'1.1 Control Panel'!X$600)</f>
        <v>49.711769623848298</v>
      </c>
      <c r="Y258" s="20">
        <f>MIN('3.1 Market'!$G249,'1.1 Control Panel'!Y619*'1.1 Control Panel'!Y$600)</f>
        <v>54.746357268986493</v>
      </c>
      <c r="Z258" s="20">
        <f>MIN('3.1 Market'!$G249,'1.1 Control Panel'!Z619*'1.1 Control Panel'!Z$600)</f>
        <v>54.797085815189199</v>
      </c>
      <c r="AA258" s="20">
        <f>MIN('3.1 Market'!$G249,'1.1 Control Panel'!AA619*'1.1 Control Panel'!AA$600)</f>
        <v>54.837668652151358</v>
      </c>
      <c r="AB258" s="20">
        <f>MIN('3.1 Market'!$G249,'1.1 Control Panel'!AB619*'1.1 Control Panel'!AB$600)</f>
        <v>54.870134921721096</v>
      </c>
      <c r="AC258" s="20">
        <f>MIN('3.1 Market'!$H249,'1.1 Control Panel'!AC619*'1.1 Control Panel'!AC$600)</f>
        <v>79.84888427254819</v>
      </c>
      <c r="AD258" s="20">
        <f>MIN('3.1 Market'!$H249,'1.1 Control Panel'!AD619*'1.1 Control Panel'!AD$600)</f>
        <v>79.879107418038558</v>
      </c>
      <c r="AE258" s="20">
        <f>MIN('3.1 Market'!$H249,'1.1 Control Panel'!AE619*'1.1 Control Panel'!AE$600)</f>
        <v>79.903285934430841</v>
      </c>
      <c r="AF258" s="20">
        <f>MIN('3.1 Market'!$H249,'1.1 Control Panel'!AF619*'1.1 Control Panel'!AF$600)</f>
        <v>79.922628747544678</v>
      </c>
      <c r="AG258" s="20">
        <f>MIN('3.1 Market'!$H249,'1.1 Control Panel'!AG619*'1.1 Control Panel'!AG$600)</f>
        <v>104.91876018492192</v>
      </c>
      <c r="AH258" s="20">
        <f>MIN('3.1 Market'!$H249,'1.1 Control Panel'!AH619*'1.1 Control Panel'!AH$600)</f>
        <v>104.93500814793752</v>
      </c>
      <c r="AI258" s="20">
        <f>MIN('3.1 Market'!$H249,'1.1 Control Panel'!AI619*'1.1 Control Panel'!AI$600)</f>
        <v>104.94800651835001</v>
      </c>
      <c r="AJ258" s="20">
        <f>MIN('3.1 Market'!$H249,'1.1 Control Panel'!AJ619*'1.1 Control Panel'!AJ$600)</f>
        <v>104.95840521468003</v>
      </c>
      <c r="AK258" s="20">
        <f>MIN('3.1 Market'!$H249,'1.1 Control Panel'!AK619*'1.1 Control Panel'!AK$600)</f>
        <v>129.9588013554926</v>
      </c>
      <c r="AL258" s="20">
        <f>MIN('3.1 Market'!$H249,'1.1 Control Panel'!AL619*'1.1 Control Panel'!AL$600)</f>
        <v>129.96704108439405</v>
      </c>
      <c r="AM258" s="20">
        <f>MIN('3.1 Market'!$H249,'1.1 Control Panel'!AM619*'1.1 Control Panel'!AM$600)</f>
        <v>129.97363286751528</v>
      </c>
      <c r="AN258" s="20">
        <f>MIN('3.1 Market'!$H249,'1.1 Control Panel'!AN619*'1.1 Control Panel'!AN$600)</f>
        <v>129.97890629401223</v>
      </c>
      <c r="AP258" s="20"/>
    </row>
    <row r="259" spans="2:42" x14ac:dyDescent="0.25">
      <c r="C259" s="21" t="s">
        <v>455</v>
      </c>
      <c r="D259" s="38" t="s">
        <v>162</v>
      </c>
      <c r="E259" s="21">
        <f>MIN('3.1 Market'!$F250,'1.1 Control Panel'!E620*'1.1 Control Panel'!E$600)</f>
        <v>4</v>
      </c>
      <c r="F259" s="21">
        <f>MIN('3.1 Market'!$F250,'1.1 Control Panel'!F620*'1.1 Control Panel'!F$600)</f>
        <v>5.2</v>
      </c>
      <c r="G259" s="21">
        <f>MIN('3.1 Market'!$F250,'1.1 Control Panel'!G620*'1.1 Control Panel'!G$600)</f>
        <v>3.08</v>
      </c>
      <c r="H259" s="21">
        <f>MIN('3.1 Market'!$F250,'1.1 Control Panel'!H620*'1.1 Control Panel'!H$600)</f>
        <v>3.4640000000000004</v>
      </c>
      <c r="I259" s="21">
        <f>MIN('3.1 Market'!$F250,'1.1 Control Panel'!I620*'1.1 Control Panel'!I$600)</f>
        <v>7.5424000000000007</v>
      </c>
      <c r="J259" s="21">
        <f>MIN('3.1 Market'!$F250,'1.1 Control Panel'!J620*'1.1 Control Panel'!J$600)</f>
        <v>8.0339200000000019</v>
      </c>
      <c r="K259" s="21">
        <f>MIN('3.1 Market'!$F250,'1.1 Control Panel'!K620*'1.1 Control Panel'!K$600)</f>
        <v>8.4271360000000008</v>
      </c>
      <c r="L259" s="21">
        <f>MIN('3.1 Market'!$F250,'1.1 Control Panel'!L620*'1.1 Control Panel'!L$600)</f>
        <v>8.7417088000000014</v>
      </c>
      <c r="M259" s="21">
        <f>MIN('3.1 Market'!$F250,'1.1 Control Panel'!M620*'1.1 Control Panel'!M$600)</f>
        <v>17.986734080000005</v>
      </c>
      <c r="N259" s="21">
        <f>MIN('3.1 Market'!$F250,'1.1 Control Panel'!N620*'1.1 Control Panel'!N$600)</f>
        <v>22.986734080000009</v>
      </c>
      <c r="O259" s="21">
        <f>MIN('3.1 Market'!$F250,'1.1 Control Panel'!O620*'1.1 Control Panel'!O$600)</f>
        <v>28.067264716800011</v>
      </c>
      <c r="P259" s="21">
        <f>MIN('3.1 Market'!$F250,'1.1 Control Panel'!P620*'1.1 Control Panel'!P$600)</f>
        <v>33.196113735680008</v>
      </c>
      <c r="Q259" s="21">
        <f>MIN('3.1 Market'!$G250,'1.1 Control Panel'!Q620*'1.1 Control Panel'!Q$600)</f>
        <v>38.350732558336006</v>
      </c>
      <c r="R259" s="21">
        <f>MIN('3.1 Market'!$G250,'1.1 Control Panel'!R620*'1.1 Control Panel'!R$600)</f>
        <v>38.680586046668807</v>
      </c>
      <c r="S259" s="21">
        <f>MIN('3.1 Market'!$G250,'1.1 Control Panel'!S620*'1.1 Control Panel'!S$600)</f>
        <v>38.944468837335052</v>
      </c>
      <c r="T259" s="21">
        <f>MIN('3.1 Market'!$G250,'1.1 Control Panel'!T620*'1.1 Control Panel'!T$600)</f>
        <v>39.155575069868043</v>
      </c>
      <c r="U259" s="21">
        <f>MIN('3.1 Market'!$G250,'1.1 Control Panel'!U620*'1.1 Control Panel'!U$600)</f>
        <v>49.155575069868043</v>
      </c>
      <c r="V259" s="21">
        <f>MIN('3.1 Market'!$G250,'1.1 Control Panel'!V620*'1.1 Control Panel'!V$600)</f>
        <v>49.324460055894441</v>
      </c>
      <c r="W259" s="21">
        <f>MIN('3.1 Market'!$G250,'1.1 Control Panel'!W620*'1.1 Control Panel'!W$600)</f>
        <v>49.459568044715553</v>
      </c>
      <c r="X259" s="21">
        <f>MIN('3.1 Market'!$G250,'1.1 Control Panel'!X620*'1.1 Control Panel'!X$600)</f>
        <v>49.56765443577244</v>
      </c>
      <c r="Y259" s="21">
        <f>MIN('3.1 Market'!$G250,'1.1 Control Panel'!Y620*'1.1 Control Panel'!Y$600)</f>
        <v>54.619535903479751</v>
      </c>
      <c r="Z259" s="21">
        <f>MIN('3.1 Market'!$G250,'1.1 Control Panel'!Z620*'1.1 Control Panel'!Z$600)</f>
        <v>54.695628722783802</v>
      </c>
      <c r="AA259" s="21">
        <f>MIN('3.1 Market'!$G250,'1.1 Control Panel'!AA620*'1.1 Control Panel'!AA$600)</f>
        <v>54.756502978227047</v>
      </c>
      <c r="AB259" s="21">
        <f>MIN('3.1 Market'!$G250,'1.1 Control Panel'!AB620*'1.1 Control Panel'!AB$600)</f>
        <v>54.805202382581641</v>
      </c>
      <c r="AC259" s="21">
        <f>MIN('3.1 Market'!$H250,'1.1 Control Panel'!AC620*'1.1 Control Panel'!AC$600)</f>
        <v>79.773326408822271</v>
      </c>
      <c r="AD259" s="21">
        <f>MIN('3.1 Market'!$H250,'1.1 Control Panel'!AD620*'1.1 Control Panel'!AD$600)</f>
        <v>79.818661127057823</v>
      </c>
      <c r="AE259" s="21">
        <f>MIN('3.1 Market'!$H250,'1.1 Control Panel'!AE620*'1.1 Control Panel'!AE$600)</f>
        <v>79.854928901646261</v>
      </c>
      <c r="AF259" s="21">
        <f>MIN('3.1 Market'!$H250,'1.1 Control Panel'!AF620*'1.1 Control Panel'!AF$600)</f>
        <v>79.883943121317003</v>
      </c>
      <c r="AG259" s="21">
        <f>MIN('3.1 Market'!$H250,'1.1 Control Panel'!AG620*'1.1 Control Panel'!AG$600)</f>
        <v>104.87814027738284</v>
      </c>
      <c r="AH259" s="21">
        <f>MIN('3.1 Market'!$H250,'1.1 Control Panel'!AH620*'1.1 Control Panel'!AH$600)</f>
        <v>104.90251222190626</v>
      </c>
      <c r="AI259" s="21">
        <f>MIN('3.1 Market'!$H250,'1.1 Control Panel'!AI620*'1.1 Control Panel'!AI$600)</f>
        <v>104.92200977752503</v>
      </c>
      <c r="AJ259" s="21">
        <f>MIN('3.1 Market'!$H250,'1.1 Control Panel'!AJ620*'1.1 Control Panel'!AJ$600)</f>
        <v>104.93760782202003</v>
      </c>
      <c r="AK259" s="21">
        <f>MIN('3.1 Market'!$H250,'1.1 Control Panel'!AK620*'1.1 Control Panel'!AK$600)</f>
        <v>129.93820203323889</v>
      </c>
      <c r="AL259" s="21">
        <f>MIN('3.1 Market'!$H250,'1.1 Control Panel'!AL620*'1.1 Control Panel'!AL$600)</f>
        <v>129.95056162659111</v>
      </c>
      <c r="AM259" s="21">
        <f>MIN('3.1 Market'!$H250,'1.1 Control Panel'!AM620*'1.1 Control Panel'!AM$600)</f>
        <v>129.96044930127292</v>
      </c>
      <c r="AN259" s="21">
        <f>MIN('3.1 Market'!$H250,'1.1 Control Panel'!AN620*'1.1 Control Panel'!AN$600)</f>
        <v>129.96835944101835</v>
      </c>
      <c r="AP259" s="21"/>
    </row>
    <row r="260" spans="2:42" x14ac:dyDescent="0.25">
      <c r="C260" s="21" t="s">
        <v>393</v>
      </c>
      <c r="D260" s="38" t="s">
        <v>162</v>
      </c>
      <c r="E260" s="21">
        <f>MIN('3.1 Market'!$F251,'1.1 Control Panel'!E621*'1.1 Control Panel'!E$600)</f>
        <v>2</v>
      </c>
      <c r="F260" s="21">
        <f>MIN('3.1 Market'!$F251,'1.1 Control Panel'!F621*'1.1 Control Panel'!F$600)</f>
        <v>3.6</v>
      </c>
      <c r="G260" s="21">
        <f>MIN('3.1 Market'!$F251,'1.1 Control Panel'!G621*'1.1 Control Panel'!G$600)</f>
        <v>2.4400000000000004</v>
      </c>
      <c r="H260" s="21">
        <f>MIN('3.1 Market'!$F251,'1.1 Control Panel'!H621*'1.1 Control Panel'!H$600)</f>
        <v>2.9520000000000004</v>
      </c>
      <c r="I260" s="21">
        <f>MIN('3.1 Market'!$F251,'1.1 Control Panel'!I621*'1.1 Control Panel'!I$600)</f>
        <v>6.7232000000000012</v>
      </c>
      <c r="J260" s="21">
        <f>MIN('3.1 Market'!$F251,'1.1 Control Panel'!J621*'1.1 Control Panel'!J$600)</f>
        <v>7.3785600000000011</v>
      </c>
      <c r="K260" s="21">
        <f>MIN('3.1 Market'!$F251,'1.1 Control Panel'!K621*'1.1 Control Panel'!K$600)</f>
        <v>7.9028480000000014</v>
      </c>
      <c r="L260" s="21">
        <f>MIN('3.1 Market'!$F251,'1.1 Control Panel'!L621*'1.1 Control Panel'!L$600)</f>
        <v>8.3222784000000019</v>
      </c>
      <c r="M260" s="21">
        <f>MIN('3.1 Market'!$F251,'1.1 Control Panel'!M621*'1.1 Control Panel'!M$600)</f>
        <v>17.315645440000004</v>
      </c>
      <c r="N260" s="21">
        <f>MIN('3.1 Market'!$F251,'1.1 Control Panel'!N621*'1.1 Control Panel'!N$600)</f>
        <v>22.315645440000004</v>
      </c>
      <c r="O260" s="21">
        <f>MIN('3.1 Market'!$F251,'1.1 Control Panel'!O621*'1.1 Control Panel'!O$600)</f>
        <v>27.423019622400005</v>
      </c>
      <c r="P260" s="21">
        <f>MIN('3.1 Market'!$F251,'1.1 Control Panel'!P621*'1.1 Control Panel'!P$600)</f>
        <v>32.594818314240008</v>
      </c>
      <c r="Q260" s="21">
        <f>MIN('3.1 Market'!$G251,'1.1 Control Panel'!Q621*'1.1 Control Panel'!Q$600)</f>
        <v>37.800976744448008</v>
      </c>
      <c r="R260" s="21">
        <f>MIN('3.1 Market'!$G251,'1.1 Control Panel'!R621*'1.1 Control Panel'!R$600)</f>
        <v>38.240781395558407</v>
      </c>
      <c r="S260" s="21">
        <f>MIN('3.1 Market'!$G251,'1.1 Control Panel'!S621*'1.1 Control Panel'!S$600)</f>
        <v>38.592625116446726</v>
      </c>
      <c r="T260" s="21">
        <f>MIN('3.1 Market'!$G251,'1.1 Control Panel'!T621*'1.1 Control Panel'!T$600)</f>
        <v>38.874100093157381</v>
      </c>
      <c r="U260" s="21">
        <f>MIN('3.1 Market'!$G251,'1.1 Control Panel'!U621*'1.1 Control Panel'!U$600)</f>
        <v>48.874100093157381</v>
      </c>
      <c r="V260" s="21">
        <f>MIN('3.1 Market'!$G251,'1.1 Control Panel'!V621*'1.1 Control Panel'!V$600)</f>
        <v>49.099280074525907</v>
      </c>
      <c r="W260" s="21">
        <f>MIN('3.1 Market'!$G251,'1.1 Control Panel'!W621*'1.1 Control Panel'!W$600)</f>
        <v>49.279424059620723</v>
      </c>
      <c r="X260" s="21">
        <f>MIN('3.1 Market'!$G251,'1.1 Control Panel'!X621*'1.1 Control Panel'!X$600)</f>
        <v>49.423539247696588</v>
      </c>
      <c r="Y260" s="21">
        <f>MIN('3.1 Market'!$G251,'1.1 Control Panel'!Y621*'1.1 Control Panel'!Y$600)</f>
        <v>54.492714537973001</v>
      </c>
      <c r="Z260" s="21">
        <f>MIN('3.1 Market'!$G251,'1.1 Control Panel'!Z621*'1.1 Control Panel'!Z$600)</f>
        <v>54.594171630378398</v>
      </c>
      <c r="AA260" s="21">
        <f>MIN('3.1 Market'!$G251,'1.1 Control Panel'!AA621*'1.1 Control Panel'!AA$600)</f>
        <v>54.675337304302722</v>
      </c>
      <c r="AB260" s="21">
        <f>MIN('3.1 Market'!$G251,'1.1 Control Panel'!AB621*'1.1 Control Panel'!AB$600)</f>
        <v>54.740269843442171</v>
      </c>
      <c r="AC260" s="21">
        <f>MIN('3.1 Market'!$H251,'1.1 Control Panel'!AC621*'1.1 Control Panel'!AC$600)</f>
        <v>79.697768545096352</v>
      </c>
      <c r="AD260" s="21">
        <f>MIN('3.1 Market'!$H251,'1.1 Control Panel'!AD621*'1.1 Control Panel'!AD$600)</f>
        <v>79.758214836077087</v>
      </c>
      <c r="AE260" s="21">
        <f>MIN('3.1 Market'!$H251,'1.1 Control Panel'!AE621*'1.1 Control Panel'!AE$600)</f>
        <v>79.806571868861681</v>
      </c>
      <c r="AF260" s="21">
        <f>MIN('3.1 Market'!$H251,'1.1 Control Panel'!AF621*'1.1 Control Panel'!AF$600)</f>
        <v>79.845257495089356</v>
      </c>
      <c r="AG260" s="21">
        <f>MIN('3.1 Market'!$H251,'1.1 Control Panel'!AG621*'1.1 Control Panel'!AG$600)</f>
        <v>104.83752036984383</v>
      </c>
      <c r="AH260" s="21">
        <f>MIN('3.1 Market'!$H251,'1.1 Control Panel'!AH621*'1.1 Control Panel'!AH$600)</f>
        <v>104.87001629587508</v>
      </c>
      <c r="AI260" s="21">
        <f>MIN('3.1 Market'!$H251,'1.1 Control Panel'!AI621*'1.1 Control Panel'!AI$600)</f>
        <v>104.89601303670005</v>
      </c>
      <c r="AJ260" s="21">
        <f>MIN('3.1 Market'!$H251,'1.1 Control Panel'!AJ621*'1.1 Control Panel'!AJ$600)</f>
        <v>104.91681042936005</v>
      </c>
      <c r="AK260" s="21">
        <f>MIN('3.1 Market'!$H251,'1.1 Control Panel'!AK621*'1.1 Control Panel'!AK$600)</f>
        <v>129.91760271098522</v>
      </c>
      <c r="AL260" s="21">
        <f>MIN('3.1 Market'!$H251,'1.1 Control Panel'!AL621*'1.1 Control Panel'!AL$600)</f>
        <v>129.93408216878817</v>
      </c>
      <c r="AM260" s="21">
        <f>MIN('3.1 Market'!$H251,'1.1 Control Panel'!AM621*'1.1 Control Panel'!AM$600)</f>
        <v>129.94726573503056</v>
      </c>
      <c r="AN260" s="21">
        <f>MIN('3.1 Market'!$H251,'1.1 Control Panel'!AN621*'1.1 Control Panel'!AN$600)</f>
        <v>129.95781258802444</v>
      </c>
      <c r="AP260" s="21"/>
    </row>
    <row r="261" spans="2:42" x14ac:dyDescent="0.25">
      <c r="C261" s="21" t="s">
        <v>456</v>
      </c>
      <c r="D261" s="38" t="s">
        <v>162</v>
      </c>
      <c r="E261" s="21">
        <f>MIN('3.1 Market'!$F252,'1.1 Control Panel'!E622*'1.1 Control Panel'!E$600)</f>
        <v>0</v>
      </c>
      <c r="F261" s="21">
        <f>MIN('3.1 Market'!$F252,'1.1 Control Panel'!F622*'1.1 Control Panel'!F$600)</f>
        <v>2</v>
      </c>
      <c r="G261" s="21">
        <f>MIN('3.1 Market'!$F252,'1.1 Control Panel'!G622*'1.1 Control Panel'!G$600)</f>
        <v>1.8</v>
      </c>
      <c r="H261" s="21">
        <f>MIN('3.1 Market'!$F252,'1.1 Control Panel'!H622*'1.1 Control Panel'!H$600)</f>
        <v>2.4400000000000004</v>
      </c>
      <c r="I261" s="21">
        <f>MIN('3.1 Market'!$F252,'1.1 Control Panel'!I622*'1.1 Control Panel'!I$600)</f>
        <v>5.9040000000000008</v>
      </c>
      <c r="J261" s="21">
        <f>MIN('3.1 Market'!$F252,'1.1 Control Panel'!J622*'1.1 Control Panel'!J$600)</f>
        <v>6.7232000000000012</v>
      </c>
      <c r="K261" s="21">
        <f>MIN('3.1 Market'!$F252,'1.1 Control Panel'!K622*'1.1 Control Panel'!K$600)</f>
        <v>7.3785600000000011</v>
      </c>
      <c r="L261" s="21">
        <f>MIN('3.1 Market'!$F252,'1.1 Control Panel'!L622*'1.1 Control Panel'!L$600)</f>
        <v>7.9028480000000014</v>
      </c>
      <c r="M261" s="21">
        <f>MIN('3.1 Market'!$F252,'1.1 Control Panel'!M622*'1.1 Control Panel'!M$600)</f>
        <v>16.644556800000004</v>
      </c>
      <c r="N261" s="21">
        <f>MIN('3.1 Market'!$F252,'1.1 Control Panel'!N622*'1.1 Control Panel'!N$600)</f>
        <v>21.644556800000004</v>
      </c>
      <c r="O261" s="21">
        <f>MIN('3.1 Market'!$F252,'1.1 Control Panel'!O622*'1.1 Control Panel'!O$600)</f>
        <v>26.778774528000003</v>
      </c>
      <c r="P261" s="21">
        <f>MIN('3.1 Market'!$F252,'1.1 Control Panel'!P622*'1.1 Control Panel'!P$600)</f>
        <v>31.993522892800005</v>
      </c>
      <c r="Q261" s="21">
        <f>MIN('3.1 Market'!$G252,'1.1 Control Panel'!Q622*'1.1 Control Panel'!Q$600)</f>
        <v>37.251220930560009</v>
      </c>
      <c r="R261" s="21">
        <f>MIN('3.1 Market'!$G252,'1.1 Control Panel'!R622*'1.1 Control Panel'!R$600)</f>
        <v>37.800976744448008</v>
      </c>
      <c r="S261" s="21">
        <f>MIN('3.1 Market'!$G252,'1.1 Control Panel'!S622*'1.1 Control Panel'!S$600)</f>
        <v>38.240781395558407</v>
      </c>
      <c r="T261" s="21">
        <f>MIN('3.1 Market'!$G252,'1.1 Control Panel'!T622*'1.1 Control Panel'!T$600)</f>
        <v>38.592625116446726</v>
      </c>
      <c r="U261" s="21">
        <f>MIN('3.1 Market'!$G252,'1.1 Control Panel'!U622*'1.1 Control Panel'!U$600)</f>
        <v>48.592625116446726</v>
      </c>
      <c r="V261" s="21">
        <f>MIN('3.1 Market'!$G252,'1.1 Control Panel'!V622*'1.1 Control Panel'!V$600)</f>
        <v>48.874100093157381</v>
      </c>
      <c r="W261" s="21">
        <f>MIN('3.1 Market'!$G252,'1.1 Control Panel'!W622*'1.1 Control Panel'!W$600)</f>
        <v>49.099280074525907</v>
      </c>
      <c r="X261" s="21">
        <f>MIN('3.1 Market'!$G252,'1.1 Control Panel'!X622*'1.1 Control Panel'!X$600)</f>
        <v>49.279424059620723</v>
      </c>
      <c r="Y261" s="21">
        <f>MIN('3.1 Market'!$G252,'1.1 Control Panel'!Y622*'1.1 Control Panel'!Y$600)</f>
        <v>54.365893172466244</v>
      </c>
      <c r="Z261" s="21">
        <f>MIN('3.1 Market'!$G252,'1.1 Control Panel'!Z622*'1.1 Control Panel'!Z$600)</f>
        <v>54.492714537973001</v>
      </c>
      <c r="AA261" s="21">
        <f>MIN('3.1 Market'!$G252,'1.1 Control Panel'!AA622*'1.1 Control Panel'!AA$600)</f>
        <v>54.594171630378398</v>
      </c>
      <c r="AB261" s="21">
        <f>MIN('3.1 Market'!$G252,'1.1 Control Panel'!AB622*'1.1 Control Panel'!AB$600)</f>
        <v>54.675337304302722</v>
      </c>
      <c r="AC261" s="21">
        <f>MIN('3.1 Market'!$H252,'1.1 Control Panel'!AC622*'1.1 Control Panel'!AC$600)</f>
        <v>79.622210681370433</v>
      </c>
      <c r="AD261" s="21">
        <f>MIN('3.1 Market'!$H252,'1.1 Control Panel'!AD622*'1.1 Control Panel'!AD$600)</f>
        <v>79.697768545096352</v>
      </c>
      <c r="AE261" s="21">
        <f>MIN('3.1 Market'!$H252,'1.1 Control Panel'!AE622*'1.1 Control Panel'!AE$600)</f>
        <v>79.758214836077087</v>
      </c>
      <c r="AF261" s="21">
        <f>MIN('3.1 Market'!$H252,'1.1 Control Panel'!AF622*'1.1 Control Panel'!AF$600)</f>
        <v>79.806571868861681</v>
      </c>
      <c r="AG261" s="21">
        <f>MIN('3.1 Market'!$H252,'1.1 Control Panel'!AG622*'1.1 Control Panel'!AG$600)</f>
        <v>104.79690046230478</v>
      </c>
      <c r="AH261" s="21">
        <f>MIN('3.1 Market'!$H252,'1.1 Control Panel'!AH622*'1.1 Control Panel'!AH$600)</f>
        <v>104.83752036984383</v>
      </c>
      <c r="AI261" s="21">
        <f>MIN('3.1 Market'!$H252,'1.1 Control Panel'!AI622*'1.1 Control Panel'!AI$600)</f>
        <v>104.87001629587508</v>
      </c>
      <c r="AJ261" s="21">
        <f>MIN('3.1 Market'!$H252,'1.1 Control Panel'!AJ622*'1.1 Control Panel'!AJ$600)</f>
        <v>104.89601303670005</v>
      </c>
      <c r="AK261" s="21">
        <f>MIN('3.1 Market'!$H252,'1.1 Control Panel'!AK622*'1.1 Control Panel'!AK$600)</f>
        <v>129.89700338873149</v>
      </c>
      <c r="AL261" s="21">
        <f>MIN('3.1 Market'!$H252,'1.1 Control Panel'!AL622*'1.1 Control Panel'!AL$600)</f>
        <v>129.91760271098522</v>
      </c>
      <c r="AM261" s="21">
        <f>MIN('3.1 Market'!$H252,'1.1 Control Panel'!AM622*'1.1 Control Panel'!AM$600)</f>
        <v>129.93408216878817</v>
      </c>
      <c r="AN261" s="21">
        <f>MIN('3.1 Market'!$H252,'1.1 Control Panel'!AN622*'1.1 Control Panel'!AN$600)</f>
        <v>129.94726573503056</v>
      </c>
      <c r="AP261" s="21"/>
    </row>
    <row r="262" spans="2:42" x14ac:dyDescent="0.25">
      <c r="B262" s="99" t="s">
        <v>9</v>
      </c>
      <c r="C262" s="105" t="str">
        <f>'4.2 Sector Mapping'!$B$15</f>
        <v>Entertainment and Recreation</v>
      </c>
      <c r="D262" s="106" t="s">
        <v>162</v>
      </c>
      <c r="E262" s="105">
        <f>SUM(E263:E268)</f>
        <v>0</v>
      </c>
      <c r="F262" s="105">
        <f t="shared" ref="F262:H262" si="139">SUM(F263:F268)</f>
        <v>0</v>
      </c>
      <c r="G262" s="105">
        <f t="shared" si="139"/>
        <v>0</v>
      </c>
      <c r="H262" s="105">
        <f t="shared" si="139"/>
        <v>0</v>
      </c>
      <c r="I262" s="105">
        <f t="shared" ref="I262:AN262" si="140">SUM(I263:I268)</f>
        <v>23.856000000000002</v>
      </c>
      <c r="J262" s="105">
        <f t="shared" si="140"/>
        <v>25.084800000000001</v>
      </c>
      <c r="K262" s="105">
        <f t="shared" si="140"/>
        <v>26.067840000000004</v>
      </c>
      <c r="L262" s="105">
        <f t="shared" si="140"/>
        <v>26.854272000000005</v>
      </c>
      <c r="M262" s="105">
        <f t="shared" si="140"/>
        <v>27.483417600000003</v>
      </c>
      <c r="N262" s="105">
        <f t="shared" si="140"/>
        <v>27.986734080000005</v>
      </c>
      <c r="O262" s="105">
        <f t="shared" si="140"/>
        <v>28.389387264000007</v>
      </c>
      <c r="P262" s="105">
        <f t="shared" si="140"/>
        <v>28.711509811200006</v>
      </c>
      <c r="Q262" s="105">
        <f t="shared" si="140"/>
        <v>57.938415697920007</v>
      </c>
      <c r="R262" s="105">
        <f t="shared" si="140"/>
        <v>58.350732558336013</v>
      </c>
      <c r="S262" s="105">
        <f t="shared" si="140"/>
        <v>58.680586046668807</v>
      </c>
      <c r="T262" s="105">
        <f t="shared" si="140"/>
        <v>58.944468837335052</v>
      </c>
      <c r="U262" s="105">
        <f t="shared" si="140"/>
        <v>88.733362604802068</v>
      </c>
      <c r="V262" s="105">
        <f t="shared" si="140"/>
        <v>88.986690083841665</v>
      </c>
      <c r="W262" s="105">
        <f t="shared" si="140"/>
        <v>89.18935206707333</v>
      </c>
      <c r="X262" s="105">
        <f t="shared" si="140"/>
        <v>89.351481653658652</v>
      </c>
      <c r="Y262" s="105">
        <f t="shared" si="140"/>
        <v>89.481185322926919</v>
      </c>
      <c r="Z262" s="105">
        <f t="shared" si="140"/>
        <v>89.584948258341541</v>
      </c>
      <c r="AA262" s="105">
        <f t="shared" si="140"/>
        <v>89.667958606673238</v>
      </c>
      <c r="AB262" s="105">
        <f t="shared" si="140"/>
        <v>89.734366885338602</v>
      </c>
      <c r="AC262" s="105">
        <f t="shared" si="140"/>
        <v>149.64582251378479</v>
      </c>
      <c r="AD262" s="105">
        <f t="shared" si="140"/>
        <v>149.71665801102785</v>
      </c>
      <c r="AE262" s="105">
        <f t="shared" si="140"/>
        <v>149.7733264088223</v>
      </c>
      <c r="AF262" s="105">
        <f t="shared" si="140"/>
        <v>149.81866112705782</v>
      </c>
      <c r="AG262" s="105">
        <f t="shared" si="140"/>
        <v>239.76788624263403</v>
      </c>
      <c r="AH262" s="105">
        <f t="shared" si="140"/>
        <v>239.81430899410725</v>
      </c>
      <c r="AI262" s="105">
        <f t="shared" si="140"/>
        <v>239.85144719528577</v>
      </c>
      <c r="AJ262" s="105">
        <f t="shared" si="140"/>
        <v>239.88115775622865</v>
      </c>
      <c r="AK262" s="105">
        <f t="shared" si="140"/>
        <v>299.88115775622867</v>
      </c>
      <c r="AL262" s="105">
        <f t="shared" si="140"/>
        <v>299.90492620498293</v>
      </c>
      <c r="AM262" s="105">
        <f t="shared" si="140"/>
        <v>299.92394096398641</v>
      </c>
      <c r="AN262" s="105">
        <f t="shared" si="140"/>
        <v>299.93915277118907</v>
      </c>
      <c r="AP262" s="105"/>
    </row>
    <row r="263" spans="2:42" x14ac:dyDescent="0.25">
      <c r="C263" s="20" t="s">
        <v>600</v>
      </c>
      <c r="D263" s="34" t="s">
        <v>162</v>
      </c>
      <c r="E263" s="20">
        <f>MIN('3.1 Market'!$F254,'1.1 Control Panel'!E648*'1.1 Control Panel'!E$631)</f>
        <v>0</v>
      </c>
      <c r="F263" s="20">
        <f>MIN('3.1 Market'!$F254,'1.1 Control Panel'!F648*'1.1 Control Panel'!F$631)</f>
        <v>0</v>
      </c>
      <c r="G263" s="20">
        <f>MIN('3.1 Market'!$F254,'1.1 Control Panel'!G648*'1.1 Control Panel'!G$631)</f>
        <v>0</v>
      </c>
      <c r="H263" s="20">
        <f>MIN('3.1 Market'!$F254,'1.1 Control Panel'!H648*'1.1 Control Panel'!H$631)</f>
        <v>0</v>
      </c>
      <c r="I263" s="20">
        <f>MIN('3.1 Market'!$F254,'1.1 Control Panel'!I648*'1.1 Control Panel'!I$631)</f>
        <v>5</v>
      </c>
      <c r="J263" s="20">
        <f>MIN('3.1 Market'!$F254,'1.1 Control Panel'!J648*'1.1 Control Panel'!J$631)</f>
        <v>5</v>
      </c>
      <c r="K263" s="20">
        <f>MIN('3.1 Market'!$F254,'1.1 Control Panel'!K648*'1.1 Control Panel'!K$631)</f>
        <v>5</v>
      </c>
      <c r="L263" s="20">
        <f>MIN('3.1 Market'!$F254,'1.1 Control Panel'!L648*'1.1 Control Panel'!L$631)</f>
        <v>5</v>
      </c>
      <c r="M263" s="20">
        <f>MIN('3.1 Market'!$F254,'1.1 Control Panel'!M648*'1.1 Control Panel'!M$631)</f>
        <v>5</v>
      </c>
      <c r="N263" s="20">
        <f>MIN('3.1 Market'!$F254,'1.1 Control Panel'!N648*'1.1 Control Panel'!N$631)</f>
        <v>5</v>
      </c>
      <c r="O263" s="20">
        <f>MIN('3.1 Market'!$F254,'1.1 Control Panel'!O648*'1.1 Control Panel'!O$631)</f>
        <v>5</v>
      </c>
      <c r="P263" s="20">
        <f>MIN('3.1 Market'!$F254,'1.1 Control Panel'!P648*'1.1 Control Panel'!P$631)</f>
        <v>5</v>
      </c>
      <c r="Q263" s="20">
        <f>MIN('3.1 Market'!$G254,'1.1 Control Panel'!Q648*'1.1 Control Panel'!Q$631)</f>
        <v>10</v>
      </c>
      <c r="R263" s="20">
        <f>MIN('3.1 Market'!$G254,'1.1 Control Panel'!R648*'1.1 Control Panel'!R$631)</f>
        <v>10</v>
      </c>
      <c r="S263" s="20">
        <f>MIN('3.1 Market'!$G254,'1.1 Control Panel'!S648*'1.1 Control Panel'!S$631)</f>
        <v>10</v>
      </c>
      <c r="T263" s="20">
        <f>MIN('3.1 Market'!$G254,'1.1 Control Panel'!T648*'1.1 Control Panel'!T$631)</f>
        <v>10</v>
      </c>
      <c r="U263" s="20">
        <f>MIN('3.1 Market'!$G254,'1.1 Control Panel'!U648*'1.1 Control Panel'!U$631)</f>
        <v>15</v>
      </c>
      <c r="V263" s="20">
        <f>MIN('3.1 Market'!$G254,'1.1 Control Panel'!V648*'1.1 Control Panel'!V$631)</f>
        <v>15</v>
      </c>
      <c r="W263" s="20">
        <f>MIN('3.1 Market'!$G254,'1.1 Control Panel'!W648*'1.1 Control Panel'!W$631)</f>
        <v>15</v>
      </c>
      <c r="X263" s="20">
        <f>MIN('3.1 Market'!$G254,'1.1 Control Panel'!X648*'1.1 Control Panel'!X$631)</f>
        <v>15</v>
      </c>
      <c r="Y263" s="20">
        <f>MIN('3.1 Market'!$G254,'1.1 Control Panel'!Y648*'1.1 Control Panel'!Y$631)</f>
        <v>15</v>
      </c>
      <c r="Z263" s="20">
        <f>MIN('3.1 Market'!$G254,'1.1 Control Panel'!Z648*'1.1 Control Panel'!Z$631)</f>
        <v>15</v>
      </c>
      <c r="AA263" s="20">
        <f>MIN('3.1 Market'!$G254,'1.1 Control Panel'!AA648*'1.1 Control Panel'!AA$631)</f>
        <v>15</v>
      </c>
      <c r="AB263" s="20">
        <f>MIN('3.1 Market'!$G254,'1.1 Control Panel'!AB648*'1.1 Control Panel'!AB$631)</f>
        <v>15</v>
      </c>
      <c r="AC263" s="20">
        <f>MIN('3.1 Market'!$H254,'1.1 Control Panel'!AC648*'1.1 Control Panel'!AC$631)</f>
        <v>25</v>
      </c>
      <c r="AD263" s="20">
        <f>MIN('3.1 Market'!$H254,'1.1 Control Panel'!AD648*'1.1 Control Panel'!AD$631)</f>
        <v>25</v>
      </c>
      <c r="AE263" s="20">
        <f>MIN('3.1 Market'!$H254,'1.1 Control Panel'!AE648*'1.1 Control Panel'!AE$631)</f>
        <v>25</v>
      </c>
      <c r="AF263" s="20">
        <f>MIN('3.1 Market'!$H254,'1.1 Control Panel'!AF648*'1.1 Control Panel'!AF$631)</f>
        <v>25</v>
      </c>
      <c r="AG263" s="20">
        <f>MIN('3.1 Market'!$H254,'1.1 Control Panel'!AG648*'1.1 Control Panel'!AG$631)</f>
        <v>40</v>
      </c>
      <c r="AH263" s="20">
        <f>MIN('3.1 Market'!$H254,'1.1 Control Panel'!AH648*'1.1 Control Panel'!AH$631)</f>
        <v>40</v>
      </c>
      <c r="AI263" s="20">
        <f>MIN('3.1 Market'!$H254,'1.1 Control Panel'!AI648*'1.1 Control Panel'!AI$631)</f>
        <v>40</v>
      </c>
      <c r="AJ263" s="20">
        <f>MIN('3.1 Market'!$H254,'1.1 Control Panel'!AJ648*'1.1 Control Panel'!AJ$631)</f>
        <v>40</v>
      </c>
      <c r="AK263" s="20">
        <f>MIN('3.1 Market'!$H254,'1.1 Control Panel'!AK648*'1.1 Control Panel'!AK$631)</f>
        <v>50</v>
      </c>
      <c r="AL263" s="20">
        <f>MIN('3.1 Market'!$H254,'1.1 Control Panel'!AL648*'1.1 Control Panel'!AL$631)</f>
        <v>50</v>
      </c>
      <c r="AM263" s="20">
        <f>MIN('3.1 Market'!$H254,'1.1 Control Panel'!AM648*'1.1 Control Panel'!AM$631)</f>
        <v>50</v>
      </c>
      <c r="AN263" s="20">
        <f>MIN('3.1 Market'!$H254,'1.1 Control Panel'!AN648*'1.1 Control Panel'!AN$631)</f>
        <v>50</v>
      </c>
      <c r="AP263" s="20"/>
    </row>
    <row r="264" spans="2:42" x14ac:dyDescent="0.25">
      <c r="C264" s="20" t="s">
        <v>392</v>
      </c>
      <c r="D264" s="34" t="s">
        <v>162</v>
      </c>
      <c r="E264" s="20">
        <f>MIN('3.1 Market'!$F255,'1.1 Control Panel'!E649*'1.1 Control Panel'!E$631)</f>
        <v>0</v>
      </c>
      <c r="F264" s="20">
        <f>MIN('3.1 Market'!$F255,'1.1 Control Panel'!F649*'1.1 Control Panel'!F$631)</f>
        <v>0</v>
      </c>
      <c r="G264" s="20">
        <f>MIN('3.1 Market'!$F255,'1.1 Control Panel'!G649*'1.1 Control Panel'!G$631)</f>
        <v>0</v>
      </c>
      <c r="H264" s="20">
        <f>MIN('3.1 Market'!$F255,'1.1 Control Panel'!H649*'1.1 Control Panel'!H$631)</f>
        <v>0</v>
      </c>
      <c r="I264" s="20">
        <f>MIN('3.1 Market'!$F255,'1.1 Control Panel'!I649*'1.1 Control Panel'!I$631)</f>
        <v>4.5904000000000007</v>
      </c>
      <c r="J264" s="20">
        <f>MIN('3.1 Market'!$F255,'1.1 Control Panel'!J649*'1.1 Control Panel'!J$631)</f>
        <v>4.6723200000000009</v>
      </c>
      <c r="K264" s="20">
        <f>MIN('3.1 Market'!$F255,'1.1 Control Panel'!K649*'1.1 Control Panel'!K$631)</f>
        <v>4.7378560000000007</v>
      </c>
      <c r="L264" s="20">
        <f>MIN('3.1 Market'!$F255,'1.1 Control Panel'!L649*'1.1 Control Panel'!L$631)</f>
        <v>4.7902848000000002</v>
      </c>
      <c r="M264" s="20">
        <f>MIN('3.1 Market'!$F255,'1.1 Control Panel'!M649*'1.1 Control Panel'!M$631)</f>
        <v>4.8322278399999998</v>
      </c>
      <c r="N264" s="20">
        <f>MIN('3.1 Market'!$F255,'1.1 Control Panel'!N649*'1.1 Control Panel'!N$631)</f>
        <v>4.8657822720000006</v>
      </c>
      <c r="O264" s="20">
        <f>MIN('3.1 Market'!$F255,'1.1 Control Panel'!O649*'1.1 Control Panel'!O$631)</f>
        <v>4.8926258176000008</v>
      </c>
      <c r="P264" s="20">
        <f>MIN('3.1 Market'!$F255,'1.1 Control Panel'!P649*'1.1 Control Panel'!P$631)</f>
        <v>4.9141006540800003</v>
      </c>
      <c r="Q264" s="20">
        <f>MIN('3.1 Market'!$G255,'1.1 Control Panel'!Q649*'1.1 Control Panel'!Q$631)</f>
        <v>9.8625610465280005</v>
      </c>
      <c r="R264" s="20">
        <f>MIN('3.1 Market'!$G255,'1.1 Control Panel'!R649*'1.1 Control Panel'!R$631)</f>
        <v>9.8900488372224018</v>
      </c>
      <c r="S264" s="20">
        <f>MIN('3.1 Market'!$G255,'1.1 Control Panel'!S649*'1.1 Control Panel'!S$631)</f>
        <v>9.9120390697779222</v>
      </c>
      <c r="T264" s="20">
        <f>MIN('3.1 Market'!$G255,'1.1 Control Panel'!T649*'1.1 Control Panel'!T$631)</f>
        <v>9.9296312558223381</v>
      </c>
      <c r="U264" s="20">
        <f>MIN('3.1 Market'!$G255,'1.1 Control Panel'!U649*'1.1 Control Panel'!U$631)</f>
        <v>14.915557506986808</v>
      </c>
      <c r="V264" s="20">
        <f>MIN('3.1 Market'!$G255,'1.1 Control Panel'!V649*'1.1 Control Panel'!V$631)</f>
        <v>14.932446005589448</v>
      </c>
      <c r="W264" s="20">
        <f>MIN('3.1 Market'!$G255,'1.1 Control Panel'!W649*'1.1 Control Panel'!W$631)</f>
        <v>14.945956804471558</v>
      </c>
      <c r="X264" s="20">
        <f>MIN('3.1 Market'!$G255,'1.1 Control Panel'!X649*'1.1 Control Panel'!X$631)</f>
        <v>14.956765443577247</v>
      </c>
      <c r="Y264" s="20">
        <f>MIN('3.1 Market'!$G255,'1.1 Control Panel'!Y649*'1.1 Control Panel'!Y$631)</f>
        <v>14.965412354861797</v>
      </c>
      <c r="Z264" s="20">
        <f>MIN('3.1 Market'!$G255,'1.1 Control Panel'!Z649*'1.1 Control Panel'!Z$631)</f>
        <v>14.97232988388944</v>
      </c>
      <c r="AA264" s="20">
        <f>MIN('3.1 Market'!$G255,'1.1 Control Panel'!AA649*'1.1 Control Panel'!AA$631)</f>
        <v>14.977863907111553</v>
      </c>
      <c r="AB264" s="20">
        <f>MIN('3.1 Market'!$G255,'1.1 Control Panel'!AB649*'1.1 Control Panel'!AB$631)</f>
        <v>14.982291125689244</v>
      </c>
      <c r="AC264" s="20">
        <f>MIN('3.1 Market'!$H255,'1.1 Control Panel'!AC649*'1.1 Control Panel'!AC$631)</f>
        <v>24.976388167585661</v>
      </c>
      <c r="AD264" s="20">
        <f>MIN('3.1 Market'!$H255,'1.1 Control Panel'!AD649*'1.1 Control Panel'!AD$631)</f>
        <v>24.981110534068527</v>
      </c>
      <c r="AE264" s="20">
        <f>MIN('3.1 Market'!$H255,'1.1 Control Panel'!AE649*'1.1 Control Panel'!AE$631)</f>
        <v>24.984888427254823</v>
      </c>
      <c r="AF264" s="20">
        <f>MIN('3.1 Market'!$H255,'1.1 Control Panel'!AF649*'1.1 Control Panel'!AF$631)</f>
        <v>24.987910741803859</v>
      </c>
      <c r="AG264" s="20">
        <f>MIN('3.1 Market'!$H255,'1.1 Control Panel'!AG649*'1.1 Control Panel'!AG$631)</f>
        <v>39.984525749508947</v>
      </c>
      <c r="AH264" s="20">
        <f>MIN('3.1 Market'!$H255,'1.1 Control Panel'!AH649*'1.1 Control Panel'!AH$631)</f>
        <v>39.987620599607155</v>
      </c>
      <c r="AI264" s="20">
        <f>MIN('3.1 Market'!$H255,'1.1 Control Panel'!AI649*'1.1 Control Panel'!AI$631)</f>
        <v>39.990096479685725</v>
      </c>
      <c r="AJ264" s="20">
        <f>MIN('3.1 Market'!$H255,'1.1 Control Panel'!AJ649*'1.1 Control Panel'!AJ$631)</f>
        <v>39.992077183748577</v>
      </c>
      <c r="AK264" s="20">
        <f>MIN('3.1 Market'!$H255,'1.1 Control Panel'!AK649*'1.1 Control Panel'!AK$631)</f>
        <v>49.992077183748584</v>
      </c>
      <c r="AL264" s="20">
        <f>MIN('3.1 Market'!$H255,'1.1 Control Panel'!AL649*'1.1 Control Panel'!AL$631)</f>
        <v>49.993661746998868</v>
      </c>
      <c r="AM264" s="20">
        <f>MIN('3.1 Market'!$H255,'1.1 Control Panel'!AM649*'1.1 Control Panel'!AM$631)</f>
        <v>49.994929397599094</v>
      </c>
      <c r="AN264" s="20">
        <f>MIN('3.1 Market'!$H255,'1.1 Control Panel'!AN649*'1.1 Control Panel'!AN$631)</f>
        <v>49.995943518079272</v>
      </c>
      <c r="AP264" s="20"/>
    </row>
    <row r="265" spans="2:42" x14ac:dyDescent="0.25">
      <c r="C265" s="20" t="s">
        <v>454</v>
      </c>
      <c r="D265" s="34" t="s">
        <v>162</v>
      </c>
      <c r="E265" s="20">
        <f>MIN('3.1 Market'!$F256,'1.1 Control Panel'!E650*'1.1 Control Panel'!E$631)</f>
        <v>0</v>
      </c>
      <c r="F265" s="20">
        <f>MIN('3.1 Market'!$F256,'1.1 Control Panel'!F650*'1.1 Control Panel'!F$631)</f>
        <v>0</v>
      </c>
      <c r="G265" s="20">
        <f>MIN('3.1 Market'!$F256,'1.1 Control Panel'!G650*'1.1 Control Panel'!G$631)</f>
        <v>0</v>
      </c>
      <c r="H265" s="20">
        <f>MIN('3.1 Market'!$F256,'1.1 Control Panel'!H650*'1.1 Control Panel'!H$631)</f>
        <v>0</v>
      </c>
      <c r="I265" s="20">
        <f>MIN('3.1 Market'!$F256,'1.1 Control Panel'!I650*'1.1 Control Panel'!I$631)</f>
        <v>4.1808000000000014</v>
      </c>
      <c r="J265" s="20">
        <f>MIN('3.1 Market'!$F256,'1.1 Control Panel'!J650*'1.1 Control Panel'!J$631)</f>
        <v>4.3446400000000018</v>
      </c>
      <c r="K265" s="20">
        <f>MIN('3.1 Market'!$F256,'1.1 Control Panel'!K650*'1.1 Control Panel'!K$631)</f>
        <v>4.4757120000000015</v>
      </c>
      <c r="L265" s="20">
        <f>MIN('3.1 Market'!$F256,'1.1 Control Panel'!L650*'1.1 Control Panel'!L$631)</f>
        <v>4.5805696000000014</v>
      </c>
      <c r="M265" s="20">
        <f>MIN('3.1 Market'!$F256,'1.1 Control Panel'!M650*'1.1 Control Panel'!M$631)</f>
        <v>4.6644556800000014</v>
      </c>
      <c r="N265" s="20">
        <f>MIN('3.1 Market'!$F256,'1.1 Control Panel'!N650*'1.1 Control Panel'!N$631)</f>
        <v>4.7315645440000011</v>
      </c>
      <c r="O265" s="20">
        <f>MIN('3.1 Market'!$F256,'1.1 Control Panel'!O650*'1.1 Control Panel'!O$631)</f>
        <v>4.7852516352000016</v>
      </c>
      <c r="P265" s="20">
        <f>MIN('3.1 Market'!$F256,'1.1 Control Panel'!P650*'1.1 Control Panel'!P$631)</f>
        <v>4.8282013081600015</v>
      </c>
      <c r="Q265" s="20">
        <f>MIN('3.1 Market'!$G256,'1.1 Control Panel'!Q650*'1.1 Control Panel'!Q$631)</f>
        <v>9.7251220930560027</v>
      </c>
      <c r="R265" s="20">
        <f>MIN('3.1 Market'!$G256,'1.1 Control Panel'!R650*'1.1 Control Panel'!R$631)</f>
        <v>9.7800976744448036</v>
      </c>
      <c r="S265" s="20">
        <f>MIN('3.1 Market'!$G256,'1.1 Control Panel'!S650*'1.1 Control Panel'!S$631)</f>
        <v>9.8240781395558443</v>
      </c>
      <c r="T265" s="20">
        <f>MIN('3.1 Market'!$G256,'1.1 Control Panel'!T650*'1.1 Control Panel'!T$631)</f>
        <v>9.8592625116446762</v>
      </c>
      <c r="U265" s="20">
        <f>MIN('3.1 Market'!$G256,'1.1 Control Panel'!U650*'1.1 Control Panel'!U$631)</f>
        <v>14.83111501397361</v>
      </c>
      <c r="V265" s="20">
        <f>MIN('3.1 Market'!$G256,'1.1 Control Panel'!V650*'1.1 Control Panel'!V$631)</f>
        <v>14.864892011178888</v>
      </c>
      <c r="W265" s="20">
        <f>MIN('3.1 Market'!$G256,'1.1 Control Panel'!W650*'1.1 Control Panel'!W$631)</f>
        <v>14.891913608943112</v>
      </c>
      <c r="X265" s="20">
        <f>MIN('3.1 Market'!$G256,'1.1 Control Panel'!X650*'1.1 Control Panel'!X$631)</f>
        <v>14.913530887154488</v>
      </c>
      <c r="Y265" s="20">
        <f>MIN('3.1 Market'!$G256,'1.1 Control Panel'!Y650*'1.1 Control Panel'!Y$631)</f>
        <v>14.93082470972359</v>
      </c>
      <c r="Z265" s="20">
        <f>MIN('3.1 Market'!$G256,'1.1 Control Panel'!Z650*'1.1 Control Panel'!Z$631)</f>
        <v>14.944659767778873</v>
      </c>
      <c r="AA265" s="20">
        <f>MIN('3.1 Market'!$G256,'1.1 Control Panel'!AA650*'1.1 Control Panel'!AA$631)</f>
        <v>14.955727814223099</v>
      </c>
      <c r="AB265" s="20">
        <f>MIN('3.1 Market'!$G256,'1.1 Control Panel'!AB650*'1.1 Control Panel'!AB$631)</f>
        <v>14.964582251378481</v>
      </c>
      <c r="AC265" s="20">
        <f>MIN('3.1 Market'!$H256,'1.1 Control Panel'!AC650*'1.1 Control Panel'!AC$631)</f>
        <v>24.952776335171308</v>
      </c>
      <c r="AD265" s="20">
        <f>MIN('3.1 Market'!$H256,'1.1 Control Panel'!AD650*'1.1 Control Panel'!AD$631)</f>
        <v>24.962221068137048</v>
      </c>
      <c r="AE265" s="20">
        <f>MIN('3.1 Market'!$H256,'1.1 Control Panel'!AE650*'1.1 Control Panel'!AE$631)</f>
        <v>24.969776854509639</v>
      </c>
      <c r="AF265" s="20">
        <f>MIN('3.1 Market'!$H256,'1.1 Control Panel'!AF650*'1.1 Control Panel'!AF$631)</f>
        <v>24.97582148360771</v>
      </c>
      <c r="AG265" s="20">
        <f>MIN('3.1 Market'!$H256,'1.1 Control Panel'!AG650*'1.1 Control Panel'!AG$631)</f>
        <v>39.969051499017873</v>
      </c>
      <c r="AH265" s="20">
        <f>MIN('3.1 Market'!$H256,'1.1 Control Panel'!AH650*'1.1 Control Panel'!AH$631)</f>
        <v>39.975241199214295</v>
      </c>
      <c r="AI265" s="20">
        <f>MIN('3.1 Market'!$H256,'1.1 Control Panel'!AI650*'1.1 Control Panel'!AI$631)</f>
        <v>39.980192959371436</v>
      </c>
      <c r="AJ265" s="20">
        <f>MIN('3.1 Market'!$H256,'1.1 Control Panel'!AJ650*'1.1 Control Panel'!AJ$631)</f>
        <v>39.984154367497155</v>
      </c>
      <c r="AK265" s="20">
        <f>MIN('3.1 Market'!$H256,'1.1 Control Panel'!AK650*'1.1 Control Panel'!AK$631)</f>
        <v>49.984154367497155</v>
      </c>
      <c r="AL265" s="20">
        <f>MIN('3.1 Market'!$H256,'1.1 Control Panel'!AL650*'1.1 Control Panel'!AL$631)</f>
        <v>49.987323493997721</v>
      </c>
      <c r="AM265" s="20">
        <f>MIN('3.1 Market'!$H256,'1.1 Control Panel'!AM650*'1.1 Control Panel'!AM$631)</f>
        <v>49.989858795198181</v>
      </c>
      <c r="AN265" s="20">
        <f>MIN('3.1 Market'!$H256,'1.1 Control Panel'!AN650*'1.1 Control Panel'!AN$631)</f>
        <v>49.991887036158545</v>
      </c>
      <c r="AP265" s="20"/>
    </row>
    <row r="266" spans="2:42" x14ac:dyDescent="0.25">
      <c r="C266" s="21" t="s">
        <v>455</v>
      </c>
      <c r="D266" s="38" t="s">
        <v>162</v>
      </c>
      <c r="E266" s="21">
        <f>MIN('3.1 Market'!$F257,'1.1 Control Panel'!E651*'1.1 Control Panel'!E$631)</f>
        <v>0</v>
      </c>
      <c r="F266" s="21">
        <f>MIN('3.1 Market'!$F257,'1.1 Control Panel'!F651*'1.1 Control Panel'!F$631)</f>
        <v>0</v>
      </c>
      <c r="G266" s="21">
        <f>MIN('3.1 Market'!$F257,'1.1 Control Panel'!G651*'1.1 Control Panel'!G$631)</f>
        <v>0</v>
      </c>
      <c r="H266" s="21">
        <f>MIN('3.1 Market'!$F257,'1.1 Control Panel'!H651*'1.1 Control Panel'!H$631)</f>
        <v>0</v>
      </c>
      <c r="I266" s="21">
        <f>MIN('3.1 Market'!$F257,'1.1 Control Panel'!I651*'1.1 Control Panel'!I$631)</f>
        <v>3.7712000000000003</v>
      </c>
      <c r="J266" s="21">
        <f>MIN('3.1 Market'!$F257,'1.1 Control Panel'!J651*'1.1 Control Panel'!J$631)</f>
        <v>4.016960000000001</v>
      </c>
      <c r="K266" s="21">
        <f>MIN('3.1 Market'!$F257,'1.1 Control Panel'!K651*'1.1 Control Panel'!K$631)</f>
        <v>4.2135680000000004</v>
      </c>
      <c r="L266" s="21">
        <f>MIN('3.1 Market'!$F257,'1.1 Control Panel'!L651*'1.1 Control Panel'!L$631)</f>
        <v>4.3708544000000007</v>
      </c>
      <c r="M266" s="21">
        <f>MIN('3.1 Market'!$F257,'1.1 Control Panel'!M651*'1.1 Control Panel'!M$631)</f>
        <v>4.4966835200000013</v>
      </c>
      <c r="N266" s="21">
        <f>MIN('3.1 Market'!$F257,'1.1 Control Panel'!N651*'1.1 Control Panel'!N$631)</f>
        <v>4.5973468160000017</v>
      </c>
      <c r="O266" s="21">
        <f>MIN('3.1 Market'!$F257,'1.1 Control Panel'!O651*'1.1 Control Panel'!O$631)</f>
        <v>4.6778774528000016</v>
      </c>
      <c r="P266" s="21">
        <f>MIN('3.1 Market'!$F257,'1.1 Control Panel'!P651*'1.1 Control Panel'!P$631)</f>
        <v>4.7423019622400009</v>
      </c>
      <c r="Q266" s="21">
        <f>MIN('3.1 Market'!$G257,'1.1 Control Panel'!Q651*'1.1 Control Panel'!Q$631)</f>
        <v>9.5876831395840014</v>
      </c>
      <c r="R266" s="21">
        <f>MIN('3.1 Market'!$G257,'1.1 Control Panel'!R651*'1.1 Control Panel'!R$631)</f>
        <v>9.6701465116672018</v>
      </c>
      <c r="S266" s="21">
        <f>MIN('3.1 Market'!$G257,'1.1 Control Panel'!S651*'1.1 Control Panel'!S$631)</f>
        <v>9.7361172093337629</v>
      </c>
      <c r="T266" s="21">
        <f>MIN('3.1 Market'!$G257,'1.1 Control Panel'!T651*'1.1 Control Panel'!T$631)</f>
        <v>9.7888937674670107</v>
      </c>
      <c r="U266" s="21">
        <f>MIN('3.1 Market'!$G257,'1.1 Control Panel'!U651*'1.1 Control Panel'!U$631)</f>
        <v>14.746672520960413</v>
      </c>
      <c r="V266" s="21">
        <f>MIN('3.1 Market'!$G257,'1.1 Control Panel'!V651*'1.1 Control Panel'!V$631)</f>
        <v>14.797338016768332</v>
      </c>
      <c r="W266" s="21">
        <f>MIN('3.1 Market'!$G257,'1.1 Control Panel'!W651*'1.1 Control Panel'!W$631)</f>
        <v>14.837870413414665</v>
      </c>
      <c r="X266" s="21">
        <f>MIN('3.1 Market'!$G257,'1.1 Control Panel'!X651*'1.1 Control Panel'!X$631)</f>
        <v>14.870296330731733</v>
      </c>
      <c r="Y266" s="21">
        <f>MIN('3.1 Market'!$G257,'1.1 Control Panel'!Y651*'1.1 Control Panel'!Y$631)</f>
        <v>14.896237064585387</v>
      </c>
      <c r="Z266" s="21">
        <f>MIN('3.1 Market'!$G257,'1.1 Control Panel'!Z651*'1.1 Control Panel'!Z$631)</f>
        <v>14.91698965166831</v>
      </c>
      <c r="AA266" s="21">
        <f>MIN('3.1 Market'!$G257,'1.1 Control Panel'!AA651*'1.1 Control Panel'!AA$631)</f>
        <v>14.933591721334649</v>
      </c>
      <c r="AB266" s="21">
        <f>MIN('3.1 Market'!$G257,'1.1 Control Panel'!AB651*'1.1 Control Panel'!AB$631)</f>
        <v>14.946873377067721</v>
      </c>
      <c r="AC266" s="21">
        <f>MIN('3.1 Market'!$H257,'1.1 Control Panel'!AC651*'1.1 Control Panel'!AC$631)</f>
        <v>24.929164502756961</v>
      </c>
      <c r="AD266" s="21">
        <f>MIN('3.1 Market'!$H257,'1.1 Control Panel'!AD651*'1.1 Control Panel'!AD$631)</f>
        <v>24.943331602205568</v>
      </c>
      <c r="AE266" s="21">
        <f>MIN('3.1 Market'!$H257,'1.1 Control Panel'!AE651*'1.1 Control Panel'!AE$631)</f>
        <v>24.954665281764456</v>
      </c>
      <c r="AF266" s="21">
        <f>MIN('3.1 Market'!$H257,'1.1 Control Panel'!AF651*'1.1 Control Panel'!AF$631)</f>
        <v>24.963732225411562</v>
      </c>
      <c r="AG266" s="21">
        <f>MIN('3.1 Market'!$H257,'1.1 Control Panel'!AG651*'1.1 Control Panel'!AG$631)</f>
        <v>39.953577248526798</v>
      </c>
      <c r="AH266" s="21">
        <f>MIN('3.1 Market'!$H257,'1.1 Control Panel'!AH651*'1.1 Control Panel'!AH$631)</f>
        <v>39.962861798821436</v>
      </c>
      <c r="AI266" s="21">
        <f>MIN('3.1 Market'!$H257,'1.1 Control Panel'!AI651*'1.1 Control Panel'!AI$631)</f>
        <v>39.970289439057154</v>
      </c>
      <c r="AJ266" s="21">
        <f>MIN('3.1 Market'!$H257,'1.1 Control Panel'!AJ651*'1.1 Control Panel'!AJ$631)</f>
        <v>39.976231551245725</v>
      </c>
      <c r="AK266" s="21">
        <f>MIN('3.1 Market'!$H257,'1.1 Control Panel'!AK651*'1.1 Control Panel'!AK$631)</f>
        <v>49.976231551245725</v>
      </c>
      <c r="AL266" s="21">
        <f>MIN('3.1 Market'!$H257,'1.1 Control Panel'!AL651*'1.1 Control Panel'!AL$631)</f>
        <v>49.980985240996588</v>
      </c>
      <c r="AM266" s="21">
        <f>MIN('3.1 Market'!$H257,'1.1 Control Panel'!AM651*'1.1 Control Panel'!AM$631)</f>
        <v>49.984788192797268</v>
      </c>
      <c r="AN266" s="21">
        <f>MIN('3.1 Market'!$H257,'1.1 Control Panel'!AN651*'1.1 Control Panel'!AN$631)</f>
        <v>49.987830554237824</v>
      </c>
      <c r="AP266" s="21"/>
    </row>
    <row r="267" spans="2:42" x14ac:dyDescent="0.25">
      <c r="C267" s="21" t="s">
        <v>393</v>
      </c>
      <c r="D267" s="38" t="s">
        <v>162</v>
      </c>
      <c r="E267" s="21">
        <f>MIN('3.1 Market'!$F258,'1.1 Control Panel'!E652*'1.1 Control Panel'!E$631)</f>
        <v>0</v>
      </c>
      <c r="F267" s="21">
        <f>MIN('3.1 Market'!$F258,'1.1 Control Panel'!F652*'1.1 Control Panel'!F$631)</f>
        <v>0</v>
      </c>
      <c r="G267" s="21">
        <f>MIN('3.1 Market'!$F258,'1.1 Control Panel'!G652*'1.1 Control Panel'!G$631)</f>
        <v>0</v>
      </c>
      <c r="H267" s="21">
        <f>MIN('3.1 Market'!$F258,'1.1 Control Panel'!H652*'1.1 Control Panel'!H$631)</f>
        <v>0</v>
      </c>
      <c r="I267" s="21">
        <f>MIN('3.1 Market'!$F258,'1.1 Control Panel'!I652*'1.1 Control Panel'!I$631)</f>
        <v>3.3616000000000006</v>
      </c>
      <c r="J267" s="21">
        <f>MIN('3.1 Market'!$F258,'1.1 Control Panel'!J652*'1.1 Control Panel'!J$631)</f>
        <v>3.6892800000000006</v>
      </c>
      <c r="K267" s="21">
        <f>MIN('3.1 Market'!$F258,'1.1 Control Panel'!K652*'1.1 Control Panel'!K$631)</f>
        <v>3.9514240000000007</v>
      </c>
      <c r="L267" s="21">
        <f>MIN('3.1 Market'!$F258,'1.1 Control Panel'!L652*'1.1 Control Panel'!L$631)</f>
        <v>4.1611392000000009</v>
      </c>
      <c r="M267" s="21">
        <f>MIN('3.1 Market'!$F258,'1.1 Control Panel'!M652*'1.1 Control Panel'!M$631)</f>
        <v>4.3289113600000011</v>
      </c>
      <c r="N267" s="21">
        <f>MIN('3.1 Market'!$F258,'1.1 Control Panel'!N652*'1.1 Control Panel'!N$631)</f>
        <v>4.4631290880000005</v>
      </c>
      <c r="O267" s="21">
        <f>MIN('3.1 Market'!$F258,'1.1 Control Panel'!O652*'1.1 Control Panel'!O$631)</f>
        <v>4.5705032704000006</v>
      </c>
      <c r="P267" s="21">
        <f>MIN('3.1 Market'!$F258,'1.1 Control Panel'!P652*'1.1 Control Panel'!P$631)</f>
        <v>4.6564026163200012</v>
      </c>
      <c r="Q267" s="21">
        <f>MIN('3.1 Market'!$G258,'1.1 Control Panel'!Q652*'1.1 Control Panel'!Q$631)</f>
        <v>9.4502441861120019</v>
      </c>
      <c r="R267" s="21">
        <f>MIN('3.1 Market'!$G258,'1.1 Control Panel'!R652*'1.1 Control Panel'!R$631)</f>
        <v>9.5601953488896019</v>
      </c>
      <c r="S267" s="21">
        <f>MIN('3.1 Market'!$G258,'1.1 Control Panel'!S652*'1.1 Control Panel'!S$631)</f>
        <v>9.6481562791116815</v>
      </c>
      <c r="T267" s="21">
        <f>MIN('3.1 Market'!$G258,'1.1 Control Panel'!T652*'1.1 Control Panel'!T$631)</f>
        <v>9.7185250232893452</v>
      </c>
      <c r="U267" s="21">
        <f>MIN('3.1 Market'!$G258,'1.1 Control Panel'!U652*'1.1 Control Panel'!U$631)</f>
        <v>14.662230027947215</v>
      </c>
      <c r="V267" s="21">
        <f>MIN('3.1 Market'!$G258,'1.1 Control Panel'!V652*'1.1 Control Panel'!V$631)</f>
        <v>14.729784022357771</v>
      </c>
      <c r="W267" s="21">
        <f>MIN('3.1 Market'!$G258,'1.1 Control Panel'!W652*'1.1 Control Panel'!W$631)</f>
        <v>14.783827217886218</v>
      </c>
      <c r="X267" s="21">
        <f>MIN('3.1 Market'!$G258,'1.1 Control Panel'!X652*'1.1 Control Panel'!X$631)</f>
        <v>14.827061774308977</v>
      </c>
      <c r="Y267" s="21">
        <f>MIN('3.1 Market'!$G258,'1.1 Control Panel'!Y652*'1.1 Control Panel'!Y$631)</f>
        <v>14.861649419447183</v>
      </c>
      <c r="Z267" s="21">
        <f>MIN('3.1 Market'!$G258,'1.1 Control Panel'!Z652*'1.1 Control Panel'!Z$631)</f>
        <v>14.889319535557744</v>
      </c>
      <c r="AA267" s="21">
        <f>MIN('3.1 Market'!$G258,'1.1 Control Panel'!AA652*'1.1 Control Panel'!AA$631)</f>
        <v>14.911455628446197</v>
      </c>
      <c r="AB267" s="21">
        <f>MIN('3.1 Market'!$G258,'1.1 Control Panel'!AB652*'1.1 Control Panel'!AB$631)</f>
        <v>14.929164502756956</v>
      </c>
      <c r="AC267" s="21">
        <f>MIN('3.1 Market'!$H258,'1.1 Control Panel'!AC652*'1.1 Control Panel'!AC$631)</f>
        <v>24.905552670342608</v>
      </c>
      <c r="AD267" s="21">
        <f>MIN('3.1 Market'!$H258,'1.1 Control Panel'!AD652*'1.1 Control Panel'!AD$631)</f>
        <v>24.924442136274088</v>
      </c>
      <c r="AE267" s="21">
        <f>MIN('3.1 Market'!$H258,'1.1 Control Panel'!AE652*'1.1 Control Panel'!AE$631)</f>
        <v>24.939553709019275</v>
      </c>
      <c r="AF267" s="21">
        <f>MIN('3.1 Market'!$H258,'1.1 Control Panel'!AF652*'1.1 Control Panel'!AF$631)</f>
        <v>24.951642967215424</v>
      </c>
      <c r="AG267" s="21">
        <f>MIN('3.1 Market'!$H258,'1.1 Control Panel'!AG652*'1.1 Control Panel'!AG$631)</f>
        <v>39.938102998035745</v>
      </c>
      <c r="AH267" s="21">
        <f>MIN('3.1 Market'!$H258,'1.1 Control Panel'!AH652*'1.1 Control Panel'!AH$631)</f>
        <v>39.950482398428598</v>
      </c>
      <c r="AI267" s="21">
        <f>MIN('3.1 Market'!$H258,'1.1 Control Panel'!AI652*'1.1 Control Panel'!AI$631)</f>
        <v>39.96038591874288</v>
      </c>
      <c r="AJ267" s="21">
        <f>MIN('3.1 Market'!$H258,'1.1 Control Panel'!AJ652*'1.1 Control Panel'!AJ$631)</f>
        <v>39.968308734994309</v>
      </c>
      <c r="AK267" s="21">
        <f>MIN('3.1 Market'!$H258,'1.1 Control Panel'!AK652*'1.1 Control Panel'!AK$631)</f>
        <v>49.968308734994309</v>
      </c>
      <c r="AL267" s="21">
        <f>MIN('3.1 Market'!$H258,'1.1 Control Panel'!AL652*'1.1 Control Panel'!AL$631)</f>
        <v>49.974646987995456</v>
      </c>
      <c r="AM267" s="21">
        <f>MIN('3.1 Market'!$H258,'1.1 Control Panel'!AM652*'1.1 Control Panel'!AM$631)</f>
        <v>49.979717590396362</v>
      </c>
      <c r="AN267" s="21">
        <f>MIN('3.1 Market'!$H258,'1.1 Control Panel'!AN652*'1.1 Control Panel'!AN$631)</f>
        <v>49.98377407231709</v>
      </c>
      <c r="AP267" s="21"/>
    </row>
    <row r="268" spans="2:42" x14ac:dyDescent="0.25">
      <c r="C268" s="21" t="s">
        <v>456</v>
      </c>
      <c r="D268" s="38" t="s">
        <v>162</v>
      </c>
      <c r="E268" s="21">
        <f>MIN('3.1 Market'!$F259,'1.1 Control Panel'!E653*'1.1 Control Panel'!E$631)</f>
        <v>0</v>
      </c>
      <c r="F268" s="21">
        <f>MIN('3.1 Market'!$F259,'1.1 Control Panel'!F653*'1.1 Control Panel'!F$631)</f>
        <v>0</v>
      </c>
      <c r="G268" s="21">
        <f>MIN('3.1 Market'!$F259,'1.1 Control Panel'!G653*'1.1 Control Panel'!G$631)</f>
        <v>0</v>
      </c>
      <c r="H268" s="21">
        <f>MIN('3.1 Market'!$F259,'1.1 Control Panel'!H653*'1.1 Control Panel'!H$631)</f>
        <v>0</v>
      </c>
      <c r="I268" s="21">
        <f>MIN('3.1 Market'!$F259,'1.1 Control Panel'!I653*'1.1 Control Panel'!I$631)</f>
        <v>2.9520000000000004</v>
      </c>
      <c r="J268" s="21">
        <f>MIN('3.1 Market'!$F259,'1.1 Control Panel'!J653*'1.1 Control Panel'!J$631)</f>
        <v>3.3616000000000006</v>
      </c>
      <c r="K268" s="21">
        <f>MIN('3.1 Market'!$F259,'1.1 Control Panel'!K653*'1.1 Control Panel'!K$631)</f>
        <v>3.6892800000000006</v>
      </c>
      <c r="L268" s="21">
        <f>MIN('3.1 Market'!$F259,'1.1 Control Panel'!L653*'1.1 Control Panel'!L$631)</f>
        <v>3.9514240000000007</v>
      </c>
      <c r="M268" s="21">
        <f>MIN('3.1 Market'!$F259,'1.1 Control Panel'!M653*'1.1 Control Panel'!M$631)</f>
        <v>4.1611392000000009</v>
      </c>
      <c r="N268" s="21">
        <f>MIN('3.1 Market'!$F259,'1.1 Control Panel'!N653*'1.1 Control Panel'!N$631)</f>
        <v>4.3289113600000011</v>
      </c>
      <c r="O268" s="21">
        <f>MIN('3.1 Market'!$F259,'1.1 Control Panel'!O653*'1.1 Control Panel'!O$631)</f>
        <v>4.4631290880000005</v>
      </c>
      <c r="P268" s="21">
        <f>MIN('3.1 Market'!$F259,'1.1 Control Panel'!P653*'1.1 Control Panel'!P$631)</f>
        <v>4.5705032704000006</v>
      </c>
      <c r="Q268" s="21">
        <f>MIN('3.1 Market'!$G259,'1.1 Control Panel'!Q653*'1.1 Control Panel'!Q$631)</f>
        <v>9.3128052326400024</v>
      </c>
      <c r="R268" s="21">
        <f>MIN('3.1 Market'!$G259,'1.1 Control Panel'!R653*'1.1 Control Panel'!R$631)</f>
        <v>9.4502441861120019</v>
      </c>
      <c r="S268" s="21">
        <f>MIN('3.1 Market'!$G259,'1.1 Control Panel'!S653*'1.1 Control Panel'!S$631)</f>
        <v>9.5601953488896019</v>
      </c>
      <c r="T268" s="21">
        <f>MIN('3.1 Market'!$G259,'1.1 Control Panel'!T653*'1.1 Control Panel'!T$631)</f>
        <v>9.6481562791116815</v>
      </c>
      <c r="U268" s="21">
        <f>MIN('3.1 Market'!$G259,'1.1 Control Panel'!U653*'1.1 Control Panel'!U$631)</f>
        <v>14.577787534934018</v>
      </c>
      <c r="V268" s="21">
        <f>MIN('3.1 Market'!$G259,'1.1 Control Panel'!V653*'1.1 Control Panel'!V$631)</f>
        <v>14.662230027947215</v>
      </c>
      <c r="W268" s="21">
        <f>MIN('3.1 Market'!$G259,'1.1 Control Panel'!W653*'1.1 Control Panel'!W$631)</f>
        <v>14.729784022357771</v>
      </c>
      <c r="X268" s="21">
        <f>MIN('3.1 Market'!$G259,'1.1 Control Panel'!X653*'1.1 Control Panel'!X$631)</f>
        <v>14.783827217886218</v>
      </c>
      <c r="Y268" s="21">
        <f>MIN('3.1 Market'!$G259,'1.1 Control Panel'!Y653*'1.1 Control Panel'!Y$631)</f>
        <v>14.827061774308977</v>
      </c>
      <c r="Z268" s="21">
        <f>MIN('3.1 Market'!$G259,'1.1 Control Panel'!Z653*'1.1 Control Panel'!Z$631)</f>
        <v>14.861649419447183</v>
      </c>
      <c r="AA268" s="21">
        <f>MIN('3.1 Market'!$G259,'1.1 Control Panel'!AA653*'1.1 Control Panel'!AA$631)</f>
        <v>14.889319535557744</v>
      </c>
      <c r="AB268" s="21">
        <f>MIN('3.1 Market'!$G259,'1.1 Control Panel'!AB653*'1.1 Control Panel'!AB$631)</f>
        <v>14.911455628446197</v>
      </c>
      <c r="AC268" s="21">
        <f>MIN('3.1 Market'!$H259,'1.1 Control Panel'!AC653*'1.1 Control Panel'!AC$631)</f>
        <v>24.881940837928262</v>
      </c>
      <c r="AD268" s="21">
        <f>MIN('3.1 Market'!$H259,'1.1 Control Panel'!AD653*'1.1 Control Panel'!AD$631)</f>
        <v>24.905552670342608</v>
      </c>
      <c r="AE268" s="21">
        <f>MIN('3.1 Market'!$H259,'1.1 Control Panel'!AE653*'1.1 Control Panel'!AE$631)</f>
        <v>24.924442136274088</v>
      </c>
      <c r="AF268" s="21">
        <f>MIN('3.1 Market'!$H259,'1.1 Control Panel'!AF653*'1.1 Control Panel'!AF$631)</f>
        <v>24.939553709019275</v>
      </c>
      <c r="AG268" s="21">
        <f>MIN('3.1 Market'!$H259,'1.1 Control Panel'!AG653*'1.1 Control Panel'!AG$631)</f>
        <v>39.922628747544678</v>
      </c>
      <c r="AH268" s="21">
        <f>MIN('3.1 Market'!$H259,'1.1 Control Panel'!AH653*'1.1 Control Panel'!AH$631)</f>
        <v>39.938102998035745</v>
      </c>
      <c r="AI268" s="21">
        <f>MIN('3.1 Market'!$H259,'1.1 Control Panel'!AI653*'1.1 Control Panel'!AI$631)</f>
        <v>39.950482398428598</v>
      </c>
      <c r="AJ268" s="21">
        <f>MIN('3.1 Market'!$H259,'1.1 Control Panel'!AJ653*'1.1 Control Panel'!AJ$631)</f>
        <v>39.96038591874288</v>
      </c>
      <c r="AK268" s="21">
        <f>MIN('3.1 Market'!$H259,'1.1 Control Panel'!AK653*'1.1 Control Panel'!AK$631)</f>
        <v>49.960385918742887</v>
      </c>
      <c r="AL268" s="21">
        <f>MIN('3.1 Market'!$H259,'1.1 Control Panel'!AL653*'1.1 Control Panel'!AL$631)</f>
        <v>49.968308734994309</v>
      </c>
      <c r="AM268" s="21">
        <f>MIN('3.1 Market'!$H259,'1.1 Control Panel'!AM653*'1.1 Control Panel'!AM$631)</f>
        <v>49.974646987995456</v>
      </c>
      <c r="AN268" s="21">
        <f>MIN('3.1 Market'!$H259,'1.1 Control Panel'!AN653*'1.1 Control Panel'!AN$631)</f>
        <v>49.979717590396362</v>
      </c>
      <c r="AP268" s="21"/>
    </row>
    <row r="269" spans="2:42" x14ac:dyDescent="0.25">
      <c r="B269" s="99" t="s">
        <v>9</v>
      </c>
      <c r="C269" s="105" t="str">
        <f>'4.2 Sector Mapping'!$B$16</f>
        <v>Transportation and Services</v>
      </c>
      <c r="D269" s="106" t="s">
        <v>162</v>
      </c>
      <c r="E269" s="105">
        <f>SUM(E270:E275)</f>
        <v>0</v>
      </c>
      <c r="F269" s="105">
        <f t="shared" ref="F269:H269" si="141">SUM(F270:F275)</f>
        <v>0</v>
      </c>
      <c r="G269" s="105">
        <f t="shared" si="141"/>
        <v>0</v>
      </c>
      <c r="H269" s="105">
        <f t="shared" si="141"/>
        <v>0</v>
      </c>
      <c r="I269" s="105">
        <f t="shared" ref="I269:AN269" si="142">SUM(I270:I275)</f>
        <v>0</v>
      </c>
      <c r="J269" s="105">
        <f t="shared" si="142"/>
        <v>0</v>
      </c>
      <c r="K269" s="105">
        <f t="shared" si="142"/>
        <v>0</v>
      </c>
      <c r="L269" s="105">
        <f t="shared" si="142"/>
        <v>0</v>
      </c>
      <c r="M269" s="105">
        <f t="shared" si="142"/>
        <v>0</v>
      </c>
      <c r="N269" s="105">
        <f t="shared" si="142"/>
        <v>0</v>
      </c>
      <c r="O269" s="105">
        <f t="shared" si="142"/>
        <v>0</v>
      </c>
      <c r="P269" s="105">
        <f t="shared" si="142"/>
        <v>0</v>
      </c>
      <c r="Q269" s="105">
        <f t="shared" si="142"/>
        <v>28.969207848960004</v>
      </c>
      <c r="R269" s="105">
        <f t="shared" si="142"/>
        <v>29.175366279168006</v>
      </c>
      <c r="S269" s="105">
        <f t="shared" si="142"/>
        <v>29.340293023334404</v>
      </c>
      <c r="T269" s="105">
        <f t="shared" si="142"/>
        <v>29.472234418667526</v>
      </c>
      <c r="U269" s="105">
        <f t="shared" si="142"/>
        <v>59.155575069868036</v>
      </c>
      <c r="V269" s="105">
        <f t="shared" si="142"/>
        <v>59.324460055894434</v>
      </c>
      <c r="W269" s="105">
        <f t="shared" si="142"/>
        <v>59.459568044715553</v>
      </c>
      <c r="X269" s="105">
        <f t="shared" si="142"/>
        <v>59.56765443577244</v>
      </c>
      <c r="Y269" s="105">
        <f t="shared" si="142"/>
        <v>59.654123548617953</v>
      </c>
      <c r="Z269" s="105">
        <f t="shared" si="142"/>
        <v>59.723298838894358</v>
      </c>
      <c r="AA269" s="105">
        <f t="shared" si="142"/>
        <v>59.778639071115492</v>
      </c>
      <c r="AB269" s="105">
        <f t="shared" si="142"/>
        <v>59.822911256892397</v>
      </c>
      <c r="AC269" s="105">
        <f t="shared" si="142"/>
        <v>119.71665801102785</v>
      </c>
      <c r="AD269" s="105">
        <f t="shared" si="142"/>
        <v>119.77332640882227</v>
      </c>
      <c r="AE269" s="105">
        <f t="shared" si="142"/>
        <v>119.81866112705782</v>
      </c>
      <c r="AF269" s="105">
        <f t="shared" si="142"/>
        <v>119.85492890164628</v>
      </c>
      <c r="AG269" s="105">
        <f t="shared" si="142"/>
        <v>179.82591468197552</v>
      </c>
      <c r="AH269" s="105">
        <f t="shared" si="142"/>
        <v>179.86073174558044</v>
      </c>
      <c r="AI269" s="105">
        <f t="shared" si="142"/>
        <v>179.88858539646435</v>
      </c>
      <c r="AJ269" s="105">
        <f t="shared" si="142"/>
        <v>179.91086831717149</v>
      </c>
      <c r="AK269" s="105">
        <f t="shared" si="142"/>
        <v>209.91681042936008</v>
      </c>
      <c r="AL269" s="105">
        <f t="shared" si="142"/>
        <v>209.93344834348807</v>
      </c>
      <c r="AM269" s="105">
        <f t="shared" si="142"/>
        <v>209.94675867479043</v>
      </c>
      <c r="AN269" s="105">
        <f t="shared" si="142"/>
        <v>209.95740693983237</v>
      </c>
      <c r="AP269" s="105"/>
    </row>
    <row r="270" spans="2:42" x14ac:dyDescent="0.25">
      <c r="C270" s="20" t="s">
        <v>600</v>
      </c>
      <c r="D270" s="34" t="s">
        <v>162</v>
      </c>
      <c r="E270" s="20">
        <f>MIN('3.1 Market'!$F261,'1.1 Control Panel'!E679*'1.1 Control Panel'!E$662)</f>
        <v>0</v>
      </c>
      <c r="F270" s="20">
        <f>MIN('3.1 Market'!$F261,'1.1 Control Panel'!F679*'1.1 Control Panel'!F$662)</f>
        <v>0</v>
      </c>
      <c r="G270" s="20">
        <f>MIN('3.1 Market'!$F261,'1.1 Control Panel'!G679*'1.1 Control Panel'!G$662)</f>
        <v>0</v>
      </c>
      <c r="H270" s="20">
        <f>MIN('3.1 Market'!$F261,'1.1 Control Panel'!H679*'1.1 Control Panel'!H$662)</f>
        <v>0</v>
      </c>
      <c r="I270" s="20">
        <f>MIN('3.1 Market'!$F261,'1.1 Control Panel'!I679*'1.1 Control Panel'!I$662)</f>
        <v>0</v>
      </c>
      <c r="J270" s="20">
        <f>MIN('3.1 Market'!$F261,'1.1 Control Panel'!J679*'1.1 Control Panel'!J$662)</f>
        <v>0</v>
      </c>
      <c r="K270" s="20">
        <f>MIN('3.1 Market'!$F261,'1.1 Control Panel'!K679*'1.1 Control Panel'!K$662)</f>
        <v>0</v>
      </c>
      <c r="L270" s="20">
        <f>MIN('3.1 Market'!$F261,'1.1 Control Panel'!L679*'1.1 Control Panel'!L$662)</f>
        <v>0</v>
      </c>
      <c r="M270" s="20">
        <f>MIN('3.1 Market'!$F261,'1.1 Control Panel'!M679*'1.1 Control Panel'!M$662)</f>
        <v>0</v>
      </c>
      <c r="N270" s="20">
        <f>MIN('3.1 Market'!$F261,'1.1 Control Panel'!N679*'1.1 Control Panel'!N$662)</f>
        <v>0</v>
      </c>
      <c r="O270" s="20">
        <f>MIN('3.1 Market'!$F261,'1.1 Control Panel'!O679*'1.1 Control Panel'!O$662)</f>
        <v>0</v>
      </c>
      <c r="P270" s="20">
        <f>MIN('3.1 Market'!$F261,'1.1 Control Panel'!P679*'1.1 Control Panel'!P$662)</f>
        <v>0</v>
      </c>
      <c r="Q270" s="20">
        <f>MIN('3.1 Market'!$G261,'1.1 Control Panel'!Q679*'1.1 Control Panel'!Q$662)</f>
        <v>5</v>
      </c>
      <c r="R270" s="20">
        <f>MIN('3.1 Market'!$G261,'1.1 Control Panel'!R679*'1.1 Control Panel'!R$662)</f>
        <v>5</v>
      </c>
      <c r="S270" s="20">
        <f>MIN('3.1 Market'!$G261,'1.1 Control Panel'!S679*'1.1 Control Panel'!S$662)</f>
        <v>5</v>
      </c>
      <c r="T270" s="20">
        <f>MIN('3.1 Market'!$G261,'1.1 Control Panel'!T679*'1.1 Control Panel'!T$662)</f>
        <v>5</v>
      </c>
      <c r="U270" s="20">
        <f>MIN('3.1 Market'!$G261,'1.1 Control Panel'!U679*'1.1 Control Panel'!U$662)</f>
        <v>10</v>
      </c>
      <c r="V270" s="20">
        <f>MIN('3.1 Market'!$G261,'1.1 Control Panel'!V679*'1.1 Control Panel'!V$662)</f>
        <v>10</v>
      </c>
      <c r="W270" s="20">
        <f>MIN('3.1 Market'!$G261,'1.1 Control Panel'!W679*'1.1 Control Panel'!W$662)</f>
        <v>10</v>
      </c>
      <c r="X270" s="20">
        <f>MIN('3.1 Market'!$G261,'1.1 Control Panel'!X679*'1.1 Control Panel'!X$662)</f>
        <v>10</v>
      </c>
      <c r="Y270" s="20">
        <f>MIN('3.1 Market'!$G261,'1.1 Control Panel'!Y679*'1.1 Control Panel'!Y$662)</f>
        <v>10</v>
      </c>
      <c r="Z270" s="20">
        <f>MIN('3.1 Market'!$G261,'1.1 Control Panel'!Z679*'1.1 Control Panel'!Z$662)</f>
        <v>10</v>
      </c>
      <c r="AA270" s="20">
        <f>MIN('3.1 Market'!$G261,'1.1 Control Panel'!AA679*'1.1 Control Panel'!AA$662)</f>
        <v>10</v>
      </c>
      <c r="AB270" s="20">
        <f>MIN('3.1 Market'!$G261,'1.1 Control Panel'!AB679*'1.1 Control Panel'!AB$662)</f>
        <v>10</v>
      </c>
      <c r="AC270" s="20">
        <f>MIN('3.1 Market'!$H261,'1.1 Control Panel'!AC679*'1.1 Control Panel'!AC$662)</f>
        <v>20</v>
      </c>
      <c r="AD270" s="20">
        <f>MIN('3.1 Market'!$H261,'1.1 Control Panel'!AD679*'1.1 Control Panel'!AD$662)</f>
        <v>20</v>
      </c>
      <c r="AE270" s="20">
        <f>MIN('3.1 Market'!$H261,'1.1 Control Panel'!AE679*'1.1 Control Panel'!AE$662)</f>
        <v>20</v>
      </c>
      <c r="AF270" s="20">
        <f>MIN('3.1 Market'!$H261,'1.1 Control Panel'!AF679*'1.1 Control Panel'!AF$662)</f>
        <v>20</v>
      </c>
      <c r="AG270" s="20">
        <f>MIN('3.1 Market'!$H261,'1.1 Control Panel'!AG679*'1.1 Control Panel'!AG$662)</f>
        <v>30</v>
      </c>
      <c r="AH270" s="20">
        <f>MIN('3.1 Market'!$H261,'1.1 Control Panel'!AH679*'1.1 Control Panel'!AH$662)</f>
        <v>30</v>
      </c>
      <c r="AI270" s="20">
        <f>MIN('3.1 Market'!$H261,'1.1 Control Panel'!AI679*'1.1 Control Panel'!AI$662)</f>
        <v>30</v>
      </c>
      <c r="AJ270" s="20">
        <f>MIN('3.1 Market'!$H261,'1.1 Control Panel'!AJ679*'1.1 Control Panel'!AJ$662)</f>
        <v>30</v>
      </c>
      <c r="AK270" s="20">
        <f>MIN('3.1 Market'!$H261,'1.1 Control Panel'!AK679*'1.1 Control Panel'!AK$662)</f>
        <v>35</v>
      </c>
      <c r="AL270" s="20">
        <f>MIN('3.1 Market'!$H261,'1.1 Control Panel'!AL679*'1.1 Control Panel'!AL$662)</f>
        <v>35</v>
      </c>
      <c r="AM270" s="20">
        <f>MIN('3.1 Market'!$H261,'1.1 Control Panel'!AM679*'1.1 Control Panel'!AM$662)</f>
        <v>35</v>
      </c>
      <c r="AN270" s="20">
        <f>MIN('3.1 Market'!$H261,'1.1 Control Panel'!AN679*'1.1 Control Panel'!AN$662)</f>
        <v>35</v>
      </c>
      <c r="AP270" s="20"/>
    </row>
    <row r="271" spans="2:42" x14ac:dyDescent="0.25">
      <c r="C271" s="20" t="s">
        <v>392</v>
      </c>
      <c r="D271" s="34" t="s">
        <v>162</v>
      </c>
      <c r="E271" s="20">
        <f>MIN('3.1 Market'!$F262,'1.1 Control Panel'!E680*'1.1 Control Panel'!E$662)</f>
        <v>0</v>
      </c>
      <c r="F271" s="20">
        <f>MIN('3.1 Market'!$F262,'1.1 Control Panel'!F680*'1.1 Control Panel'!F$662)</f>
        <v>0</v>
      </c>
      <c r="G271" s="20">
        <f>MIN('3.1 Market'!$F262,'1.1 Control Panel'!G680*'1.1 Control Panel'!G$662)</f>
        <v>0</v>
      </c>
      <c r="H271" s="20">
        <f>MIN('3.1 Market'!$F262,'1.1 Control Panel'!H680*'1.1 Control Panel'!H$662)</f>
        <v>0</v>
      </c>
      <c r="I271" s="20">
        <f>MIN('3.1 Market'!$F262,'1.1 Control Panel'!I680*'1.1 Control Panel'!I$662)</f>
        <v>0</v>
      </c>
      <c r="J271" s="20">
        <f>MIN('3.1 Market'!$F262,'1.1 Control Panel'!J680*'1.1 Control Panel'!J$662)</f>
        <v>0</v>
      </c>
      <c r="K271" s="20">
        <f>MIN('3.1 Market'!$F262,'1.1 Control Panel'!K680*'1.1 Control Panel'!K$662)</f>
        <v>0</v>
      </c>
      <c r="L271" s="20">
        <f>MIN('3.1 Market'!$F262,'1.1 Control Panel'!L680*'1.1 Control Panel'!L$662)</f>
        <v>0</v>
      </c>
      <c r="M271" s="20">
        <f>MIN('3.1 Market'!$F262,'1.1 Control Panel'!M680*'1.1 Control Panel'!M$662)</f>
        <v>0</v>
      </c>
      <c r="N271" s="20">
        <f>MIN('3.1 Market'!$F262,'1.1 Control Panel'!N680*'1.1 Control Panel'!N$662)</f>
        <v>0</v>
      </c>
      <c r="O271" s="20">
        <f>MIN('3.1 Market'!$F262,'1.1 Control Panel'!O680*'1.1 Control Panel'!O$662)</f>
        <v>0</v>
      </c>
      <c r="P271" s="20">
        <f>MIN('3.1 Market'!$F262,'1.1 Control Panel'!P680*'1.1 Control Panel'!P$662)</f>
        <v>0</v>
      </c>
      <c r="Q271" s="20">
        <f>MIN('3.1 Market'!$G262,'1.1 Control Panel'!Q680*'1.1 Control Panel'!Q$662)</f>
        <v>4.9312805232640002</v>
      </c>
      <c r="R271" s="20">
        <f>MIN('3.1 Market'!$G262,'1.1 Control Panel'!R680*'1.1 Control Panel'!R$662)</f>
        <v>4.9450244186112009</v>
      </c>
      <c r="S271" s="20">
        <f>MIN('3.1 Market'!$G262,'1.1 Control Panel'!S680*'1.1 Control Panel'!S$662)</f>
        <v>4.9560195348889611</v>
      </c>
      <c r="T271" s="20">
        <f>MIN('3.1 Market'!$G262,'1.1 Control Panel'!T680*'1.1 Control Panel'!T$662)</f>
        <v>4.964815627911169</v>
      </c>
      <c r="U271" s="20">
        <f>MIN('3.1 Market'!$G262,'1.1 Control Panel'!U680*'1.1 Control Panel'!U$662)</f>
        <v>9.9437050046578719</v>
      </c>
      <c r="V271" s="20">
        <f>MIN('3.1 Market'!$G262,'1.1 Control Panel'!V680*'1.1 Control Panel'!V$662)</f>
        <v>9.9549640037262979</v>
      </c>
      <c r="W271" s="20">
        <f>MIN('3.1 Market'!$G262,'1.1 Control Panel'!W680*'1.1 Control Panel'!W$662)</f>
        <v>9.963971202981039</v>
      </c>
      <c r="X271" s="20">
        <f>MIN('3.1 Market'!$G262,'1.1 Control Panel'!X680*'1.1 Control Panel'!X$662)</f>
        <v>9.9711769623848312</v>
      </c>
      <c r="Y271" s="20">
        <f>MIN('3.1 Market'!$G262,'1.1 Control Panel'!Y680*'1.1 Control Panel'!Y$662)</f>
        <v>9.976941569907865</v>
      </c>
      <c r="Z271" s="20">
        <f>MIN('3.1 Market'!$G262,'1.1 Control Panel'!Z680*'1.1 Control Panel'!Z$662)</f>
        <v>9.9815532559262934</v>
      </c>
      <c r="AA271" s="20">
        <f>MIN('3.1 Market'!$G262,'1.1 Control Panel'!AA680*'1.1 Control Panel'!AA$662)</f>
        <v>9.9852426047410354</v>
      </c>
      <c r="AB271" s="20">
        <f>MIN('3.1 Market'!$G262,'1.1 Control Panel'!AB680*'1.1 Control Panel'!AB$662)</f>
        <v>9.9881940837928287</v>
      </c>
      <c r="AC271" s="20">
        <f>MIN('3.1 Market'!$H262,'1.1 Control Panel'!AC680*'1.1 Control Panel'!AC$662)</f>
        <v>19.981110534068527</v>
      </c>
      <c r="AD271" s="20">
        <f>MIN('3.1 Market'!$H262,'1.1 Control Panel'!AD680*'1.1 Control Panel'!AD$662)</f>
        <v>19.984888427254823</v>
      </c>
      <c r="AE271" s="20">
        <f>MIN('3.1 Market'!$H262,'1.1 Control Panel'!AE680*'1.1 Control Panel'!AE$662)</f>
        <v>19.987910741803859</v>
      </c>
      <c r="AF271" s="20">
        <f>MIN('3.1 Market'!$H262,'1.1 Control Panel'!AF680*'1.1 Control Panel'!AF$662)</f>
        <v>19.990328593443088</v>
      </c>
      <c r="AG271" s="20">
        <f>MIN('3.1 Market'!$H262,'1.1 Control Panel'!AG680*'1.1 Control Panel'!AG$662)</f>
        <v>29.98839431213171</v>
      </c>
      <c r="AH271" s="20">
        <f>MIN('3.1 Market'!$H262,'1.1 Control Panel'!AH680*'1.1 Control Panel'!AH$662)</f>
        <v>29.990715449705366</v>
      </c>
      <c r="AI271" s="20">
        <f>MIN('3.1 Market'!$H262,'1.1 Control Panel'!AI680*'1.1 Control Panel'!AI$662)</f>
        <v>29.992572359764296</v>
      </c>
      <c r="AJ271" s="20">
        <f>MIN('3.1 Market'!$H262,'1.1 Control Panel'!AJ680*'1.1 Control Panel'!AJ$662)</f>
        <v>29.994057887811433</v>
      </c>
      <c r="AK271" s="20">
        <f>MIN('3.1 Market'!$H262,'1.1 Control Panel'!AK680*'1.1 Control Panel'!AK$662)</f>
        <v>34.994454028624006</v>
      </c>
      <c r="AL271" s="20">
        <f>MIN('3.1 Market'!$H262,'1.1 Control Panel'!AL680*'1.1 Control Panel'!AL$662)</f>
        <v>34.995563222899207</v>
      </c>
      <c r="AM271" s="20">
        <f>MIN('3.1 Market'!$H262,'1.1 Control Panel'!AM680*'1.1 Control Panel'!AM$662)</f>
        <v>34.996450578319362</v>
      </c>
      <c r="AN271" s="20">
        <f>MIN('3.1 Market'!$H262,'1.1 Control Panel'!AN680*'1.1 Control Panel'!AN$662)</f>
        <v>34.997160462655486</v>
      </c>
      <c r="AP271" s="20"/>
    </row>
    <row r="272" spans="2:42" x14ac:dyDescent="0.25">
      <c r="C272" s="20" t="s">
        <v>454</v>
      </c>
      <c r="D272" s="34" t="s">
        <v>162</v>
      </c>
      <c r="E272" s="20">
        <f>MIN('3.1 Market'!$F263,'1.1 Control Panel'!E681*'1.1 Control Panel'!E$662)</f>
        <v>0</v>
      </c>
      <c r="F272" s="20">
        <f>MIN('3.1 Market'!$F263,'1.1 Control Panel'!F681*'1.1 Control Panel'!F$662)</f>
        <v>0</v>
      </c>
      <c r="G272" s="20">
        <f>MIN('3.1 Market'!$F263,'1.1 Control Panel'!G681*'1.1 Control Panel'!G$662)</f>
        <v>0</v>
      </c>
      <c r="H272" s="20">
        <f>MIN('3.1 Market'!$F263,'1.1 Control Panel'!H681*'1.1 Control Panel'!H$662)</f>
        <v>0</v>
      </c>
      <c r="I272" s="20">
        <f>MIN('3.1 Market'!$F263,'1.1 Control Panel'!I681*'1.1 Control Panel'!I$662)</f>
        <v>0</v>
      </c>
      <c r="J272" s="20">
        <f>MIN('3.1 Market'!$F263,'1.1 Control Panel'!J681*'1.1 Control Panel'!J$662)</f>
        <v>0</v>
      </c>
      <c r="K272" s="20">
        <f>MIN('3.1 Market'!$F263,'1.1 Control Panel'!K681*'1.1 Control Panel'!K$662)</f>
        <v>0</v>
      </c>
      <c r="L272" s="20">
        <f>MIN('3.1 Market'!$F263,'1.1 Control Panel'!L681*'1.1 Control Panel'!L$662)</f>
        <v>0</v>
      </c>
      <c r="M272" s="20">
        <f>MIN('3.1 Market'!$F263,'1.1 Control Panel'!M681*'1.1 Control Panel'!M$662)</f>
        <v>0</v>
      </c>
      <c r="N272" s="20">
        <f>MIN('3.1 Market'!$F263,'1.1 Control Panel'!N681*'1.1 Control Panel'!N$662)</f>
        <v>0</v>
      </c>
      <c r="O272" s="20">
        <f>MIN('3.1 Market'!$F263,'1.1 Control Panel'!O681*'1.1 Control Panel'!O$662)</f>
        <v>0</v>
      </c>
      <c r="P272" s="20">
        <f>MIN('3.1 Market'!$F263,'1.1 Control Panel'!P681*'1.1 Control Panel'!P$662)</f>
        <v>0</v>
      </c>
      <c r="Q272" s="20">
        <f>MIN('3.1 Market'!$G263,'1.1 Control Panel'!Q681*'1.1 Control Panel'!Q$662)</f>
        <v>4.8625610465280014</v>
      </c>
      <c r="R272" s="20">
        <f>MIN('3.1 Market'!$G263,'1.1 Control Panel'!R681*'1.1 Control Panel'!R$662)</f>
        <v>4.8900488372224018</v>
      </c>
      <c r="S272" s="20">
        <f>MIN('3.1 Market'!$G263,'1.1 Control Panel'!S681*'1.1 Control Panel'!S$662)</f>
        <v>4.9120390697779222</v>
      </c>
      <c r="T272" s="20">
        <f>MIN('3.1 Market'!$G263,'1.1 Control Panel'!T681*'1.1 Control Panel'!T$662)</f>
        <v>4.9296312558223381</v>
      </c>
      <c r="U272" s="20">
        <f>MIN('3.1 Market'!$G263,'1.1 Control Panel'!U681*'1.1 Control Panel'!U$662)</f>
        <v>9.8874100093157402</v>
      </c>
      <c r="V272" s="20">
        <f>MIN('3.1 Market'!$G263,'1.1 Control Panel'!V681*'1.1 Control Panel'!V$662)</f>
        <v>9.9099280074525922</v>
      </c>
      <c r="W272" s="20">
        <f>MIN('3.1 Market'!$G263,'1.1 Control Panel'!W681*'1.1 Control Panel'!W$662)</f>
        <v>9.9279424059620744</v>
      </c>
      <c r="X272" s="20">
        <f>MIN('3.1 Market'!$G263,'1.1 Control Panel'!X681*'1.1 Control Panel'!X$662)</f>
        <v>9.9423539247696588</v>
      </c>
      <c r="Y272" s="20">
        <f>MIN('3.1 Market'!$G263,'1.1 Control Panel'!Y681*'1.1 Control Panel'!Y$662)</f>
        <v>9.9538831398157264</v>
      </c>
      <c r="Z272" s="20">
        <f>MIN('3.1 Market'!$G263,'1.1 Control Panel'!Z681*'1.1 Control Panel'!Z$662)</f>
        <v>9.9631065118525814</v>
      </c>
      <c r="AA272" s="20">
        <f>MIN('3.1 Market'!$G263,'1.1 Control Panel'!AA681*'1.1 Control Panel'!AA$662)</f>
        <v>9.9704852094820655</v>
      </c>
      <c r="AB272" s="20">
        <f>MIN('3.1 Market'!$G263,'1.1 Control Panel'!AB681*'1.1 Control Panel'!AB$662)</f>
        <v>9.9763881675856538</v>
      </c>
      <c r="AC272" s="20">
        <f>MIN('3.1 Market'!$H263,'1.1 Control Panel'!AC681*'1.1 Control Panel'!AC$662)</f>
        <v>19.962221068137048</v>
      </c>
      <c r="AD272" s="20">
        <f>MIN('3.1 Market'!$H263,'1.1 Control Panel'!AD681*'1.1 Control Panel'!AD$662)</f>
        <v>19.969776854509639</v>
      </c>
      <c r="AE272" s="20">
        <f>MIN('3.1 Market'!$H263,'1.1 Control Panel'!AE681*'1.1 Control Panel'!AE$662)</f>
        <v>19.97582148360771</v>
      </c>
      <c r="AF272" s="20">
        <f>MIN('3.1 Market'!$H263,'1.1 Control Panel'!AF681*'1.1 Control Panel'!AF$662)</f>
        <v>19.98065718688617</v>
      </c>
      <c r="AG272" s="20">
        <f>MIN('3.1 Market'!$H263,'1.1 Control Panel'!AG681*'1.1 Control Panel'!AG$662)</f>
        <v>29.976788624263406</v>
      </c>
      <c r="AH272" s="20">
        <f>MIN('3.1 Market'!$H263,'1.1 Control Panel'!AH681*'1.1 Control Panel'!AH$662)</f>
        <v>29.981430899410721</v>
      </c>
      <c r="AI272" s="20">
        <f>MIN('3.1 Market'!$H263,'1.1 Control Panel'!AI681*'1.1 Control Panel'!AI$662)</f>
        <v>29.985144719528577</v>
      </c>
      <c r="AJ272" s="20">
        <f>MIN('3.1 Market'!$H263,'1.1 Control Panel'!AJ681*'1.1 Control Panel'!AJ$662)</f>
        <v>29.988115775622866</v>
      </c>
      <c r="AK272" s="20">
        <f>MIN('3.1 Market'!$H263,'1.1 Control Panel'!AK681*'1.1 Control Panel'!AK$662)</f>
        <v>34.988908057248004</v>
      </c>
      <c r="AL272" s="20">
        <f>MIN('3.1 Market'!$H263,'1.1 Control Panel'!AL681*'1.1 Control Panel'!AL$662)</f>
        <v>34.9911264457984</v>
      </c>
      <c r="AM272" s="20">
        <f>MIN('3.1 Market'!$H263,'1.1 Control Panel'!AM681*'1.1 Control Panel'!AM$662)</f>
        <v>34.992901156638723</v>
      </c>
      <c r="AN272" s="20">
        <f>MIN('3.1 Market'!$H263,'1.1 Control Panel'!AN681*'1.1 Control Panel'!AN$662)</f>
        <v>34.99432092531098</v>
      </c>
      <c r="AP272" s="20"/>
    </row>
    <row r="273" spans="2:42" x14ac:dyDescent="0.25">
      <c r="C273" s="21" t="s">
        <v>455</v>
      </c>
      <c r="D273" s="38" t="s">
        <v>162</v>
      </c>
      <c r="E273" s="21">
        <f>MIN('3.1 Market'!$F264,'1.1 Control Panel'!E682*'1.1 Control Panel'!E$662)</f>
        <v>0</v>
      </c>
      <c r="F273" s="21">
        <f>MIN('3.1 Market'!$F264,'1.1 Control Panel'!F682*'1.1 Control Panel'!F$662)</f>
        <v>0</v>
      </c>
      <c r="G273" s="21">
        <f>MIN('3.1 Market'!$F264,'1.1 Control Panel'!G682*'1.1 Control Panel'!G$662)</f>
        <v>0</v>
      </c>
      <c r="H273" s="21">
        <f>MIN('3.1 Market'!$F264,'1.1 Control Panel'!H682*'1.1 Control Panel'!H$662)</f>
        <v>0</v>
      </c>
      <c r="I273" s="21">
        <f>MIN('3.1 Market'!$F264,'1.1 Control Panel'!I682*'1.1 Control Panel'!I$662)</f>
        <v>0</v>
      </c>
      <c r="J273" s="21">
        <f>MIN('3.1 Market'!$F264,'1.1 Control Panel'!J682*'1.1 Control Panel'!J$662)</f>
        <v>0</v>
      </c>
      <c r="K273" s="21">
        <f>MIN('3.1 Market'!$F264,'1.1 Control Panel'!K682*'1.1 Control Panel'!K$662)</f>
        <v>0</v>
      </c>
      <c r="L273" s="21">
        <f>MIN('3.1 Market'!$F264,'1.1 Control Panel'!L682*'1.1 Control Panel'!L$662)</f>
        <v>0</v>
      </c>
      <c r="M273" s="21">
        <f>MIN('3.1 Market'!$F264,'1.1 Control Panel'!M682*'1.1 Control Panel'!M$662)</f>
        <v>0</v>
      </c>
      <c r="N273" s="21">
        <f>MIN('3.1 Market'!$F264,'1.1 Control Panel'!N682*'1.1 Control Panel'!N$662)</f>
        <v>0</v>
      </c>
      <c r="O273" s="21">
        <f>MIN('3.1 Market'!$F264,'1.1 Control Panel'!O682*'1.1 Control Panel'!O$662)</f>
        <v>0</v>
      </c>
      <c r="P273" s="21">
        <f>MIN('3.1 Market'!$F264,'1.1 Control Panel'!P682*'1.1 Control Panel'!P$662)</f>
        <v>0</v>
      </c>
      <c r="Q273" s="21">
        <f>MIN('3.1 Market'!$G264,'1.1 Control Panel'!Q682*'1.1 Control Panel'!Q$662)</f>
        <v>4.7938415697920007</v>
      </c>
      <c r="R273" s="21">
        <f>MIN('3.1 Market'!$G264,'1.1 Control Panel'!R682*'1.1 Control Panel'!R$662)</f>
        <v>4.8350732558336009</v>
      </c>
      <c r="S273" s="21">
        <f>MIN('3.1 Market'!$G264,'1.1 Control Panel'!S682*'1.1 Control Panel'!S$662)</f>
        <v>4.8680586046668815</v>
      </c>
      <c r="T273" s="21">
        <f>MIN('3.1 Market'!$G264,'1.1 Control Panel'!T682*'1.1 Control Panel'!T$662)</f>
        <v>4.8944468837335053</v>
      </c>
      <c r="U273" s="21">
        <f>MIN('3.1 Market'!$G264,'1.1 Control Panel'!U682*'1.1 Control Panel'!U$662)</f>
        <v>9.8311150139736085</v>
      </c>
      <c r="V273" s="21">
        <f>MIN('3.1 Market'!$G264,'1.1 Control Panel'!V682*'1.1 Control Panel'!V$662)</f>
        <v>9.8648920111788883</v>
      </c>
      <c r="W273" s="21">
        <f>MIN('3.1 Market'!$G264,'1.1 Control Panel'!W682*'1.1 Control Panel'!W$662)</f>
        <v>9.8919136089431099</v>
      </c>
      <c r="X273" s="21">
        <f>MIN('3.1 Market'!$G264,'1.1 Control Panel'!X682*'1.1 Control Panel'!X$662)</f>
        <v>9.9135308871544883</v>
      </c>
      <c r="Y273" s="21">
        <f>MIN('3.1 Market'!$G264,'1.1 Control Panel'!Y682*'1.1 Control Panel'!Y$662)</f>
        <v>9.9308247097235913</v>
      </c>
      <c r="Z273" s="21">
        <f>MIN('3.1 Market'!$G264,'1.1 Control Panel'!Z682*'1.1 Control Panel'!Z$662)</f>
        <v>9.9446597677788731</v>
      </c>
      <c r="AA273" s="21">
        <f>MIN('3.1 Market'!$G264,'1.1 Control Panel'!AA682*'1.1 Control Panel'!AA$662)</f>
        <v>9.9557278142230992</v>
      </c>
      <c r="AB273" s="21">
        <f>MIN('3.1 Market'!$G264,'1.1 Control Panel'!AB682*'1.1 Control Panel'!AB$662)</f>
        <v>9.9645822513784807</v>
      </c>
      <c r="AC273" s="21">
        <f>MIN('3.1 Market'!$H264,'1.1 Control Panel'!AC682*'1.1 Control Panel'!AC$662)</f>
        <v>19.943331602205568</v>
      </c>
      <c r="AD273" s="21">
        <f>MIN('3.1 Market'!$H264,'1.1 Control Panel'!AD682*'1.1 Control Panel'!AD$662)</f>
        <v>19.954665281764456</v>
      </c>
      <c r="AE273" s="21">
        <f>MIN('3.1 Market'!$H264,'1.1 Control Panel'!AE682*'1.1 Control Panel'!AE$662)</f>
        <v>19.963732225411565</v>
      </c>
      <c r="AF273" s="21">
        <f>MIN('3.1 Market'!$H264,'1.1 Control Panel'!AF682*'1.1 Control Panel'!AF$662)</f>
        <v>19.970985780329251</v>
      </c>
      <c r="AG273" s="21">
        <f>MIN('3.1 Market'!$H264,'1.1 Control Panel'!AG682*'1.1 Control Panel'!AG$662)</f>
        <v>29.965182936395099</v>
      </c>
      <c r="AH273" s="21">
        <f>MIN('3.1 Market'!$H264,'1.1 Control Panel'!AH682*'1.1 Control Panel'!AH$662)</f>
        <v>29.972146349116077</v>
      </c>
      <c r="AI273" s="21">
        <f>MIN('3.1 Market'!$H264,'1.1 Control Panel'!AI682*'1.1 Control Panel'!AI$662)</f>
        <v>29.977717079292866</v>
      </c>
      <c r="AJ273" s="21">
        <f>MIN('3.1 Market'!$H264,'1.1 Control Panel'!AJ682*'1.1 Control Panel'!AJ$662)</f>
        <v>29.982173663434295</v>
      </c>
      <c r="AK273" s="21">
        <f>MIN('3.1 Market'!$H264,'1.1 Control Panel'!AK682*'1.1 Control Panel'!AK$662)</f>
        <v>34.98336208587201</v>
      </c>
      <c r="AL273" s="21">
        <f>MIN('3.1 Market'!$H264,'1.1 Control Panel'!AL682*'1.1 Control Panel'!AL$662)</f>
        <v>34.986689668697608</v>
      </c>
      <c r="AM273" s="21">
        <f>MIN('3.1 Market'!$H264,'1.1 Control Panel'!AM682*'1.1 Control Panel'!AM$662)</f>
        <v>34.989351734958092</v>
      </c>
      <c r="AN273" s="21">
        <f>MIN('3.1 Market'!$H264,'1.1 Control Panel'!AN682*'1.1 Control Panel'!AN$662)</f>
        <v>34.991481387966473</v>
      </c>
      <c r="AP273" s="21"/>
    </row>
    <row r="274" spans="2:42" x14ac:dyDescent="0.25">
      <c r="C274" s="21" t="s">
        <v>393</v>
      </c>
      <c r="D274" s="38" t="s">
        <v>162</v>
      </c>
      <c r="E274" s="21">
        <f>MIN('3.1 Market'!$F265,'1.1 Control Panel'!E683*'1.1 Control Panel'!E$662)</f>
        <v>0</v>
      </c>
      <c r="F274" s="21">
        <f>MIN('3.1 Market'!$F265,'1.1 Control Panel'!F683*'1.1 Control Panel'!F$662)</f>
        <v>0</v>
      </c>
      <c r="G274" s="21">
        <f>MIN('3.1 Market'!$F265,'1.1 Control Panel'!G683*'1.1 Control Panel'!G$662)</f>
        <v>0</v>
      </c>
      <c r="H274" s="21">
        <f>MIN('3.1 Market'!$F265,'1.1 Control Panel'!H683*'1.1 Control Panel'!H$662)</f>
        <v>0</v>
      </c>
      <c r="I274" s="21">
        <f>MIN('3.1 Market'!$F265,'1.1 Control Panel'!I683*'1.1 Control Panel'!I$662)</f>
        <v>0</v>
      </c>
      <c r="J274" s="21">
        <f>MIN('3.1 Market'!$F265,'1.1 Control Panel'!J683*'1.1 Control Panel'!J$662)</f>
        <v>0</v>
      </c>
      <c r="K274" s="21">
        <f>MIN('3.1 Market'!$F265,'1.1 Control Panel'!K683*'1.1 Control Panel'!K$662)</f>
        <v>0</v>
      </c>
      <c r="L274" s="21">
        <f>MIN('3.1 Market'!$F265,'1.1 Control Panel'!L683*'1.1 Control Panel'!L$662)</f>
        <v>0</v>
      </c>
      <c r="M274" s="21">
        <f>MIN('3.1 Market'!$F265,'1.1 Control Panel'!M683*'1.1 Control Panel'!M$662)</f>
        <v>0</v>
      </c>
      <c r="N274" s="21">
        <f>MIN('3.1 Market'!$F265,'1.1 Control Panel'!N683*'1.1 Control Panel'!N$662)</f>
        <v>0</v>
      </c>
      <c r="O274" s="21">
        <f>MIN('3.1 Market'!$F265,'1.1 Control Panel'!O683*'1.1 Control Panel'!O$662)</f>
        <v>0</v>
      </c>
      <c r="P274" s="21">
        <f>MIN('3.1 Market'!$F265,'1.1 Control Panel'!P683*'1.1 Control Panel'!P$662)</f>
        <v>0</v>
      </c>
      <c r="Q274" s="21">
        <f>MIN('3.1 Market'!$G265,'1.1 Control Panel'!Q683*'1.1 Control Panel'!Q$662)</f>
        <v>4.7251220930560009</v>
      </c>
      <c r="R274" s="21">
        <f>MIN('3.1 Market'!$G265,'1.1 Control Panel'!R683*'1.1 Control Panel'!R$662)</f>
        <v>4.7800976744448009</v>
      </c>
      <c r="S274" s="21">
        <f>MIN('3.1 Market'!$G265,'1.1 Control Panel'!S683*'1.1 Control Panel'!S$662)</f>
        <v>4.8240781395558407</v>
      </c>
      <c r="T274" s="21">
        <f>MIN('3.1 Market'!$G265,'1.1 Control Panel'!T683*'1.1 Control Panel'!T$662)</f>
        <v>4.8592625116446726</v>
      </c>
      <c r="U274" s="21">
        <f>MIN('3.1 Market'!$G265,'1.1 Control Panel'!U683*'1.1 Control Panel'!U$662)</f>
        <v>9.7748200186314769</v>
      </c>
      <c r="V274" s="21">
        <f>MIN('3.1 Market'!$G265,'1.1 Control Panel'!V683*'1.1 Control Panel'!V$662)</f>
        <v>9.8198560149051808</v>
      </c>
      <c r="W274" s="21">
        <f>MIN('3.1 Market'!$G265,'1.1 Control Panel'!W683*'1.1 Control Panel'!W$662)</f>
        <v>9.8558848119241453</v>
      </c>
      <c r="X274" s="21">
        <f>MIN('3.1 Market'!$G265,'1.1 Control Panel'!X683*'1.1 Control Panel'!X$662)</f>
        <v>9.8847078495393177</v>
      </c>
      <c r="Y274" s="21">
        <f>MIN('3.1 Market'!$G265,'1.1 Control Panel'!Y683*'1.1 Control Panel'!Y$662)</f>
        <v>9.9077662796314545</v>
      </c>
      <c r="Z274" s="21">
        <f>MIN('3.1 Market'!$G265,'1.1 Control Panel'!Z683*'1.1 Control Panel'!Z$662)</f>
        <v>9.9262130237051629</v>
      </c>
      <c r="AA274" s="21">
        <f>MIN('3.1 Market'!$G265,'1.1 Control Panel'!AA683*'1.1 Control Panel'!AA$662)</f>
        <v>9.940970418964131</v>
      </c>
      <c r="AB274" s="21">
        <f>MIN('3.1 Market'!$G265,'1.1 Control Panel'!AB683*'1.1 Control Panel'!AB$662)</f>
        <v>9.9527763351713041</v>
      </c>
      <c r="AC274" s="21">
        <f>MIN('3.1 Market'!$H265,'1.1 Control Panel'!AC683*'1.1 Control Panel'!AC$662)</f>
        <v>19.924442136274088</v>
      </c>
      <c r="AD274" s="21">
        <f>MIN('3.1 Market'!$H265,'1.1 Control Panel'!AD683*'1.1 Control Panel'!AD$662)</f>
        <v>19.939553709019272</v>
      </c>
      <c r="AE274" s="21">
        <f>MIN('3.1 Market'!$H265,'1.1 Control Panel'!AE683*'1.1 Control Panel'!AE$662)</f>
        <v>19.95164296721542</v>
      </c>
      <c r="AF274" s="21">
        <f>MIN('3.1 Market'!$H265,'1.1 Control Panel'!AF683*'1.1 Control Panel'!AF$662)</f>
        <v>19.961314373772339</v>
      </c>
      <c r="AG274" s="21">
        <f>MIN('3.1 Market'!$H265,'1.1 Control Panel'!AG683*'1.1 Control Panel'!AG$662)</f>
        <v>29.953577248526809</v>
      </c>
      <c r="AH274" s="21">
        <f>MIN('3.1 Market'!$H265,'1.1 Control Panel'!AH683*'1.1 Control Panel'!AH$662)</f>
        <v>29.96286179882145</v>
      </c>
      <c r="AI274" s="21">
        <f>MIN('3.1 Market'!$H265,'1.1 Control Panel'!AI683*'1.1 Control Panel'!AI$662)</f>
        <v>29.970289439057161</v>
      </c>
      <c r="AJ274" s="21">
        <f>MIN('3.1 Market'!$H265,'1.1 Control Panel'!AJ683*'1.1 Control Panel'!AJ$662)</f>
        <v>29.976231551245732</v>
      </c>
      <c r="AK274" s="21">
        <f>MIN('3.1 Market'!$H265,'1.1 Control Panel'!AK683*'1.1 Control Panel'!AK$662)</f>
        <v>34.977816114496015</v>
      </c>
      <c r="AL274" s="21">
        <f>MIN('3.1 Market'!$H265,'1.1 Control Panel'!AL683*'1.1 Control Panel'!AL$662)</f>
        <v>34.982252891596815</v>
      </c>
      <c r="AM274" s="21">
        <f>MIN('3.1 Market'!$H265,'1.1 Control Panel'!AM683*'1.1 Control Panel'!AM$662)</f>
        <v>34.985802313277453</v>
      </c>
      <c r="AN274" s="21">
        <f>MIN('3.1 Market'!$H265,'1.1 Control Panel'!AN683*'1.1 Control Panel'!AN$662)</f>
        <v>34.988641850621967</v>
      </c>
      <c r="AP274" s="21"/>
    </row>
    <row r="275" spans="2:42" x14ac:dyDescent="0.25">
      <c r="C275" s="21" t="s">
        <v>456</v>
      </c>
      <c r="D275" s="38" t="s">
        <v>162</v>
      </c>
      <c r="E275" s="21">
        <f>MIN('3.1 Market'!$F266,'1.1 Control Panel'!E684*'1.1 Control Panel'!E$662)</f>
        <v>0</v>
      </c>
      <c r="F275" s="21">
        <f>MIN('3.1 Market'!$F266,'1.1 Control Panel'!F684*'1.1 Control Panel'!F$662)</f>
        <v>0</v>
      </c>
      <c r="G275" s="21">
        <f>MIN('3.1 Market'!$F266,'1.1 Control Panel'!G684*'1.1 Control Panel'!G$662)</f>
        <v>0</v>
      </c>
      <c r="H275" s="21">
        <f>MIN('3.1 Market'!$F266,'1.1 Control Panel'!H684*'1.1 Control Panel'!H$662)</f>
        <v>0</v>
      </c>
      <c r="I275" s="21">
        <f>MIN('3.1 Market'!$F266,'1.1 Control Panel'!I684*'1.1 Control Panel'!I$662)</f>
        <v>0</v>
      </c>
      <c r="J275" s="21">
        <f>MIN('3.1 Market'!$F266,'1.1 Control Panel'!J684*'1.1 Control Panel'!J$662)</f>
        <v>0</v>
      </c>
      <c r="K275" s="21">
        <f>MIN('3.1 Market'!$F266,'1.1 Control Panel'!K684*'1.1 Control Panel'!K$662)</f>
        <v>0</v>
      </c>
      <c r="L275" s="21">
        <f>MIN('3.1 Market'!$F266,'1.1 Control Panel'!L684*'1.1 Control Panel'!L$662)</f>
        <v>0</v>
      </c>
      <c r="M275" s="21">
        <f>MIN('3.1 Market'!$F266,'1.1 Control Panel'!M684*'1.1 Control Panel'!M$662)</f>
        <v>0</v>
      </c>
      <c r="N275" s="21">
        <f>MIN('3.1 Market'!$F266,'1.1 Control Panel'!N684*'1.1 Control Panel'!N$662)</f>
        <v>0</v>
      </c>
      <c r="O275" s="21">
        <f>MIN('3.1 Market'!$F266,'1.1 Control Panel'!O684*'1.1 Control Panel'!O$662)</f>
        <v>0</v>
      </c>
      <c r="P275" s="21">
        <f>MIN('3.1 Market'!$F266,'1.1 Control Panel'!P684*'1.1 Control Panel'!P$662)</f>
        <v>0</v>
      </c>
      <c r="Q275" s="21">
        <f>MIN('3.1 Market'!$G266,'1.1 Control Panel'!Q684*'1.1 Control Panel'!Q$662)</f>
        <v>4.6564026163200012</v>
      </c>
      <c r="R275" s="21">
        <f>MIN('3.1 Market'!$G266,'1.1 Control Panel'!R684*'1.1 Control Panel'!R$662)</f>
        <v>4.7251220930560009</v>
      </c>
      <c r="S275" s="21">
        <f>MIN('3.1 Market'!$G266,'1.1 Control Panel'!S684*'1.1 Control Panel'!S$662)</f>
        <v>4.7800976744448009</v>
      </c>
      <c r="T275" s="21">
        <f>MIN('3.1 Market'!$G266,'1.1 Control Panel'!T684*'1.1 Control Panel'!T$662)</f>
        <v>4.8240781395558407</v>
      </c>
      <c r="U275" s="21">
        <f>MIN('3.1 Market'!$G266,'1.1 Control Panel'!U684*'1.1 Control Panel'!U$662)</f>
        <v>9.7185250232893452</v>
      </c>
      <c r="V275" s="21">
        <f>MIN('3.1 Market'!$G266,'1.1 Control Panel'!V684*'1.1 Control Panel'!V$662)</f>
        <v>9.7748200186314769</v>
      </c>
      <c r="W275" s="21">
        <f>MIN('3.1 Market'!$G266,'1.1 Control Panel'!W684*'1.1 Control Panel'!W$662)</f>
        <v>9.8198560149051808</v>
      </c>
      <c r="X275" s="21">
        <f>MIN('3.1 Market'!$G266,'1.1 Control Panel'!X684*'1.1 Control Panel'!X$662)</f>
        <v>9.8558848119241453</v>
      </c>
      <c r="Y275" s="21">
        <f>MIN('3.1 Market'!$G266,'1.1 Control Panel'!Y684*'1.1 Control Panel'!Y$662)</f>
        <v>9.8847078495393177</v>
      </c>
      <c r="Z275" s="21">
        <f>MIN('3.1 Market'!$G266,'1.1 Control Panel'!Z684*'1.1 Control Panel'!Z$662)</f>
        <v>9.9077662796314545</v>
      </c>
      <c r="AA275" s="21">
        <f>MIN('3.1 Market'!$G266,'1.1 Control Panel'!AA684*'1.1 Control Panel'!AA$662)</f>
        <v>9.9262130237051629</v>
      </c>
      <c r="AB275" s="21">
        <f>MIN('3.1 Market'!$G266,'1.1 Control Panel'!AB684*'1.1 Control Panel'!AB$662)</f>
        <v>9.940970418964131</v>
      </c>
      <c r="AC275" s="21">
        <f>MIN('3.1 Market'!$H266,'1.1 Control Panel'!AC684*'1.1 Control Panel'!AC$662)</f>
        <v>19.905552670342608</v>
      </c>
      <c r="AD275" s="21">
        <f>MIN('3.1 Market'!$H266,'1.1 Control Panel'!AD684*'1.1 Control Panel'!AD$662)</f>
        <v>19.924442136274088</v>
      </c>
      <c r="AE275" s="21">
        <f>MIN('3.1 Market'!$H266,'1.1 Control Panel'!AE684*'1.1 Control Panel'!AE$662)</f>
        <v>19.939553709019272</v>
      </c>
      <c r="AF275" s="21">
        <f>MIN('3.1 Market'!$H266,'1.1 Control Panel'!AF684*'1.1 Control Panel'!AF$662)</f>
        <v>19.95164296721542</v>
      </c>
      <c r="AG275" s="21">
        <f>MIN('3.1 Market'!$H266,'1.1 Control Panel'!AG684*'1.1 Control Panel'!AG$662)</f>
        <v>29.941971560658509</v>
      </c>
      <c r="AH275" s="21">
        <f>MIN('3.1 Market'!$H266,'1.1 Control Panel'!AH684*'1.1 Control Panel'!AH$662)</f>
        <v>29.953577248526809</v>
      </c>
      <c r="AI275" s="21">
        <f>MIN('3.1 Market'!$H266,'1.1 Control Panel'!AI684*'1.1 Control Panel'!AI$662)</f>
        <v>29.96286179882145</v>
      </c>
      <c r="AJ275" s="21">
        <f>MIN('3.1 Market'!$H266,'1.1 Control Panel'!AJ684*'1.1 Control Panel'!AJ$662)</f>
        <v>29.970289439057161</v>
      </c>
      <c r="AK275" s="21">
        <f>MIN('3.1 Market'!$H266,'1.1 Control Panel'!AK684*'1.1 Control Panel'!AK$662)</f>
        <v>34.972270143120021</v>
      </c>
      <c r="AL275" s="21">
        <f>MIN('3.1 Market'!$H266,'1.1 Control Panel'!AL684*'1.1 Control Panel'!AL$662)</f>
        <v>34.977816114496015</v>
      </c>
      <c r="AM275" s="21">
        <f>MIN('3.1 Market'!$H266,'1.1 Control Panel'!AM684*'1.1 Control Panel'!AM$662)</f>
        <v>34.982252891596815</v>
      </c>
      <c r="AN275" s="21">
        <f>MIN('3.1 Market'!$H266,'1.1 Control Panel'!AN684*'1.1 Control Panel'!AN$662)</f>
        <v>34.985802313277453</v>
      </c>
      <c r="AP275" s="21"/>
    </row>
    <row r="276" spans="2:42" x14ac:dyDescent="0.25">
      <c r="C276" s="267" t="s">
        <v>432</v>
      </c>
      <c r="D276" s="271" t="s">
        <v>162</v>
      </c>
      <c r="E276" s="267">
        <f>E277+E284+E291+E298+E305+E312+E319+E326+E333+E340+E347+E354</f>
        <v>104</v>
      </c>
      <c r="F276" s="267">
        <f t="shared" ref="F276:H276" si="143">F277+F284+F291+F298+F305+F312+F319+F326+F333+F340+F347+F354</f>
        <v>123.79999999999998</v>
      </c>
      <c r="G276" s="267">
        <f t="shared" si="143"/>
        <v>142.00000000000003</v>
      </c>
      <c r="H276" s="267">
        <f t="shared" si="143"/>
        <v>154.80000000000001</v>
      </c>
      <c r="I276" s="267">
        <f t="shared" ref="I276:AN276" si="144">I277+I284+I291+I298+I305+I312+I319+I326+I333+I340+I347+I354</f>
        <v>227.83680000000004</v>
      </c>
      <c r="J276" s="267">
        <f t="shared" si="144"/>
        <v>320.37920000000003</v>
      </c>
      <c r="K276" s="267">
        <f t="shared" si="144"/>
        <v>332.50336000000004</v>
      </c>
      <c r="L276" s="267">
        <f t="shared" si="144"/>
        <v>342.20268800000008</v>
      </c>
      <c r="M276" s="267">
        <f t="shared" si="144"/>
        <v>414.27116288000008</v>
      </c>
      <c r="N276" s="267">
        <f t="shared" si="144"/>
        <v>435.35114803200008</v>
      </c>
      <c r="O276" s="267">
        <f t="shared" si="144"/>
        <v>455.12929914880004</v>
      </c>
      <c r="P276" s="267">
        <f t="shared" si="144"/>
        <v>474.1021438976</v>
      </c>
      <c r="Q276" s="267">
        <f t="shared" si="144"/>
        <v>740.91025581670408</v>
      </c>
      <c r="R276" s="267">
        <f t="shared" si="144"/>
        <v>745.52820465336322</v>
      </c>
      <c r="S276" s="267">
        <f t="shared" si="144"/>
        <v>749.22256372269067</v>
      </c>
      <c r="T276" s="267">
        <f t="shared" si="144"/>
        <v>752.17805097815256</v>
      </c>
      <c r="U276" s="267">
        <f t="shared" si="144"/>
        <v>1058.3899210433626</v>
      </c>
      <c r="V276" s="267">
        <f t="shared" si="144"/>
        <v>1060.9119368346901</v>
      </c>
      <c r="W276" s="267">
        <f t="shared" si="144"/>
        <v>1062.9295494677522</v>
      </c>
      <c r="X276" s="267">
        <f t="shared" si="144"/>
        <v>1064.5436395742017</v>
      </c>
      <c r="Y276" s="267">
        <f t="shared" si="144"/>
        <v>1126.7426779389928</v>
      </c>
      <c r="Z276" s="267">
        <f t="shared" si="144"/>
        <v>1127.7941423511943</v>
      </c>
      <c r="AA276" s="267">
        <f t="shared" si="144"/>
        <v>1128.6353138809554</v>
      </c>
      <c r="AB276" s="267">
        <f t="shared" si="144"/>
        <v>1129.3082511047644</v>
      </c>
      <c r="AC276" s="267">
        <f t="shared" si="144"/>
        <v>1794.3637778081902</v>
      </c>
      <c r="AD276" s="267">
        <f t="shared" si="144"/>
        <v>1795.0910222465525</v>
      </c>
      <c r="AE276" s="267">
        <f t="shared" si="144"/>
        <v>1795.6728177972423</v>
      </c>
      <c r="AF276" s="267">
        <f t="shared" si="144"/>
        <v>1796.1382542377937</v>
      </c>
      <c r="AG276" s="267">
        <f t="shared" si="144"/>
        <v>2481.0908643456651</v>
      </c>
      <c r="AH276" s="267">
        <f t="shared" si="144"/>
        <v>2481.4726914765315</v>
      </c>
      <c r="AI276" s="267">
        <f t="shared" si="144"/>
        <v>2481.7781531812252</v>
      </c>
      <c r="AJ276" s="267">
        <f t="shared" si="144"/>
        <v>2482.0225225449808</v>
      </c>
      <c r="AK276" s="267">
        <f t="shared" si="144"/>
        <v>2981.1134368614662</v>
      </c>
      <c r="AL276" s="267">
        <f t="shared" si="144"/>
        <v>2981.2907494891733</v>
      </c>
      <c r="AM276" s="267">
        <f t="shared" si="144"/>
        <v>2981.4325995913382</v>
      </c>
      <c r="AN276" s="267">
        <f t="shared" si="144"/>
        <v>2981.5460796730708</v>
      </c>
      <c r="AP276" s="267"/>
    </row>
    <row r="277" spans="2:42" x14ac:dyDescent="0.25">
      <c r="B277" s="99" t="s">
        <v>9</v>
      </c>
      <c r="C277" s="105" t="str">
        <f>'4.2 Sector Mapping'!$B$5</f>
        <v>Agriculture</v>
      </c>
      <c r="D277" s="106" t="s">
        <v>162</v>
      </c>
      <c r="E277" s="105">
        <f>SUM(E278:E283)</f>
        <v>0</v>
      </c>
      <c r="F277" s="105">
        <f t="shared" ref="F277:H277" si="145">SUM(F278:F283)</f>
        <v>0</v>
      </c>
      <c r="G277" s="105">
        <f t="shared" si="145"/>
        <v>0</v>
      </c>
      <c r="H277" s="105">
        <f t="shared" si="145"/>
        <v>0</v>
      </c>
      <c r="I277" s="105">
        <f t="shared" ref="I277:AN277" si="146">SUM(I278:I283)</f>
        <v>0</v>
      </c>
      <c r="J277" s="105">
        <f t="shared" si="146"/>
        <v>0</v>
      </c>
      <c r="K277" s="105">
        <f t="shared" si="146"/>
        <v>0</v>
      </c>
      <c r="L277" s="105">
        <f t="shared" si="146"/>
        <v>0</v>
      </c>
      <c r="M277" s="105">
        <f t="shared" si="146"/>
        <v>0</v>
      </c>
      <c r="N277" s="105">
        <f t="shared" si="146"/>
        <v>0</v>
      </c>
      <c r="O277" s="105">
        <f t="shared" si="146"/>
        <v>0</v>
      </c>
      <c r="P277" s="105">
        <f t="shared" si="146"/>
        <v>0</v>
      </c>
      <c r="Q277" s="105">
        <f t="shared" si="146"/>
        <v>0</v>
      </c>
      <c r="R277" s="105">
        <f t="shared" si="146"/>
        <v>0</v>
      </c>
      <c r="S277" s="105">
        <f t="shared" si="146"/>
        <v>0</v>
      </c>
      <c r="T277" s="105">
        <f t="shared" si="146"/>
        <v>0</v>
      </c>
      <c r="U277" s="105">
        <f t="shared" si="146"/>
        <v>22.802967516302544</v>
      </c>
      <c r="V277" s="105">
        <f t="shared" si="146"/>
        <v>22.842374013042033</v>
      </c>
      <c r="W277" s="105">
        <f t="shared" si="146"/>
        <v>22.873899210433628</v>
      </c>
      <c r="X277" s="105">
        <f t="shared" si="146"/>
        <v>22.899119368346902</v>
      </c>
      <c r="Y277" s="105">
        <f t="shared" si="146"/>
        <v>22.919295494677524</v>
      </c>
      <c r="Z277" s="105">
        <f t="shared" si="146"/>
        <v>22.935436395742016</v>
      </c>
      <c r="AA277" s="105">
        <f t="shared" si="146"/>
        <v>22.948349116593615</v>
      </c>
      <c r="AB277" s="105">
        <f t="shared" si="146"/>
        <v>22.958679293274891</v>
      </c>
      <c r="AC277" s="105">
        <f t="shared" si="146"/>
        <v>38.933886869239828</v>
      </c>
      <c r="AD277" s="105">
        <f t="shared" si="146"/>
        <v>38.947109495391864</v>
      </c>
      <c r="AE277" s="105">
        <f t="shared" si="146"/>
        <v>38.957687596313491</v>
      </c>
      <c r="AF277" s="105">
        <f t="shared" si="146"/>
        <v>38.966150077050798</v>
      </c>
      <c r="AG277" s="105">
        <f t="shared" si="146"/>
        <v>53.959380092460954</v>
      </c>
      <c r="AH277" s="105">
        <f t="shared" si="146"/>
        <v>53.967504073968762</v>
      </c>
      <c r="AI277" s="105">
        <f t="shared" si="146"/>
        <v>53.974003259175007</v>
      </c>
      <c r="AJ277" s="105">
        <f t="shared" si="146"/>
        <v>53.979202607340014</v>
      </c>
      <c r="AK277" s="105">
        <f t="shared" si="146"/>
        <v>53.98336208587201</v>
      </c>
      <c r="AL277" s="105">
        <f t="shared" si="146"/>
        <v>53.986689668697608</v>
      </c>
      <c r="AM277" s="105">
        <f t="shared" si="146"/>
        <v>53.989351734958092</v>
      </c>
      <c r="AN277" s="105">
        <f t="shared" si="146"/>
        <v>53.991481387966473</v>
      </c>
      <c r="AP277" s="105"/>
    </row>
    <row r="278" spans="2:42" x14ac:dyDescent="0.25">
      <c r="C278" s="20" t="s">
        <v>600</v>
      </c>
      <c r="D278" s="34" t="s">
        <v>162</v>
      </c>
      <c r="E278" s="20">
        <f>MIN('3.1 Market'!$F269,'1.1 Control Panel'!E345*'1.1 Control Panel'!E$321)</f>
        <v>0</v>
      </c>
      <c r="F278" s="20">
        <f>MIN('3.1 Market'!$F269,'1.1 Control Panel'!F345*'1.1 Control Panel'!F$321)</f>
        <v>0</v>
      </c>
      <c r="G278" s="20">
        <f>MIN('3.1 Market'!$F269,'1.1 Control Panel'!G345*'1.1 Control Panel'!G$321)</f>
        <v>0</v>
      </c>
      <c r="H278" s="20">
        <f>MIN('3.1 Market'!$F269,'1.1 Control Panel'!H345*'1.1 Control Panel'!H$321)</f>
        <v>0</v>
      </c>
      <c r="I278" s="20">
        <f>MIN('3.1 Market'!$F269,'1.1 Control Panel'!I345*'1.1 Control Panel'!I$321)</f>
        <v>0</v>
      </c>
      <c r="J278" s="20">
        <f>MIN('3.1 Market'!$F269,'1.1 Control Panel'!J345*'1.1 Control Panel'!J$321)</f>
        <v>0</v>
      </c>
      <c r="K278" s="20">
        <f>MIN('3.1 Market'!$F269,'1.1 Control Panel'!K345*'1.1 Control Panel'!K$321)</f>
        <v>0</v>
      </c>
      <c r="L278" s="20">
        <f>MIN('3.1 Market'!$F269,'1.1 Control Panel'!L345*'1.1 Control Panel'!L$321)</f>
        <v>0</v>
      </c>
      <c r="M278" s="20">
        <f>MIN('3.1 Market'!$F269,'1.1 Control Panel'!M345*'1.1 Control Panel'!M$321)</f>
        <v>0</v>
      </c>
      <c r="N278" s="20">
        <f>MIN('3.1 Market'!$F269,'1.1 Control Panel'!N345*'1.1 Control Panel'!N$321)</f>
        <v>0</v>
      </c>
      <c r="O278" s="20">
        <f>MIN('3.1 Market'!$F269,'1.1 Control Panel'!O345*'1.1 Control Panel'!O$321)</f>
        <v>0</v>
      </c>
      <c r="P278" s="20">
        <f>MIN('3.1 Market'!$F269,'1.1 Control Panel'!P345*'1.1 Control Panel'!P$321)</f>
        <v>0</v>
      </c>
      <c r="Q278" s="20">
        <f>MIN('3.1 Market'!$G269,'1.1 Control Panel'!Q345*'1.1 Control Panel'!Q$321)</f>
        <v>0</v>
      </c>
      <c r="R278" s="20">
        <f>MIN('3.1 Market'!$G269,'1.1 Control Panel'!R345*'1.1 Control Panel'!R$321)</f>
        <v>0</v>
      </c>
      <c r="S278" s="20">
        <f>MIN('3.1 Market'!$G269,'1.1 Control Panel'!S345*'1.1 Control Panel'!S$321)</f>
        <v>0</v>
      </c>
      <c r="T278" s="20">
        <f>MIN('3.1 Market'!$G269,'1.1 Control Panel'!T345*'1.1 Control Panel'!T$321)</f>
        <v>0</v>
      </c>
      <c r="U278" s="20">
        <f>MIN('3.1 Market'!$G269,'1.1 Control Panel'!U345*'1.1 Control Panel'!U$321)</f>
        <v>5</v>
      </c>
      <c r="V278" s="20">
        <f>MIN('3.1 Market'!$G269,'1.1 Control Panel'!V345*'1.1 Control Panel'!V$321)</f>
        <v>5</v>
      </c>
      <c r="W278" s="20">
        <f>MIN('3.1 Market'!$G269,'1.1 Control Panel'!W345*'1.1 Control Panel'!W$321)</f>
        <v>5</v>
      </c>
      <c r="X278" s="20">
        <f>MIN('3.1 Market'!$G269,'1.1 Control Panel'!X345*'1.1 Control Panel'!X$321)</f>
        <v>5</v>
      </c>
      <c r="Y278" s="20">
        <f>MIN('3.1 Market'!$G269,'1.1 Control Panel'!Y345*'1.1 Control Panel'!Y$321)</f>
        <v>5</v>
      </c>
      <c r="Z278" s="20">
        <f>MIN('3.1 Market'!$G269,'1.1 Control Panel'!Z345*'1.1 Control Panel'!Z$321)</f>
        <v>5</v>
      </c>
      <c r="AA278" s="20">
        <f>MIN('3.1 Market'!$G269,'1.1 Control Panel'!AA345*'1.1 Control Panel'!AA$321)</f>
        <v>5</v>
      </c>
      <c r="AB278" s="20">
        <f>MIN('3.1 Market'!$G269,'1.1 Control Panel'!AB345*'1.1 Control Panel'!AB$321)</f>
        <v>5</v>
      </c>
      <c r="AC278" s="20">
        <f>MIN('3.1 Market'!$H269,'1.1 Control Panel'!AC345*'1.1 Control Panel'!AC$321)</f>
        <v>10</v>
      </c>
      <c r="AD278" s="20">
        <f>MIN('3.1 Market'!$H269,'1.1 Control Panel'!AD345*'1.1 Control Panel'!AD$321)</f>
        <v>10</v>
      </c>
      <c r="AE278" s="20">
        <f>MIN('3.1 Market'!$H269,'1.1 Control Panel'!AE345*'1.1 Control Panel'!AE$321)</f>
        <v>10</v>
      </c>
      <c r="AF278" s="20">
        <f>MIN('3.1 Market'!$H269,'1.1 Control Panel'!AF345*'1.1 Control Panel'!AF$321)</f>
        <v>10</v>
      </c>
      <c r="AG278" s="20">
        <f>MIN('3.1 Market'!$H269,'1.1 Control Panel'!AG345*'1.1 Control Panel'!AG$321)</f>
        <v>15</v>
      </c>
      <c r="AH278" s="20">
        <f>MIN('3.1 Market'!$H269,'1.1 Control Panel'!AH345*'1.1 Control Panel'!AH$321)</f>
        <v>15</v>
      </c>
      <c r="AI278" s="20">
        <f>MIN('3.1 Market'!$H269,'1.1 Control Panel'!AI345*'1.1 Control Panel'!AI$321)</f>
        <v>15</v>
      </c>
      <c r="AJ278" s="20">
        <f>MIN('3.1 Market'!$H269,'1.1 Control Panel'!AJ345*'1.1 Control Panel'!AJ$321)</f>
        <v>15</v>
      </c>
      <c r="AK278" s="20">
        <f>MIN('3.1 Market'!$H269,'1.1 Control Panel'!AK345*'1.1 Control Panel'!AK$321)</f>
        <v>15</v>
      </c>
      <c r="AL278" s="20">
        <f>MIN('3.1 Market'!$H269,'1.1 Control Panel'!AL345*'1.1 Control Panel'!AL$321)</f>
        <v>15</v>
      </c>
      <c r="AM278" s="20">
        <f>MIN('3.1 Market'!$H269,'1.1 Control Panel'!AM345*'1.1 Control Panel'!AM$321)</f>
        <v>15</v>
      </c>
      <c r="AN278" s="20">
        <f>MIN('3.1 Market'!$H269,'1.1 Control Panel'!AN345*'1.1 Control Panel'!AN$321)</f>
        <v>15</v>
      </c>
      <c r="AP278" s="20"/>
    </row>
    <row r="279" spans="2:42" x14ac:dyDescent="0.25">
      <c r="C279" s="20" t="s">
        <v>392</v>
      </c>
      <c r="D279" s="34" t="s">
        <v>162</v>
      </c>
      <c r="E279" s="20">
        <f>MIN('3.1 Market'!$F270,'1.1 Control Panel'!E346*'1.1 Control Panel'!E$321)</f>
        <v>0</v>
      </c>
      <c r="F279" s="20">
        <f>MIN('3.1 Market'!$F270,'1.1 Control Panel'!F346*'1.1 Control Panel'!F$321)</f>
        <v>0</v>
      </c>
      <c r="G279" s="20">
        <f>MIN('3.1 Market'!$F270,'1.1 Control Panel'!G346*'1.1 Control Panel'!G$321)</f>
        <v>0</v>
      </c>
      <c r="H279" s="20">
        <f>MIN('3.1 Market'!$F270,'1.1 Control Panel'!H346*'1.1 Control Panel'!H$321)</f>
        <v>0</v>
      </c>
      <c r="I279" s="20">
        <f>MIN('3.1 Market'!$F270,'1.1 Control Panel'!I346*'1.1 Control Panel'!I$321)</f>
        <v>0</v>
      </c>
      <c r="J279" s="20">
        <f>MIN('3.1 Market'!$F270,'1.1 Control Panel'!J346*'1.1 Control Panel'!J$321)</f>
        <v>0</v>
      </c>
      <c r="K279" s="20">
        <f>MIN('3.1 Market'!$F270,'1.1 Control Panel'!K346*'1.1 Control Panel'!K$321)</f>
        <v>0</v>
      </c>
      <c r="L279" s="20">
        <f>MIN('3.1 Market'!$F270,'1.1 Control Panel'!L346*'1.1 Control Panel'!L$321)</f>
        <v>0</v>
      </c>
      <c r="M279" s="20">
        <f>MIN('3.1 Market'!$F270,'1.1 Control Panel'!M346*'1.1 Control Panel'!M$321)</f>
        <v>0</v>
      </c>
      <c r="N279" s="20">
        <f>MIN('3.1 Market'!$F270,'1.1 Control Panel'!N346*'1.1 Control Panel'!N$321)</f>
        <v>0</v>
      </c>
      <c r="O279" s="20">
        <f>MIN('3.1 Market'!$F270,'1.1 Control Panel'!O346*'1.1 Control Panel'!O$321)</f>
        <v>0</v>
      </c>
      <c r="P279" s="20">
        <f>MIN('3.1 Market'!$F270,'1.1 Control Panel'!P346*'1.1 Control Panel'!P$321)</f>
        <v>0</v>
      </c>
      <c r="Q279" s="20">
        <f>MIN('3.1 Market'!$G270,'1.1 Control Panel'!Q346*'1.1 Control Panel'!Q$321)</f>
        <v>0</v>
      </c>
      <c r="R279" s="20">
        <f>MIN('3.1 Market'!$G270,'1.1 Control Panel'!R346*'1.1 Control Panel'!R$321)</f>
        <v>0</v>
      </c>
      <c r="S279" s="20">
        <f>MIN('3.1 Market'!$G270,'1.1 Control Panel'!S346*'1.1 Control Panel'!S$321)</f>
        <v>0</v>
      </c>
      <c r="T279" s="20">
        <f>MIN('3.1 Market'!$G270,'1.1 Control Panel'!T346*'1.1 Control Panel'!T$321)</f>
        <v>0</v>
      </c>
      <c r="U279" s="20">
        <f>MIN('3.1 Market'!$G270,'1.1 Control Panel'!U346*'1.1 Control Panel'!U$321)</f>
        <v>1</v>
      </c>
      <c r="V279" s="20">
        <f>MIN('3.1 Market'!$G270,'1.1 Control Panel'!V346*'1.1 Control Panel'!V$321)</f>
        <v>1</v>
      </c>
      <c r="W279" s="20">
        <f>MIN('3.1 Market'!$G270,'1.1 Control Panel'!W346*'1.1 Control Panel'!W$321)</f>
        <v>1</v>
      </c>
      <c r="X279" s="20">
        <f>MIN('3.1 Market'!$G270,'1.1 Control Panel'!X346*'1.1 Control Panel'!X$321)</f>
        <v>1</v>
      </c>
      <c r="Y279" s="20">
        <f>MIN('3.1 Market'!$G270,'1.1 Control Panel'!Y346*'1.1 Control Panel'!Y$321)</f>
        <v>1</v>
      </c>
      <c r="Z279" s="20">
        <f>MIN('3.1 Market'!$G270,'1.1 Control Panel'!Z346*'1.1 Control Panel'!Z$321)</f>
        <v>1</v>
      </c>
      <c r="AA279" s="20">
        <f>MIN('3.1 Market'!$G270,'1.1 Control Panel'!AA346*'1.1 Control Panel'!AA$321)</f>
        <v>1</v>
      </c>
      <c r="AB279" s="20">
        <f>MIN('3.1 Market'!$G270,'1.1 Control Panel'!AB346*'1.1 Control Panel'!AB$321)</f>
        <v>1</v>
      </c>
      <c r="AC279" s="20">
        <f>MIN('3.1 Market'!$H270,'1.1 Control Panel'!AC346*'1.1 Control Panel'!AC$321)</f>
        <v>1</v>
      </c>
      <c r="AD279" s="20">
        <f>MIN('3.1 Market'!$H270,'1.1 Control Panel'!AD346*'1.1 Control Panel'!AD$321)</f>
        <v>1</v>
      </c>
      <c r="AE279" s="20">
        <f>MIN('3.1 Market'!$H270,'1.1 Control Panel'!AE346*'1.1 Control Panel'!AE$321)</f>
        <v>1</v>
      </c>
      <c r="AF279" s="20">
        <f>MIN('3.1 Market'!$H270,'1.1 Control Panel'!AF346*'1.1 Control Panel'!AF$321)</f>
        <v>1</v>
      </c>
      <c r="AG279" s="20">
        <f>MIN('3.1 Market'!$H270,'1.1 Control Panel'!AG346*'1.1 Control Panel'!AG$321)</f>
        <v>1</v>
      </c>
      <c r="AH279" s="20">
        <f>MIN('3.1 Market'!$H270,'1.1 Control Panel'!AH346*'1.1 Control Panel'!AH$321)</f>
        <v>1</v>
      </c>
      <c r="AI279" s="20">
        <f>MIN('3.1 Market'!$H270,'1.1 Control Panel'!AI346*'1.1 Control Panel'!AI$321)</f>
        <v>1</v>
      </c>
      <c r="AJ279" s="20">
        <f>MIN('3.1 Market'!$H270,'1.1 Control Panel'!AJ346*'1.1 Control Panel'!AJ$321)</f>
        <v>1</v>
      </c>
      <c r="AK279" s="20">
        <f>MIN('3.1 Market'!$H270,'1.1 Control Panel'!AK346*'1.1 Control Panel'!AK$321)</f>
        <v>1</v>
      </c>
      <c r="AL279" s="20">
        <f>MIN('3.1 Market'!$H270,'1.1 Control Panel'!AL346*'1.1 Control Panel'!AL$321)</f>
        <v>1</v>
      </c>
      <c r="AM279" s="20">
        <f>MIN('3.1 Market'!$H270,'1.1 Control Panel'!AM346*'1.1 Control Panel'!AM$321)</f>
        <v>1</v>
      </c>
      <c r="AN279" s="20">
        <f>MIN('3.1 Market'!$H270,'1.1 Control Panel'!AN346*'1.1 Control Panel'!AN$321)</f>
        <v>1</v>
      </c>
      <c r="AP279" s="20"/>
    </row>
    <row r="280" spans="2:42" x14ac:dyDescent="0.25">
      <c r="C280" s="20" t="s">
        <v>454</v>
      </c>
      <c r="D280" s="34" t="s">
        <v>162</v>
      </c>
      <c r="E280" s="20">
        <f>MIN('3.1 Market'!$F271,'1.1 Control Panel'!E347*'1.1 Control Panel'!E$321)</f>
        <v>0</v>
      </c>
      <c r="F280" s="20">
        <f>MIN('3.1 Market'!$F271,'1.1 Control Panel'!F347*'1.1 Control Panel'!F$321)</f>
        <v>0</v>
      </c>
      <c r="G280" s="20">
        <f>MIN('3.1 Market'!$F271,'1.1 Control Panel'!G347*'1.1 Control Panel'!G$321)</f>
        <v>0</v>
      </c>
      <c r="H280" s="20">
        <f>MIN('3.1 Market'!$F271,'1.1 Control Panel'!H347*'1.1 Control Panel'!H$321)</f>
        <v>0</v>
      </c>
      <c r="I280" s="20">
        <f>MIN('3.1 Market'!$F271,'1.1 Control Panel'!I347*'1.1 Control Panel'!I$321)</f>
        <v>0</v>
      </c>
      <c r="J280" s="20">
        <f>MIN('3.1 Market'!$F271,'1.1 Control Panel'!J347*'1.1 Control Panel'!J$321)</f>
        <v>0</v>
      </c>
      <c r="K280" s="20">
        <f>MIN('3.1 Market'!$F271,'1.1 Control Panel'!K347*'1.1 Control Panel'!K$321)</f>
        <v>0</v>
      </c>
      <c r="L280" s="20">
        <f>MIN('3.1 Market'!$F271,'1.1 Control Panel'!L347*'1.1 Control Panel'!L$321)</f>
        <v>0</v>
      </c>
      <c r="M280" s="20">
        <f>MIN('3.1 Market'!$F271,'1.1 Control Panel'!M347*'1.1 Control Panel'!M$321)</f>
        <v>0</v>
      </c>
      <c r="N280" s="20">
        <f>MIN('3.1 Market'!$F271,'1.1 Control Panel'!N347*'1.1 Control Panel'!N$321)</f>
        <v>0</v>
      </c>
      <c r="O280" s="20">
        <f>MIN('3.1 Market'!$F271,'1.1 Control Panel'!O347*'1.1 Control Panel'!O$321)</f>
        <v>0</v>
      </c>
      <c r="P280" s="20">
        <f>MIN('3.1 Market'!$F271,'1.1 Control Panel'!P347*'1.1 Control Panel'!P$321)</f>
        <v>0</v>
      </c>
      <c r="Q280" s="20">
        <f>MIN('3.1 Market'!$G271,'1.1 Control Panel'!Q347*'1.1 Control Panel'!Q$321)</f>
        <v>0</v>
      </c>
      <c r="R280" s="20">
        <f>MIN('3.1 Market'!$G271,'1.1 Control Panel'!R347*'1.1 Control Panel'!R$321)</f>
        <v>0</v>
      </c>
      <c r="S280" s="20">
        <f>MIN('3.1 Market'!$G271,'1.1 Control Panel'!S347*'1.1 Control Panel'!S$321)</f>
        <v>0</v>
      </c>
      <c r="T280" s="20">
        <f>MIN('3.1 Market'!$G271,'1.1 Control Panel'!T347*'1.1 Control Panel'!T$321)</f>
        <v>0</v>
      </c>
      <c r="U280" s="20">
        <f>MIN('3.1 Market'!$G271,'1.1 Control Panel'!U347*'1.1 Control Panel'!U$321)</f>
        <v>4</v>
      </c>
      <c r="V280" s="20">
        <f>MIN('3.1 Market'!$G271,'1.1 Control Panel'!V347*'1.1 Control Panel'!V$321)</f>
        <v>4</v>
      </c>
      <c r="W280" s="20">
        <f>MIN('3.1 Market'!$G271,'1.1 Control Panel'!W347*'1.1 Control Panel'!W$321)</f>
        <v>4</v>
      </c>
      <c r="X280" s="20">
        <f>MIN('3.1 Market'!$G271,'1.1 Control Panel'!X347*'1.1 Control Panel'!X$321)</f>
        <v>4</v>
      </c>
      <c r="Y280" s="20">
        <f>MIN('3.1 Market'!$G271,'1.1 Control Panel'!Y347*'1.1 Control Panel'!Y$321)</f>
        <v>4</v>
      </c>
      <c r="Z280" s="20">
        <f>MIN('3.1 Market'!$G271,'1.1 Control Panel'!Z347*'1.1 Control Panel'!Z$321)</f>
        <v>4</v>
      </c>
      <c r="AA280" s="20">
        <f>MIN('3.1 Market'!$G271,'1.1 Control Panel'!AA347*'1.1 Control Panel'!AA$321)</f>
        <v>4</v>
      </c>
      <c r="AB280" s="20">
        <f>MIN('3.1 Market'!$G271,'1.1 Control Panel'!AB347*'1.1 Control Panel'!AB$321)</f>
        <v>4</v>
      </c>
      <c r="AC280" s="20">
        <f>MIN('3.1 Market'!$H271,'1.1 Control Panel'!AC347*'1.1 Control Panel'!AC$321)</f>
        <v>4</v>
      </c>
      <c r="AD280" s="20">
        <f>MIN('3.1 Market'!$H271,'1.1 Control Panel'!AD347*'1.1 Control Panel'!AD$321)</f>
        <v>4</v>
      </c>
      <c r="AE280" s="20">
        <f>MIN('3.1 Market'!$H271,'1.1 Control Panel'!AE347*'1.1 Control Panel'!AE$321)</f>
        <v>4</v>
      </c>
      <c r="AF280" s="20">
        <f>MIN('3.1 Market'!$H271,'1.1 Control Panel'!AF347*'1.1 Control Panel'!AF$321)</f>
        <v>4</v>
      </c>
      <c r="AG280" s="20">
        <f>MIN('3.1 Market'!$H271,'1.1 Control Panel'!AG347*'1.1 Control Panel'!AG$321)</f>
        <v>4</v>
      </c>
      <c r="AH280" s="20">
        <f>MIN('3.1 Market'!$H271,'1.1 Control Panel'!AH347*'1.1 Control Panel'!AH$321)</f>
        <v>4</v>
      </c>
      <c r="AI280" s="20">
        <f>MIN('3.1 Market'!$H271,'1.1 Control Panel'!AI347*'1.1 Control Panel'!AI$321)</f>
        <v>4</v>
      </c>
      <c r="AJ280" s="20">
        <f>MIN('3.1 Market'!$H271,'1.1 Control Panel'!AJ347*'1.1 Control Panel'!AJ$321)</f>
        <v>4</v>
      </c>
      <c r="AK280" s="20">
        <f>MIN('3.1 Market'!$H271,'1.1 Control Panel'!AK347*'1.1 Control Panel'!AK$321)</f>
        <v>4</v>
      </c>
      <c r="AL280" s="20">
        <f>MIN('3.1 Market'!$H271,'1.1 Control Panel'!AL347*'1.1 Control Panel'!AL$321)</f>
        <v>4</v>
      </c>
      <c r="AM280" s="20">
        <f>MIN('3.1 Market'!$H271,'1.1 Control Panel'!AM347*'1.1 Control Panel'!AM$321)</f>
        <v>4</v>
      </c>
      <c r="AN280" s="20">
        <f>MIN('3.1 Market'!$H271,'1.1 Control Panel'!AN347*'1.1 Control Panel'!AN$321)</f>
        <v>4</v>
      </c>
      <c r="AP280" s="20"/>
    </row>
    <row r="281" spans="2:42" x14ac:dyDescent="0.25">
      <c r="C281" s="21" t="s">
        <v>455</v>
      </c>
      <c r="D281" s="38" t="s">
        <v>162</v>
      </c>
      <c r="E281" s="21">
        <f>MIN('3.1 Market'!$F272,'1.1 Control Panel'!E348*'1.1 Control Panel'!E$321)</f>
        <v>0</v>
      </c>
      <c r="F281" s="21">
        <f>MIN('3.1 Market'!$F272,'1.1 Control Panel'!F348*'1.1 Control Panel'!F$321)</f>
        <v>0</v>
      </c>
      <c r="G281" s="21">
        <f>MIN('3.1 Market'!$F272,'1.1 Control Panel'!G348*'1.1 Control Panel'!G$321)</f>
        <v>0</v>
      </c>
      <c r="H281" s="21">
        <f>MIN('3.1 Market'!$F272,'1.1 Control Panel'!H348*'1.1 Control Panel'!H$321)</f>
        <v>0</v>
      </c>
      <c r="I281" s="21">
        <f>MIN('3.1 Market'!$F272,'1.1 Control Panel'!I348*'1.1 Control Panel'!I$321)</f>
        <v>0</v>
      </c>
      <c r="J281" s="21">
        <f>MIN('3.1 Market'!$F272,'1.1 Control Panel'!J348*'1.1 Control Panel'!J$321)</f>
        <v>0</v>
      </c>
      <c r="K281" s="21">
        <f>MIN('3.1 Market'!$F272,'1.1 Control Panel'!K348*'1.1 Control Panel'!K$321)</f>
        <v>0</v>
      </c>
      <c r="L281" s="21">
        <f>MIN('3.1 Market'!$F272,'1.1 Control Panel'!L348*'1.1 Control Panel'!L$321)</f>
        <v>0</v>
      </c>
      <c r="M281" s="21">
        <f>MIN('3.1 Market'!$F272,'1.1 Control Panel'!M348*'1.1 Control Panel'!M$321)</f>
        <v>0</v>
      </c>
      <c r="N281" s="21">
        <f>MIN('3.1 Market'!$F272,'1.1 Control Panel'!N348*'1.1 Control Panel'!N$321)</f>
        <v>0</v>
      </c>
      <c r="O281" s="21">
        <f>MIN('3.1 Market'!$F272,'1.1 Control Panel'!O348*'1.1 Control Panel'!O$321)</f>
        <v>0</v>
      </c>
      <c r="P281" s="21">
        <f>MIN('3.1 Market'!$F272,'1.1 Control Panel'!P348*'1.1 Control Panel'!P$321)</f>
        <v>0</v>
      </c>
      <c r="Q281" s="21">
        <f>MIN('3.1 Market'!$G272,'1.1 Control Panel'!Q348*'1.1 Control Panel'!Q$321)</f>
        <v>0</v>
      </c>
      <c r="R281" s="21">
        <f>MIN('3.1 Market'!$G272,'1.1 Control Panel'!R348*'1.1 Control Panel'!R$321)</f>
        <v>0</v>
      </c>
      <c r="S281" s="21">
        <f>MIN('3.1 Market'!$G272,'1.1 Control Panel'!S348*'1.1 Control Panel'!S$321)</f>
        <v>0</v>
      </c>
      <c r="T281" s="21">
        <f>MIN('3.1 Market'!$G272,'1.1 Control Panel'!T348*'1.1 Control Panel'!T$321)</f>
        <v>0</v>
      </c>
      <c r="U281" s="21">
        <f>MIN('3.1 Market'!$G272,'1.1 Control Panel'!U348*'1.1 Control Panel'!U$321)</f>
        <v>4.9155575069868043</v>
      </c>
      <c r="V281" s="21">
        <f>MIN('3.1 Market'!$G272,'1.1 Control Panel'!V348*'1.1 Control Panel'!V$321)</f>
        <v>4.9324460055894441</v>
      </c>
      <c r="W281" s="21">
        <f>MIN('3.1 Market'!$G272,'1.1 Control Panel'!W348*'1.1 Control Panel'!W$321)</f>
        <v>4.9459568044715549</v>
      </c>
      <c r="X281" s="21">
        <f>MIN('3.1 Market'!$G272,'1.1 Control Panel'!X348*'1.1 Control Panel'!X$321)</f>
        <v>4.9567654435772441</v>
      </c>
      <c r="Y281" s="21">
        <f>MIN('3.1 Market'!$G272,'1.1 Control Panel'!Y348*'1.1 Control Panel'!Y$321)</f>
        <v>4.9654123548617957</v>
      </c>
      <c r="Z281" s="21">
        <f>MIN('3.1 Market'!$G272,'1.1 Control Panel'!Z348*'1.1 Control Panel'!Z$321)</f>
        <v>4.9723298838894365</v>
      </c>
      <c r="AA281" s="21">
        <f>MIN('3.1 Market'!$G272,'1.1 Control Panel'!AA348*'1.1 Control Panel'!AA$321)</f>
        <v>4.9778639071115496</v>
      </c>
      <c r="AB281" s="21">
        <f>MIN('3.1 Market'!$G272,'1.1 Control Panel'!AB348*'1.1 Control Panel'!AB$321)</f>
        <v>4.9822911256892404</v>
      </c>
      <c r="AC281" s="21">
        <f>MIN('3.1 Market'!$H272,'1.1 Control Panel'!AC348*'1.1 Control Panel'!AC$321)</f>
        <v>9.9716658011027839</v>
      </c>
      <c r="AD281" s="21">
        <f>MIN('3.1 Market'!$H272,'1.1 Control Panel'!AD348*'1.1 Control Panel'!AD$321)</f>
        <v>9.9773326408822278</v>
      </c>
      <c r="AE281" s="21">
        <f>MIN('3.1 Market'!$H272,'1.1 Control Panel'!AE348*'1.1 Control Panel'!AE$321)</f>
        <v>9.9818661127057826</v>
      </c>
      <c r="AF281" s="21">
        <f>MIN('3.1 Market'!$H272,'1.1 Control Panel'!AF348*'1.1 Control Panel'!AF$321)</f>
        <v>9.9854928901646254</v>
      </c>
      <c r="AG281" s="21">
        <f>MIN('3.1 Market'!$H272,'1.1 Control Panel'!AG348*'1.1 Control Panel'!AG$321)</f>
        <v>14.982591468197549</v>
      </c>
      <c r="AH281" s="21">
        <f>MIN('3.1 Market'!$H272,'1.1 Control Panel'!AH348*'1.1 Control Panel'!AH$321)</f>
        <v>14.986073174558038</v>
      </c>
      <c r="AI281" s="21">
        <f>MIN('3.1 Market'!$H272,'1.1 Control Panel'!AI348*'1.1 Control Panel'!AI$321)</f>
        <v>14.988858539646433</v>
      </c>
      <c r="AJ281" s="21">
        <f>MIN('3.1 Market'!$H272,'1.1 Control Panel'!AJ348*'1.1 Control Panel'!AJ$321)</f>
        <v>14.991086831717148</v>
      </c>
      <c r="AK281" s="21">
        <f>MIN('3.1 Market'!$H272,'1.1 Control Panel'!AK348*'1.1 Control Panel'!AK$321)</f>
        <v>14.992869465373719</v>
      </c>
      <c r="AL281" s="21">
        <f>MIN('3.1 Market'!$H272,'1.1 Control Panel'!AL348*'1.1 Control Panel'!AL$321)</f>
        <v>14.994295572298975</v>
      </c>
      <c r="AM281" s="21">
        <f>MIN('3.1 Market'!$H272,'1.1 Control Panel'!AM348*'1.1 Control Panel'!AM$321)</f>
        <v>14.995436457839181</v>
      </c>
      <c r="AN281" s="21">
        <f>MIN('3.1 Market'!$H272,'1.1 Control Panel'!AN348*'1.1 Control Panel'!AN$321)</f>
        <v>14.996349166271347</v>
      </c>
      <c r="AP281" s="21"/>
    </row>
    <row r="282" spans="2:42" x14ac:dyDescent="0.25">
      <c r="C282" s="21" t="s">
        <v>393</v>
      </c>
      <c r="D282" s="38" t="s">
        <v>162</v>
      </c>
      <c r="E282" s="21">
        <f>MIN('3.1 Market'!$F273,'1.1 Control Panel'!E349*'1.1 Control Panel'!E$321)</f>
        <v>0</v>
      </c>
      <c r="F282" s="21">
        <f>MIN('3.1 Market'!$F273,'1.1 Control Panel'!F349*'1.1 Control Panel'!F$321)</f>
        <v>0</v>
      </c>
      <c r="G282" s="21">
        <f>MIN('3.1 Market'!$F273,'1.1 Control Panel'!G349*'1.1 Control Panel'!G$321)</f>
        <v>0</v>
      </c>
      <c r="H282" s="21">
        <f>MIN('3.1 Market'!$F273,'1.1 Control Panel'!H349*'1.1 Control Panel'!H$321)</f>
        <v>0</v>
      </c>
      <c r="I282" s="21">
        <f>MIN('3.1 Market'!$F273,'1.1 Control Panel'!I349*'1.1 Control Panel'!I$321)</f>
        <v>0</v>
      </c>
      <c r="J282" s="21">
        <f>MIN('3.1 Market'!$F273,'1.1 Control Panel'!J349*'1.1 Control Panel'!J$321)</f>
        <v>0</v>
      </c>
      <c r="K282" s="21">
        <f>MIN('3.1 Market'!$F273,'1.1 Control Panel'!K349*'1.1 Control Panel'!K$321)</f>
        <v>0</v>
      </c>
      <c r="L282" s="21">
        <f>MIN('3.1 Market'!$F273,'1.1 Control Panel'!L349*'1.1 Control Panel'!L$321)</f>
        <v>0</v>
      </c>
      <c r="M282" s="21">
        <f>MIN('3.1 Market'!$F273,'1.1 Control Panel'!M349*'1.1 Control Panel'!M$321)</f>
        <v>0</v>
      </c>
      <c r="N282" s="21">
        <f>MIN('3.1 Market'!$F273,'1.1 Control Panel'!N349*'1.1 Control Panel'!N$321)</f>
        <v>0</v>
      </c>
      <c r="O282" s="21">
        <f>MIN('3.1 Market'!$F273,'1.1 Control Panel'!O349*'1.1 Control Panel'!O$321)</f>
        <v>0</v>
      </c>
      <c r="P282" s="21">
        <f>MIN('3.1 Market'!$F273,'1.1 Control Panel'!P349*'1.1 Control Panel'!P$321)</f>
        <v>0</v>
      </c>
      <c r="Q282" s="21">
        <f>MIN('3.1 Market'!$G273,'1.1 Control Panel'!Q349*'1.1 Control Panel'!Q$321)</f>
        <v>0</v>
      </c>
      <c r="R282" s="21">
        <f>MIN('3.1 Market'!$G273,'1.1 Control Panel'!R349*'1.1 Control Panel'!R$321)</f>
        <v>0</v>
      </c>
      <c r="S282" s="21">
        <f>MIN('3.1 Market'!$G273,'1.1 Control Panel'!S349*'1.1 Control Panel'!S$321)</f>
        <v>0</v>
      </c>
      <c r="T282" s="21">
        <f>MIN('3.1 Market'!$G273,'1.1 Control Panel'!T349*'1.1 Control Panel'!T$321)</f>
        <v>0</v>
      </c>
      <c r="U282" s="21">
        <f>MIN('3.1 Market'!$G273,'1.1 Control Panel'!U349*'1.1 Control Panel'!U$321)</f>
        <v>4.8874100093157384</v>
      </c>
      <c r="V282" s="21">
        <f>MIN('3.1 Market'!$G273,'1.1 Control Panel'!V349*'1.1 Control Panel'!V$321)</f>
        <v>4.9099280074525904</v>
      </c>
      <c r="W282" s="21">
        <f>MIN('3.1 Market'!$G273,'1.1 Control Panel'!W349*'1.1 Control Panel'!W$321)</f>
        <v>4.9279424059620727</v>
      </c>
      <c r="X282" s="21">
        <f>MIN('3.1 Market'!$G273,'1.1 Control Panel'!X349*'1.1 Control Panel'!X$321)</f>
        <v>4.9423539247696588</v>
      </c>
      <c r="Y282" s="21">
        <f>MIN('3.1 Market'!$G273,'1.1 Control Panel'!Y349*'1.1 Control Panel'!Y$321)</f>
        <v>4.9538831398157273</v>
      </c>
      <c r="Z282" s="21">
        <f>MIN('3.1 Market'!$G273,'1.1 Control Panel'!Z349*'1.1 Control Panel'!Z$321)</f>
        <v>4.9631065118525814</v>
      </c>
      <c r="AA282" s="21">
        <f>MIN('3.1 Market'!$G273,'1.1 Control Panel'!AA349*'1.1 Control Panel'!AA$321)</f>
        <v>4.9704852094820655</v>
      </c>
      <c r="AB282" s="21">
        <f>MIN('3.1 Market'!$G273,'1.1 Control Panel'!AB349*'1.1 Control Panel'!AB$321)</f>
        <v>4.9763881675856521</v>
      </c>
      <c r="AC282" s="21">
        <f>MIN('3.1 Market'!$H273,'1.1 Control Panel'!AC349*'1.1 Control Panel'!AC$321)</f>
        <v>9.962221068137044</v>
      </c>
      <c r="AD282" s="21">
        <f>MIN('3.1 Market'!$H273,'1.1 Control Panel'!AD349*'1.1 Control Panel'!AD$321)</f>
        <v>9.9697768545096359</v>
      </c>
      <c r="AE282" s="21">
        <f>MIN('3.1 Market'!$H273,'1.1 Control Panel'!AE349*'1.1 Control Panel'!AE$321)</f>
        <v>9.9758214836077101</v>
      </c>
      <c r="AF282" s="21">
        <f>MIN('3.1 Market'!$H273,'1.1 Control Panel'!AF349*'1.1 Control Panel'!AF$321)</f>
        <v>9.9806571868861695</v>
      </c>
      <c r="AG282" s="21">
        <f>MIN('3.1 Market'!$H273,'1.1 Control Panel'!AG349*'1.1 Control Panel'!AG$321)</f>
        <v>14.976788624263405</v>
      </c>
      <c r="AH282" s="21">
        <f>MIN('3.1 Market'!$H273,'1.1 Control Panel'!AH349*'1.1 Control Panel'!AH$321)</f>
        <v>14.981430899410725</v>
      </c>
      <c r="AI282" s="21">
        <f>MIN('3.1 Market'!$H273,'1.1 Control Panel'!AI349*'1.1 Control Panel'!AI$321)</f>
        <v>14.985144719528581</v>
      </c>
      <c r="AJ282" s="21">
        <f>MIN('3.1 Market'!$H273,'1.1 Control Panel'!AJ349*'1.1 Control Panel'!AJ$321)</f>
        <v>14.988115775622866</v>
      </c>
      <c r="AK282" s="21">
        <f>MIN('3.1 Market'!$H273,'1.1 Control Panel'!AK349*'1.1 Control Panel'!AK$321)</f>
        <v>14.990492620498294</v>
      </c>
      <c r="AL282" s="21">
        <f>MIN('3.1 Market'!$H273,'1.1 Control Panel'!AL349*'1.1 Control Panel'!AL$321)</f>
        <v>14.992394096398636</v>
      </c>
      <c r="AM282" s="21">
        <f>MIN('3.1 Market'!$H273,'1.1 Control Panel'!AM349*'1.1 Control Panel'!AM$321)</f>
        <v>14.993915277118909</v>
      </c>
      <c r="AN282" s="21">
        <f>MIN('3.1 Market'!$H273,'1.1 Control Panel'!AN349*'1.1 Control Panel'!AN$321)</f>
        <v>14.995132221695128</v>
      </c>
      <c r="AP282" s="21"/>
    </row>
    <row r="283" spans="2:42" x14ac:dyDescent="0.25">
      <c r="C283" s="21" t="s">
        <v>456</v>
      </c>
      <c r="D283" s="38" t="s">
        <v>162</v>
      </c>
      <c r="E283" s="21">
        <f>MIN('3.1 Market'!$F274,'1.1 Control Panel'!E350*'1.1 Control Panel'!E$321)</f>
        <v>0</v>
      </c>
      <c r="F283" s="21">
        <f>MIN('3.1 Market'!$F274,'1.1 Control Panel'!F350*'1.1 Control Panel'!F$321)</f>
        <v>0</v>
      </c>
      <c r="G283" s="21">
        <f>MIN('3.1 Market'!$F274,'1.1 Control Panel'!G350*'1.1 Control Panel'!G$321)</f>
        <v>0</v>
      </c>
      <c r="H283" s="21">
        <f>MIN('3.1 Market'!$F274,'1.1 Control Panel'!H350*'1.1 Control Panel'!H$321)</f>
        <v>0</v>
      </c>
      <c r="I283" s="21">
        <f>MIN('3.1 Market'!$F274,'1.1 Control Panel'!I350*'1.1 Control Panel'!I$321)</f>
        <v>0</v>
      </c>
      <c r="J283" s="21">
        <f>MIN('3.1 Market'!$F274,'1.1 Control Panel'!J350*'1.1 Control Panel'!J$321)</f>
        <v>0</v>
      </c>
      <c r="K283" s="21">
        <f>MIN('3.1 Market'!$F274,'1.1 Control Panel'!K350*'1.1 Control Panel'!K$321)</f>
        <v>0</v>
      </c>
      <c r="L283" s="21">
        <f>MIN('3.1 Market'!$F274,'1.1 Control Panel'!L350*'1.1 Control Panel'!L$321)</f>
        <v>0</v>
      </c>
      <c r="M283" s="21">
        <f>MIN('3.1 Market'!$F274,'1.1 Control Panel'!M350*'1.1 Control Panel'!M$321)</f>
        <v>0</v>
      </c>
      <c r="N283" s="21">
        <f>MIN('3.1 Market'!$F274,'1.1 Control Panel'!N350*'1.1 Control Panel'!N$321)</f>
        <v>0</v>
      </c>
      <c r="O283" s="21">
        <f>MIN('3.1 Market'!$F274,'1.1 Control Panel'!O350*'1.1 Control Panel'!O$321)</f>
        <v>0</v>
      </c>
      <c r="P283" s="21">
        <f>MIN('3.1 Market'!$F274,'1.1 Control Panel'!P350*'1.1 Control Panel'!P$321)</f>
        <v>0</v>
      </c>
      <c r="Q283" s="21">
        <f>MIN('3.1 Market'!$G274,'1.1 Control Panel'!Q350*'1.1 Control Panel'!Q$321)</f>
        <v>0</v>
      </c>
      <c r="R283" s="21">
        <f>MIN('3.1 Market'!$G274,'1.1 Control Panel'!R350*'1.1 Control Panel'!R$321)</f>
        <v>0</v>
      </c>
      <c r="S283" s="21">
        <f>MIN('3.1 Market'!$G274,'1.1 Control Panel'!S350*'1.1 Control Panel'!S$321)</f>
        <v>0</v>
      </c>
      <c r="T283" s="21">
        <f>MIN('3.1 Market'!$G274,'1.1 Control Panel'!T350*'1.1 Control Panel'!T$321)</f>
        <v>0</v>
      </c>
      <c r="U283" s="21">
        <f>MIN('3.1 Market'!$G274,'1.1 Control Panel'!U350*'1.1 Control Panel'!U$321)</f>
        <v>3</v>
      </c>
      <c r="V283" s="21">
        <f>MIN('3.1 Market'!$G274,'1.1 Control Panel'!V350*'1.1 Control Panel'!V$321)</f>
        <v>3</v>
      </c>
      <c r="W283" s="21">
        <f>MIN('3.1 Market'!$G274,'1.1 Control Panel'!W350*'1.1 Control Panel'!W$321)</f>
        <v>3</v>
      </c>
      <c r="X283" s="21">
        <f>MIN('3.1 Market'!$G274,'1.1 Control Panel'!X350*'1.1 Control Panel'!X$321)</f>
        <v>3</v>
      </c>
      <c r="Y283" s="21">
        <f>MIN('3.1 Market'!$G274,'1.1 Control Panel'!Y350*'1.1 Control Panel'!Y$321)</f>
        <v>3</v>
      </c>
      <c r="Z283" s="21">
        <f>MIN('3.1 Market'!$G274,'1.1 Control Panel'!Z350*'1.1 Control Panel'!Z$321)</f>
        <v>3</v>
      </c>
      <c r="AA283" s="21">
        <f>MIN('3.1 Market'!$G274,'1.1 Control Panel'!AA350*'1.1 Control Panel'!AA$321)</f>
        <v>3</v>
      </c>
      <c r="AB283" s="21">
        <f>MIN('3.1 Market'!$G274,'1.1 Control Panel'!AB350*'1.1 Control Panel'!AB$321)</f>
        <v>3</v>
      </c>
      <c r="AC283" s="21">
        <f>MIN('3.1 Market'!$H274,'1.1 Control Panel'!AC350*'1.1 Control Panel'!AC$321)</f>
        <v>4</v>
      </c>
      <c r="AD283" s="21">
        <f>MIN('3.1 Market'!$H274,'1.1 Control Panel'!AD350*'1.1 Control Panel'!AD$321)</f>
        <v>4</v>
      </c>
      <c r="AE283" s="21">
        <f>MIN('3.1 Market'!$H274,'1.1 Control Panel'!AE350*'1.1 Control Panel'!AE$321)</f>
        <v>4</v>
      </c>
      <c r="AF283" s="21">
        <f>MIN('3.1 Market'!$H274,'1.1 Control Panel'!AF350*'1.1 Control Panel'!AF$321)</f>
        <v>4</v>
      </c>
      <c r="AG283" s="21">
        <f>MIN('3.1 Market'!$H274,'1.1 Control Panel'!AG350*'1.1 Control Panel'!AG$321)</f>
        <v>4</v>
      </c>
      <c r="AH283" s="21">
        <f>MIN('3.1 Market'!$H274,'1.1 Control Panel'!AH350*'1.1 Control Panel'!AH$321)</f>
        <v>4</v>
      </c>
      <c r="AI283" s="21">
        <f>MIN('3.1 Market'!$H274,'1.1 Control Panel'!AI350*'1.1 Control Panel'!AI$321)</f>
        <v>4</v>
      </c>
      <c r="AJ283" s="21">
        <f>MIN('3.1 Market'!$H274,'1.1 Control Panel'!AJ350*'1.1 Control Panel'!AJ$321)</f>
        <v>4</v>
      </c>
      <c r="AK283" s="21">
        <f>MIN('3.1 Market'!$H274,'1.1 Control Panel'!AK350*'1.1 Control Panel'!AK$321)</f>
        <v>4</v>
      </c>
      <c r="AL283" s="21">
        <f>MIN('3.1 Market'!$H274,'1.1 Control Panel'!AL350*'1.1 Control Panel'!AL$321)</f>
        <v>4</v>
      </c>
      <c r="AM283" s="21">
        <f>MIN('3.1 Market'!$H274,'1.1 Control Panel'!AM350*'1.1 Control Panel'!AM$321)</f>
        <v>4</v>
      </c>
      <c r="AN283" s="21">
        <f>MIN('3.1 Market'!$H274,'1.1 Control Panel'!AN350*'1.1 Control Panel'!AN$321)</f>
        <v>4</v>
      </c>
      <c r="AP283" s="21"/>
    </row>
    <row r="284" spans="2:42" x14ac:dyDescent="0.25">
      <c r="B284" s="99" t="s">
        <v>9</v>
      </c>
      <c r="C284" s="105" t="str">
        <f>'4.2 Sector Mapping'!$B$6</f>
        <v>Communication, Media and Technology</v>
      </c>
      <c r="D284" s="106" t="s">
        <v>162</v>
      </c>
      <c r="E284" s="105">
        <f>SUM(E285:E290)</f>
        <v>15</v>
      </c>
      <c r="F284" s="105">
        <f t="shared" ref="F284:H284" si="147">SUM(F285:F290)</f>
        <v>15</v>
      </c>
      <c r="G284" s="105">
        <f t="shared" si="147"/>
        <v>15</v>
      </c>
      <c r="H284" s="105">
        <f t="shared" si="147"/>
        <v>15</v>
      </c>
      <c r="I284" s="105">
        <f t="shared" ref="I284:AN284" si="148">SUM(I285:I290)</f>
        <v>15</v>
      </c>
      <c r="J284" s="105">
        <f t="shared" si="148"/>
        <v>30</v>
      </c>
      <c r="K284" s="105">
        <f t="shared" si="148"/>
        <v>30</v>
      </c>
      <c r="L284" s="105">
        <f t="shared" si="148"/>
        <v>30</v>
      </c>
      <c r="M284" s="105">
        <f t="shared" si="148"/>
        <v>30</v>
      </c>
      <c r="N284" s="105">
        <f t="shared" si="148"/>
        <v>30</v>
      </c>
      <c r="O284" s="105">
        <f t="shared" si="148"/>
        <v>30</v>
      </c>
      <c r="P284" s="105">
        <f t="shared" si="148"/>
        <v>30</v>
      </c>
      <c r="Q284" s="105">
        <f t="shared" si="148"/>
        <v>42</v>
      </c>
      <c r="R284" s="105">
        <f t="shared" si="148"/>
        <v>42</v>
      </c>
      <c r="S284" s="105">
        <f t="shared" si="148"/>
        <v>42</v>
      </c>
      <c r="T284" s="105">
        <f t="shared" si="148"/>
        <v>42</v>
      </c>
      <c r="U284" s="105">
        <f t="shared" si="148"/>
        <v>53</v>
      </c>
      <c r="V284" s="105">
        <f t="shared" si="148"/>
        <v>53</v>
      </c>
      <c r="W284" s="105">
        <f t="shared" si="148"/>
        <v>53</v>
      </c>
      <c r="X284" s="105">
        <f t="shared" si="148"/>
        <v>53</v>
      </c>
      <c r="Y284" s="105">
        <f t="shared" si="148"/>
        <v>64</v>
      </c>
      <c r="Z284" s="105">
        <f t="shared" si="148"/>
        <v>64</v>
      </c>
      <c r="AA284" s="105">
        <f t="shared" si="148"/>
        <v>64</v>
      </c>
      <c r="AB284" s="105">
        <f t="shared" si="148"/>
        <v>64</v>
      </c>
      <c r="AC284" s="105">
        <f t="shared" si="148"/>
        <v>108</v>
      </c>
      <c r="AD284" s="105">
        <f t="shared" si="148"/>
        <v>108</v>
      </c>
      <c r="AE284" s="105">
        <f t="shared" si="148"/>
        <v>108</v>
      </c>
      <c r="AF284" s="105">
        <f t="shared" si="148"/>
        <v>108</v>
      </c>
      <c r="AG284" s="105">
        <f t="shared" si="148"/>
        <v>152</v>
      </c>
      <c r="AH284" s="105">
        <f t="shared" si="148"/>
        <v>152</v>
      </c>
      <c r="AI284" s="105">
        <f t="shared" si="148"/>
        <v>152</v>
      </c>
      <c r="AJ284" s="105">
        <f t="shared" si="148"/>
        <v>152</v>
      </c>
      <c r="AK284" s="105">
        <f t="shared" si="148"/>
        <v>196</v>
      </c>
      <c r="AL284" s="105">
        <f t="shared" si="148"/>
        <v>196</v>
      </c>
      <c r="AM284" s="105">
        <f t="shared" si="148"/>
        <v>196</v>
      </c>
      <c r="AN284" s="105">
        <f t="shared" si="148"/>
        <v>196</v>
      </c>
      <c r="AP284" s="105"/>
    </row>
    <row r="285" spans="2:42" x14ac:dyDescent="0.25">
      <c r="C285" s="20" t="s">
        <v>600</v>
      </c>
      <c r="D285" s="34" t="s">
        <v>162</v>
      </c>
      <c r="E285" s="20">
        <f>MIN('3.1 Market'!$F276,'1.1 Control Panel'!E376*'1.1 Control Panel'!E$352)</f>
        <v>5</v>
      </c>
      <c r="F285" s="20">
        <f>MIN('3.1 Market'!$F276,'1.1 Control Panel'!F376*'1.1 Control Panel'!F$352)</f>
        <v>5</v>
      </c>
      <c r="G285" s="20">
        <f>MIN('3.1 Market'!$F276,'1.1 Control Panel'!G376*'1.1 Control Panel'!G$352)</f>
        <v>5</v>
      </c>
      <c r="H285" s="20">
        <f>MIN('3.1 Market'!$F276,'1.1 Control Panel'!H376*'1.1 Control Panel'!H$352)</f>
        <v>5</v>
      </c>
      <c r="I285" s="20">
        <f>MIN('3.1 Market'!$F276,'1.1 Control Panel'!I376*'1.1 Control Panel'!I$352)</f>
        <v>5</v>
      </c>
      <c r="J285" s="20">
        <f>MIN('3.1 Market'!$F276,'1.1 Control Panel'!J376*'1.1 Control Panel'!J$352)</f>
        <v>10</v>
      </c>
      <c r="K285" s="20">
        <f>MIN('3.1 Market'!$F276,'1.1 Control Panel'!K376*'1.1 Control Panel'!K$352)</f>
        <v>10</v>
      </c>
      <c r="L285" s="20">
        <f>MIN('3.1 Market'!$F276,'1.1 Control Panel'!L376*'1.1 Control Panel'!L$352)</f>
        <v>10</v>
      </c>
      <c r="M285" s="20">
        <f>MIN('3.1 Market'!$F276,'1.1 Control Panel'!M376*'1.1 Control Panel'!M$352)</f>
        <v>10</v>
      </c>
      <c r="N285" s="20">
        <f>MIN('3.1 Market'!$F276,'1.1 Control Panel'!N376*'1.1 Control Panel'!N$352)</f>
        <v>10</v>
      </c>
      <c r="O285" s="20">
        <f>MIN('3.1 Market'!$F276,'1.1 Control Panel'!O376*'1.1 Control Panel'!O$352)</f>
        <v>10</v>
      </c>
      <c r="P285" s="20">
        <f>MIN('3.1 Market'!$F276,'1.1 Control Panel'!P376*'1.1 Control Panel'!P$352)</f>
        <v>10</v>
      </c>
      <c r="Q285" s="20">
        <f>MIN('3.1 Market'!$G276,'1.1 Control Panel'!Q376*'1.1 Control Panel'!Q$352)</f>
        <v>15</v>
      </c>
      <c r="R285" s="20">
        <f>MIN('3.1 Market'!$G276,'1.1 Control Panel'!R376*'1.1 Control Panel'!R$352)</f>
        <v>15</v>
      </c>
      <c r="S285" s="20">
        <f>MIN('3.1 Market'!$G276,'1.1 Control Panel'!S376*'1.1 Control Panel'!S$352)</f>
        <v>15</v>
      </c>
      <c r="T285" s="20">
        <f>MIN('3.1 Market'!$G276,'1.1 Control Panel'!T376*'1.1 Control Panel'!T$352)</f>
        <v>15</v>
      </c>
      <c r="U285" s="20">
        <f>MIN('3.1 Market'!$G276,'1.1 Control Panel'!U376*'1.1 Control Panel'!U$352)</f>
        <v>20</v>
      </c>
      <c r="V285" s="20">
        <f>MIN('3.1 Market'!$G276,'1.1 Control Panel'!V376*'1.1 Control Panel'!V$352)</f>
        <v>20</v>
      </c>
      <c r="W285" s="20">
        <f>MIN('3.1 Market'!$G276,'1.1 Control Panel'!W376*'1.1 Control Panel'!W$352)</f>
        <v>20</v>
      </c>
      <c r="X285" s="20">
        <f>MIN('3.1 Market'!$G276,'1.1 Control Panel'!X376*'1.1 Control Panel'!X$352)</f>
        <v>20</v>
      </c>
      <c r="Y285" s="20">
        <f>MIN('3.1 Market'!$G276,'1.1 Control Panel'!Y376*'1.1 Control Panel'!Y$352)</f>
        <v>25</v>
      </c>
      <c r="Z285" s="20">
        <f>MIN('3.1 Market'!$G276,'1.1 Control Panel'!Z376*'1.1 Control Panel'!Z$352)</f>
        <v>25</v>
      </c>
      <c r="AA285" s="20">
        <f>MIN('3.1 Market'!$G276,'1.1 Control Panel'!AA376*'1.1 Control Panel'!AA$352)</f>
        <v>25</v>
      </c>
      <c r="AB285" s="20">
        <f>MIN('3.1 Market'!$G276,'1.1 Control Panel'!AB376*'1.1 Control Panel'!AB$352)</f>
        <v>25</v>
      </c>
      <c r="AC285" s="20">
        <f>MIN('3.1 Market'!$H276,'1.1 Control Panel'!AC376*'1.1 Control Panel'!AC$352)</f>
        <v>45</v>
      </c>
      <c r="AD285" s="20">
        <f>MIN('3.1 Market'!$H276,'1.1 Control Panel'!AD376*'1.1 Control Panel'!AD$352)</f>
        <v>45</v>
      </c>
      <c r="AE285" s="20">
        <f>MIN('3.1 Market'!$H276,'1.1 Control Panel'!AE376*'1.1 Control Panel'!AE$352)</f>
        <v>45</v>
      </c>
      <c r="AF285" s="20">
        <f>MIN('3.1 Market'!$H276,'1.1 Control Panel'!AF376*'1.1 Control Panel'!AF$352)</f>
        <v>45</v>
      </c>
      <c r="AG285" s="20">
        <f>MIN('3.1 Market'!$H276,'1.1 Control Panel'!AG376*'1.1 Control Panel'!AG$352)</f>
        <v>65</v>
      </c>
      <c r="AH285" s="20">
        <f>MIN('3.1 Market'!$H276,'1.1 Control Panel'!AH376*'1.1 Control Panel'!AH$352)</f>
        <v>65</v>
      </c>
      <c r="AI285" s="20">
        <f>MIN('3.1 Market'!$H276,'1.1 Control Panel'!AI376*'1.1 Control Panel'!AI$352)</f>
        <v>65</v>
      </c>
      <c r="AJ285" s="20">
        <f>MIN('3.1 Market'!$H276,'1.1 Control Panel'!AJ376*'1.1 Control Panel'!AJ$352)</f>
        <v>65</v>
      </c>
      <c r="AK285" s="20">
        <f>MIN('3.1 Market'!$H276,'1.1 Control Panel'!AK376*'1.1 Control Panel'!AK$352)</f>
        <v>85</v>
      </c>
      <c r="AL285" s="20">
        <f>MIN('3.1 Market'!$H276,'1.1 Control Panel'!AL376*'1.1 Control Panel'!AL$352)</f>
        <v>85</v>
      </c>
      <c r="AM285" s="20">
        <f>MIN('3.1 Market'!$H276,'1.1 Control Panel'!AM376*'1.1 Control Panel'!AM$352)</f>
        <v>85</v>
      </c>
      <c r="AN285" s="20">
        <f>MIN('3.1 Market'!$H276,'1.1 Control Panel'!AN376*'1.1 Control Panel'!AN$352)</f>
        <v>85</v>
      </c>
      <c r="AP285" s="20"/>
    </row>
    <row r="286" spans="2:42" x14ac:dyDescent="0.25">
      <c r="C286" s="20" t="s">
        <v>392</v>
      </c>
      <c r="D286" s="34" t="s">
        <v>162</v>
      </c>
      <c r="E286" s="20">
        <f>MIN('3.1 Market'!$F277,'1.1 Control Panel'!E377*'1.1 Control Panel'!E$352)</f>
        <v>4</v>
      </c>
      <c r="F286" s="20">
        <f>MIN('3.1 Market'!$F277,'1.1 Control Panel'!F377*'1.1 Control Panel'!F$352)</f>
        <v>4</v>
      </c>
      <c r="G286" s="20">
        <f>MIN('3.1 Market'!$F277,'1.1 Control Panel'!G377*'1.1 Control Panel'!G$352)</f>
        <v>4</v>
      </c>
      <c r="H286" s="20">
        <f>MIN('3.1 Market'!$F277,'1.1 Control Panel'!H377*'1.1 Control Panel'!H$352)</f>
        <v>4</v>
      </c>
      <c r="I286" s="20">
        <f>MIN('3.1 Market'!$F277,'1.1 Control Panel'!I377*'1.1 Control Panel'!I$352)</f>
        <v>4</v>
      </c>
      <c r="J286" s="20">
        <f>MIN('3.1 Market'!$F277,'1.1 Control Panel'!J377*'1.1 Control Panel'!J$352)</f>
        <v>8</v>
      </c>
      <c r="K286" s="20">
        <f>MIN('3.1 Market'!$F277,'1.1 Control Panel'!K377*'1.1 Control Panel'!K$352)</f>
        <v>8</v>
      </c>
      <c r="L286" s="20">
        <f>MIN('3.1 Market'!$F277,'1.1 Control Panel'!L377*'1.1 Control Panel'!L$352)</f>
        <v>8</v>
      </c>
      <c r="M286" s="20">
        <f>MIN('3.1 Market'!$F277,'1.1 Control Panel'!M377*'1.1 Control Panel'!M$352)</f>
        <v>8</v>
      </c>
      <c r="N286" s="20">
        <f>MIN('3.1 Market'!$F277,'1.1 Control Panel'!N377*'1.1 Control Panel'!N$352)</f>
        <v>8</v>
      </c>
      <c r="O286" s="20">
        <f>MIN('3.1 Market'!$F277,'1.1 Control Panel'!O377*'1.1 Control Panel'!O$352)</f>
        <v>8</v>
      </c>
      <c r="P286" s="20">
        <f>MIN('3.1 Market'!$F277,'1.1 Control Panel'!P377*'1.1 Control Panel'!P$352)</f>
        <v>8</v>
      </c>
      <c r="Q286" s="20">
        <f>MIN('3.1 Market'!$G277,'1.1 Control Panel'!Q377*'1.1 Control Panel'!Q$352)</f>
        <v>9</v>
      </c>
      <c r="R286" s="20">
        <f>MIN('3.1 Market'!$G277,'1.1 Control Panel'!R377*'1.1 Control Panel'!R$352)</f>
        <v>9</v>
      </c>
      <c r="S286" s="20">
        <f>MIN('3.1 Market'!$G277,'1.1 Control Panel'!S377*'1.1 Control Panel'!S$352)</f>
        <v>9</v>
      </c>
      <c r="T286" s="20">
        <f>MIN('3.1 Market'!$G277,'1.1 Control Panel'!T377*'1.1 Control Panel'!T$352)</f>
        <v>9</v>
      </c>
      <c r="U286" s="20">
        <f>MIN('3.1 Market'!$G277,'1.1 Control Panel'!U377*'1.1 Control Panel'!U$352)</f>
        <v>9</v>
      </c>
      <c r="V286" s="20">
        <f>MIN('3.1 Market'!$G277,'1.1 Control Panel'!V377*'1.1 Control Panel'!V$352)</f>
        <v>9</v>
      </c>
      <c r="W286" s="20">
        <f>MIN('3.1 Market'!$G277,'1.1 Control Panel'!W377*'1.1 Control Panel'!W$352)</f>
        <v>9</v>
      </c>
      <c r="X286" s="20">
        <f>MIN('3.1 Market'!$G277,'1.1 Control Panel'!X377*'1.1 Control Panel'!X$352)</f>
        <v>9</v>
      </c>
      <c r="Y286" s="20">
        <f>MIN('3.1 Market'!$G277,'1.1 Control Panel'!Y377*'1.1 Control Panel'!Y$352)</f>
        <v>9</v>
      </c>
      <c r="Z286" s="20">
        <f>MIN('3.1 Market'!$G277,'1.1 Control Panel'!Z377*'1.1 Control Panel'!Z$352)</f>
        <v>9</v>
      </c>
      <c r="AA286" s="20">
        <f>MIN('3.1 Market'!$G277,'1.1 Control Panel'!AA377*'1.1 Control Panel'!AA$352)</f>
        <v>9</v>
      </c>
      <c r="AB286" s="20">
        <f>MIN('3.1 Market'!$G277,'1.1 Control Panel'!AB377*'1.1 Control Panel'!AB$352)</f>
        <v>9</v>
      </c>
      <c r="AC286" s="20">
        <f>MIN('3.1 Market'!$H277,'1.1 Control Panel'!AC377*'1.1 Control Panel'!AC$352)</f>
        <v>9</v>
      </c>
      <c r="AD286" s="20">
        <f>MIN('3.1 Market'!$H277,'1.1 Control Panel'!AD377*'1.1 Control Panel'!AD$352)</f>
        <v>9</v>
      </c>
      <c r="AE286" s="20">
        <f>MIN('3.1 Market'!$H277,'1.1 Control Panel'!AE377*'1.1 Control Panel'!AE$352)</f>
        <v>9</v>
      </c>
      <c r="AF286" s="20">
        <f>MIN('3.1 Market'!$H277,'1.1 Control Panel'!AF377*'1.1 Control Panel'!AF$352)</f>
        <v>9</v>
      </c>
      <c r="AG286" s="20">
        <f>MIN('3.1 Market'!$H277,'1.1 Control Panel'!AG377*'1.1 Control Panel'!AG$352)</f>
        <v>9</v>
      </c>
      <c r="AH286" s="20">
        <f>MIN('3.1 Market'!$H277,'1.1 Control Panel'!AH377*'1.1 Control Panel'!AH$352)</f>
        <v>9</v>
      </c>
      <c r="AI286" s="20">
        <f>MIN('3.1 Market'!$H277,'1.1 Control Panel'!AI377*'1.1 Control Panel'!AI$352)</f>
        <v>9</v>
      </c>
      <c r="AJ286" s="20">
        <f>MIN('3.1 Market'!$H277,'1.1 Control Panel'!AJ377*'1.1 Control Panel'!AJ$352)</f>
        <v>9</v>
      </c>
      <c r="AK286" s="20">
        <f>MIN('3.1 Market'!$H277,'1.1 Control Panel'!AK377*'1.1 Control Panel'!AK$352)</f>
        <v>9</v>
      </c>
      <c r="AL286" s="20">
        <f>MIN('3.1 Market'!$H277,'1.1 Control Panel'!AL377*'1.1 Control Panel'!AL$352)</f>
        <v>9</v>
      </c>
      <c r="AM286" s="20">
        <f>MIN('3.1 Market'!$H277,'1.1 Control Panel'!AM377*'1.1 Control Panel'!AM$352)</f>
        <v>9</v>
      </c>
      <c r="AN286" s="20">
        <f>MIN('3.1 Market'!$H277,'1.1 Control Panel'!AN377*'1.1 Control Panel'!AN$352)</f>
        <v>9</v>
      </c>
      <c r="AP286" s="20"/>
    </row>
    <row r="287" spans="2:42" x14ac:dyDescent="0.25">
      <c r="C287" s="20" t="s">
        <v>454</v>
      </c>
      <c r="D287" s="34" t="s">
        <v>162</v>
      </c>
      <c r="E287" s="20">
        <f>MIN('3.1 Market'!$F278,'1.1 Control Panel'!E378*'1.1 Control Panel'!E$352)</f>
        <v>3</v>
      </c>
      <c r="F287" s="20">
        <f>MIN('3.1 Market'!$F278,'1.1 Control Panel'!F378*'1.1 Control Panel'!F$352)</f>
        <v>3</v>
      </c>
      <c r="G287" s="20">
        <f>MIN('3.1 Market'!$F278,'1.1 Control Panel'!G378*'1.1 Control Panel'!G$352)</f>
        <v>3</v>
      </c>
      <c r="H287" s="20">
        <f>MIN('3.1 Market'!$F278,'1.1 Control Panel'!H378*'1.1 Control Panel'!H$352)</f>
        <v>3</v>
      </c>
      <c r="I287" s="20">
        <f>MIN('3.1 Market'!$F278,'1.1 Control Panel'!I378*'1.1 Control Panel'!I$352)</f>
        <v>3</v>
      </c>
      <c r="J287" s="20">
        <f>MIN('3.1 Market'!$F278,'1.1 Control Panel'!J378*'1.1 Control Panel'!J$352)</f>
        <v>6</v>
      </c>
      <c r="K287" s="20">
        <f>MIN('3.1 Market'!$F278,'1.1 Control Panel'!K378*'1.1 Control Panel'!K$352)</f>
        <v>6</v>
      </c>
      <c r="L287" s="20">
        <f>MIN('3.1 Market'!$F278,'1.1 Control Panel'!L378*'1.1 Control Panel'!L$352)</f>
        <v>6</v>
      </c>
      <c r="M287" s="20">
        <f>MIN('3.1 Market'!$F278,'1.1 Control Panel'!M378*'1.1 Control Panel'!M$352)</f>
        <v>6</v>
      </c>
      <c r="N287" s="20">
        <f>MIN('3.1 Market'!$F278,'1.1 Control Panel'!N378*'1.1 Control Panel'!N$352)</f>
        <v>6</v>
      </c>
      <c r="O287" s="20">
        <f>MIN('3.1 Market'!$F278,'1.1 Control Panel'!O378*'1.1 Control Panel'!O$352)</f>
        <v>6</v>
      </c>
      <c r="P287" s="20">
        <f>MIN('3.1 Market'!$F278,'1.1 Control Panel'!P378*'1.1 Control Panel'!P$352)</f>
        <v>6</v>
      </c>
      <c r="Q287" s="20">
        <f>MIN('3.1 Market'!$G278,'1.1 Control Panel'!Q378*'1.1 Control Panel'!Q$352)</f>
        <v>9</v>
      </c>
      <c r="R287" s="20">
        <f>MIN('3.1 Market'!$G278,'1.1 Control Panel'!R378*'1.1 Control Panel'!R$352)</f>
        <v>9</v>
      </c>
      <c r="S287" s="20">
        <f>MIN('3.1 Market'!$G278,'1.1 Control Panel'!S378*'1.1 Control Panel'!S$352)</f>
        <v>9</v>
      </c>
      <c r="T287" s="20">
        <f>MIN('3.1 Market'!$G278,'1.1 Control Panel'!T378*'1.1 Control Panel'!T$352)</f>
        <v>9</v>
      </c>
      <c r="U287" s="20">
        <f>MIN('3.1 Market'!$G278,'1.1 Control Panel'!U378*'1.1 Control Panel'!U$352)</f>
        <v>12</v>
      </c>
      <c r="V287" s="20">
        <f>MIN('3.1 Market'!$G278,'1.1 Control Panel'!V378*'1.1 Control Panel'!V$352)</f>
        <v>12</v>
      </c>
      <c r="W287" s="20">
        <f>MIN('3.1 Market'!$G278,'1.1 Control Panel'!W378*'1.1 Control Panel'!W$352)</f>
        <v>12</v>
      </c>
      <c r="X287" s="20">
        <f>MIN('3.1 Market'!$G278,'1.1 Control Panel'!X378*'1.1 Control Panel'!X$352)</f>
        <v>12</v>
      </c>
      <c r="Y287" s="20">
        <f>MIN('3.1 Market'!$G278,'1.1 Control Panel'!Y378*'1.1 Control Panel'!Y$352)</f>
        <v>15</v>
      </c>
      <c r="Z287" s="20">
        <f>MIN('3.1 Market'!$G278,'1.1 Control Panel'!Z378*'1.1 Control Panel'!Z$352)</f>
        <v>15</v>
      </c>
      <c r="AA287" s="20">
        <f>MIN('3.1 Market'!$G278,'1.1 Control Panel'!AA378*'1.1 Control Panel'!AA$352)</f>
        <v>15</v>
      </c>
      <c r="AB287" s="20">
        <f>MIN('3.1 Market'!$G278,'1.1 Control Panel'!AB378*'1.1 Control Panel'!AB$352)</f>
        <v>15</v>
      </c>
      <c r="AC287" s="20">
        <f>MIN('3.1 Market'!$H278,'1.1 Control Panel'!AC378*'1.1 Control Panel'!AC$352)</f>
        <v>27</v>
      </c>
      <c r="AD287" s="20">
        <f>MIN('3.1 Market'!$H278,'1.1 Control Panel'!AD378*'1.1 Control Panel'!AD$352)</f>
        <v>27</v>
      </c>
      <c r="AE287" s="20">
        <f>MIN('3.1 Market'!$H278,'1.1 Control Panel'!AE378*'1.1 Control Panel'!AE$352)</f>
        <v>27</v>
      </c>
      <c r="AF287" s="20">
        <f>MIN('3.1 Market'!$H278,'1.1 Control Panel'!AF378*'1.1 Control Panel'!AF$352)</f>
        <v>27</v>
      </c>
      <c r="AG287" s="20">
        <f>MIN('3.1 Market'!$H278,'1.1 Control Panel'!AG378*'1.1 Control Panel'!AG$352)</f>
        <v>39</v>
      </c>
      <c r="AH287" s="20">
        <f>MIN('3.1 Market'!$H278,'1.1 Control Panel'!AH378*'1.1 Control Panel'!AH$352)</f>
        <v>39</v>
      </c>
      <c r="AI287" s="20">
        <f>MIN('3.1 Market'!$H278,'1.1 Control Panel'!AI378*'1.1 Control Panel'!AI$352)</f>
        <v>39</v>
      </c>
      <c r="AJ287" s="20">
        <f>MIN('3.1 Market'!$H278,'1.1 Control Panel'!AJ378*'1.1 Control Panel'!AJ$352)</f>
        <v>39</v>
      </c>
      <c r="AK287" s="20">
        <f>MIN('3.1 Market'!$H278,'1.1 Control Panel'!AK378*'1.1 Control Panel'!AK$352)</f>
        <v>51</v>
      </c>
      <c r="AL287" s="20">
        <f>MIN('3.1 Market'!$H278,'1.1 Control Panel'!AL378*'1.1 Control Panel'!AL$352)</f>
        <v>51</v>
      </c>
      <c r="AM287" s="20">
        <f>MIN('3.1 Market'!$H278,'1.1 Control Panel'!AM378*'1.1 Control Panel'!AM$352)</f>
        <v>51</v>
      </c>
      <c r="AN287" s="20">
        <f>MIN('3.1 Market'!$H278,'1.1 Control Panel'!AN378*'1.1 Control Panel'!AN$352)</f>
        <v>51</v>
      </c>
      <c r="AP287" s="20"/>
    </row>
    <row r="288" spans="2:42" x14ac:dyDescent="0.25">
      <c r="C288" s="21" t="s">
        <v>455</v>
      </c>
      <c r="D288" s="38" t="s">
        <v>162</v>
      </c>
      <c r="E288" s="21">
        <f>MIN('3.1 Market'!$F279,'1.1 Control Panel'!E379*'1.1 Control Panel'!E$352)</f>
        <v>2</v>
      </c>
      <c r="F288" s="21">
        <f>MIN('3.1 Market'!$F279,'1.1 Control Panel'!F379*'1.1 Control Panel'!F$352)</f>
        <v>2</v>
      </c>
      <c r="G288" s="21">
        <f>MIN('3.1 Market'!$F279,'1.1 Control Panel'!G379*'1.1 Control Panel'!G$352)</f>
        <v>2</v>
      </c>
      <c r="H288" s="21">
        <f>MIN('3.1 Market'!$F279,'1.1 Control Panel'!H379*'1.1 Control Panel'!H$352)</f>
        <v>2</v>
      </c>
      <c r="I288" s="21">
        <f>MIN('3.1 Market'!$F279,'1.1 Control Panel'!I379*'1.1 Control Panel'!I$352)</f>
        <v>2</v>
      </c>
      <c r="J288" s="21">
        <f>MIN('3.1 Market'!$F279,'1.1 Control Panel'!J379*'1.1 Control Panel'!J$352)</f>
        <v>4</v>
      </c>
      <c r="K288" s="21">
        <f>MIN('3.1 Market'!$F279,'1.1 Control Panel'!K379*'1.1 Control Panel'!K$352)</f>
        <v>4</v>
      </c>
      <c r="L288" s="21">
        <f>MIN('3.1 Market'!$F279,'1.1 Control Panel'!L379*'1.1 Control Panel'!L$352)</f>
        <v>4</v>
      </c>
      <c r="M288" s="21">
        <f>MIN('3.1 Market'!$F279,'1.1 Control Panel'!M379*'1.1 Control Panel'!M$352)</f>
        <v>4</v>
      </c>
      <c r="N288" s="21">
        <f>MIN('3.1 Market'!$F279,'1.1 Control Panel'!N379*'1.1 Control Panel'!N$352)</f>
        <v>4</v>
      </c>
      <c r="O288" s="21">
        <f>MIN('3.1 Market'!$F279,'1.1 Control Panel'!O379*'1.1 Control Panel'!O$352)</f>
        <v>4</v>
      </c>
      <c r="P288" s="21">
        <f>MIN('3.1 Market'!$F279,'1.1 Control Panel'!P379*'1.1 Control Panel'!P$352)</f>
        <v>4</v>
      </c>
      <c r="Q288" s="21">
        <f>MIN('3.1 Market'!$G279,'1.1 Control Panel'!Q379*'1.1 Control Panel'!Q$352)</f>
        <v>6</v>
      </c>
      <c r="R288" s="21">
        <f>MIN('3.1 Market'!$G279,'1.1 Control Panel'!R379*'1.1 Control Panel'!R$352)</f>
        <v>6</v>
      </c>
      <c r="S288" s="21">
        <f>MIN('3.1 Market'!$G279,'1.1 Control Panel'!S379*'1.1 Control Panel'!S$352)</f>
        <v>6</v>
      </c>
      <c r="T288" s="21">
        <f>MIN('3.1 Market'!$G279,'1.1 Control Panel'!T379*'1.1 Control Panel'!T$352)</f>
        <v>6</v>
      </c>
      <c r="U288" s="21">
        <f>MIN('3.1 Market'!$G279,'1.1 Control Panel'!U379*'1.1 Control Panel'!U$352)</f>
        <v>8</v>
      </c>
      <c r="V288" s="21">
        <f>MIN('3.1 Market'!$G279,'1.1 Control Panel'!V379*'1.1 Control Panel'!V$352)</f>
        <v>8</v>
      </c>
      <c r="W288" s="21">
        <f>MIN('3.1 Market'!$G279,'1.1 Control Panel'!W379*'1.1 Control Panel'!W$352)</f>
        <v>8</v>
      </c>
      <c r="X288" s="21">
        <f>MIN('3.1 Market'!$G279,'1.1 Control Panel'!X379*'1.1 Control Panel'!X$352)</f>
        <v>8</v>
      </c>
      <c r="Y288" s="21">
        <f>MIN('3.1 Market'!$G279,'1.1 Control Panel'!Y379*'1.1 Control Panel'!Y$352)</f>
        <v>10</v>
      </c>
      <c r="Z288" s="21">
        <f>MIN('3.1 Market'!$G279,'1.1 Control Panel'!Z379*'1.1 Control Panel'!Z$352)</f>
        <v>10</v>
      </c>
      <c r="AA288" s="21">
        <f>MIN('3.1 Market'!$G279,'1.1 Control Panel'!AA379*'1.1 Control Panel'!AA$352)</f>
        <v>10</v>
      </c>
      <c r="AB288" s="21">
        <f>MIN('3.1 Market'!$G279,'1.1 Control Panel'!AB379*'1.1 Control Panel'!AB$352)</f>
        <v>10</v>
      </c>
      <c r="AC288" s="21">
        <f>MIN('3.1 Market'!$H279,'1.1 Control Panel'!AC379*'1.1 Control Panel'!AC$352)</f>
        <v>18</v>
      </c>
      <c r="AD288" s="21">
        <f>MIN('3.1 Market'!$H279,'1.1 Control Panel'!AD379*'1.1 Control Panel'!AD$352)</f>
        <v>18</v>
      </c>
      <c r="AE288" s="21">
        <f>MIN('3.1 Market'!$H279,'1.1 Control Panel'!AE379*'1.1 Control Panel'!AE$352)</f>
        <v>18</v>
      </c>
      <c r="AF288" s="21">
        <f>MIN('3.1 Market'!$H279,'1.1 Control Panel'!AF379*'1.1 Control Panel'!AF$352)</f>
        <v>18</v>
      </c>
      <c r="AG288" s="21">
        <f>MIN('3.1 Market'!$H279,'1.1 Control Panel'!AG379*'1.1 Control Panel'!AG$352)</f>
        <v>26</v>
      </c>
      <c r="AH288" s="21">
        <f>MIN('3.1 Market'!$H279,'1.1 Control Panel'!AH379*'1.1 Control Panel'!AH$352)</f>
        <v>26</v>
      </c>
      <c r="AI288" s="21">
        <f>MIN('3.1 Market'!$H279,'1.1 Control Panel'!AI379*'1.1 Control Panel'!AI$352)</f>
        <v>26</v>
      </c>
      <c r="AJ288" s="21">
        <f>MIN('3.1 Market'!$H279,'1.1 Control Panel'!AJ379*'1.1 Control Panel'!AJ$352)</f>
        <v>26</v>
      </c>
      <c r="AK288" s="21">
        <f>MIN('3.1 Market'!$H279,'1.1 Control Panel'!AK379*'1.1 Control Panel'!AK$352)</f>
        <v>34</v>
      </c>
      <c r="AL288" s="21">
        <f>MIN('3.1 Market'!$H279,'1.1 Control Panel'!AL379*'1.1 Control Panel'!AL$352)</f>
        <v>34</v>
      </c>
      <c r="AM288" s="21">
        <f>MIN('3.1 Market'!$H279,'1.1 Control Panel'!AM379*'1.1 Control Panel'!AM$352)</f>
        <v>34</v>
      </c>
      <c r="AN288" s="21">
        <f>MIN('3.1 Market'!$H279,'1.1 Control Panel'!AN379*'1.1 Control Panel'!AN$352)</f>
        <v>34</v>
      </c>
      <c r="AP288" s="21"/>
    </row>
    <row r="289" spans="2:42" x14ac:dyDescent="0.25">
      <c r="C289" s="21" t="s">
        <v>393</v>
      </c>
      <c r="D289" s="38" t="s">
        <v>162</v>
      </c>
      <c r="E289" s="21">
        <f>MIN('3.1 Market'!$F280,'1.1 Control Panel'!E380*'1.1 Control Panel'!E$352)</f>
        <v>1</v>
      </c>
      <c r="F289" s="21">
        <f>MIN('3.1 Market'!$F280,'1.1 Control Panel'!F380*'1.1 Control Panel'!F$352)</f>
        <v>1</v>
      </c>
      <c r="G289" s="21">
        <f>MIN('3.1 Market'!$F280,'1.1 Control Panel'!G380*'1.1 Control Panel'!G$352)</f>
        <v>1</v>
      </c>
      <c r="H289" s="21">
        <f>MIN('3.1 Market'!$F280,'1.1 Control Panel'!H380*'1.1 Control Panel'!H$352)</f>
        <v>1</v>
      </c>
      <c r="I289" s="21">
        <f>MIN('3.1 Market'!$F280,'1.1 Control Panel'!I380*'1.1 Control Panel'!I$352)</f>
        <v>1</v>
      </c>
      <c r="J289" s="21">
        <f>MIN('3.1 Market'!$F280,'1.1 Control Panel'!J380*'1.1 Control Panel'!J$352)</f>
        <v>2</v>
      </c>
      <c r="K289" s="21">
        <f>MIN('3.1 Market'!$F280,'1.1 Control Panel'!K380*'1.1 Control Panel'!K$352)</f>
        <v>2</v>
      </c>
      <c r="L289" s="21">
        <f>MIN('3.1 Market'!$F280,'1.1 Control Panel'!L380*'1.1 Control Panel'!L$352)</f>
        <v>2</v>
      </c>
      <c r="M289" s="21">
        <f>MIN('3.1 Market'!$F280,'1.1 Control Panel'!M380*'1.1 Control Panel'!M$352)</f>
        <v>2</v>
      </c>
      <c r="N289" s="21">
        <f>MIN('3.1 Market'!$F280,'1.1 Control Panel'!N380*'1.1 Control Panel'!N$352)</f>
        <v>2</v>
      </c>
      <c r="O289" s="21">
        <f>MIN('3.1 Market'!$F280,'1.1 Control Panel'!O380*'1.1 Control Panel'!O$352)</f>
        <v>2</v>
      </c>
      <c r="P289" s="21">
        <f>MIN('3.1 Market'!$F280,'1.1 Control Panel'!P380*'1.1 Control Panel'!P$352)</f>
        <v>2</v>
      </c>
      <c r="Q289" s="21">
        <f>MIN('3.1 Market'!$G280,'1.1 Control Panel'!Q380*'1.1 Control Panel'!Q$352)</f>
        <v>3</v>
      </c>
      <c r="R289" s="21">
        <f>MIN('3.1 Market'!$G280,'1.1 Control Panel'!R380*'1.1 Control Panel'!R$352)</f>
        <v>3</v>
      </c>
      <c r="S289" s="21">
        <f>MIN('3.1 Market'!$G280,'1.1 Control Panel'!S380*'1.1 Control Panel'!S$352)</f>
        <v>3</v>
      </c>
      <c r="T289" s="21">
        <f>MIN('3.1 Market'!$G280,'1.1 Control Panel'!T380*'1.1 Control Panel'!T$352)</f>
        <v>3</v>
      </c>
      <c r="U289" s="21">
        <f>MIN('3.1 Market'!$G280,'1.1 Control Panel'!U380*'1.1 Control Panel'!U$352)</f>
        <v>4</v>
      </c>
      <c r="V289" s="21">
        <f>MIN('3.1 Market'!$G280,'1.1 Control Panel'!V380*'1.1 Control Panel'!V$352)</f>
        <v>4</v>
      </c>
      <c r="W289" s="21">
        <f>MIN('3.1 Market'!$G280,'1.1 Control Panel'!W380*'1.1 Control Panel'!W$352)</f>
        <v>4</v>
      </c>
      <c r="X289" s="21">
        <f>MIN('3.1 Market'!$G280,'1.1 Control Panel'!X380*'1.1 Control Panel'!X$352)</f>
        <v>4</v>
      </c>
      <c r="Y289" s="21">
        <f>MIN('3.1 Market'!$G280,'1.1 Control Panel'!Y380*'1.1 Control Panel'!Y$352)</f>
        <v>5</v>
      </c>
      <c r="Z289" s="21">
        <f>MIN('3.1 Market'!$G280,'1.1 Control Panel'!Z380*'1.1 Control Panel'!Z$352)</f>
        <v>5</v>
      </c>
      <c r="AA289" s="21">
        <f>MIN('3.1 Market'!$G280,'1.1 Control Panel'!AA380*'1.1 Control Panel'!AA$352)</f>
        <v>5</v>
      </c>
      <c r="AB289" s="21">
        <f>MIN('3.1 Market'!$G280,'1.1 Control Panel'!AB380*'1.1 Control Panel'!AB$352)</f>
        <v>5</v>
      </c>
      <c r="AC289" s="21">
        <f>MIN('3.1 Market'!$H280,'1.1 Control Panel'!AC380*'1.1 Control Panel'!AC$352)</f>
        <v>9</v>
      </c>
      <c r="AD289" s="21">
        <f>MIN('3.1 Market'!$H280,'1.1 Control Panel'!AD380*'1.1 Control Panel'!AD$352)</f>
        <v>9</v>
      </c>
      <c r="AE289" s="21">
        <f>MIN('3.1 Market'!$H280,'1.1 Control Panel'!AE380*'1.1 Control Panel'!AE$352)</f>
        <v>9</v>
      </c>
      <c r="AF289" s="21">
        <f>MIN('3.1 Market'!$H280,'1.1 Control Panel'!AF380*'1.1 Control Panel'!AF$352)</f>
        <v>9</v>
      </c>
      <c r="AG289" s="21">
        <f>MIN('3.1 Market'!$H280,'1.1 Control Panel'!AG380*'1.1 Control Panel'!AG$352)</f>
        <v>13</v>
      </c>
      <c r="AH289" s="21">
        <f>MIN('3.1 Market'!$H280,'1.1 Control Panel'!AH380*'1.1 Control Panel'!AH$352)</f>
        <v>13</v>
      </c>
      <c r="AI289" s="21">
        <f>MIN('3.1 Market'!$H280,'1.1 Control Panel'!AI380*'1.1 Control Panel'!AI$352)</f>
        <v>13</v>
      </c>
      <c r="AJ289" s="21">
        <f>MIN('3.1 Market'!$H280,'1.1 Control Panel'!AJ380*'1.1 Control Panel'!AJ$352)</f>
        <v>13</v>
      </c>
      <c r="AK289" s="21">
        <f>MIN('3.1 Market'!$H280,'1.1 Control Panel'!AK380*'1.1 Control Panel'!AK$352)</f>
        <v>17</v>
      </c>
      <c r="AL289" s="21">
        <f>MIN('3.1 Market'!$H280,'1.1 Control Panel'!AL380*'1.1 Control Panel'!AL$352)</f>
        <v>17</v>
      </c>
      <c r="AM289" s="21">
        <f>MIN('3.1 Market'!$H280,'1.1 Control Panel'!AM380*'1.1 Control Panel'!AM$352)</f>
        <v>17</v>
      </c>
      <c r="AN289" s="21">
        <f>MIN('3.1 Market'!$H280,'1.1 Control Panel'!AN380*'1.1 Control Panel'!AN$352)</f>
        <v>17</v>
      </c>
      <c r="AP289" s="21"/>
    </row>
    <row r="290" spans="2:42" x14ac:dyDescent="0.25">
      <c r="C290" s="21" t="s">
        <v>456</v>
      </c>
      <c r="D290" s="38" t="s">
        <v>162</v>
      </c>
      <c r="E290" s="21">
        <f>MIN('3.1 Market'!$F281,'1.1 Control Panel'!E381*'1.1 Control Panel'!E$352)</f>
        <v>0</v>
      </c>
      <c r="F290" s="21">
        <f>MIN('3.1 Market'!$F281,'1.1 Control Panel'!F381*'1.1 Control Panel'!F$352)</f>
        <v>0</v>
      </c>
      <c r="G290" s="21">
        <f>MIN('3.1 Market'!$F281,'1.1 Control Panel'!G381*'1.1 Control Panel'!G$352)</f>
        <v>0</v>
      </c>
      <c r="H290" s="21">
        <f>MIN('3.1 Market'!$F281,'1.1 Control Panel'!H381*'1.1 Control Panel'!H$352)</f>
        <v>0</v>
      </c>
      <c r="I290" s="21">
        <f>MIN('3.1 Market'!$F281,'1.1 Control Panel'!I381*'1.1 Control Panel'!I$352)</f>
        <v>0</v>
      </c>
      <c r="J290" s="21">
        <f>MIN('3.1 Market'!$F281,'1.1 Control Panel'!J381*'1.1 Control Panel'!J$352)</f>
        <v>0</v>
      </c>
      <c r="K290" s="21">
        <f>MIN('3.1 Market'!$F281,'1.1 Control Panel'!K381*'1.1 Control Panel'!K$352)</f>
        <v>0</v>
      </c>
      <c r="L290" s="21">
        <f>MIN('3.1 Market'!$F281,'1.1 Control Panel'!L381*'1.1 Control Panel'!L$352)</f>
        <v>0</v>
      </c>
      <c r="M290" s="21">
        <f>MIN('3.1 Market'!$F281,'1.1 Control Panel'!M381*'1.1 Control Panel'!M$352)</f>
        <v>0</v>
      </c>
      <c r="N290" s="21">
        <f>MIN('3.1 Market'!$F281,'1.1 Control Panel'!N381*'1.1 Control Panel'!N$352)</f>
        <v>0</v>
      </c>
      <c r="O290" s="21">
        <f>MIN('3.1 Market'!$F281,'1.1 Control Panel'!O381*'1.1 Control Panel'!O$352)</f>
        <v>0</v>
      </c>
      <c r="P290" s="21">
        <f>MIN('3.1 Market'!$F281,'1.1 Control Panel'!P381*'1.1 Control Panel'!P$352)</f>
        <v>0</v>
      </c>
      <c r="Q290" s="21">
        <f>MIN('3.1 Market'!$G281,'1.1 Control Panel'!Q381*'1.1 Control Panel'!Q$352)</f>
        <v>0</v>
      </c>
      <c r="R290" s="21">
        <f>MIN('3.1 Market'!$G281,'1.1 Control Panel'!R381*'1.1 Control Panel'!R$352)</f>
        <v>0</v>
      </c>
      <c r="S290" s="21">
        <f>MIN('3.1 Market'!$G281,'1.1 Control Panel'!S381*'1.1 Control Panel'!S$352)</f>
        <v>0</v>
      </c>
      <c r="T290" s="21">
        <f>MIN('3.1 Market'!$G281,'1.1 Control Panel'!T381*'1.1 Control Panel'!T$352)</f>
        <v>0</v>
      </c>
      <c r="U290" s="21">
        <f>MIN('3.1 Market'!$G281,'1.1 Control Panel'!U381*'1.1 Control Panel'!U$352)</f>
        <v>0</v>
      </c>
      <c r="V290" s="21">
        <f>MIN('3.1 Market'!$G281,'1.1 Control Panel'!V381*'1.1 Control Panel'!V$352)</f>
        <v>0</v>
      </c>
      <c r="W290" s="21">
        <f>MIN('3.1 Market'!$G281,'1.1 Control Panel'!W381*'1.1 Control Panel'!W$352)</f>
        <v>0</v>
      </c>
      <c r="X290" s="21">
        <f>MIN('3.1 Market'!$G281,'1.1 Control Panel'!X381*'1.1 Control Panel'!X$352)</f>
        <v>0</v>
      </c>
      <c r="Y290" s="21">
        <f>MIN('3.1 Market'!$G281,'1.1 Control Panel'!Y381*'1.1 Control Panel'!Y$352)</f>
        <v>0</v>
      </c>
      <c r="Z290" s="21">
        <f>MIN('3.1 Market'!$G281,'1.1 Control Panel'!Z381*'1.1 Control Panel'!Z$352)</f>
        <v>0</v>
      </c>
      <c r="AA290" s="21">
        <f>MIN('3.1 Market'!$G281,'1.1 Control Panel'!AA381*'1.1 Control Panel'!AA$352)</f>
        <v>0</v>
      </c>
      <c r="AB290" s="21">
        <f>MIN('3.1 Market'!$G281,'1.1 Control Panel'!AB381*'1.1 Control Panel'!AB$352)</f>
        <v>0</v>
      </c>
      <c r="AC290" s="21">
        <f>MIN('3.1 Market'!$H281,'1.1 Control Panel'!AC381*'1.1 Control Panel'!AC$352)</f>
        <v>0</v>
      </c>
      <c r="AD290" s="21">
        <f>MIN('3.1 Market'!$H281,'1.1 Control Panel'!AD381*'1.1 Control Panel'!AD$352)</f>
        <v>0</v>
      </c>
      <c r="AE290" s="21">
        <f>MIN('3.1 Market'!$H281,'1.1 Control Panel'!AE381*'1.1 Control Panel'!AE$352)</f>
        <v>0</v>
      </c>
      <c r="AF290" s="21">
        <f>MIN('3.1 Market'!$H281,'1.1 Control Panel'!AF381*'1.1 Control Panel'!AF$352)</f>
        <v>0</v>
      </c>
      <c r="AG290" s="21">
        <f>MIN('3.1 Market'!$H281,'1.1 Control Panel'!AG381*'1.1 Control Panel'!AG$352)</f>
        <v>0</v>
      </c>
      <c r="AH290" s="21">
        <f>MIN('3.1 Market'!$H281,'1.1 Control Panel'!AH381*'1.1 Control Panel'!AH$352)</f>
        <v>0</v>
      </c>
      <c r="AI290" s="21">
        <f>MIN('3.1 Market'!$H281,'1.1 Control Panel'!AI381*'1.1 Control Panel'!AI$352)</f>
        <v>0</v>
      </c>
      <c r="AJ290" s="21">
        <f>MIN('3.1 Market'!$H281,'1.1 Control Panel'!AJ381*'1.1 Control Panel'!AJ$352)</f>
        <v>0</v>
      </c>
      <c r="AK290" s="21">
        <f>MIN('3.1 Market'!$H281,'1.1 Control Panel'!AK381*'1.1 Control Panel'!AK$352)</f>
        <v>0</v>
      </c>
      <c r="AL290" s="21">
        <f>MIN('3.1 Market'!$H281,'1.1 Control Panel'!AL381*'1.1 Control Panel'!AL$352)</f>
        <v>0</v>
      </c>
      <c r="AM290" s="21">
        <f>MIN('3.1 Market'!$H281,'1.1 Control Panel'!AM381*'1.1 Control Panel'!AM$352)</f>
        <v>0</v>
      </c>
      <c r="AN290" s="21">
        <f>MIN('3.1 Market'!$H281,'1.1 Control Panel'!AN381*'1.1 Control Panel'!AN$352)</f>
        <v>0</v>
      </c>
      <c r="AP290" s="21"/>
    </row>
    <row r="291" spans="2:42" x14ac:dyDescent="0.25">
      <c r="B291" s="99" t="s">
        <v>9</v>
      </c>
      <c r="C291" s="105" t="str">
        <f>'4.2 Sector Mapping'!$B$7</f>
        <v>Energy and Environment</v>
      </c>
      <c r="D291" s="106" t="s">
        <v>162</v>
      </c>
      <c r="E291" s="105">
        <f>SUM(E292:E297)</f>
        <v>0</v>
      </c>
      <c r="F291" s="105">
        <f t="shared" ref="F291:H291" si="149">SUM(F292:F297)</f>
        <v>0</v>
      </c>
      <c r="G291" s="105">
        <f t="shared" si="149"/>
        <v>0</v>
      </c>
      <c r="H291" s="105">
        <f t="shared" si="149"/>
        <v>0</v>
      </c>
      <c r="I291" s="105">
        <f t="shared" ref="I291:AN291" si="150">SUM(I292:I297)</f>
        <v>0</v>
      </c>
      <c r="J291" s="105">
        <f t="shared" si="150"/>
        <v>0</v>
      </c>
      <c r="K291" s="105">
        <f t="shared" si="150"/>
        <v>0</v>
      </c>
      <c r="L291" s="105">
        <f t="shared" si="150"/>
        <v>0</v>
      </c>
      <c r="M291" s="105">
        <f t="shared" si="150"/>
        <v>0</v>
      </c>
      <c r="N291" s="105">
        <f t="shared" si="150"/>
        <v>0</v>
      </c>
      <c r="O291" s="105">
        <f t="shared" si="150"/>
        <v>0</v>
      </c>
      <c r="P291" s="105">
        <f t="shared" si="150"/>
        <v>0</v>
      </c>
      <c r="Q291" s="105">
        <f t="shared" si="150"/>
        <v>28.969207848960004</v>
      </c>
      <c r="R291" s="105">
        <f t="shared" si="150"/>
        <v>29.175366279168006</v>
      </c>
      <c r="S291" s="105">
        <f t="shared" si="150"/>
        <v>29.340293023334404</v>
      </c>
      <c r="T291" s="105">
        <f t="shared" si="150"/>
        <v>29.472234418667526</v>
      </c>
      <c r="U291" s="105">
        <f t="shared" si="150"/>
        <v>54.211870065210164</v>
      </c>
      <c r="V291" s="105">
        <f t="shared" si="150"/>
        <v>54.369496052168131</v>
      </c>
      <c r="W291" s="105">
        <f t="shared" si="150"/>
        <v>54.49559684173451</v>
      </c>
      <c r="X291" s="105">
        <f t="shared" si="150"/>
        <v>54.596477473387608</v>
      </c>
      <c r="Y291" s="105">
        <f t="shared" si="150"/>
        <v>54.677181978710088</v>
      </c>
      <c r="Z291" s="105">
        <f t="shared" si="150"/>
        <v>54.741745582968072</v>
      </c>
      <c r="AA291" s="105">
        <f t="shared" si="150"/>
        <v>54.793396466374446</v>
      </c>
      <c r="AB291" s="105">
        <f t="shared" si="150"/>
        <v>54.834717173099563</v>
      </c>
      <c r="AC291" s="105">
        <f t="shared" si="150"/>
        <v>80.801660607719484</v>
      </c>
      <c r="AD291" s="105">
        <f t="shared" si="150"/>
        <v>80.841328486175584</v>
      </c>
      <c r="AE291" s="105">
        <f t="shared" si="150"/>
        <v>80.873062788940473</v>
      </c>
      <c r="AF291" s="105">
        <f t="shared" si="150"/>
        <v>80.898450231152381</v>
      </c>
      <c r="AG291" s="105">
        <f t="shared" si="150"/>
        <v>105.89168024656253</v>
      </c>
      <c r="AH291" s="105">
        <f t="shared" si="150"/>
        <v>105.91334419725004</v>
      </c>
      <c r="AI291" s="105">
        <f t="shared" si="150"/>
        <v>105.93067535780003</v>
      </c>
      <c r="AJ291" s="105">
        <f t="shared" si="150"/>
        <v>105.94454028624003</v>
      </c>
      <c r="AK291" s="105">
        <f t="shared" si="150"/>
        <v>130.94454028624003</v>
      </c>
      <c r="AL291" s="105">
        <f t="shared" si="150"/>
        <v>130.95563222899204</v>
      </c>
      <c r="AM291" s="105">
        <f t="shared" si="150"/>
        <v>130.96450578319366</v>
      </c>
      <c r="AN291" s="105">
        <f t="shared" si="150"/>
        <v>130.97160462655492</v>
      </c>
      <c r="AP291" s="105"/>
    </row>
    <row r="292" spans="2:42" x14ac:dyDescent="0.25">
      <c r="C292" s="20" t="s">
        <v>600</v>
      </c>
      <c r="D292" s="34" t="s">
        <v>162</v>
      </c>
      <c r="E292" s="20">
        <f>MIN('3.1 Market'!$F283,'1.1 Control Panel'!E407*'1.1 Control Panel'!E$383)</f>
        <v>0</v>
      </c>
      <c r="F292" s="20">
        <f>MIN('3.1 Market'!$F283,'1.1 Control Panel'!F407*'1.1 Control Panel'!F$383)</f>
        <v>0</v>
      </c>
      <c r="G292" s="20">
        <f>MIN('3.1 Market'!$F283,'1.1 Control Panel'!G407*'1.1 Control Panel'!G$383)</f>
        <v>0</v>
      </c>
      <c r="H292" s="20">
        <f>MIN('3.1 Market'!$F283,'1.1 Control Panel'!H407*'1.1 Control Panel'!H$383)</f>
        <v>0</v>
      </c>
      <c r="I292" s="20">
        <f>MIN('3.1 Market'!$F283,'1.1 Control Panel'!I407*'1.1 Control Panel'!I$383)</f>
        <v>0</v>
      </c>
      <c r="J292" s="20">
        <f>MIN('3.1 Market'!$F283,'1.1 Control Panel'!J407*'1.1 Control Panel'!J$383)</f>
        <v>0</v>
      </c>
      <c r="K292" s="20">
        <f>MIN('3.1 Market'!$F283,'1.1 Control Panel'!K407*'1.1 Control Panel'!K$383)</f>
        <v>0</v>
      </c>
      <c r="L292" s="20">
        <f>MIN('3.1 Market'!$F283,'1.1 Control Panel'!L407*'1.1 Control Panel'!L$383)</f>
        <v>0</v>
      </c>
      <c r="M292" s="20">
        <f>MIN('3.1 Market'!$F283,'1.1 Control Panel'!M407*'1.1 Control Panel'!M$383)</f>
        <v>0</v>
      </c>
      <c r="N292" s="20">
        <f>MIN('3.1 Market'!$F283,'1.1 Control Panel'!N407*'1.1 Control Panel'!N$383)</f>
        <v>0</v>
      </c>
      <c r="O292" s="20">
        <f>MIN('3.1 Market'!$F283,'1.1 Control Panel'!O407*'1.1 Control Panel'!O$383)</f>
        <v>0</v>
      </c>
      <c r="P292" s="20">
        <f>MIN('3.1 Market'!$F283,'1.1 Control Panel'!P407*'1.1 Control Panel'!P$383)</f>
        <v>0</v>
      </c>
      <c r="Q292" s="20">
        <f>MIN('3.1 Market'!$G283,'1.1 Control Panel'!Q407*'1.1 Control Panel'!Q$383)</f>
        <v>5</v>
      </c>
      <c r="R292" s="20">
        <f>MIN('3.1 Market'!$G283,'1.1 Control Panel'!R407*'1.1 Control Panel'!R$383)</f>
        <v>5</v>
      </c>
      <c r="S292" s="20">
        <f>MIN('3.1 Market'!$G283,'1.1 Control Panel'!S407*'1.1 Control Panel'!S$383)</f>
        <v>5</v>
      </c>
      <c r="T292" s="20">
        <f>MIN('3.1 Market'!$G283,'1.1 Control Panel'!T407*'1.1 Control Panel'!T$383)</f>
        <v>5</v>
      </c>
      <c r="U292" s="20">
        <f>MIN('3.1 Market'!$G283,'1.1 Control Panel'!U407*'1.1 Control Panel'!U$383)</f>
        <v>10</v>
      </c>
      <c r="V292" s="20">
        <f>MIN('3.1 Market'!$G283,'1.1 Control Panel'!V407*'1.1 Control Panel'!V$383)</f>
        <v>10</v>
      </c>
      <c r="W292" s="20">
        <f>MIN('3.1 Market'!$G283,'1.1 Control Panel'!W407*'1.1 Control Panel'!W$383)</f>
        <v>10</v>
      </c>
      <c r="X292" s="20">
        <f>MIN('3.1 Market'!$G283,'1.1 Control Panel'!X407*'1.1 Control Panel'!X$383)</f>
        <v>10</v>
      </c>
      <c r="Y292" s="20">
        <f>MIN('3.1 Market'!$G283,'1.1 Control Panel'!Y407*'1.1 Control Panel'!Y$383)</f>
        <v>10</v>
      </c>
      <c r="Z292" s="20">
        <f>MIN('3.1 Market'!$G283,'1.1 Control Panel'!Z407*'1.1 Control Panel'!Z$383)</f>
        <v>10</v>
      </c>
      <c r="AA292" s="20">
        <f>MIN('3.1 Market'!$G283,'1.1 Control Panel'!AA407*'1.1 Control Panel'!AA$383)</f>
        <v>10</v>
      </c>
      <c r="AB292" s="20">
        <f>MIN('3.1 Market'!$G283,'1.1 Control Panel'!AB407*'1.1 Control Panel'!AB$383)</f>
        <v>10</v>
      </c>
      <c r="AC292" s="20">
        <f>MIN('3.1 Market'!$H283,'1.1 Control Panel'!AC407*'1.1 Control Panel'!AC$383)</f>
        <v>15</v>
      </c>
      <c r="AD292" s="20">
        <f>MIN('3.1 Market'!$H283,'1.1 Control Panel'!AD407*'1.1 Control Panel'!AD$383)</f>
        <v>15</v>
      </c>
      <c r="AE292" s="20">
        <f>MIN('3.1 Market'!$H283,'1.1 Control Panel'!AE407*'1.1 Control Panel'!AE$383)</f>
        <v>15</v>
      </c>
      <c r="AF292" s="20">
        <f>MIN('3.1 Market'!$H283,'1.1 Control Panel'!AF407*'1.1 Control Panel'!AF$383)</f>
        <v>15</v>
      </c>
      <c r="AG292" s="20">
        <f>MIN('3.1 Market'!$H283,'1.1 Control Panel'!AG407*'1.1 Control Panel'!AG$383)</f>
        <v>20</v>
      </c>
      <c r="AH292" s="20">
        <f>MIN('3.1 Market'!$H283,'1.1 Control Panel'!AH407*'1.1 Control Panel'!AH$383)</f>
        <v>20</v>
      </c>
      <c r="AI292" s="20">
        <f>MIN('3.1 Market'!$H283,'1.1 Control Panel'!AI407*'1.1 Control Panel'!AI$383)</f>
        <v>20</v>
      </c>
      <c r="AJ292" s="20">
        <f>MIN('3.1 Market'!$H283,'1.1 Control Panel'!AJ407*'1.1 Control Panel'!AJ$383)</f>
        <v>20</v>
      </c>
      <c r="AK292" s="20">
        <f>MIN('3.1 Market'!$H283,'1.1 Control Panel'!AK407*'1.1 Control Panel'!AK$383)</f>
        <v>25</v>
      </c>
      <c r="AL292" s="20">
        <f>MIN('3.1 Market'!$H283,'1.1 Control Panel'!AL407*'1.1 Control Panel'!AL$383)</f>
        <v>25</v>
      </c>
      <c r="AM292" s="20">
        <f>MIN('3.1 Market'!$H283,'1.1 Control Panel'!AM407*'1.1 Control Panel'!AM$383)</f>
        <v>25</v>
      </c>
      <c r="AN292" s="20">
        <f>MIN('3.1 Market'!$H283,'1.1 Control Panel'!AN407*'1.1 Control Panel'!AN$383)</f>
        <v>25</v>
      </c>
      <c r="AP292" s="20"/>
    </row>
    <row r="293" spans="2:42" x14ac:dyDescent="0.25">
      <c r="C293" s="20" t="s">
        <v>392</v>
      </c>
      <c r="D293" s="34" t="s">
        <v>162</v>
      </c>
      <c r="E293" s="20">
        <f>MIN('3.1 Market'!$F284,'1.1 Control Panel'!E408*'1.1 Control Panel'!E$383)</f>
        <v>0</v>
      </c>
      <c r="F293" s="20">
        <f>MIN('3.1 Market'!$F284,'1.1 Control Panel'!F408*'1.1 Control Panel'!F$383)</f>
        <v>0</v>
      </c>
      <c r="G293" s="20">
        <f>MIN('3.1 Market'!$F284,'1.1 Control Panel'!G408*'1.1 Control Panel'!G$383)</f>
        <v>0</v>
      </c>
      <c r="H293" s="20">
        <f>MIN('3.1 Market'!$F284,'1.1 Control Panel'!H408*'1.1 Control Panel'!H$383)</f>
        <v>0</v>
      </c>
      <c r="I293" s="20">
        <f>MIN('3.1 Market'!$F284,'1.1 Control Panel'!I408*'1.1 Control Panel'!I$383)</f>
        <v>0</v>
      </c>
      <c r="J293" s="20">
        <f>MIN('3.1 Market'!$F284,'1.1 Control Panel'!J408*'1.1 Control Panel'!J$383)</f>
        <v>0</v>
      </c>
      <c r="K293" s="20">
        <f>MIN('3.1 Market'!$F284,'1.1 Control Panel'!K408*'1.1 Control Panel'!K$383)</f>
        <v>0</v>
      </c>
      <c r="L293" s="20">
        <f>MIN('3.1 Market'!$F284,'1.1 Control Panel'!L408*'1.1 Control Panel'!L$383)</f>
        <v>0</v>
      </c>
      <c r="M293" s="20">
        <f>MIN('3.1 Market'!$F284,'1.1 Control Panel'!M408*'1.1 Control Panel'!M$383)</f>
        <v>0</v>
      </c>
      <c r="N293" s="20">
        <f>MIN('3.1 Market'!$F284,'1.1 Control Panel'!N408*'1.1 Control Panel'!N$383)</f>
        <v>0</v>
      </c>
      <c r="O293" s="20">
        <f>MIN('3.1 Market'!$F284,'1.1 Control Panel'!O408*'1.1 Control Panel'!O$383)</f>
        <v>0</v>
      </c>
      <c r="P293" s="20">
        <f>MIN('3.1 Market'!$F284,'1.1 Control Panel'!P408*'1.1 Control Panel'!P$383)</f>
        <v>0</v>
      </c>
      <c r="Q293" s="20">
        <f>MIN('3.1 Market'!$G284,'1.1 Control Panel'!Q408*'1.1 Control Panel'!Q$383)</f>
        <v>4.9312805232640002</v>
      </c>
      <c r="R293" s="20">
        <f>MIN('3.1 Market'!$G284,'1.1 Control Panel'!R408*'1.1 Control Panel'!R$383)</f>
        <v>4.9450244186112009</v>
      </c>
      <c r="S293" s="20">
        <f>MIN('3.1 Market'!$G284,'1.1 Control Panel'!S408*'1.1 Control Panel'!S$383)</f>
        <v>4.9560195348889611</v>
      </c>
      <c r="T293" s="20">
        <f>MIN('3.1 Market'!$G284,'1.1 Control Panel'!T408*'1.1 Control Panel'!T$383)</f>
        <v>4.964815627911169</v>
      </c>
      <c r="U293" s="20">
        <f>MIN('3.1 Market'!$G284,'1.1 Control Panel'!U408*'1.1 Control Panel'!U$383)</f>
        <v>5</v>
      </c>
      <c r="V293" s="20">
        <f>MIN('3.1 Market'!$G284,'1.1 Control Panel'!V408*'1.1 Control Panel'!V$383)</f>
        <v>5</v>
      </c>
      <c r="W293" s="20">
        <f>MIN('3.1 Market'!$G284,'1.1 Control Panel'!W408*'1.1 Control Panel'!W$383)</f>
        <v>5</v>
      </c>
      <c r="X293" s="20">
        <f>MIN('3.1 Market'!$G284,'1.1 Control Panel'!X408*'1.1 Control Panel'!X$383)</f>
        <v>5</v>
      </c>
      <c r="Y293" s="20">
        <f>MIN('3.1 Market'!$G284,'1.1 Control Panel'!Y408*'1.1 Control Panel'!Y$383)</f>
        <v>5</v>
      </c>
      <c r="Z293" s="20">
        <f>MIN('3.1 Market'!$G284,'1.1 Control Panel'!Z408*'1.1 Control Panel'!Z$383)</f>
        <v>5</v>
      </c>
      <c r="AA293" s="20">
        <f>MIN('3.1 Market'!$G284,'1.1 Control Panel'!AA408*'1.1 Control Panel'!AA$383)</f>
        <v>5</v>
      </c>
      <c r="AB293" s="20">
        <f>MIN('3.1 Market'!$G284,'1.1 Control Panel'!AB408*'1.1 Control Panel'!AB$383)</f>
        <v>5</v>
      </c>
      <c r="AC293" s="20">
        <f>MIN('3.1 Market'!$H284,'1.1 Control Panel'!AC408*'1.1 Control Panel'!AC$383)</f>
        <v>6</v>
      </c>
      <c r="AD293" s="20">
        <f>MIN('3.1 Market'!$H284,'1.1 Control Panel'!AD408*'1.1 Control Panel'!AD$383)</f>
        <v>6</v>
      </c>
      <c r="AE293" s="20">
        <f>MIN('3.1 Market'!$H284,'1.1 Control Panel'!AE408*'1.1 Control Panel'!AE$383)</f>
        <v>6</v>
      </c>
      <c r="AF293" s="20">
        <f>MIN('3.1 Market'!$H284,'1.1 Control Panel'!AF408*'1.1 Control Panel'!AF$383)</f>
        <v>6</v>
      </c>
      <c r="AG293" s="20">
        <f>MIN('3.1 Market'!$H284,'1.1 Control Panel'!AG408*'1.1 Control Panel'!AG$383)</f>
        <v>6</v>
      </c>
      <c r="AH293" s="20">
        <f>MIN('3.1 Market'!$H284,'1.1 Control Panel'!AH408*'1.1 Control Panel'!AH$383)</f>
        <v>6</v>
      </c>
      <c r="AI293" s="20">
        <f>MIN('3.1 Market'!$H284,'1.1 Control Panel'!AI408*'1.1 Control Panel'!AI$383)</f>
        <v>6</v>
      </c>
      <c r="AJ293" s="20">
        <f>MIN('3.1 Market'!$H284,'1.1 Control Panel'!AJ408*'1.1 Control Panel'!AJ$383)</f>
        <v>6</v>
      </c>
      <c r="AK293" s="20">
        <f>MIN('3.1 Market'!$H284,'1.1 Control Panel'!AK408*'1.1 Control Panel'!AK$383)</f>
        <v>6</v>
      </c>
      <c r="AL293" s="20">
        <f>MIN('3.1 Market'!$H284,'1.1 Control Panel'!AL408*'1.1 Control Panel'!AL$383)</f>
        <v>6</v>
      </c>
      <c r="AM293" s="20">
        <f>MIN('3.1 Market'!$H284,'1.1 Control Panel'!AM408*'1.1 Control Panel'!AM$383)</f>
        <v>6</v>
      </c>
      <c r="AN293" s="20">
        <f>MIN('3.1 Market'!$H284,'1.1 Control Panel'!AN408*'1.1 Control Panel'!AN$383)</f>
        <v>6</v>
      </c>
      <c r="AP293" s="20"/>
    </row>
    <row r="294" spans="2:42" x14ac:dyDescent="0.25">
      <c r="C294" s="20" t="s">
        <v>454</v>
      </c>
      <c r="D294" s="34" t="s">
        <v>162</v>
      </c>
      <c r="E294" s="20">
        <f>MIN('3.1 Market'!$F285,'1.1 Control Panel'!E409*'1.1 Control Panel'!E$383)</f>
        <v>0</v>
      </c>
      <c r="F294" s="20">
        <f>MIN('3.1 Market'!$F285,'1.1 Control Panel'!F409*'1.1 Control Panel'!F$383)</f>
        <v>0</v>
      </c>
      <c r="G294" s="20">
        <f>MIN('3.1 Market'!$F285,'1.1 Control Panel'!G409*'1.1 Control Panel'!G$383)</f>
        <v>0</v>
      </c>
      <c r="H294" s="20">
        <f>MIN('3.1 Market'!$F285,'1.1 Control Panel'!H409*'1.1 Control Panel'!H$383)</f>
        <v>0</v>
      </c>
      <c r="I294" s="20">
        <f>MIN('3.1 Market'!$F285,'1.1 Control Panel'!I409*'1.1 Control Panel'!I$383)</f>
        <v>0</v>
      </c>
      <c r="J294" s="20">
        <f>MIN('3.1 Market'!$F285,'1.1 Control Panel'!J409*'1.1 Control Panel'!J$383)</f>
        <v>0</v>
      </c>
      <c r="K294" s="20">
        <f>MIN('3.1 Market'!$F285,'1.1 Control Panel'!K409*'1.1 Control Panel'!K$383)</f>
        <v>0</v>
      </c>
      <c r="L294" s="20">
        <f>MIN('3.1 Market'!$F285,'1.1 Control Panel'!L409*'1.1 Control Panel'!L$383)</f>
        <v>0</v>
      </c>
      <c r="M294" s="20">
        <f>MIN('3.1 Market'!$F285,'1.1 Control Panel'!M409*'1.1 Control Panel'!M$383)</f>
        <v>0</v>
      </c>
      <c r="N294" s="20">
        <f>MIN('3.1 Market'!$F285,'1.1 Control Panel'!N409*'1.1 Control Panel'!N$383)</f>
        <v>0</v>
      </c>
      <c r="O294" s="20">
        <f>MIN('3.1 Market'!$F285,'1.1 Control Panel'!O409*'1.1 Control Panel'!O$383)</f>
        <v>0</v>
      </c>
      <c r="P294" s="20">
        <f>MIN('3.1 Market'!$F285,'1.1 Control Panel'!P409*'1.1 Control Panel'!P$383)</f>
        <v>0</v>
      </c>
      <c r="Q294" s="20">
        <f>MIN('3.1 Market'!$G285,'1.1 Control Panel'!Q409*'1.1 Control Panel'!Q$383)</f>
        <v>4.8625610465280014</v>
      </c>
      <c r="R294" s="20">
        <f>MIN('3.1 Market'!$G285,'1.1 Control Panel'!R409*'1.1 Control Panel'!R$383)</f>
        <v>4.8900488372224018</v>
      </c>
      <c r="S294" s="20">
        <f>MIN('3.1 Market'!$G285,'1.1 Control Panel'!S409*'1.1 Control Panel'!S$383)</f>
        <v>4.9120390697779222</v>
      </c>
      <c r="T294" s="20">
        <f>MIN('3.1 Market'!$G285,'1.1 Control Panel'!T409*'1.1 Control Panel'!T$383)</f>
        <v>4.9296312558223381</v>
      </c>
      <c r="U294" s="20">
        <f>MIN('3.1 Market'!$G285,'1.1 Control Panel'!U409*'1.1 Control Panel'!U$383)</f>
        <v>9.8874100093157402</v>
      </c>
      <c r="V294" s="20">
        <f>MIN('3.1 Market'!$G285,'1.1 Control Panel'!V409*'1.1 Control Panel'!V$383)</f>
        <v>9.9099280074525922</v>
      </c>
      <c r="W294" s="20">
        <f>MIN('3.1 Market'!$G285,'1.1 Control Panel'!W409*'1.1 Control Panel'!W$383)</f>
        <v>9.9279424059620744</v>
      </c>
      <c r="X294" s="20">
        <f>MIN('3.1 Market'!$G285,'1.1 Control Panel'!X409*'1.1 Control Panel'!X$383)</f>
        <v>9.9423539247696588</v>
      </c>
      <c r="Y294" s="20">
        <f>MIN('3.1 Market'!$G285,'1.1 Control Panel'!Y409*'1.1 Control Panel'!Y$383)</f>
        <v>9.9538831398157264</v>
      </c>
      <c r="Z294" s="20">
        <f>MIN('3.1 Market'!$G285,'1.1 Control Panel'!Z409*'1.1 Control Panel'!Z$383)</f>
        <v>9.9631065118525814</v>
      </c>
      <c r="AA294" s="20">
        <f>MIN('3.1 Market'!$G285,'1.1 Control Panel'!AA409*'1.1 Control Panel'!AA$383)</f>
        <v>9.9704852094820655</v>
      </c>
      <c r="AB294" s="20">
        <f>MIN('3.1 Market'!$G285,'1.1 Control Panel'!AB409*'1.1 Control Panel'!AB$383)</f>
        <v>9.9763881675856538</v>
      </c>
      <c r="AC294" s="20">
        <f>MIN('3.1 Market'!$H285,'1.1 Control Panel'!AC409*'1.1 Control Panel'!AC$383)</f>
        <v>14.971665801102786</v>
      </c>
      <c r="AD294" s="20">
        <f>MIN('3.1 Market'!$H285,'1.1 Control Panel'!AD409*'1.1 Control Panel'!AD$383)</f>
        <v>14.97733264088223</v>
      </c>
      <c r="AE294" s="20">
        <f>MIN('3.1 Market'!$H285,'1.1 Control Panel'!AE409*'1.1 Control Panel'!AE$383)</f>
        <v>14.981866112705783</v>
      </c>
      <c r="AF294" s="20">
        <f>MIN('3.1 Market'!$H285,'1.1 Control Panel'!AF409*'1.1 Control Panel'!AF$383)</f>
        <v>14.985492890164627</v>
      </c>
      <c r="AG294" s="20">
        <f>MIN('3.1 Market'!$H285,'1.1 Control Panel'!AG409*'1.1 Control Panel'!AG$383)</f>
        <v>19.984525749508936</v>
      </c>
      <c r="AH294" s="20">
        <f>MIN('3.1 Market'!$H285,'1.1 Control Panel'!AH409*'1.1 Control Panel'!AH$383)</f>
        <v>19.987620599607148</v>
      </c>
      <c r="AI294" s="20">
        <f>MIN('3.1 Market'!$H285,'1.1 Control Panel'!AI409*'1.1 Control Panel'!AI$383)</f>
        <v>19.990096479685718</v>
      </c>
      <c r="AJ294" s="20">
        <f>MIN('3.1 Market'!$H285,'1.1 Control Panel'!AJ409*'1.1 Control Panel'!AJ$383)</f>
        <v>19.992077183748577</v>
      </c>
      <c r="AK294" s="20">
        <f>MIN('3.1 Market'!$H285,'1.1 Control Panel'!AK409*'1.1 Control Panel'!AK$383)</f>
        <v>24.992077183748577</v>
      </c>
      <c r="AL294" s="20">
        <f>MIN('3.1 Market'!$H285,'1.1 Control Panel'!AL409*'1.1 Control Panel'!AL$383)</f>
        <v>24.99366174699886</v>
      </c>
      <c r="AM294" s="20">
        <f>MIN('3.1 Market'!$H285,'1.1 Control Panel'!AM409*'1.1 Control Panel'!AM$383)</f>
        <v>24.99492939759909</v>
      </c>
      <c r="AN294" s="20">
        <f>MIN('3.1 Market'!$H285,'1.1 Control Panel'!AN409*'1.1 Control Panel'!AN$383)</f>
        <v>24.995943518079272</v>
      </c>
      <c r="AP294" s="20"/>
    </row>
    <row r="295" spans="2:42" x14ac:dyDescent="0.25">
      <c r="C295" s="21" t="s">
        <v>455</v>
      </c>
      <c r="D295" s="38" t="s">
        <v>162</v>
      </c>
      <c r="E295" s="21">
        <f>MIN('3.1 Market'!$F286,'1.1 Control Panel'!E410*'1.1 Control Panel'!E$383)</f>
        <v>0</v>
      </c>
      <c r="F295" s="21">
        <f>MIN('3.1 Market'!$F286,'1.1 Control Panel'!F410*'1.1 Control Panel'!F$383)</f>
        <v>0</v>
      </c>
      <c r="G295" s="21">
        <f>MIN('3.1 Market'!$F286,'1.1 Control Panel'!G410*'1.1 Control Panel'!G$383)</f>
        <v>0</v>
      </c>
      <c r="H295" s="21">
        <f>MIN('3.1 Market'!$F286,'1.1 Control Panel'!H410*'1.1 Control Panel'!H$383)</f>
        <v>0</v>
      </c>
      <c r="I295" s="21">
        <f>MIN('3.1 Market'!$F286,'1.1 Control Panel'!I410*'1.1 Control Panel'!I$383)</f>
        <v>0</v>
      </c>
      <c r="J295" s="21">
        <f>MIN('3.1 Market'!$F286,'1.1 Control Panel'!J410*'1.1 Control Panel'!J$383)</f>
        <v>0</v>
      </c>
      <c r="K295" s="21">
        <f>MIN('3.1 Market'!$F286,'1.1 Control Panel'!K410*'1.1 Control Panel'!K$383)</f>
        <v>0</v>
      </c>
      <c r="L295" s="21">
        <f>MIN('3.1 Market'!$F286,'1.1 Control Panel'!L410*'1.1 Control Panel'!L$383)</f>
        <v>0</v>
      </c>
      <c r="M295" s="21">
        <f>MIN('3.1 Market'!$F286,'1.1 Control Panel'!M410*'1.1 Control Panel'!M$383)</f>
        <v>0</v>
      </c>
      <c r="N295" s="21">
        <f>MIN('3.1 Market'!$F286,'1.1 Control Panel'!N410*'1.1 Control Panel'!N$383)</f>
        <v>0</v>
      </c>
      <c r="O295" s="21">
        <f>MIN('3.1 Market'!$F286,'1.1 Control Panel'!O410*'1.1 Control Panel'!O$383)</f>
        <v>0</v>
      </c>
      <c r="P295" s="21">
        <f>MIN('3.1 Market'!$F286,'1.1 Control Panel'!P410*'1.1 Control Panel'!P$383)</f>
        <v>0</v>
      </c>
      <c r="Q295" s="21">
        <f>MIN('3.1 Market'!$G286,'1.1 Control Panel'!Q410*'1.1 Control Panel'!Q$383)</f>
        <v>4.7938415697920007</v>
      </c>
      <c r="R295" s="21">
        <f>MIN('3.1 Market'!$G286,'1.1 Control Panel'!R410*'1.1 Control Panel'!R$383)</f>
        <v>4.8350732558336009</v>
      </c>
      <c r="S295" s="21">
        <f>MIN('3.1 Market'!$G286,'1.1 Control Panel'!S410*'1.1 Control Panel'!S$383)</f>
        <v>4.8680586046668815</v>
      </c>
      <c r="T295" s="21">
        <f>MIN('3.1 Market'!$G286,'1.1 Control Panel'!T410*'1.1 Control Panel'!T$383)</f>
        <v>4.8944468837335053</v>
      </c>
      <c r="U295" s="21">
        <f>MIN('3.1 Market'!$G286,'1.1 Control Panel'!U410*'1.1 Control Panel'!U$383)</f>
        <v>9.8311150139736085</v>
      </c>
      <c r="V295" s="21">
        <f>MIN('3.1 Market'!$G286,'1.1 Control Panel'!V410*'1.1 Control Panel'!V$383)</f>
        <v>9.8648920111788883</v>
      </c>
      <c r="W295" s="21">
        <f>MIN('3.1 Market'!$G286,'1.1 Control Panel'!W410*'1.1 Control Panel'!W$383)</f>
        <v>9.8919136089431099</v>
      </c>
      <c r="X295" s="21">
        <f>MIN('3.1 Market'!$G286,'1.1 Control Panel'!X410*'1.1 Control Panel'!X$383)</f>
        <v>9.9135308871544883</v>
      </c>
      <c r="Y295" s="21">
        <f>MIN('3.1 Market'!$G286,'1.1 Control Panel'!Y410*'1.1 Control Panel'!Y$383)</f>
        <v>9.9308247097235913</v>
      </c>
      <c r="Z295" s="21">
        <f>MIN('3.1 Market'!$G286,'1.1 Control Panel'!Z410*'1.1 Control Panel'!Z$383)</f>
        <v>9.9446597677788731</v>
      </c>
      <c r="AA295" s="21">
        <f>MIN('3.1 Market'!$G286,'1.1 Control Panel'!AA410*'1.1 Control Panel'!AA$383)</f>
        <v>9.9557278142230992</v>
      </c>
      <c r="AB295" s="21">
        <f>MIN('3.1 Market'!$G286,'1.1 Control Panel'!AB410*'1.1 Control Panel'!AB$383)</f>
        <v>9.9645822513784807</v>
      </c>
      <c r="AC295" s="21">
        <f>MIN('3.1 Market'!$H286,'1.1 Control Panel'!AC410*'1.1 Control Panel'!AC$383)</f>
        <v>14.957498701654176</v>
      </c>
      <c r="AD295" s="21">
        <f>MIN('3.1 Market'!$H286,'1.1 Control Panel'!AD410*'1.1 Control Panel'!AD$383)</f>
        <v>14.965998961323342</v>
      </c>
      <c r="AE295" s="21">
        <f>MIN('3.1 Market'!$H286,'1.1 Control Panel'!AE410*'1.1 Control Panel'!AE$383)</f>
        <v>14.972799169058675</v>
      </c>
      <c r="AF295" s="21">
        <f>MIN('3.1 Market'!$H286,'1.1 Control Panel'!AF410*'1.1 Control Panel'!AF$383)</f>
        <v>14.978239335246938</v>
      </c>
      <c r="AG295" s="21">
        <f>MIN('3.1 Market'!$H286,'1.1 Control Panel'!AG410*'1.1 Control Panel'!AG$383)</f>
        <v>19.976788624263399</v>
      </c>
      <c r="AH295" s="21">
        <f>MIN('3.1 Market'!$H286,'1.1 Control Panel'!AH410*'1.1 Control Panel'!AH$383)</f>
        <v>19.981430899410718</v>
      </c>
      <c r="AI295" s="21">
        <f>MIN('3.1 Market'!$H286,'1.1 Control Panel'!AI410*'1.1 Control Panel'!AI$383)</f>
        <v>19.985144719528577</v>
      </c>
      <c r="AJ295" s="21">
        <f>MIN('3.1 Market'!$H286,'1.1 Control Panel'!AJ410*'1.1 Control Panel'!AJ$383)</f>
        <v>19.988115775622862</v>
      </c>
      <c r="AK295" s="21">
        <f>MIN('3.1 Market'!$H286,'1.1 Control Panel'!AK410*'1.1 Control Panel'!AK$383)</f>
        <v>24.988115775622862</v>
      </c>
      <c r="AL295" s="21">
        <f>MIN('3.1 Market'!$H286,'1.1 Control Panel'!AL410*'1.1 Control Panel'!AL$383)</f>
        <v>24.990492620498294</v>
      </c>
      <c r="AM295" s="21">
        <f>MIN('3.1 Market'!$H286,'1.1 Control Panel'!AM410*'1.1 Control Panel'!AM$383)</f>
        <v>24.992394096398634</v>
      </c>
      <c r="AN295" s="21">
        <f>MIN('3.1 Market'!$H286,'1.1 Control Panel'!AN410*'1.1 Control Panel'!AN$383)</f>
        <v>24.993915277118912</v>
      </c>
      <c r="AP295" s="21"/>
    </row>
    <row r="296" spans="2:42" x14ac:dyDescent="0.25">
      <c r="C296" s="21" t="s">
        <v>393</v>
      </c>
      <c r="D296" s="38" t="s">
        <v>162</v>
      </c>
      <c r="E296" s="21">
        <f>MIN('3.1 Market'!$F287,'1.1 Control Panel'!E411*'1.1 Control Panel'!E$383)</f>
        <v>0</v>
      </c>
      <c r="F296" s="21">
        <f>MIN('3.1 Market'!$F287,'1.1 Control Panel'!F411*'1.1 Control Panel'!F$383)</f>
        <v>0</v>
      </c>
      <c r="G296" s="21">
        <f>MIN('3.1 Market'!$F287,'1.1 Control Panel'!G411*'1.1 Control Panel'!G$383)</f>
        <v>0</v>
      </c>
      <c r="H296" s="21">
        <f>MIN('3.1 Market'!$F287,'1.1 Control Panel'!H411*'1.1 Control Panel'!H$383)</f>
        <v>0</v>
      </c>
      <c r="I296" s="21">
        <f>MIN('3.1 Market'!$F287,'1.1 Control Panel'!I411*'1.1 Control Panel'!I$383)</f>
        <v>0</v>
      </c>
      <c r="J296" s="21">
        <f>MIN('3.1 Market'!$F287,'1.1 Control Panel'!J411*'1.1 Control Panel'!J$383)</f>
        <v>0</v>
      </c>
      <c r="K296" s="21">
        <f>MIN('3.1 Market'!$F287,'1.1 Control Panel'!K411*'1.1 Control Panel'!K$383)</f>
        <v>0</v>
      </c>
      <c r="L296" s="21">
        <f>MIN('3.1 Market'!$F287,'1.1 Control Panel'!L411*'1.1 Control Panel'!L$383)</f>
        <v>0</v>
      </c>
      <c r="M296" s="21">
        <f>MIN('3.1 Market'!$F287,'1.1 Control Panel'!M411*'1.1 Control Panel'!M$383)</f>
        <v>0</v>
      </c>
      <c r="N296" s="21">
        <f>MIN('3.1 Market'!$F287,'1.1 Control Panel'!N411*'1.1 Control Panel'!N$383)</f>
        <v>0</v>
      </c>
      <c r="O296" s="21">
        <f>MIN('3.1 Market'!$F287,'1.1 Control Panel'!O411*'1.1 Control Panel'!O$383)</f>
        <v>0</v>
      </c>
      <c r="P296" s="21">
        <f>MIN('3.1 Market'!$F287,'1.1 Control Panel'!P411*'1.1 Control Panel'!P$383)</f>
        <v>0</v>
      </c>
      <c r="Q296" s="21">
        <f>MIN('3.1 Market'!$G287,'1.1 Control Panel'!Q411*'1.1 Control Panel'!Q$383)</f>
        <v>4.7251220930560009</v>
      </c>
      <c r="R296" s="21">
        <f>MIN('3.1 Market'!$G287,'1.1 Control Panel'!R411*'1.1 Control Panel'!R$383)</f>
        <v>4.7800976744448009</v>
      </c>
      <c r="S296" s="21">
        <f>MIN('3.1 Market'!$G287,'1.1 Control Panel'!S411*'1.1 Control Panel'!S$383)</f>
        <v>4.8240781395558407</v>
      </c>
      <c r="T296" s="21">
        <f>MIN('3.1 Market'!$G287,'1.1 Control Panel'!T411*'1.1 Control Panel'!T$383)</f>
        <v>4.8592625116446726</v>
      </c>
      <c r="U296" s="21">
        <f>MIN('3.1 Market'!$G287,'1.1 Control Panel'!U411*'1.1 Control Panel'!U$383)</f>
        <v>9.7748200186314769</v>
      </c>
      <c r="V296" s="21">
        <f>MIN('3.1 Market'!$G287,'1.1 Control Panel'!V411*'1.1 Control Panel'!V$383)</f>
        <v>9.8198560149051808</v>
      </c>
      <c r="W296" s="21">
        <f>MIN('3.1 Market'!$G287,'1.1 Control Panel'!W411*'1.1 Control Panel'!W$383)</f>
        <v>9.8558848119241453</v>
      </c>
      <c r="X296" s="21">
        <f>MIN('3.1 Market'!$G287,'1.1 Control Panel'!X411*'1.1 Control Panel'!X$383)</f>
        <v>9.8847078495393177</v>
      </c>
      <c r="Y296" s="21">
        <f>MIN('3.1 Market'!$G287,'1.1 Control Panel'!Y411*'1.1 Control Panel'!Y$383)</f>
        <v>9.9077662796314545</v>
      </c>
      <c r="Z296" s="21">
        <f>MIN('3.1 Market'!$G287,'1.1 Control Panel'!Z411*'1.1 Control Panel'!Z$383)</f>
        <v>9.9262130237051629</v>
      </c>
      <c r="AA296" s="21">
        <f>MIN('3.1 Market'!$G287,'1.1 Control Panel'!AA411*'1.1 Control Panel'!AA$383)</f>
        <v>9.940970418964131</v>
      </c>
      <c r="AB296" s="21">
        <f>MIN('3.1 Market'!$G287,'1.1 Control Panel'!AB411*'1.1 Control Panel'!AB$383)</f>
        <v>9.9527763351713041</v>
      </c>
      <c r="AC296" s="21">
        <f>MIN('3.1 Market'!$H287,'1.1 Control Panel'!AC411*'1.1 Control Panel'!AC$383)</f>
        <v>14.943331602205566</v>
      </c>
      <c r="AD296" s="21">
        <f>MIN('3.1 Market'!$H287,'1.1 Control Panel'!AD411*'1.1 Control Panel'!AD$383)</f>
        <v>14.954665281764454</v>
      </c>
      <c r="AE296" s="21">
        <f>MIN('3.1 Market'!$H287,'1.1 Control Panel'!AE411*'1.1 Control Panel'!AE$383)</f>
        <v>14.963732225411565</v>
      </c>
      <c r="AF296" s="21">
        <f>MIN('3.1 Market'!$H287,'1.1 Control Panel'!AF411*'1.1 Control Panel'!AF$383)</f>
        <v>14.970985780329254</v>
      </c>
      <c r="AG296" s="21">
        <f>MIN('3.1 Market'!$H287,'1.1 Control Panel'!AG411*'1.1 Control Panel'!AG$383)</f>
        <v>19.969051499017873</v>
      </c>
      <c r="AH296" s="21">
        <f>MIN('3.1 Market'!$H287,'1.1 Control Panel'!AH411*'1.1 Control Panel'!AH$383)</f>
        <v>19.975241199214299</v>
      </c>
      <c r="AI296" s="21">
        <f>MIN('3.1 Market'!$H287,'1.1 Control Panel'!AI411*'1.1 Control Panel'!AI$383)</f>
        <v>19.98019295937144</v>
      </c>
      <c r="AJ296" s="21">
        <f>MIN('3.1 Market'!$H287,'1.1 Control Panel'!AJ411*'1.1 Control Panel'!AJ$383)</f>
        <v>19.984154367497155</v>
      </c>
      <c r="AK296" s="21">
        <f>MIN('3.1 Market'!$H287,'1.1 Control Panel'!AK411*'1.1 Control Panel'!AK$383)</f>
        <v>24.984154367497155</v>
      </c>
      <c r="AL296" s="21">
        <f>MIN('3.1 Market'!$H287,'1.1 Control Panel'!AL411*'1.1 Control Panel'!AL$383)</f>
        <v>24.987323493997728</v>
      </c>
      <c r="AM296" s="21">
        <f>MIN('3.1 Market'!$H287,'1.1 Control Panel'!AM411*'1.1 Control Panel'!AM$383)</f>
        <v>24.989858795198181</v>
      </c>
      <c r="AN296" s="21">
        <f>MIN('3.1 Market'!$H287,'1.1 Control Panel'!AN411*'1.1 Control Panel'!AN$383)</f>
        <v>24.991887036158545</v>
      </c>
      <c r="AP296" s="21"/>
    </row>
    <row r="297" spans="2:42" x14ac:dyDescent="0.25">
      <c r="C297" s="21" t="s">
        <v>456</v>
      </c>
      <c r="D297" s="38" t="s">
        <v>162</v>
      </c>
      <c r="E297" s="21">
        <f>MIN('3.1 Market'!$F288,'1.1 Control Panel'!E412*'1.1 Control Panel'!E$383)</f>
        <v>0</v>
      </c>
      <c r="F297" s="21">
        <f>MIN('3.1 Market'!$F288,'1.1 Control Panel'!F412*'1.1 Control Panel'!F$383)</f>
        <v>0</v>
      </c>
      <c r="G297" s="21">
        <f>MIN('3.1 Market'!$F288,'1.1 Control Panel'!G412*'1.1 Control Panel'!G$383)</f>
        <v>0</v>
      </c>
      <c r="H297" s="21">
        <f>MIN('3.1 Market'!$F288,'1.1 Control Panel'!H412*'1.1 Control Panel'!H$383)</f>
        <v>0</v>
      </c>
      <c r="I297" s="21">
        <f>MIN('3.1 Market'!$F288,'1.1 Control Panel'!I412*'1.1 Control Panel'!I$383)</f>
        <v>0</v>
      </c>
      <c r="J297" s="21">
        <f>MIN('3.1 Market'!$F288,'1.1 Control Panel'!J412*'1.1 Control Panel'!J$383)</f>
        <v>0</v>
      </c>
      <c r="K297" s="21">
        <f>MIN('3.1 Market'!$F288,'1.1 Control Panel'!K412*'1.1 Control Panel'!K$383)</f>
        <v>0</v>
      </c>
      <c r="L297" s="21">
        <f>MIN('3.1 Market'!$F288,'1.1 Control Panel'!L412*'1.1 Control Panel'!L$383)</f>
        <v>0</v>
      </c>
      <c r="M297" s="21">
        <f>MIN('3.1 Market'!$F288,'1.1 Control Panel'!M412*'1.1 Control Panel'!M$383)</f>
        <v>0</v>
      </c>
      <c r="N297" s="21">
        <f>MIN('3.1 Market'!$F288,'1.1 Control Panel'!N412*'1.1 Control Panel'!N$383)</f>
        <v>0</v>
      </c>
      <c r="O297" s="21">
        <f>MIN('3.1 Market'!$F288,'1.1 Control Panel'!O412*'1.1 Control Panel'!O$383)</f>
        <v>0</v>
      </c>
      <c r="P297" s="21">
        <f>MIN('3.1 Market'!$F288,'1.1 Control Panel'!P412*'1.1 Control Panel'!P$383)</f>
        <v>0</v>
      </c>
      <c r="Q297" s="21">
        <f>MIN('3.1 Market'!$G288,'1.1 Control Panel'!Q412*'1.1 Control Panel'!Q$383)</f>
        <v>4.6564026163200012</v>
      </c>
      <c r="R297" s="21">
        <f>MIN('3.1 Market'!$G288,'1.1 Control Panel'!R412*'1.1 Control Panel'!R$383)</f>
        <v>4.7251220930560009</v>
      </c>
      <c r="S297" s="21">
        <f>MIN('3.1 Market'!$G288,'1.1 Control Panel'!S412*'1.1 Control Panel'!S$383)</f>
        <v>4.7800976744448009</v>
      </c>
      <c r="T297" s="21">
        <f>MIN('3.1 Market'!$G288,'1.1 Control Panel'!T412*'1.1 Control Panel'!T$383)</f>
        <v>4.8240781395558407</v>
      </c>
      <c r="U297" s="21">
        <f>MIN('3.1 Market'!$G288,'1.1 Control Panel'!U412*'1.1 Control Panel'!U$383)</f>
        <v>9.7185250232893452</v>
      </c>
      <c r="V297" s="21">
        <f>MIN('3.1 Market'!$G288,'1.1 Control Panel'!V412*'1.1 Control Panel'!V$383)</f>
        <v>9.7748200186314769</v>
      </c>
      <c r="W297" s="21">
        <f>MIN('3.1 Market'!$G288,'1.1 Control Panel'!W412*'1.1 Control Panel'!W$383)</f>
        <v>9.8198560149051808</v>
      </c>
      <c r="X297" s="21">
        <f>MIN('3.1 Market'!$G288,'1.1 Control Panel'!X412*'1.1 Control Panel'!X$383)</f>
        <v>9.8558848119241453</v>
      </c>
      <c r="Y297" s="21">
        <f>MIN('3.1 Market'!$G288,'1.1 Control Panel'!Y412*'1.1 Control Panel'!Y$383)</f>
        <v>9.8847078495393177</v>
      </c>
      <c r="Z297" s="21">
        <f>MIN('3.1 Market'!$G288,'1.1 Control Panel'!Z412*'1.1 Control Panel'!Z$383)</f>
        <v>9.9077662796314545</v>
      </c>
      <c r="AA297" s="21">
        <f>MIN('3.1 Market'!$G288,'1.1 Control Panel'!AA412*'1.1 Control Panel'!AA$383)</f>
        <v>9.9262130237051629</v>
      </c>
      <c r="AB297" s="21">
        <f>MIN('3.1 Market'!$G288,'1.1 Control Panel'!AB412*'1.1 Control Panel'!AB$383)</f>
        <v>9.940970418964131</v>
      </c>
      <c r="AC297" s="21">
        <f>MIN('3.1 Market'!$H288,'1.1 Control Panel'!AC412*'1.1 Control Panel'!AC$383)</f>
        <v>14.929164502756956</v>
      </c>
      <c r="AD297" s="21">
        <f>MIN('3.1 Market'!$H288,'1.1 Control Panel'!AD412*'1.1 Control Panel'!AD$383)</f>
        <v>14.943331602205566</v>
      </c>
      <c r="AE297" s="21">
        <f>MIN('3.1 Market'!$H288,'1.1 Control Panel'!AE412*'1.1 Control Panel'!AE$383)</f>
        <v>14.954665281764454</v>
      </c>
      <c r="AF297" s="21">
        <f>MIN('3.1 Market'!$H288,'1.1 Control Panel'!AF412*'1.1 Control Panel'!AF$383)</f>
        <v>14.963732225411565</v>
      </c>
      <c r="AG297" s="21">
        <f>MIN('3.1 Market'!$H288,'1.1 Control Panel'!AG412*'1.1 Control Panel'!AG$383)</f>
        <v>19.961314373772339</v>
      </c>
      <c r="AH297" s="21">
        <f>MIN('3.1 Market'!$H288,'1.1 Control Panel'!AH412*'1.1 Control Panel'!AH$383)</f>
        <v>19.969051499017873</v>
      </c>
      <c r="AI297" s="21">
        <f>MIN('3.1 Market'!$H288,'1.1 Control Panel'!AI412*'1.1 Control Panel'!AI$383)</f>
        <v>19.975241199214299</v>
      </c>
      <c r="AJ297" s="21">
        <f>MIN('3.1 Market'!$H288,'1.1 Control Panel'!AJ412*'1.1 Control Panel'!AJ$383)</f>
        <v>19.98019295937144</v>
      </c>
      <c r="AK297" s="21">
        <f>MIN('3.1 Market'!$H288,'1.1 Control Panel'!AK412*'1.1 Control Panel'!AK$383)</f>
        <v>24.980192959371443</v>
      </c>
      <c r="AL297" s="21">
        <f>MIN('3.1 Market'!$H288,'1.1 Control Panel'!AL412*'1.1 Control Panel'!AL$383)</f>
        <v>24.984154367497155</v>
      </c>
      <c r="AM297" s="21">
        <f>MIN('3.1 Market'!$H288,'1.1 Control Panel'!AM412*'1.1 Control Panel'!AM$383)</f>
        <v>24.987323493997728</v>
      </c>
      <c r="AN297" s="21">
        <f>MIN('3.1 Market'!$H288,'1.1 Control Panel'!AN412*'1.1 Control Panel'!AN$383)</f>
        <v>24.989858795198181</v>
      </c>
      <c r="AP297" s="21"/>
    </row>
    <row r="298" spans="2:42" x14ac:dyDescent="0.25">
      <c r="B298" s="99" t="s">
        <v>9</v>
      </c>
      <c r="C298" s="105" t="str">
        <f>'4.2 Sector Mapping'!$B$8</f>
        <v>Financial Services</v>
      </c>
      <c r="D298" s="106" t="s">
        <v>162</v>
      </c>
      <c r="E298" s="105">
        <f>SUM(E299:E304)</f>
        <v>15</v>
      </c>
      <c r="F298" s="105">
        <f t="shared" ref="F298:H298" si="151">SUM(F299:F304)</f>
        <v>18</v>
      </c>
      <c r="G298" s="105">
        <f t="shared" si="151"/>
        <v>20.400000000000002</v>
      </c>
      <c r="H298" s="105">
        <f t="shared" si="151"/>
        <v>22.320000000000004</v>
      </c>
      <c r="I298" s="105">
        <f t="shared" ref="I298:AN298" si="152">SUM(I299:I304)</f>
        <v>23.856000000000002</v>
      </c>
      <c r="J298" s="105">
        <f t="shared" si="152"/>
        <v>50.169600000000003</v>
      </c>
      <c r="K298" s="105">
        <f t="shared" si="152"/>
        <v>52.135680000000008</v>
      </c>
      <c r="L298" s="105">
        <f t="shared" si="152"/>
        <v>53.70854400000001</v>
      </c>
      <c r="M298" s="105">
        <f t="shared" si="152"/>
        <v>54.966835200000006</v>
      </c>
      <c r="N298" s="105">
        <f t="shared" si="152"/>
        <v>55.97346816000001</v>
      </c>
      <c r="O298" s="105">
        <f t="shared" si="152"/>
        <v>56.778774528000014</v>
      </c>
      <c r="P298" s="105">
        <f t="shared" si="152"/>
        <v>57.423019622400012</v>
      </c>
      <c r="Q298" s="105">
        <f t="shared" si="152"/>
        <v>84.113781977087996</v>
      </c>
      <c r="R298" s="105">
        <f t="shared" si="152"/>
        <v>84.691025581670416</v>
      </c>
      <c r="S298" s="105">
        <f t="shared" si="152"/>
        <v>85.152820465336333</v>
      </c>
      <c r="T298" s="105">
        <f t="shared" si="152"/>
        <v>85.522256372269069</v>
      </c>
      <c r="U298" s="105">
        <f t="shared" si="152"/>
        <v>110.42374013042033</v>
      </c>
      <c r="V298" s="105">
        <f t="shared" si="152"/>
        <v>110.73899210433626</v>
      </c>
      <c r="W298" s="105">
        <f t="shared" si="152"/>
        <v>110.99119368346902</v>
      </c>
      <c r="X298" s="105">
        <f t="shared" si="152"/>
        <v>111.19295494677522</v>
      </c>
      <c r="Y298" s="105">
        <f t="shared" si="152"/>
        <v>111.35436395742018</v>
      </c>
      <c r="Z298" s="105">
        <f t="shared" si="152"/>
        <v>111.48349116593614</v>
      </c>
      <c r="AA298" s="105">
        <f t="shared" si="152"/>
        <v>111.58679293274889</v>
      </c>
      <c r="AB298" s="105">
        <f t="shared" si="152"/>
        <v>111.66943434619913</v>
      </c>
      <c r="AC298" s="105">
        <f t="shared" si="152"/>
        <v>212.47109495391862</v>
      </c>
      <c r="AD298" s="105">
        <f t="shared" si="152"/>
        <v>212.57687596313491</v>
      </c>
      <c r="AE298" s="105">
        <f t="shared" si="152"/>
        <v>212.66150077050793</v>
      </c>
      <c r="AF298" s="105">
        <f t="shared" si="152"/>
        <v>212.72920061640636</v>
      </c>
      <c r="AG298" s="105">
        <f t="shared" si="152"/>
        <v>312.67504073968763</v>
      </c>
      <c r="AH298" s="105">
        <f t="shared" si="152"/>
        <v>312.74003259175009</v>
      </c>
      <c r="AI298" s="105">
        <f t="shared" si="152"/>
        <v>312.79202607340011</v>
      </c>
      <c r="AJ298" s="105">
        <f t="shared" si="152"/>
        <v>312.83362085872011</v>
      </c>
      <c r="AK298" s="105">
        <f t="shared" si="152"/>
        <v>405.8859114459795</v>
      </c>
      <c r="AL298" s="105">
        <f t="shared" si="152"/>
        <v>405.90872915678358</v>
      </c>
      <c r="AM298" s="105">
        <f t="shared" si="152"/>
        <v>405.92698332542693</v>
      </c>
      <c r="AN298" s="105">
        <f t="shared" si="152"/>
        <v>405.9415866603415</v>
      </c>
      <c r="AP298" s="105"/>
    </row>
    <row r="299" spans="2:42" x14ac:dyDescent="0.25">
      <c r="C299" s="20" t="s">
        <v>600</v>
      </c>
      <c r="D299" s="34" t="s">
        <v>162</v>
      </c>
      <c r="E299" s="20">
        <f>MIN('3.1 Market'!$F290,'1.1 Control Panel'!E438*'1.1 Control Panel'!E$414)</f>
        <v>5</v>
      </c>
      <c r="F299" s="20">
        <f>MIN('3.1 Market'!$F290,'1.1 Control Panel'!F438*'1.1 Control Panel'!F$414)</f>
        <v>5</v>
      </c>
      <c r="G299" s="20">
        <f>MIN('3.1 Market'!$F290,'1.1 Control Panel'!G438*'1.1 Control Panel'!G$414)</f>
        <v>5</v>
      </c>
      <c r="H299" s="20">
        <f>MIN('3.1 Market'!$F290,'1.1 Control Panel'!H438*'1.1 Control Panel'!H$414)</f>
        <v>5</v>
      </c>
      <c r="I299" s="20">
        <f>MIN('3.1 Market'!$F290,'1.1 Control Panel'!I438*'1.1 Control Panel'!I$414)</f>
        <v>5</v>
      </c>
      <c r="J299" s="20">
        <f>MIN('3.1 Market'!$F290,'1.1 Control Panel'!J438*'1.1 Control Panel'!J$414)</f>
        <v>10</v>
      </c>
      <c r="K299" s="20">
        <f>MIN('3.1 Market'!$F290,'1.1 Control Panel'!K438*'1.1 Control Panel'!K$414)</f>
        <v>10</v>
      </c>
      <c r="L299" s="20">
        <f>MIN('3.1 Market'!$F290,'1.1 Control Panel'!L438*'1.1 Control Panel'!L$414)</f>
        <v>10</v>
      </c>
      <c r="M299" s="20">
        <f>MIN('3.1 Market'!$F290,'1.1 Control Panel'!M438*'1.1 Control Panel'!M$414)</f>
        <v>10</v>
      </c>
      <c r="N299" s="20">
        <f>MIN('3.1 Market'!$F290,'1.1 Control Panel'!N438*'1.1 Control Panel'!N$414)</f>
        <v>10</v>
      </c>
      <c r="O299" s="20">
        <f>MIN('3.1 Market'!$F290,'1.1 Control Panel'!O438*'1.1 Control Panel'!O$414)</f>
        <v>10</v>
      </c>
      <c r="P299" s="20">
        <f>MIN('3.1 Market'!$F290,'1.1 Control Panel'!P438*'1.1 Control Panel'!P$414)</f>
        <v>10</v>
      </c>
      <c r="Q299" s="20">
        <f>MIN('3.1 Market'!$G290,'1.1 Control Panel'!Q438*'1.1 Control Panel'!Q$414)</f>
        <v>15</v>
      </c>
      <c r="R299" s="20">
        <f>MIN('3.1 Market'!$G290,'1.1 Control Panel'!R438*'1.1 Control Panel'!R$414)</f>
        <v>15</v>
      </c>
      <c r="S299" s="20">
        <f>MIN('3.1 Market'!$G290,'1.1 Control Panel'!S438*'1.1 Control Panel'!S$414)</f>
        <v>15</v>
      </c>
      <c r="T299" s="20">
        <f>MIN('3.1 Market'!$G290,'1.1 Control Panel'!T438*'1.1 Control Panel'!T$414)</f>
        <v>15</v>
      </c>
      <c r="U299" s="20">
        <f>MIN('3.1 Market'!$G290,'1.1 Control Panel'!U438*'1.1 Control Panel'!U$414)</f>
        <v>20</v>
      </c>
      <c r="V299" s="20">
        <f>MIN('3.1 Market'!$G290,'1.1 Control Panel'!V438*'1.1 Control Panel'!V$414)</f>
        <v>20</v>
      </c>
      <c r="W299" s="20">
        <f>MIN('3.1 Market'!$G290,'1.1 Control Panel'!W438*'1.1 Control Panel'!W$414)</f>
        <v>20</v>
      </c>
      <c r="X299" s="20">
        <f>MIN('3.1 Market'!$G290,'1.1 Control Panel'!X438*'1.1 Control Panel'!X$414)</f>
        <v>20</v>
      </c>
      <c r="Y299" s="20">
        <f>MIN('3.1 Market'!$G290,'1.1 Control Panel'!Y438*'1.1 Control Panel'!Y$414)</f>
        <v>20</v>
      </c>
      <c r="Z299" s="20">
        <f>MIN('3.1 Market'!$G290,'1.1 Control Panel'!Z438*'1.1 Control Panel'!Z$414)</f>
        <v>20</v>
      </c>
      <c r="AA299" s="20">
        <f>MIN('3.1 Market'!$G290,'1.1 Control Panel'!AA438*'1.1 Control Panel'!AA$414)</f>
        <v>20</v>
      </c>
      <c r="AB299" s="20">
        <f>MIN('3.1 Market'!$G290,'1.1 Control Panel'!AB438*'1.1 Control Panel'!AB$414)</f>
        <v>20</v>
      </c>
      <c r="AC299" s="20">
        <f>MIN('3.1 Market'!$H290,'1.1 Control Panel'!AC438*'1.1 Control Panel'!AC$414)</f>
        <v>40</v>
      </c>
      <c r="AD299" s="20">
        <f>MIN('3.1 Market'!$H290,'1.1 Control Panel'!AD438*'1.1 Control Panel'!AD$414)</f>
        <v>40</v>
      </c>
      <c r="AE299" s="20">
        <f>MIN('3.1 Market'!$H290,'1.1 Control Panel'!AE438*'1.1 Control Panel'!AE$414)</f>
        <v>40</v>
      </c>
      <c r="AF299" s="20">
        <f>MIN('3.1 Market'!$H290,'1.1 Control Panel'!AF438*'1.1 Control Panel'!AF$414)</f>
        <v>40</v>
      </c>
      <c r="AG299" s="20">
        <f>MIN('3.1 Market'!$H290,'1.1 Control Panel'!AG438*'1.1 Control Panel'!AG$414)</f>
        <v>60</v>
      </c>
      <c r="AH299" s="20">
        <f>MIN('3.1 Market'!$H290,'1.1 Control Panel'!AH438*'1.1 Control Panel'!AH$414)</f>
        <v>60</v>
      </c>
      <c r="AI299" s="20">
        <f>MIN('3.1 Market'!$H290,'1.1 Control Panel'!AI438*'1.1 Control Panel'!AI$414)</f>
        <v>60</v>
      </c>
      <c r="AJ299" s="20">
        <f>MIN('3.1 Market'!$H290,'1.1 Control Panel'!AJ438*'1.1 Control Panel'!AJ$414)</f>
        <v>60</v>
      </c>
      <c r="AK299" s="20">
        <f>MIN('3.1 Market'!$H290,'1.1 Control Panel'!AK438*'1.1 Control Panel'!AK$414)</f>
        <v>80</v>
      </c>
      <c r="AL299" s="20">
        <f>MIN('3.1 Market'!$H290,'1.1 Control Panel'!AL438*'1.1 Control Panel'!AL$414)</f>
        <v>80</v>
      </c>
      <c r="AM299" s="20">
        <f>MIN('3.1 Market'!$H290,'1.1 Control Panel'!AM438*'1.1 Control Panel'!AM$414)</f>
        <v>80</v>
      </c>
      <c r="AN299" s="20">
        <f>MIN('3.1 Market'!$H290,'1.1 Control Panel'!AN438*'1.1 Control Panel'!AN$414)</f>
        <v>80</v>
      </c>
      <c r="AP299" s="20"/>
    </row>
    <row r="300" spans="2:42" x14ac:dyDescent="0.25">
      <c r="C300" s="20" t="s">
        <v>392</v>
      </c>
      <c r="D300" s="34" t="s">
        <v>162</v>
      </c>
      <c r="E300" s="20">
        <f>MIN('3.1 Market'!$F291,'1.1 Control Panel'!E439*'1.1 Control Panel'!E$414)</f>
        <v>4</v>
      </c>
      <c r="F300" s="20">
        <f>MIN('3.1 Market'!$F291,'1.1 Control Panel'!F439*'1.1 Control Panel'!F$414)</f>
        <v>4.2</v>
      </c>
      <c r="G300" s="20">
        <f>MIN('3.1 Market'!$F291,'1.1 Control Panel'!G439*'1.1 Control Panel'!G$414)</f>
        <v>4.3600000000000003</v>
      </c>
      <c r="H300" s="20">
        <f>MIN('3.1 Market'!$F291,'1.1 Control Panel'!H439*'1.1 Control Panel'!H$414)</f>
        <v>4.4880000000000004</v>
      </c>
      <c r="I300" s="20">
        <f>MIN('3.1 Market'!$F291,'1.1 Control Panel'!I439*'1.1 Control Panel'!I$414)</f>
        <v>4.5904000000000007</v>
      </c>
      <c r="J300" s="20">
        <f>MIN('3.1 Market'!$F291,'1.1 Control Panel'!J439*'1.1 Control Panel'!J$414)</f>
        <v>9.3446400000000018</v>
      </c>
      <c r="K300" s="20">
        <f>MIN('3.1 Market'!$F291,'1.1 Control Panel'!K439*'1.1 Control Panel'!K$414)</f>
        <v>9.4757120000000015</v>
      </c>
      <c r="L300" s="20">
        <f>MIN('3.1 Market'!$F291,'1.1 Control Panel'!L439*'1.1 Control Panel'!L$414)</f>
        <v>9.5805696000000005</v>
      </c>
      <c r="M300" s="20">
        <f>MIN('3.1 Market'!$F291,'1.1 Control Panel'!M439*'1.1 Control Panel'!M$414)</f>
        <v>9.6644556799999997</v>
      </c>
      <c r="N300" s="20">
        <f>MIN('3.1 Market'!$F291,'1.1 Control Panel'!N439*'1.1 Control Panel'!N$414)</f>
        <v>9.7315645440000011</v>
      </c>
      <c r="O300" s="20">
        <f>MIN('3.1 Market'!$F291,'1.1 Control Panel'!O439*'1.1 Control Panel'!O$414)</f>
        <v>9.7852516352000016</v>
      </c>
      <c r="P300" s="20">
        <f>MIN('3.1 Market'!$F291,'1.1 Control Panel'!P439*'1.1 Control Panel'!P$414)</f>
        <v>9.8282013081600006</v>
      </c>
      <c r="Q300" s="20">
        <f>MIN('3.1 Market'!$G291,'1.1 Control Panel'!Q439*'1.1 Control Panel'!Q$414)</f>
        <v>12</v>
      </c>
      <c r="R300" s="20">
        <f>MIN('3.1 Market'!$G291,'1.1 Control Panel'!R439*'1.1 Control Panel'!R$414)</f>
        <v>12</v>
      </c>
      <c r="S300" s="20">
        <f>MIN('3.1 Market'!$G291,'1.1 Control Panel'!S439*'1.1 Control Panel'!S$414)</f>
        <v>12</v>
      </c>
      <c r="T300" s="20">
        <f>MIN('3.1 Market'!$G291,'1.1 Control Panel'!T439*'1.1 Control Panel'!T$414)</f>
        <v>12</v>
      </c>
      <c r="U300" s="20">
        <f>MIN('3.1 Market'!$G291,'1.1 Control Panel'!U439*'1.1 Control Panel'!U$414)</f>
        <v>12</v>
      </c>
      <c r="V300" s="20">
        <f>MIN('3.1 Market'!$G291,'1.1 Control Panel'!V439*'1.1 Control Panel'!V$414)</f>
        <v>12</v>
      </c>
      <c r="W300" s="20">
        <f>MIN('3.1 Market'!$G291,'1.1 Control Panel'!W439*'1.1 Control Panel'!W$414)</f>
        <v>12</v>
      </c>
      <c r="X300" s="20">
        <f>MIN('3.1 Market'!$G291,'1.1 Control Panel'!X439*'1.1 Control Panel'!X$414)</f>
        <v>12</v>
      </c>
      <c r="Y300" s="20">
        <f>MIN('3.1 Market'!$G291,'1.1 Control Panel'!Y439*'1.1 Control Panel'!Y$414)</f>
        <v>12</v>
      </c>
      <c r="Z300" s="20">
        <f>MIN('3.1 Market'!$G291,'1.1 Control Panel'!Z439*'1.1 Control Panel'!Z$414)</f>
        <v>12</v>
      </c>
      <c r="AA300" s="20">
        <f>MIN('3.1 Market'!$G291,'1.1 Control Panel'!AA439*'1.1 Control Panel'!AA$414)</f>
        <v>12</v>
      </c>
      <c r="AB300" s="20">
        <f>MIN('3.1 Market'!$G291,'1.1 Control Panel'!AB439*'1.1 Control Panel'!AB$414)</f>
        <v>12</v>
      </c>
      <c r="AC300" s="20">
        <f>MIN('3.1 Market'!$H291,'1.1 Control Panel'!AC439*'1.1 Control Panel'!AC$414)</f>
        <v>13</v>
      </c>
      <c r="AD300" s="20">
        <f>MIN('3.1 Market'!$H291,'1.1 Control Panel'!AD439*'1.1 Control Panel'!AD$414)</f>
        <v>13</v>
      </c>
      <c r="AE300" s="20">
        <f>MIN('3.1 Market'!$H291,'1.1 Control Panel'!AE439*'1.1 Control Panel'!AE$414)</f>
        <v>13</v>
      </c>
      <c r="AF300" s="20">
        <f>MIN('3.1 Market'!$H291,'1.1 Control Panel'!AF439*'1.1 Control Panel'!AF$414)</f>
        <v>13</v>
      </c>
      <c r="AG300" s="20">
        <f>MIN('3.1 Market'!$H291,'1.1 Control Panel'!AG439*'1.1 Control Panel'!AG$414)</f>
        <v>13</v>
      </c>
      <c r="AH300" s="20">
        <f>MIN('3.1 Market'!$H291,'1.1 Control Panel'!AH439*'1.1 Control Panel'!AH$414)</f>
        <v>13</v>
      </c>
      <c r="AI300" s="20">
        <f>MIN('3.1 Market'!$H291,'1.1 Control Panel'!AI439*'1.1 Control Panel'!AI$414)</f>
        <v>13</v>
      </c>
      <c r="AJ300" s="20">
        <f>MIN('3.1 Market'!$H291,'1.1 Control Panel'!AJ439*'1.1 Control Panel'!AJ$414)</f>
        <v>13</v>
      </c>
      <c r="AK300" s="20">
        <f>MIN('3.1 Market'!$H291,'1.1 Control Panel'!AK439*'1.1 Control Panel'!AK$414)</f>
        <v>13</v>
      </c>
      <c r="AL300" s="20">
        <f>MIN('3.1 Market'!$H291,'1.1 Control Panel'!AL439*'1.1 Control Panel'!AL$414)</f>
        <v>13</v>
      </c>
      <c r="AM300" s="20">
        <f>MIN('3.1 Market'!$H291,'1.1 Control Panel'!AM439*'1.1 Control Panel'!AM$414)</f>
        <v>13</v>
      </c>
      <c r="AN300" s="20">
        <f>MIN('3.1 Market'!$H291,'1.1 Control Panel'!AN439*'1.1 Control Panel'!AN$414)</f>
        <v>13</v>
      </c>
      <c r="AP300" s="20"/>
    </row>
    <row r="301" spans="2:42" x14ac:dyDescent="0.25">
      <c r="C301" s="20" t="s">
        <v>454</v>
      </c>
      <c r="D301" s="34" t="s">
        <v>162</v>
      </c>
      <c r="E301" s="20">
        <f>MIN('3.1 Market'!$F292,'1.1 Control Panel'!E440*'1.1 Control Panel'!E$414)</f>
        <v>3</v>
      </c>
      <c r="F301" s="20">
        <f>MIN('3.1 Market'!$F292,'1.1 Control Panel'!F440*'1.1 Control Panel'!F$414)</f>
        <v>3.4000000000000004</v>
      </c>
      <c r="G301" s="20">
        <f>MIN('3.1 Market'!$F292,'1.1 Control Panel'!G440*'1.1 Control Panel'!G$414)</f>
        <v>3.7200000000000006</v>
      </c>
      <c r="H301" s="20">
        <f>MIN('3.1 Market'!$F292,'1.1 Control Panel'!H440*'1.1 Control Panel'!H$414)</f>
        <v>3.9760000000000009</v>
      </c>
      <c r="I301" s="20">
        <f>MIN('3.1 Market'!$F292,'1.1 Control Panel'!I440*'1.1 Control Panel'!I$414)</f>
        <v>4.1808000000000014</v>
      </c>
      <c r="J301" s="20">
        <f>MIN('3.1 Market'!$F292,'1.1 Control Panel'!J440*'1.1 Control Panel'!J$414)</f>
        <v>8.6892800000000037</v>
      </c>
      <c r="K301" s="20">
        <f>MIN('3.1 Market'!$F292,'1.1 Control Panel'!K440*'1.1 Control Panel'!K$414)</f>
        <v>8.9514240000000029</v>
      </c>
      <c r="L301" s="20">
        <f>MIN('3.1 Market'!$F292,'1.1 Control Panel'!L440*'1.1 Control Panel'!L$414)</f>
        <v>9.1611392000000027</v>
      </c>
      <c r="M301" s="20">
        <f>MIN('3.1 Market'!$F292,'1.1 Control Panel'!M440*'1.1 Control Panel'!M$414)</f>
        <v>9.3289113600000029</v>
      </c>
      <c r="N301" s="20">
        <f>MIN('3.1 Market'!$F292,'1.1 Control Panel'!N440*'1.1 Control Panel'!N$414)</f>
        <v>9.4631290880000023</v>
      </c>
      <c r="O301" s="20">
        <f>MIN('3.1 Market'!$F292,'1.1 Control Panel'!O440*'1.1 Control Panel'!O$414)</f>
        <v>9.5705032704000033</v>
      </c>
      <c r="P301" s="20">
        <f>MIN('3.1 Market'!$F292,'1.1 Control Panel'!P440*'1.1 Control Panel'!P$414)</f>
        <v>9.656402616320003</v>
      </c>
      <c r="Q301" s="20">
        <f>MIN('3.1 Market'!$G292,'1.1 Control Panel'!Q440*'1.1 Control Panel'!Q$414)</f>
        <v>14.587683139584005</v>
      </c>
      <c r="R301" s="20">
        <f>MIN('3.1 Market'!$G292,'1.1 Control Panel'!R440*'1.1 Control Panel'!R$414)</f>
        <v>14.670146511667205</v>
      </c>
      <c r="S301" s="20">
        <f>MIN('3.1 Market'!$G292,'1.1 Control Panel'!S440*'1.1 Control Panel'!S$414)</f>
        <v>14.736117209333766</v>
      </c>
      <c r="T301" s="20">
        <f>MIN('3.1 Market'!$G292,'1.1 Control Panel'!T440*'1.1 Control Panel'!T$414)</f>
        <v>14.788893767467014</v>
      </c>
      <c r="U301" s="20">
        <f>MIN('3.1 Market'!$G292,'1.1 Control Panel'!U440*'1.1 Control Panel'!U$414)</f>
        <v>19.77482001863148</v>
      </c>
      <c r="V301" s="20">
        <f>MIN('3.1 Market'!$G292,'1.1 Control Panel'!V440*'1.1 Control Panel'!V$414)</f>
        <v>19.819856014905184</v>
      </c>
      <c r="W301" s="20">
        <f>MIN('3.1 Market'!$G292,'1.1 Control Panel'!W440*'1.1 Control Panel'!W$414)</f>
        <v>19.855884811924149</v>
      </c>
      <c r="X301" s="20">
        <f>MIN('3.1 Market'!$G292,'1.1 Control Panel'!X440*'1.1 Control Panel'!X$414)</f>
        <v>19.884707849539318</v>
      </c>
      <c r="Y301" s="20">
        <f>MIN('3.1 Market'!$G292,'1.1 Control Panel'!Y440*'1.1 Control Panel'!Y$414)</f>
        <v>19.907766279631453</v>
      </c>
      <c r="Z301" s="20">
        <f>MIN('3.1 Market'!$G292,'1.1 Control Panel'!Z440*'1.1 Control Panel'!Z$414)</f>
        <v>19.926213023705163</v>
      </c>
      <c r="AA301" s="20">
        <f>MIN('3.1 Market'!$G292,'1.1 Control Panel'!AA440*'1.1 Control Panel'!AA$414)</f>
        <v>19.940970418964131</v>
      </c>
      <c r="AB301" s="20">
        <f>MIN('3.1 Market'!$G292,'1.1 Control Panel'!AB440*'1.1 Control Panel'!AB$414)</f>
        <v>19.952776335171308</v>
      </c>
      <c r="AC301" s="20">
        <f>MIN('3.1 Market'!$H292,'1.1 Control Panel'!AC440*'1.1 Control Panel'!AC$414)</f>
        <v>39.924442136274095</v>
      </c>
      <c r="AD301" s="20">
        <f>MIN('3.1 Market'!$H292,'1.1 Control Panel'!AD440*'1.1 Control Panel'!AD$414)</f>
        <v>39.939553709019279</v>
      </c>
      <c r="AE301" s="20">
        <f>MIN('3.1 Market'!$H292,'1.1 Control Panel'!AE440*'1.1 Control Panel'!AE$414)</f>
        <v>39.95164296721542</v>
      </c>
      <c r="AF301" s="20">
        <f>MIN('3.1 Market'!$H292,'1.1 Control Panel'!AF440*'1.1 Control Panel'!AF$414)</f>
        <v>39.961314373772339</v>
      </c>
      <c r="AG301" s="20">
        <f>MIN('3.1 Market'!$H292,'1.1 Control Panel'!AG440*'1.1 Control Panel'!AG$414)</f>
        <v>59.953577248526813</v>
      </c>
      <c r="AH301" s="20">
        <f>MIN('3.1 Market'!$H292,'1.1 Control Panel'!AH440*'1.1 Control Panel'!AH$414)</f>
        <v>59.962861798821443</v>
      </c>
      <c r="AI301" s="20">
        <f>MIN('3.1 Market'!$H292,'1.1 Control Panel'!AI440*'1.1 Control Panel'!AI$414)</f>
        <v>59.970289439057154</v>
      </c>
      <c r="AJ301" s="20">
        <f>MIN('3.1 Market'!$H292,'1.1 Control Panel'!AJ440*'1.1 Control Panel'!AJ$414)</f>
        <v>59.976231551245732</v>
      </c>
      <c r="AK301" s="20">
        <f>MIN('3.1 Market'!$H292,'1.1 Control Panel'!AK440*'1.1 Control Panel'!AK$414)</f>
        <v>79.974646987995442</v>
      </c>
      <c r="AL301" s="20">
        <f>MIN('3.1 Market'!$H292,'1.1 Control Panel'!AL440*'1.1 Control Panel'!AL$414)</f>
        <v>79.979717590396348</v>
      </c>
      <c r="AM301" s="20">
        <f>MIN('3.1 Market'!$H292,'1.1 Control Panel'!AM440*'1.1 Control Panel'!AM$414)</f>
        <v>79.98377407231709</v>
      </c>
      <c r="AN301" s="20">
        <f>MIN('3.1 Market'!$H292,'1.1 Control Panel'!AN440*'1.1 Control Panel'!AN$414)</f>
        <v>79.987019257853675</v>
      </c>
      <c r="AP301" s="20"/>
    </row>
    <row r="302" spans="2:42" x14ac:dyDescent="0.25">
      <c r="C302" s="21" t="s">
        <v>455</v>
      </c>
      <c r="D302" s="38" t="s">
        <v>162</v>
      </c>
      <c r="E302" s="21">
        <f>MIN('3.1 Market'!$F293,'1.1 Control Panel'!E441*'1.1 Control Panel'!E$414)</f>
        <v>2</v>
      </c>
      <c r="F302" s="21">
        <f>MIN('3.1 Market'!$F293,'1.1 Control Panel'!F441*'1.1 Control Panel'!F$414)</f>
        <v>2.6</v>
      </c>
      <c r="G302" s="21">
        <f>MIN('3.1 Market'!$F293,'1.1 Control Panel'!G441*'1.1 Control Panel'!G$414)</f>
        <v>3.08</v>
      </c>
      <c r="H302" s="21">
        <f>MIN('3.1 Market'!$F293,'1.1 Control Panel'!H441*'1.1 Control Panel'!H$414)</f>
        <v>3.4640000000000004</v>
      </c>
      <c r="I302" s="21">
        <f>MIN('3.1 Market'!$F293,'1.1 Control Panel'!I441*'1.1 Control Panel'!I$414)</f>
        <v>3.7712000000000003</v>
      </c>
      <c r="J302" s="21">
        <f>MIN('3.1 Market'!$F293,'1.1 Control Panel'!J441*'1.1 Control Panel'!J$414)</f>
        <v>8.0339200000000019</v>
      </c>
      <c r="K302" s="21">
        <f>MIN('3.1 Market'!$F293,'1.1 Control Panel'!K441*'1.1 Control Panel'!K$414)</f>
        <v>8.4271360000000008</v>
      </c>
      <c r="L302" s="21">
        <f>MIN('3.1 Market'!$F293,'1.1 Control Panel'!L441*'1.1 Control Panel'!L$414)</f>
        <v>8.7417088000000014</v>
      </c>
      <c r="M302" s="21">
        <f>MIN('3.1 Market'!$F293,'1.1 Control Panel'!M441*'1.1 Control Panel'!M$414)</f>
        <v>8.9933670400000025</v>
      </c>
      <c r="N302" s="21">
        <f>MIN('3.1 Market'!$F293,'1.1 Control Panel'!N441*'1.1 Control Panel'!N$414)</f>
        <v>9.1946936320000034</v>
      </c>
      <c r="O302" s="21">
        <f>MIN('3.1 Market'!$F293,'1.1 Control Panel'!O441*'1.1 Control Panel'!O$414)</f>
        <v>9.3557549056000031</v>
      </c>
      <c r="P302" s="21">
        <f>MIN('3.1 Market'!$F293,'1.1 Control Panel'!P441*'1.1 Control Panel'!P$414)</f>
        <v>9.4846039244800018</v>
      </c>
      <c r="Q302" s="21">
        <f>MIN('3.1 Market'!$G293,'1.1 Control Panel'!Q441*'1.1 Control Panel'!Q$414)</f>
        <v>14.381524709376002</v>
      </c>
      <c r="R302" s="21">
        <f>MIN('3.1 Market'!$G293,'1.1 Control Panel'!R441*'1.1 Control Panel'!R$414)</f>
        <v>14.505219767500803</v>
      </c>
      <c r="S302" s="21">
        <f>MIN('3.1 Market'!$G293,'1.1 Control Panel'!S441*'1.1 Control Panel'!S$414)</f>
        <v>14.604175814000644</v>
      </c>
      <c r="T302" s="21">
        <f>MIN('3.1 Market'!$G293,'1.1 Control Panel'!T441*'1.1 Control Panel'!T$414)</f>
        <v>14.683340651200517</v>
      </c>
      <c r="U302" s="21">
        <f>MIN('3.1 Market'!$G293,'1.1 Control Panel'!U441*'1.1 Control Panel'!U$414)</f>
        <v>19.662230027947217</v>
      </c>
      <c r="V302" s="21">
        <f>MIN('3.1 Market'!$G293,'1.1 Control Panel'!V441*'1.1 Control Panel'!V$414)</f>
        <v>19.729784022357777</v>
      </c>
      <c r="W302" s="21">
        <f>MIN('3.1 Market'!$G293,'1.1 Control Panel'!W441*'1.1 Control Panel'!W$414)</f>
        <v>19.78382721788622</v>
      </c>
      <c r="X302" s="21">
        <f>MIN('3.1 Market'!$G293,'1.1 Control Panel'!X441*'1.1 Control Panel'!X$414)</f>
        <v>19.827061774308977</v>
      </c>
      <c r="Y302" s="21">
        <f>MIN('3.1 Market'!$G293,'1.1 Control Panel'!Y441*'1.1 Control Panel'!Y$414)</f>
        <v>19.861649419447183</v>
      </c>
      <c r="Z302" s="21">
        <f>MIN('3.1 Market'!$G293,'1.1 Control Panel'!Z441*'1.1 Control Panel'!Z$414)</f>
        <v>19.889319535557746</v>
      </c>
      <c r="AA302" s="21">
        <f>MIN('3.1 Market'!$G293,'1.1 Control Panel'!AA441*'1.1 Control Panel'!AA$414)</f>
        <v>19.911455628446198</v>
      </c>
      <c r="AB302" s="21">
        <f>MIN('3.1 Market'!$G293,'1.1 Control Panel'!AB441*'1.1 Control Panel'!AB$414)</f>
        <v>19.929164502756961</v>
      </c>
      <c r="AC302" s="21">
        <f>MIN('3.1 Market'!$H293,'1.1 Control Panel'!AC441*'1.1 Control Panel'!AC$414)</f>
        <v>39.886663204411136</v>
      </c>
      <c r="AD302" s="21">
        <f>MIN('3.1 Market'!$H293,'1.1 Control Panel'!AD441*'1.1 Control Panel'!AD$414)</f>
        <v>39.909330563528911</v>
      </c>
      <c r="AE302" s="21">
        <f>MIN('3.1 Market'!$H293,'1.1 Control Panel'!AE441*'1.1 Control Panel'!AE$414)</f>
        <v>39.92746445082313</v>
      </c>
      <c r="AF302" s="21">
        <f>MIN('3.1 Market'!$H293,'1.1 Control Panel'!AF441*'1.1 Control Panel'!AF$414)</f>
        <v>39.941971560658502</v>
      </c>
      <c r="AG302" s="21">
        <f>MIN('3.1 Market'!$H293,'1.1 Control Panel'!AG441*'1.1 Control Panel'!AG$414)</f>
        <v>59.930365872790198</v>
      </c>
      <c r="AH302" s="21">
        <f>MIN('3.1 Market'!$H293,'1.1 Control Panel'!AH441*'1.1 Control Panel'!AH$414)</f>
        <v>59.944292698232154</v>
      </c>
      <c r="AI302" s="21">
        <f>MIN('3.1 Market'!$H293,'1.1 Control Panel'!AI441*'1.1 Control Panel'!AI$414)</f>
        <v>59.955434158585732</v>
      </c>
      <c r="AJ302" s="21">
        <f>MIN('3.1 Market'!$H293,'1.1 Control Panel'!AJ441*'1.1 Control Panel'!AJ$414)</f>
        <v>59.964347326868591</v>
      </c>
      <c r="AK302" s="21">
        <f>MIN('3.1 Market'!$H293,'1.1 Control Panel'!AK441*'1.1 Control Panel'!AK$414)</f>
        <v>79.961970481993163</v>
      </c>
      <c r="AL302" s="21">
        <f>MIN('3.1 Market'!$H293,'1.1 Control Panel'!AL441*'1.1 Control Panel'!AL$414)</f>
        <v>79.969576385594536</v>
      </c>
      <c r="AM302" s="21">
        <f>MIN('3.1 Market'!$H293,'1.1 Control Panel'!AM441*'1.1 Control Panel'!AM$414)</f>
        <v>79.975661108475634</v>
      </c>
      <c r="AN302" s="21">
        <f>MIN('3.1 Market'!$H293,'1.1 Control Panel'!AN441*'1.1 Control Panel'!AN$414)</f>
        <v>79.980528886780519</v>
      </c>
      <c r="AP302" s="21"/>
    </row>
    <row r="303" spans="2:42" x14ac:dyDescent="0.25">
      <c r="C303" s="21" t="s">
        <v>393</v>
      </c>
      <c r="D303" s="38" t="s">
        <v>162</v>
      </c>
      <c r="E303" s="21">
        <f>MIN('3.1 Market'!$F294,'1.1 Control Panel'!E442*'1.1 Control Panel'!E$414)</f>
        <v>1</v>
      </c>
      <c r="F303" s="21">
        <f>MIN('3.1 Market'!$F294,'1.1 Control Panel'!F442*'1.1 Control Panel'!F$414)</f>
        <v>1.8</v>
      </c>
      <c r="G303" s="21">
        <f>MIN('3.1 Market'!$F294,'1.1 Control Panel'!G442*'1.1 Control Panel'!G$414)</f>
        <v>2.4400000000000004</v>
      </c>
      <c r="H303" s="21">
        <f>MIN('3.1 Market'!$F294,'1.1 Control Panel'!H442*'1.1 Control Panel'!H$414)</f>
        <v>2.9520000000000004</v>
      </c>
      <c r="I303" s="21">
        <f>MIN('3.1 Market'!$F294,'1.1 Control Panel'!I442*'1.1 Control Panel'!I$414)</f>
        <v>3.3616000000000006</v>
      </c>
      <c r="J303" s="21">
        <f>MIN('3.1 Market'!$F294,'1.1 Control Panel'!J442*'1.1 Control Panel'!J$414)</f>
        <v>7.3785600000000011</v>
      </c>
      <c r="K303" s="21">
        <f>MIN('3.1 Market'!$F294,'1.1 Control Panel'!K442*'1.1 Control Panel'!K$414)</f>
        <v>7.9028480000000014</v>
      </c>
      <c r="L303" s="21">
        <f>MIN('3.1 Market'!$F294,'1.1 Control Panel'!L442*'1.1 Control Panel'!L$414)</f>
        <v>8.3222784000000019</v>
      </c>
      <c r="M303" s="21">
        <f>MIN('3.1 Market'!$F294,'1.1 Control Panel'!M442*'1.1 Control Panel'!M$414)</f>
        <v>8.6578227200000022</v>
      </c>
      <c r="N303" s="21">
        <f>MIN('3.1 Market'!$F294,'1.1 Control Panel'!N442*'1.1 Control Panel'!N$414)</f>
        <v>8.926258176000001</v>
      </c>
      <c r="O303" s="21">
        <f>MIN('3.1 Market'!$F294,'1.1 Control Panel'!O442*'1.1 Control Panel'!O$414)</f>
        <v>9.1410065408000012</v>
      </c>
      <c r="P303" s="21">
        <f>MIN('3.1 Market'!$F294,'1.1 Control Panel'!P442*'1.1 Control Panel'!P$414)</f>
        <v>9.3128052326400024</v>
      </c>
      <c r="Q303" s="21">
        <f>MIN('3.1 Market'!$G294,'1.1 Control Panel'!Q442*'1.1 Control Panel'!Q$414)</f>
        <v>14.175366279168003</v>
      </c>
      <c r="R303" s="21">
        <f>MIN('3.1 Market'!$G294,'1.1 Control Panel'!R442*'1.1 Control Panel'!R$414)</f>
        <v>14.340293023334404</v>
      </c>
      <c r="S303" s="21">
        <f>MIN('3.1 Market'!$G294,'1.1 Control Panel'!S442*'1.1 Control Panel'!S$414)</f>
        <v>14.472234418667522</v>
      </c>
      <c r="T303" s="21">
        <f>MIN('3.1 Market'!$G294,'1.1 Control Panel'!T442*'1.1 Control Panel'!T$414)</f>
        <v>14.577787534934018</v>
      </c>
      <c r="U303" s="21">
        <f>MIN('3.1 Market'!$G294,'1.1 Control Panel'!U442*'1.1 Control Panel'!U$414)</f>
        <v>19.549640037262954</v>
      </c>
      <c r="V303" s="21">
        <f>MIN('3.1 Market'!$G294,'1.1 Control Panel'!V442*'1.1 Control Panel'!V$414)</f>
        <v>19.639712029810362</v>
      </c>
      <c r="W303" s="21">
        <f>MIN('3.1 Market'!$G294,'1.1 Control Panel'!W442*'1.1 Control Panel'!W$414)</f>
        <v>19.711769623848291</v>
      </c>
      <c r="X303" s="21">
        <f>MIN('3.1 Market'!$G294,'1.1 Control Panel'!X442*'1.1 Control Panel'!X$414)</f>
        <v>19.769415699078635</v>
      </c>
      <c r="Y303" s="21">
        <f>MIN('3.1 Market'!$G294,'1.1 Control Panel'!Y442*'1.1 Control Panel'!Y$414)</f>
        <v>19.815532559262909</v>
      </c>
      <c r="Z303" s="21">
        <f>MIN('3.1 Market'!$G294,'1.1 Control Panel'!Z442*'1.1 Control Panel'!Z$414)</f>
        <v>19.852426047410326</v>
      </c>
      <c r="AA303" s="21">
        <f>MIN('3.1 Market'!$G294,'1.1 Control Panel'!AA442*'1.1 Control Panel'!AA$414)</f>
        <v>19.881940837928262</v>
      </c>
      <c r="AB303" s="21">
        <f>MIN('3.1 Market'!$G294,'1.1 Control Panel'!AB442*'1.1 Control Panel'!AB$414)</f>
        <v>19.905552670342608</v>
      </c>
      <c r="AC303" s="21">
        <f>MIN('3.1 Market'!$H294,'1.1 Control Panel'!AC442*'1.1 Control Panel'!AC$414)</f>
        <v>39.848884272548176</v>
      </c>
      <c r="AD303" s="21">
        <f>MIN('3.1 Market'!$H294,'1.1 Control Panel'!AD442*'1.1 Control Panel'!AD$414)</f>
        <v>39.879107418038544</v>
      </c>
      <c r="AE303" s="21">
        <f>MIN('3.1 Market'!$H294,'1.1 Control Panel'!AE442*'1.1 Control Panel'!AE$414)</f>
        <v>39.903285934430841</v>
      </c>
      <c r="AF303" s="21">
        <f>MIN('3.1 Market'!$H294,'1.1 Control Panel'!AF442*'1.1 Control Panel'!AF$414)</f>
        <v>39.922628747544678</v>
      </c>
      <c r="AG303" s="21">
        <f>MIN('3.1 Market'!$H294,'1.1 Control Panel'!AG442*'1.1 Control Panel'!AG$414)</f>
        <v>59.907154497053618</v>
      </c>
      <c r="AH303" s="21">
        <f>MIN('3.1 Market'!$H294,'1.1 Control Panel'!AH442*'1.1 Control Panel'!AH$414)</f>
        <v>59.9257235976429</v>
      </c>
      <c r="AI303" s="21">
        <f>MIN('3.1 Market'!$H294,'1.1 Control Panel'!AI442*'1.1 Control Panel'!AI$414)</f>
        <v>59.940578878114323</v>
      </c>
      <c r="AJ303" s="21">
        <f>MIN('3.1 Market'!$H294,'1.1 Control Panel'!AJ442*'1.1 Control Panel'!AJ$414)</f>
        <v>59.952463102491464</v>
      </c>
      <c r="AK303" s="21">
        <f>MIN('3.1 Market'!$H294,'1.1 Control Panel'!AK442*'1.1 Control Panel'!AK$414)</f>
        <v>79.949293975990898</v>
      </c>
      <c r="AL303" s="21">
        <f>MIN('3.1 Market'!$H294,'1.1 Control Panel'!AL442*'1.1 Control Panel'!AL$414)</f>
        <v>79.959435180792724</v>
      </c>
      <c r="AM303" s="21">
        <f>MIN('3.1 Market'!$H294,'1.1 Control Panel'!AM442*'1.1 Control Panel'!AM$414)</f>
        <v>79.967548144634179</v>
      </c>
      <c r="AN303" s="21">
        <f>MIN('3.1 Market'!$H294,'1.1 Control Panel'!AN442*'1.1 Control Panel'!AN$414)</f>
        <v>79.974038515707349</v>
      </c>
      <c r="AP303" s="21"/>
    </row>
    <row r="304" spans="2:42" x14ac:dyDescent="0.25">
      <c r="C304" s="21" t="s">
        <v>456</v>
      </c>
      <c r="D304" s="38" t="s">
        <v>162</v>
      </c>
      <c r="E304" s="21">
        <f>MIN('3.1 Market'!$F295,'1.1 Control Panel'!E443*'1.1 Control Panel'!E$414)</f>
        <v>0</v>
      </c>
      <c r="F304" s="21">
        <f>MIN('3.1 Market'!$F295,'1.1 Control Panel'!F443*'1.1 Control Panel'!F$414)</f>
        <v>1</v>
      </c>
      <c r="G304" s="21">
        <f>MIN('3.1 Market'!$F295,'1.1 Control Panel'!G443*'1.1 Control Panel'!G$414)</f>
        <v>1.8</v>
      </c>
      <c r="H304" s="21">
        <f>MIN('3.1 Market'!$F295,'1.1 Control Panel'!H443*'1.1 Control Panel'!H$414)</f>
        <v>2.4400000000000004</v>
      </c>
      <c r="I304" s="21">
        <f>MIN('3.1 Market'!$F295,'1.1 Control Panel'!I443*'1.1 Control Panel'!I$414)</f>
        <v>2.9520000000000004</v>
      </c>
      <c r="J304" s="21">
        <f>MIN('3.1 Market'!$F295,'1.1 Control Panel'!J443*'1.1 Control Panel'!J$414)</f>
        <v>6.7232000000000012</v>
      </c>
      <c r="K304" s="21">
        <f>MIN('3.1 Market'!$F295,'1.1 Control Panel'!K443*'1.1 Control Panel'!K$414)</f>
        <v>7.3785600000000011</v>
      </c>
      <c r="L304" s="21">
        <f>MIN('3.1 Market'!$F295,'1.1 Control Panel'!L443*'1.1 Control Panel'!L$414)</f>
        <v>7.9028480000000014</v>
      </c>
      <c r="M304" s="21">
        <f>MIN('3.1 Market'!$F295,'1.1 Control Panel'!M443*'1.1 Control Panel'!M$414)</f>
        <v>8.3222784000000019</v>
      </c>
      <c r="N304" s="21">
        <f>MIN('3.1 Market'!$F295,'1.1 Control Panel'!N443*'1.1 Control Panel'!N$414)</f>
        <v>8.6578227200000022</v>
      </c>
      <c r="O304" s="21">
        <f>MIN('3.1 Market'!$F295,'1.1 Control Panel'!O443*'1.1 Control Panel'!O$414)</f>
        <v>8.926258176000001</v>
      </c>
      <c r="P304" s="21">
        <f>MIN('3.1 Market'!$F295,'1.1 Control Panel'!P443*'1.1 Control Panel'!P$414)</f>
        <v>9.1410065408000012</v>
      </c>
      <c r="Q304" s="21">
        <f>MIN('3.1 Market'!$G295,'1.1 Control Panel'!Q443*'1.1 Control Panel'!Q$414)</f>
        <v>13.969207848960004</v>
      </c>
      <c r="R304" s="21">
        <f>MIN('3.1 Market'!$G295,'1.1 Control Panel'!R443*'1.1 Control Panel'!R$414)</f>
        <v>14.175366279168003</v>
      </c>
      <c r="S304" s="21">
        <f>MIN('3.1 Market'!$G295,'1.1 Control Panel'!S443*'1.1 Control Panel'!S$414)</f>
        <v>14.340293023334404</v>
      </c>
      <c r="T304" s="21">
        <f>MIN('3.1 Market'!$G295,'1.1 Control Panel'!T443*'1.1 Control Panel'!T$414)</f>
        <v>14.472234418667522</v>
      </c>
      <c r="U304" s="21">
        <f>MIN('3.1 Market'!$G295,'1.1 Control Panel'!U443*'1.1 Control Panel'!U$414)</f>
        <v>19.43705004657869</v>
      </c>
      <c r="V304" s="21">
        <f>MIN('3.1 Market'!$G295,'1.1 Control Panel'!V443*'1.1 Control Panel'!V$414)</f>
        <v>19.549640037262954</v>
      </c>
      <c r="W304" s="21">
        <f>MIN('3.1 Market'!$G295,'1.1 Control Panel'!W443*'1.1 Control Panel'!W$414)</f>
        <v>19.639712029810362</v>
      </c>
      <c r="X304" s="21">
        <f>MIN('3.1 Market'!$G295,'1.1 Control Panel'!X443*'1.1 Control Panel'!X$414)</f>
        <v>19.711769623848291</v>
      </c>
      <c r="Y304" s="21">
        <f>MIN('3.1 Market'!$G295,'1.1 Control Panel'!Y443*'1.1 Control Panel'!Y$414)</f>
        <v>19.769415699078635</v>
      </c>
      <c r="Z304" s="21">
        <f>MIN('3.1 Market'!$G295,'1.1 Control Panel'!Z443*'1.1 Control Panel'!Z$414)</f>
        <v>19.815532559262909</v>
      </c>
      <c r="AA304" s="21">
        <f>MIN('3.1 Market'!$G295,'1.1 Control Panel'!AA443*'1.1 Control Panel'!AA$414)</f>
        <v>19.852426047410326</v>
      </c>
      <c r="AB304" s="21">
        <f>MIN('3.1 Market'!$G295,'1.1 Control Panel'!AB443*'1.1 Control Panel'!AB$414)</f>
        <v>19.881940837928262</v>
      </c>
      <c r="AC304" s="21">
        <f>MIN('3.1 Market'!$H295,'1.1 Control Panel'!AC443*'1.1 Control Panel'!AC$414)</f>
        <v>39.811105340685216</v>
      </c>
      <c r="AD304" s="21">
        <f>MIN('3.1 Market'!$H295,'1.1 Control Panel'!AD443*'1.1 Control Panel'!AD$414)</f>
        <v>39.848884272548176</v>
      </c>
      <c r="AE304" s="21">
        <f>MIN('3.1 Market'!$H295,'1.1 Control Panel'!AE443*'1.1 Control Panel'!AE$414)</f>
        <v>39.879107418038544</v>
      </c>
      <c r="AF304" s="21">
        <f>MIN('3.1 Market'!$H295,'1.1 Control Panel'!AF443*'1.1 Control Panel'!AF$414)</f>
        <v>39.903285934430841</v>
      </c>
      <c r="AG304" s="21">
        <f>MIN('3.1 Market'!$H295,'1.1 Control Panel'!AG443*'1.1 Control Panel'!AG$414)</f>
        <v>59.883943121317017</v>
      </c>
      <c r="AH304" s="21">
        <f>MIN('3.1 Market'!$H295,'1.1 Control Panel'!AH443*'1.1 Control Panel'!AH$414)</f>
        <v>59.907154497053618</v>
      </c>
      <c r="AI304" s="21">
        <f>MIN('3.1 Market'!$H295,'1.1 Control Panel'!AI443*'1.1 Control Panel'!AI$414)</f>
        <v>59.9257235976429</v>
      </c>
      <c r="AJ304" s="21">
        <f>MIN('3.1 Market'!$H295,'1.1 Control Panel'!AJ443*'1.1 Control Panel'!AJ$414)</f>
        <v>59.940578878114323</v>
      </c>
      <c r="AK304" s="21">
        <f>MIN('3.1 Market'!$H295,'1.1 Control Panel'!AK443*'1.1 Control Panel'!AK$414)</f>
        <v>73</v>
      </c>
      <c r="AL304" s="21">
        <f>MIN('3.1 Market'!$H295,'1.1 Control Panel'!AL443*'1.1 Control Panel'!AL$414)</f>
        <v>73</v>
      </c>
      <c r="AM304" s="21">
        <f>MIN('3.1 Market'!$H295,'1.1 Control Panel'!AM443*'1.1 Control Panel'!AM$414)</f>
        <v>73</v>
      </c>
      <c r="AN304" s="21">
        <f>MIN('3.1 Market'!$H295,'1.1 Control Panel'!AN443*'1.1 Control Panel'!AN$414)</f>
        <v>73</v>
      </c>
      <c r="AP304" s="21"/>
    </row>
    <row r="305" spans="2:42" x14ac:dyDescent="0.25">
      <c r="B305" s="99" t="s">
        <v>9</v>
      </c>
      <c r="C305" s="105" t="str">
        <f>'4.2 Sector Mapping'!$B$9</f>
        <v>Healthcare</v>
      </c>
      <c r="D305" s="106" t="s">
        <v>162</v>
      </c>
      <c r="E305" s="105">
        <f>SUM(E306:E311)</f>
        <v>0</v>
      </c>
      <c r="F305" s="105">
        <f t="shared" ref="F305:H305" si="153">SUM(F306:F311)</f>
        <v>0</v>
      </c>
      <c r="G305" s="105">
        <f t="shared" si="153"/>
        <v>20.400000000000002</v>
      </c>
      <c r="H305" s="105">
        <f t="shared" si="153"/>
        <v>22.320000000000004</v>
      </c>
      <c r="I305" s="105">
        <f t="shared" ref="I305:AN305" si="154">SUM(I306:I311)</f>
        <v>23.856000000000002</v>
      </c>
      <c r="J305" s="105">
        <f t="shared" si="154"/>
        <v>25.084800000000001</v>
      </c>
      <c r="K305" s="105">
        <f t="shared" si="154"/>
        <v>26.067840000000004</v>
      </c>
      <c r="L305" s="105">
        <f t="shared" si="154"/>
        <v>26.854272000000005</v>
      </c>
      <c r="M305" s="105">
        <f t="shared" si="154"/>
        <v>27.483417600000003</v>
      </c>
      <c r="N305" s="105">
        <f t="shared" si="154"/>
        <v>27.986734080000005</v>
      </c>
      <c r="O305" s="105">
        <f t="shared" si="154"/>
        <v>28.389387264000007</v>
      </c>
      <c r="P305" s="105">
        <f t="shared" si="154"/>
        <v>28.711509811200006</v>
      </c>
      <c r="Q305" s="105">
        <f t="shared" si="154"/>
        <v>55.075854651392007</v>
      </c>
      <c r="R305" s="105">
        <f t="shared" si="154"/>
        <v>55.460683721113604</v>
      </c>
      <c r="S305" s="105">
        <f t="shared" si="154"/>
        <v>55.768546976890889</v>
      </c>
      <c r="T305" s="105">
        <f t="shared" si="154"/>
        <v>56.014837581512715</v>
      </c>
      <c r="U305" s="105">
        <f t="shared" si="154"/>
        <v>80.817805097815253</v>
      </c>
      <c r="V305" s="105">
        <f t="shared" si="154"/>
        <v>81.054244078252211</v>
      </c>
      <c r="W305" s="105">
        <f t="shared" si="154"/>
        <v>81.243395262601766</v>
      </c>
      <c r="X305" s="105">
        <f t="shared" si="154"/>
        <v>81.394716210081413</v>
      </c>
      <c r="Y305" s="105">
        <f t="shared" si="154"/>
        <v>81.515772968065122</v>
      </c>
      <c r="Z305" s="105">
        <f t="shared" si="154"/>
        <v>81.612618374452097</v>
      </c>
      <c r="AA305" s="105">
        <f t="shared" si="154"/>
        <v>81.690094699561683</v>
      </c>
      <c r="AB305" s="105">
        <f t="shared" si="154"/>
        <v>81.752075759649358</v>
      </c>
      <c r="AC305" s="105">
        <f t="shared" si="154"/>
        <v>131.66943434619913</v>
      </c>
      <c r="AD305" s="105">
        <f t="shared" si="154"/>
        <v>131.73554747695931</v>
      </c>
      <c r="AE305" s="105">
        <f t="shared" si="154"/>
        <v>131.78843798156745</v>
      </c>
      <c r="AF305" s="105">
        <f t="shared" si="154"/>
        <v>131.83075038525396</v>
      </c>
      <c r="AG305" s="105">
        <f t="shared" si="154"/>
        <v>181.81044043148447</v>
      </c>
      <c r="AH305" s="105">
        <f t="shared" si="154"/>
        <v>181.84835234518755</v>
      </c>
      <c r="AI305" s="105">
        <f t="shared" si="154"/>
        <v>181.87868187615004</v>
      </c>
      <c r="AJ305" s="105">
        <f t="shared" si="154"/>
        <v>181.90294550092008</v>
      </c>
      <c r="AK305" s="105">
        <f t="shared" si="154"/>
        <v>206.91126445798406</v>
      </c>
      <c r="AL305" s="105">
        <f t="shared" si="154"/>
        <v>206.92901156638723</v>
      </c>
      <c r="AM305" s="105">
        <f t="shared" si="154"/>
        <v>206.94320925310984</v>
      </c>
      <c r="AN305" s="105">
        <f t="shared" si="154"/>
        <v>206.95456740248784</v>
      </c>
      <c r="AP305" s="105"/>
    </row>
    <row r="306" spans="2:42" x14ac:dyDescent="0.25">
      <c r="C306" s="20" t="s">
        <v>600</v>
      </c>
      <c r="D306" s="34" t="s">
        <v>162</v>
      </c>
      <c r="E306" s="20">
        <f>MIN('3.1 Market'!$F297,'1.1 Control Panel'!E469*'1.1 Control Panel'!E$445)</f>
        <v>0</v>
      </c>
      <c r="F306" s="20">
        <f>MIN('3.1 Market'!$F297,'1.1 Control Panel'!F469*'1.1 Control Panel'!F$445)</f>
        <v>0</v>
      </c>
      <c r="G306" s="20">
        <f>MIN('3.1 Market'!$F297,'1.1 Control Panel'!G469*'1.1 Control Panel'!G$445)</f>
        <v>5</v>
      </c>
      <c r="H306" s="20">
        <f>MIN('3.1 Market'!$F297,'1.1 Control Panel'!H469*'1.1 Control Panel'!H$445)</f>
        <v>5</v>
      </c>
      <c r="I306" s="20">
        <f>MIN('3.1 Market'!$F297,'1.1 Control Panel'!I469*'1.1 Control Panel'!I$445)</f>
        <v>5</v>
      </c>
      <c r="J306" s="20">
        <f>MIN('3.1 Market'!$F297,'1.1 Control Panel'!J469*'1.1 Control Panel'!J$445)</f>
        <v>5</v>
      </c>
      <c r="K306" s="20">
        <f>MIN('3.1 Market'!$F297,'1.1 Control Panel'!K469*'1.1 Control Panel'!K$445)</f>
        <v>5</v>
      </c>
      <c r="L306" s="20">
        <f>MIN('3.1 Market'!$F297,'1.1 Control Panel'!L469*'1.1 Control Panel'!L$445)</f>
        <v>5</v>
      </c>
      <c r="M306" s="20">
        <f>MIN('3.1 Market'!$F297,'1.1 Control Panel'!M469*'1.1 Control Panel'!M$445)</f>
        <v>5</v>
      </c>
      <c r="N306" s="20">
        <f>MIN('3.1 Market'!$F297,'1.1 Control Panel'!N469*'1.1 Control Panel'!N$445)</f>
        <v>5</v>
      </c>
      <c r="O306" s="20">
        <f>MIN('3.1 Market'!$F297,'1.1 Control Panel'!O469*'1.1 Control Panel'!O$445)</f>
        <v>5</v>
      </c>
      <c r="P306" s="20">
        <f>MIN('3.1 Market'!$F297,'1.1 Control Panel'!P469*'1.1 Control Panel'!P$445)</f>
        <v>5</v>
      </c>
      <c r="Q306" s="20">
        <f>MIN('3.1 Market'!$G297,'1.1 Control Panel'!Q469*'1.1 Control Panel'!Q$445)</f>
        <v>10</v>
      </c>
      <c r="R306" s="20">
        <f>MIN('3.1 Market'!$G297,'1.1 Control Panel'!R469*'1.1 Control Panel'!R$445)</f>
        <v>10</v>
      </c>
      <c r="S306" s="20">
        <f>MIN('3.1 Market'!$G297,'1.1 Control Panel'!S469*'1.1 Control Panel'!S$445)</f>
        <v>10</v>
      </c>
      <c r="T306" s="20">
        <f>MIN('3.1 Market'!$G297,'1.1 Control Panel'!T469*'1.1 Control Panel'!T$445)</f>
        <v>10</v>
      </c>
      <c r="U306" s="20">
        <f>MIN('3.1 Market'!$G297,'1.1 Control Panel'!U469*'1.1 Control Panel'!U$445)</f>
        <v>15</v>
      </c>
      <c r="V306" s="20">
        <f>MIN('3.1 Market'!$G297,'1.1 Control Panel'!V469*'1.1 Control Panel'!V$445)</f>
        <v>15</v>
      </c>
      <c r="W306" s="20">
        <f>MIN('3.1 Market'!$G297,'1.1 Control Panel'!W469*'1.1 Control Panel'!W$445)</f>
        <v>15</v>
      </c>
      <c r="X306" s="20">
        <f>MIN('3.1 Market'!$G297,'1.1 Control Panel'!X469*'1.1 Control Panel'!X$445)</f>
        <v>15</v>
      </c>
      <c r="Y306" s="20">
        <f>MIN('3.1 Market'!$G297,'1.1 Control Panel'!Y469*'1.1 Control Panel'!Y$445)</f>
        <v>15</v>
      </c>
      <c r="Z306" s="20">
        <f>MIN('3.1 Market'!$G297,'1.1 Control Panel'!Z469*'1.1 Control Panel'!Z$445)</f>
        <v>15</v>
      </c>
      <c r="AA306" s="20">
        <f>MIN('3.1 Market'!$G297,'1.1 Control Panel'!AA469*'1.1 Control Panel'!AA$445)</f>
        <v>15</v>
      </c>
      <c r="AB306" s="20">
        <f>MIN('3.1 Market'!$G297,'1.1 Control Panel'!AB469*'1.1 Control Panel'!AB$445)</f>
        <v>15</v>
      </c>
      <c r="AC306" s="20">
        <f>MIN('3.1 Market'!$H297,'1.1 Control Panel'!AC469*'1.1 Control Panel'!AC$445)</f>
        <v>25</v>
      </c>
      <c r="AD306" s="20">
        <f>MIN('3.1 Market'!$H297,'1.1 Control Panel'!AD469*'1.1 Control Panel'!AD$445)</f>
        <v>25</v>
      </c>
      <c r="AE306" s="20">
        <f>MIN('3.1 Market'!$H297,'1.1 Control Panel'!AE469*'1.1 Control Panel'!AE$445)</f>
        <v>25</v>
      </c>
      <c r="AF306" s="20">
        <f>MIN('3.1 Market'!$H297,'1.1 Control Panel'!AF469*'1.1 Control Panel'!AF$445)</f>
        <v>25</v>
      </c>
      <c r="AG306" s="20">
        <f>MIN('3.1 Market'!$H297,'1.1 Control Panel'!AG469*'1.1 Control Panel'!AG$445)</f>
        <v>35</v>
      </c>
      <c r="AH306" s="20">
        <f>MIN('3.1 Market'!$H297,'1.1 Control Panel'!AH469*'1.1 Control Panel'!AH$445)</f>
        <v>35</v>
      </c>
      <c r="AI306" s="20">
        <f>MIN('3.1 Market'!$H297,'1.1 Control Panel'!AI469*'1.1 Control Panel'!AI$445)</f>
        <v>35</v>
      </c>
      <c r="AJ306" s="20">
        <f>MIN('3.1 Market'!$H297,'1.1 Control Panel'!AJ469*'1.1 Control Panel'!AJ$445)</f>
        <v>35</v>
      </c>
      <c r="AK306" s="20">
        <f>MIN('3.1 Market'!$H297,'1.1 Control Panel'!AK469*'1.1 Control Panel'!AK$445)</f>
        <v>40</v>
      </c>
      <c r="AL306" s="20">
        <f>MIN('3.1 Market'!$H297,'1.1 Control Panel'!AL469*'1.1 Control Panel'!AL$445)</f>
        <v>40</v>
      </c>
      <c r="AM306" s="20">
        <f>MIN('3.1 Market'!$H297,'1.1 Control Panel'!AM469*'1.1 Control Panel'!AM$445)</f>
        <v>40</v>
      </c>
      <c r="AN306" s="20">
        <f>MIN('3.1 Market'!$H297,'1.1 Control Panel'!AN469*'1.1 Control Panel'!AN$445)</f>
        <v>40</v>
      </c>
      <c r="AP306" s="20"/>
    </row>
    <row r="307" spans="2:42" x14ac:dyDescent="0.25">
      <c r="C307" s="20" t="s">
        <v>392</v>
      </c>
      <c r="D307" s="34" t="s">
        <v>162</v>
      </c>
      <c r="E307" s="20">
        <f>MIN('3.1 Market'!$F298,'1.1 Control Panel'!E470*'1.1 Control Panel'!E$445)</f>
        <v>0</v>
      </c>
      <c r="F307" s="20">
        <f>MIN('3.1 Market'!$F298,'1.1 Control Panel'!F470*'1.1 Control Panel'!F$445)</f>
        <v>0</v>
      </c>
      <c r="G307" s="20">
        <f>MIN('3.1 Market'!$F298,'1.1 Control Panel'!G470*'1.1 Control Panel'!G$445)</f>
        <v>4.3600000000000003</v>
      </c>
      <c r="H307" s="20">
        <f>MIN('3.1 Market'!$F298,'1.1 Control Panel'!H470*'1.1 Control Panel'!H$445)</f>
        <v>4.4880000000000004</v>
      </c>
      <c r="I307" s="20">
        <f>MIN('3.1 Market'!$F298,'1.1 Control Panel'!I470*'1.1 Control Panel'!I$445)</f>
        <v>4.5904000000000007</v>
      </c>
      <c r="J307" s="20">
        <f>MIN('3.1 Market'!$F298,'1.1 Control Panel'!J470*'1.1 Control Panel'!J$445)</f>
        <v>4.6723200000000009</v>
      </c>
      <c r="K307" s="20">
        <f>MIN('3.1 Market'!$F298,'1.1 Control Panel'!K470*'1.1 Control Panel'!K$445)</f>
        <v>4.7378560000000007</v>
      </c>
      <c r="L307" s="20">
        <f>MIN('3.1 Market'!$F298,'1.1 Control Panel'!L470*'1.1 Control Panel'!L$445)</f>
        <v>4.7902848000000002</v>
      </c>
      <c r="M307" s="20">
        <f>MIN('3.1 Market'!$F298,'1.1 Control Panel'!M470*'1.1 Control Panel'!M$445)</f>
        <v>4.8322278399999998</v>
      </c>
      <c r="N307" s="20">
        <f>MIN('3.1 Market'!$F298,'1.1 Control Panel'!N470*'1.1 Control Panel'!N$445)</f>
        <v>4.8657822720000006</v>
      </c>
      <c r="O307" s="20">
        <f>MIN('3.1 Market'!$F298,'1.1 Control Panel'!O470*'1.1 Control Panel'!O$445)</f>
        <v>4.8926258176000008</v>
      </c>
      <c r="P307" s="20">
        <f>MIN('3.1 Market'!$F298,'1.1 Control Panel'!P470*'1.1 Control Panel'!P$445)</f>
        <v>4.9141006540800003</v>
      </c>
      <c r="Q307" s="20">
        <f>MIN('3.1 Market'!$G298,'1.1 Control Panel'!Q470*'1.1 Control Panel'!Q$445)</f>
        <v>7</v>
      </c>
      <c r="R307" s="20">
        <f>MIN('3.1 Market'!$G298,'1.1 Control Panel'!R470*'1.1 Control Panel'!R$445)</f>
        <v>7</v>
      </c>
      <c r="S307" s="20">
        <f>MIN('3.1 Market'!$G298,'1.1 Control Panel'!S470*'1.1 Control Panel'!S$445)</f>
        <v>7</v>
      </c>
      <c r="T307" s="20">
        <f>MIN('3.1 Market'!$G298,'1.1 Control Panel'!T470*'1.1 Control Panel'!T$445)</f>
        <v>7</v>
      </c>
      <c r="U307" s="20">
        <f>MIN('3.1 Market'!$G298,'1.1 Control Panel'!U470*'1.1 Control Panel'!U$445)</f>
        <v>7</v>
      </c>
      <c r="V307" s="20">
        <f>MIN('3.1 Market'!$G298,'1.1 Control Panel'!V470*'1.1 Control Panel'!V$445)</f>
        <v>7</v>
      </c>
      <c r="W307" s="20">
        <f>MIN('3.1 Market'!$G298,'1.1 Control Panel'!W470*'1.1 Control Panel'!W$445)</f>
        <v>7</v>
      </c>
      <c r="X307" s="20">
        <f>MIN('3.1 Market'!$G298,'1.1 Control Panel'!X470*'1.1 Control Panel'!X$445)</f>
        <v>7</v>
      </c>
      <c r="Y307" s="20">
        <f>MIN('3.1 Market'!$G298,'1.1 Control Panel'!Y470*'1.1 Control Panel'!Y$445)</f>
        <v>7</v>
      </c>
      <c r="Z307" s="20">
        <f>MIN('3.1 Market'!$G298,'1.1 Control Panel'!Z470*'1.1 Control Panel'!Z$445)</f>
        <v>7</v>
      </c>
      <c r="AA307" s="20">
        <f>MIN('3.1 Market'!$G298,'1.1 Control Panel'!AA470*'1.1 Control Panel'!AA$445)</f>
        <v>7</v>
      </c>
      <c r="AB307" s="20">
        <f>MIN('3.1 Market'!$G298,'1.1 Control Panel'!AB470*'1.1 Control Panel'!AB$445)</f>
        <v>7</v>
      </c>
      <c r="AC307" s="20">
        <f>MIN('3.1 Market'!$H298,'1.1 Control Panel'!AC470*'1.1 Control Panel'!AC$445)</f>
        <v>7</v>
      </c>
      <c r="AD307" s="20">
        <f>MIN('3.1 Market'!$H298,'1.1 Control Panel'!AD470*'1.1 Control Panel'!AD$445)</f>
        <v>7</v>
      </c>
      <c r="AE307" s="20">
        <f>MIN('3.1 Market'!$H298,'1.1 Control Panel'!AE470*'1.1 Control Panel'!AE$445)</f>
        <v>7</v>
      </c>
      <c r="AF307" s="20">
        <f>MIN('3.1 Market'!$H298,'1.1 Control Panel'!AF470*'1.1 Control Panel'!AF$445)</f>
        <v>7</v>
      </c>
      <c r="AG307" s="20">
        <f>MIN('3.1 Market'!$H298,'1.1 Control Panel'!AG470*'1.1 Control Panel'!AG$445)</f>
        <v>7</v>
      </c>
      <c r="AH307" s="20">
        <f>MIN('3.1 Market'!$H298,'1.1 Control Panel'!AH470*'1.1 Control Panel'!AH$445)</f>
        <v>7</v>
      </c>
      <c r="AI307" s="20">
        <f>MIN('3.1 Market'!$H298,'1.1 Control Panel'!AI470*'1.1 Control Panel'!AI$445)</f>
        <v>7</v>
      </c>
      <c r="AJ307" s="20">
        <f>MIN('3.1 Market'!$H298,'1.1 Control Panel'!AJ470*'1.1 Control Panel'!AJ$445)</f>
        <v>7</v>
      </c>
      <c r="AK307" s="20">
        <f>MIN('3.1 Market'!$H298,'1.1 Control Panel'!AK470*'1.1 Control Panel'!AK$445)</f>
        <v>7</v>
      </c>
      <c r="AL307" s="20">
        <f>MIN('3.1 Market'!$H298,'1.1 Control Panel'!AL470*'1.1 Control Panel'!AL$445)</f>
        <v>7</v>
      </c>
      <c r="AM307" s="20">
        <f>MIN('3.1 Market'!$H298,'1.1 Control Panel'!AM470*'1.1 Control Panel'!AM$445)</f>
        <v>7</v>
      </c>
      <c r="AN307" s="20">
        <f>MIN('3.1 Market'!$H298,'1.1 Control Panel'!AN470*'1.1 Control Panel'!AN$445)</f>
        <v>7</v>
      </c>
      <c r="AP307" s="20"/>
    </row>
    <row r="308" spans="2:42" x14ac:dyDescent="0.25">
      <c r="C308" s="20" t="s">
        <v>454</v>
      </c>
      <c r="D308" s="34" t="s">
        <v>162</v>
      </c>
      <c r="E308" s="20">
        <f>MIN('3.1 Market'!$F299,'1.1 Control Panel'!E471*'1.1 Control Panel'!E$445)</f>
        <v>0</v>
      </c>
      <c r="F308" s="20">
        <f>MIN('3.1 Market'!$F299,'1.1 Control Panel'!F471*'1.1 Control Panel'!F$445)</f>
        <v>0</v>
      </c>
      <c r="G308" s="20">
        <f>MIN('3.1 Market'!$F299,'1.1 Control Panel'!G471*'1.1 Control Panel'!G$445)</f>
        <v>3.7200000000000006</v>
      </c>
      <c r="H308" s="20">
        <f>MIN('3.1 Market'!$F299,'1.1 Control Panel'!H471*'1.1 Control Panel'!H$445)</f>
        <v>3.9760000000000009</v>
      </c>
      <c r="I308" s="20">
        <f>MIN('3.1 Market'!$F299,'1.1 Control Panel'!I471*'1.1 Control Panel'!I$445)</f>
        <v>4.1808000000000014</v>
      </c>
      <c r="J308" s="20">
        <f>MIN('3.1 Market'!$F299,'1.1 Control Panel'!J471*'1.1 Control Panel'!J$445)</f>
        <v>4.3446400000000018</v>
      </c>
      <c r="K308" s="20">
        <f>MIN('3.1 Market'!$F299,'1.1 Control Panel'!K471*'1.1 Control Panel'!K$445)</f>
        <v>4.4757120000000015</v>
      </c>
      <c r="L308" s="20">
        <f>MIN('3.1 Market'!$F299,'1.1 Control Panel'!L471*'1.1 Control Panel'!L$445)</f>
        <v>4.5805696000000014</v>
      </c>
      <c r="M308" s="20">
        <f>MIN('3.1 Market'!$F299,'1.1 Control Panel'!M471*'1.1 Control Panel'!M$445)</f>
        <v>4.6644556800000014</v>
      </c>
      <c r="N308" s="20">
        <f>MIN('3.1 Market'!$F299,'1.1 Control Panel'!N471*'1.1 Control Panel'!N$445)</f>
        <v>4.7315645440000011</v>
      </c>
      <c r="O308" s="20">
        <f>MIN('3.1 Market'!$F299,'1.1 Control Panel'!O471*'1.1 Control Panel'!O$445)</f>
        <v>4.7852516352000016</v>
      </c>
      <c r="P308" s="20">
        <f>MIN('3.1 Market'!$F299,'1.1 Control Panel'!P471*'1.1 Control Panel'!P$445)</f>
        <v>4.8282013081600015</v>
      </c>
      <c r="Q308" s="20">
        <f>MIN('3.1 Market'!$G299,'1.1 Control Panel'!Q471*'1.1 Control Panel'!Q$445)</f>
        <v>9.7251220930560027</v>
      </c>
      <c r="R308" s="20">
        <f>MIN('3.1 Market'!$G299,'1.1 Control Panel'!R471*'1.1 Control Panel'!R$445)</f>
        <v>9.7800976744448036</v>
      </c>
      <c r="S308" s="20">
        <f>MIN('3.1 Market'!$G299,'1.1 Control Panel'!S471*'1.1 Control Panel'!S$445)</f>
        <v>9.8240781395558443</v>
      </c>
      <c r="T308" s="20">
        <f>MIN('3.1 Market'!$G299,'1.1 Control Panel'!T471*'1.1 Control Panel'!T$445)</f>
        <v>9.8592625116446762</v>
      </c>
      <c r="U308" s="20">
        <f>MIN('3.1 Market'!$G299,'1.1 Control Panel'!U471*'1.1 Control Panel'!U$445)</f>
        <v>14.83111501397361</v>
      </c>
      <c r="V308" s="20">
        <f>MIN('3.1 Market'!$G299,'1.1 Control Panel'!V471*'1.1 Control Panel'!V$445)</f>
        <v>14.864892011178888</v>
      </c>
      <c r="W308" s="20">
        <f>MIN('3.1 Market'!$G299,'1.1 Control Panel'!W471*'1.1 Control Panel'!W$445)</f>
        <v>14.891913608943112</v>
      </c>
      <c r="X308" s="20">
        <f>MIN('3.1 Market'!$G299,'1.1 Control Panel'!X471*'1.1 Control Panel'!X$445)</f>
        <v>14.913530887154488</v>
      </c>
      <c r="Y308" s="20">
        <f>MIN('3.1 Market'!$G299,'1.1 Control Panel'!Y471*'1.1 Control Panel'!Y$445)</f>
        <v>14.93082470972359</v>
      </c>
      <c r="Z308" s="20">
        <f>MIN('3.1 Market'!$G299,'1.1 Control Panel'!Z471*'1.1 Control Panel'!Z$445)</f>
        <v>14.944659767778873</v>
      </c>
      <c r="AA308" s="20">
        <f>MIN('3.1 Market'!$G299,'1.1 Control Panel'!AA471*'1.1 Control Panel'!AA$445)</f>
        <v>14.955727814223099</v>
      </c>
      <c r="AB308" s="20">
        <f>MIN('3.1 Market'!$G299,'1.1 Control Panel'!AB471*'1.1 Control Panel'!AB$445)</f>
        <v>14.964582251378481</v>
      </c>
      <c r="AC308" s="20">
        <f>MIN('3.1 Market'!$H299,'1.1 Control Panel'!AC471*'1.1 Control Panel'!AC$445)</f>
        <v>24.952776335171308</v>
      </c>
      <c r="AD308" s="20">
        <f>MIN('3.1 Market'!$H299,'1.1 Control Panel'!AD471*'1.1 Control Panel'!AD$445)</f>
        <v>24.962221068137048</v>
      </c>
      <c r="AE308" s="20">
        <f>MIN('3.1 Market'!$H299,'1.1 Control Panel'!AE471*'1.1 Control Panel'!AE$445)</f>
        <v>24.969776854509639</v>
      </c>
      <c r="AF308" s="20">
        <f>MIN('3.1 Market'!$H299,'1.1 Control Panel'!AF471*'1.1 Control Panel'!AF$445)</f>
        <v>24.97582148360771</v>
      </c>
      <c r="AG308" s="20">
        <f>MIN('3.1 Market'!$H299,'1.1 Control Panel'!AG471*'1.1 Control Panel'!AG$445)</f>
        <v>34.972920061640636</v>
      </c>
      <c r="AH308" s="20">
        <f>MIN('3.1 Market'!$H299,'1.1 Control Panel'!AH471*'1.1 Control Panel'!AH$445)</f>
        <v>34.97833604931251</v>
      </c>
      <c r="AI308" s="20">
        <f>MIN('3.1 Market'!$H299,'1.1 Control Panel'!AI471*'1.1 Control Panel'!AI$445)</f>
        <v>34.982668839450007</v>
      </c>
      <c r="AJ308" s="20">
        <f>MIN('3.1 Market'!$H299,'1.1 Control Panel'!AJ471*'1.1 Control Panel'!AJ$445)</f>
        <v>34.986135071560014</v>
      </c>
      <c r="AK308" s="20">
        <f>MIN('3.1 Market'!$H299,'1.1 Control Panel'!AK471*'1.1 Control Panel'!AK$445)</f>
        <v>39.987323493997721</v>
      </c>
      <c r="AL308" s="20">
        <f>MIN('3.1 Market'!$H299,'1.1 Control Panel'!AL471*'1.1 Control Panel'!AL$445)</f>
        <v>39.989858795198174</v>
      </c>
      <c r="AM308" s="20">
        <f>MIN('3.1 Market'!$H299,'1.1 Control Panel'!AM471*'1.1 Control Panel'!AM$445)</f>
        <v>39.991887036158545</v>
      </c>
      <c r="AN308" s="20">
        <f>MIN('3.1 Market'!$H299,'1.1 Control Panel'!AN471*'1.1 Control Panel'!AN$445)</f>
        <v>39.993509628926837</v>
      </c>
      <c r="AP308" s="20"/>
    </row>
    <row r="309" spans="2:42" x14ac:dyDescent="0.25">
      <c r="C309" s="21" t="s">
        <v>455</v>
      </c>
      <c r="D309" s="38" t="s">
        <v>162</v>
      </c>
      <c r="E309" s="21">
        <f>MIN('3.1 Market'!$F300,'1.1 Control Panel'!E472*'1.1 Control Panel'!E$445)</f>
        <v>0</v>
      </c>
      <c r="F309" s="21">
        <f>MIN('3.1 Market'!$F300,'1.1 Control Panel'!F472*'1.1 Control Panel'!F$445)</f>
        <v>0</v>
      </c>
      <c r="G309" s="21">
        <f>MIN('3.1 Market'!$F300,'1.1 Control Panel'!G472*'1.1 Control Panel'!G$445)</f>
        <v>3.08</v>
      </c>
      <c r="H309" s="21">
        <f>MIN('3.1 Market'!$F300,'1.1 Control Panel'!H472*'1.1 Control Panel'!H$445)</f>
        <v>3.4640000000000004</v>
      </c>
      <c r="I309" s="21">
        <f>MIN('3.1 Market'!$F300,'1.1 Control Panel'!I472*'1.1 Control Panel'!I$445)</f>
        <v>3.7712000000000003</v>
      </c>
      <c r="J309" s="21">
        <f>MIN('3.1 Market'!$F300,'1.1 Control Panel'!J472*'1.1 Control Panel'!J$445)</f>
        <v>4.016960000000001</v>
      </c>
      <c r="K309" s="21">
        <f>MIN('3.1 Market'!$F300,'1.1 Control Panel'!K472*'1.1 Control Panel'!K$445)</f>
        <v>4.2135680000000004</v>
      </c>
      <c r="L309" s="21">
        <f>MIN('3.1 Market'!$F300,'1.1 Control Panel'!L472*'1.1 Control Panel'!L$445)</f>
        <v>4.3708544000000007</v>
      </c>
      <c r="M309" s="21">
        <f>MIN('3.1 Market'!$F300,'1.1 Control Panel'!M472*'1.1 Control Panel'!M$445)</f>
        <v>4.4966835200000013</v>
      </c>
      <c r="N309" s="21">
        <f>MIN('3.1 Market'!$F300,'1.1 Control Panel'!N472*'1.1 Control Panel'!N$445)</f>
        <v>4.5973468160000017</v>
      </c>
      <c r="O309" s="21">
        <f>MIN('3.1 Market'!$F300,'1.1 Control Panel'!O472*'1.1 Control Panel'!O$445)</f>
        <v>4.6778774528000016</v>
      </c>
      <c r="P309" s="21">
        <f>MIN('3.1 Market'!$F300,'1.1 Control Panel'!P472*'1.1 Control Panel'!P$445)</f>
        <v>4.7423019622400009</v>
      </c>
      <c r="Q309" s="21">
        <f>MIN('3.1 Market'!$G300,'1.1 Control Panel'!Q472*'1.1 Control Panel'!Q$445)</f>
        <v>9.5876831395840014</v>
      </c>
      <c r="R309" s="21">
        <f>MIN('3.1 Market'!$G300,'1.1 Control Panel'!R472*'1.1 Control Panel'!R$445)</f>
        <v>9.6701465116672018</v>
      </c>
      <c r="S309" s="21">
        <f>MIN('3.1 Market'!$G300,'1.1 Control Panel'!S472*'1.1 Control Panel'!S$445)</f>
        <v>9.7361172093337629</v>
      </c>
      <c r="T309" s="21">
        <f>MIN('3.1 Market'!$G300,'1.1 Control Panel'!T472*'1.1 Control Panel'!T$445)</f>
        <v>9.7888937674670107</v>
      </c>
      <c r="U309" s="21">
        <f>MIN('3.1 Market'!$G300,'1.1 Control Panel'!U472*'1.1 Control Panel'!U$445)</f>
        <v>14.746672520960413</v>
      </c>
      <c r="V309" s="21">
        <f>MIN('3.1 Market'!$G300,'1.1 Control Panel'!V472*'1.1 Control Panel'!V$445)</f>
        <v>14.797338016768332</v>
      </c>
      <c r="W309" s="21">
        <f>MIN('3.1 Market'!$G300,'1.1 Control Panel'!W472*'1.1 Control Panel'!W$445)</f>
        <v>14.837870413414665</v>
      </c>
      <c r="X309" s="21">
        <f>MIN('3.1 Market'!$G300,'1.1 Control Panel'!X472*'1.1 Control Panel'!X$445)</f>
        <v>14.870296330731733</v>
      </c>
      <c r="Y309" s="21">
        <f>MIN('3.1 Market'!$G300,'1.1 Control Panel'!Y472*'1.1 Control Panel'!Y$445)</f>
        <v>14.896237064585387</v>
      </c>
      <c r="Z309" s="21">
        <f>MIN('3.1 Market'!$G300,'1.1 Control Panel'!Z472*'1.1 Control Panel'!Z$445)</f>
        <v>14.91698965166831</v>
      </c>
      <c r="AA309" s="21">
        <f>MIN('3.1 Market'!$G300,'1.1 Control Panel'!AA472*'1.1 Control Panel'!AA$445)</f>
        <v>14.933591721334649</v>
      </c>
      <c r="AB309" s="21">
        <f>MIN('3.1 Market'!$G300,'1.1 Control Panel'!AB472*'1.1 Control Panel'!AB$445)</f>
        <v>14.946873377067721</v>
      </c>
      <c r="AC309" s="21">
        <f>MIN('3.1 Market'!$H300,'1.1 Control Panel'!AC472*'1.1 Control Panel'!AC$445)</f>
        <v>24.929164502756961</v>
      </c>
      <c r="AD309" s="21">
        <f>MIN('3.1 Market'!$H300,'1.1 Control Panel'!AD472*'1.1 Control Panel'!AD$445)</f>
        <v>24.943331602205568</v>
      </c>
      <c r="AE309" s="21">
        <f>MIN('3.1 Market'!$H300,'1.1 Control Panel'!AE472*'1.1 Control Panel'!AE$445)</f>
        <v>24.954665281764456</v>
      </c>
      <c r="AF309" s="21">
        <f>MIN('3.1 Market'!$H300,'1.1 Control Panel'!AF472*'1.1 Control Panel'!AF$445)</f>
        <v>24.963732225411562</v>
      </c>
      <c r="AG309" s="21">
        <f>MIN('3.1 Market'!$H300,'1.1 Control Panel'!AG472*'1.1 Control Panel'!AG$445)</f>
        <v>34.959380092460947</v>
      </c>
      <c r="AH309" s="21">
        <f>MIN('3.1 Market'!$H300,'1.1 Control Panel'!AH472*'1.1 Control Panel'!AH$445)</f>
        <v>34.967504073968755</v>
      </c>
      <c r="AI309" s="21">
        <f>MIN('3.1 Market'!$H300,'1.1 Control Panel'!AI472*'1.1 Control Panel'!AI$445)</f>
        <v>34.974003259175007</v>
      </c>
      <c r="AJ309" s="21">
        <f>MIN('3.1 Market'!$H300,'1.1 Control Panel'!AJ472*'1.1 Control Panel'!AJ$445)</f>
        <v>34.979202607340007</v>
      </c>
      <c r="AK309" s="21">
        <f>MIN('3.1 Market'!$H300,'1.1 Control Panel'!AK472*'1.1 Control Panel'!AK$445)</f>
        <v>39.980985240996581</v>
      </c>
      <c r="AL309" s="21">
        <f>MIN('3.1 Market'!$H300,'1.1 Control Panel'!AL472*'1.1 Control Panel'!AL$445)</f>
        <v>39.984788192797268</v>
      </c>
      <c r="AM309" s="21">
        <f>MIN('3.1 Market'!$H300,'1.1 Control Panel'!AM472*'1.1 Control Panel'!AM$445)</f>
        <v>39.987830554237817</v>
      </c>
      <c r="AN309" s="21">
        <f>MIN('3.1 Market'!$H300,'1.1 Control Panel'!AN472*'1.1 Control Panel'!AN$445)</f>
        <v>39.990264443390259</v>
      </c>
      <c r="AP309" s="21"/>
    </row>
    <row r="310" spans="2:42" x14ac:dyDescent="0.25">
      <c r="C310" s="21" t="s">
        <v>393</v>
      </c>
      <c r="D310" s="38" t="s">
        <v>162</v>
      </c>
      <c r="E310" s="21">
        <f>MIN('3.1 Market'!$F301,'1.1 Control Panel'!E473*'1.1 Control Panel'!E$445)</f>
        <v>0</v>
      </c>
      <c r="F310" s="21">
        <f>MIN('3.1 Market'!$F301,'1.1 Control Panel'!F473*'1.1 Control Panel'!F$445)</f>
        <v>0</v>
      </c>
      <c r="G310" s="21">
        <f>MIN('3.1 Market'!$F301,'1.1 Control Panel'!G473*'1.1 Control Panel'!G$445)</f>
        <v>2.4400000000000004</v>
      </c>
      <c r="H310" s="21">
        <f>MIN('3.1 Market'!$F301,'1.1 Control Panel'!H473*'1.1 Control Panel'!H$445)</f>
        <v>2.9520000000000004</v>
      </c>
      <c r="I310" s="21">
        <f>MIN('3.1 Market'!$F301,'1.1 Control Panel'!I473*'1.1 Control Panel'!I$445)</f>
        <v>3.3616000000000006</v>
      </c>
      <c r="J310" s="21">
        <f>MIN('3.1 Market'!$F301,'1.1 Control Panel'!J473*'1.1 Control Panel'!J$445)</f>
        <v>3.6892800000000006</v>
      </c>
      <c r="K310" s="21">
        <f>MIN('3.1 Market'!$F301,'1.1 Control Panel'!K473*'1.1 Control Panel'!K$445)</f>
        <v>3.9514240000000007</v>
      </c>
      <c r="L310" s="21">
        <f>MIN('3.1 Market'!$F301,'1.1 Control Panel'!L473*'1.1 Control Panel'!L$445)</f>
        <v>4.1611392000000009</v>
      </c>
      <c r="M310" s="21">
        <f>MIN('3.1 Market'!$F301,'1.1 Control Panel'!M473*'1.1 Control Panel'!M$445)</f>
        <v>4.3289113600000011</v>
      </c>
      <c r="N310" s="21">
        <f>MIN('3.1 Market'!$F301,'1.1 Control Panel'!N473*'1.1 Control Panel'!N$445)</f>
        <v>4.4631290880000005</v>
      </c>
      <c r="O310" s="21">
        <f>MIN('3.1 Market'!$F301,'1.1 Control Panel'!O473*'1.1 Control Panel'!O$445)</f>
        <v>4.5705032704000006</v>
      </c>
      <c r="P310" s="21">
        <f>MIN('3.1 Market'!$F301,'1.1 Control Panel'!P473*'1.1 Control Panel'!P$445)</f>
        <v>4.6564026163200012</v>
      </c>
      <c r="Q310" s="21">
        <f>MIN('3.1 Market'!$G301,'1.1 Control Panel'!Q473*'1.1 Control Panel'!Q$445)</f>
        <v>9.4502441861120019</v>
      </c>
      <c r="R310" s="21">
        <f>MIN('3.1 Market'!$G301,'1.1 Control Panel'!R473*'1.1 Control Panel'!R$445)</f>
        <v>9.5601953488896019</v>
      </c>
      <c r="S310" s="21">
        <f>MIN('3.1 Market'!$G301,'1.1 Control Panel'!S473*'1.1 Control Panel'!S$445)</f>
        <v>9.6481562791116815</v>
      </c>
      <c r="T310" s="21">
        <f>MIN('3.1 Market'!$G301,'1.1 Control Panel'!T473*'1.1 Control Panel'!T$445)</f>
        <v>9.7185250232893452</v>
      </c>
      <c r="U310" s="21">
        <f>MIN('3.1 Market'!$G301,'1.1 Control Panel'!U473*'1.1 Control Panel'!U$445)</f>
        <v>14.662230027947215</v>
      </c>
      <c r="V310" s="21">
        <f>MIN('3.1 Market'!$G301,'1.1 Control Panel'!V473*'1.1 Control Panel'!V$445)</f>
        <v>14.729784022357771</v>
      </c>
      <c r="W310" s="21">
        <f>MIN('3.1 Market'!$G301,'1.1 Control Panel'!W473*'1.1 Control Panel'!W$445)</f>
        <v>14.783827217886218</v>
      </c>
      <c r="X310" s="21">
        <f>MIN('3.1 Market'!$G301,'1.1 Control Panel'!X473*'1.1 Control Panel'!X$445)</f>
        <v>14.827061774308977</v>
      </c>
      <c r="Y310" s="21">
        <f>MIN('3.1 Market'!$G301,'1.1 Control Panel'!Y473*'1.1 Control Panel'!Y$445)</f>
        <v>14.861649419447183</v>
      </c>
      <c r="Z310" s="21">
        <f>MIN('3.1 Market'!$G301,'1.1 Control Panel'!Z473*'1.1 Control Panel'!Z$445)</f>
        <v>14.889319535557744</v>
      </c>
      <c r="AA310" s="21">
        <f>MIN('3.1 Market'!$G301,'1.1 Control Panel'!AA473*'1.1 Control Panel'!AA$445)</f>
        <v>14.911455628446197</v>
      </c>
      <c r="AB310" s="21">
        <f>MIN('3.1 Market'!$G301,'1.1 Control Panel'!AB473*'1.1 Control Panel'!AB$445)</f>
        <v>14.929164502756956</v>
      </c>
      <c r="AC310" s="21">
        <f>MIN('3.1 Market'!$H301,'1.1 Control Panel'!AC473*'1.1 Control Panel'!AC$445)</f>
        <v>24.905552670342608</v>
      </c>
      <c r="AD310" s="21">
        <f>MIN('3.1 Market'!$H301,'1.1 Control Panel'!AD473*'1.1 Control Panel'!AD$445)</f>
        <v>24.924442136274088</v>
      </c>
      <c r="AE310" s="21">
        <f>MIN('3.1 Market'!$H301,'1.1 Control Panel'!AE473*'1.1 Control Panel'!AE$445)</f>
        <v>24.939553709019275</v>
      </c>
      <c r="AF310" s="21">
        <f>MIN('3.1 Market'!$H301,'1.1 Control Panel'!AF473*'1.1 Control Panel'!AF$445)</f>
        <v>24.951642967215424</v>
      </c>
      <c r="AG310" s="21">
        <f>MIN('3.1 Market'!$H301,'1.1 Control Panel'!AG473*'1.1 Control Panel'!AG$445)</f>
        <v>34.945840123281279</v>
      </c>
      <c r="AH310" s="21">
        <f>MIN('3.1 Market'!$H301,'1.1 Control Panel'!AH473*'1.1 Control Panel'!AH$445)</f>
        <v>34.95667209862502</v>
      </c>
      <c r="AI310" s="21">
        <f>MIN('3.1 Market'!$H301,'1.1 Control Panel'!AI473*'1.1 Control Panel'!AI$445)</f>
        <v>34.965337678900021</v>
      </c>
      <c r="AJ310" s="21">
        <f>MIN('3.1 Market'!$H301,'1.1 Control Panel'!AJ473*'1.1 Control Panel'!AJ$445)</f>
        <v>34.972270143120021</v>
      </c>
      <c r="AK310" s="21">
        <f>MIN('3.1 Market'!$H301,'1.1 Control Panel'!AK473*'1.1 Control Panel'!AK$445)</f>
        <v>39.974646987995449</v>
      </c>
      <c r="AL310" s="21">
        <f>MIN('3.1 Market'!$H301,'1.1 Control Panel'!AL473*'1.1 Control Panel'!AL$445)</f>
        <v>39.979717590396362</v>
      </c>
      <c r="AM310" s="21">
        <f>MIN('3.1 Market'!$H301,'1.1 Control Panel'!AM473*'1.1 Control Panel'!AM$445)</f>
        <v>39.98377407231709</v>
      </c>
      <c r="AN310" s="21">
        <f>MIN('3.1 Market'!$H301,'1.1 Control Panel'!AN473*'1.1 Control Panel'!AN$445)</f>
        <v>39.987019257853675</v>
      </c>
      <c r="AP310" s="21"/>
    </row>
    <row r="311" spans="2:42" x14ac:dyDescent="0.25">
      <c r="C311" s="21" t="s">
        <v>456</v>
      </c>
      <c r="D311" s="38" t="s">
        <v>162</v>
      </c>
      <c r="E311" s="21">
        <f>MIN('3.1 Market'!$F302,'1.1 Control Panel'!E474*'1.1 Control Panel'!E$445)</f>
        <v>0</v>
      </c>
      <c r="F311" s="21">
        <f>MIN('3.1 Market'!$F302,'1.1 Control Panel'!F474*'1.1 Control Panel'!F$445)</f>
        <v>0</v>
      </c>
      <c r="G311" s="21">
        <f>MIN('3.1 Market'!$F302,'1.1 Control Panel'!G474*'1.1 Control Panel'!G$445)</f>
        <v>1.8</v>
      </c>
      <c r="H311" s="21">
        <f>MIN('3.1 Market'!$F302,'1.1 Control Panel'!H474*'1.1 Control Panel'!H$445)</f>
        <v>2.4400000000000004</v>
      </c>
      <c r="I311" s="21">
        <f>MIN('3.1 Market'!$F302,'1.1 Control Panel'!I474*'1.1 Control Panel'!I$445)</f>
        <v>2.9520000000000004</v>
      </c>
      <c r="J311" s="21">
        <f>MIN('3.1 Market'!$F302,'1.1 Control Panel'!J474*'1.1 Control Panel'!J$445)</f>
        <v>3.3616000000000006</v>
      </c>
      <c r="K311" s="21">
        <f>MIN('3.1 Market'!$F302,'1.1 Control Panel'!K474*'1.1 Control Panel'!K$445)</f>
        <v>3.6892800000000006</v>
      </c>
      <c r="L311" s="21">
        <f>MIN('3.1 Market'!$F302,'1.1 Control Panel'!L474*'1.1 Control Panel'!L$445)</f>
        <v>3.9514240000000007</v>
      </c>
      <c r="M311" s="21">
        <f>MIN('3.1 Market'!$F302,'1.1 Control Panel'!M474*'1.1 Control Panel'!M$445)</f>
        <v>4.1611392000000009</v>
      </c>
      <c r="N311" s="21">
        <f>MIN('3.1 Market'!$F302,'1.1 Control Panel'!N474*'1.1 Control Panel'!N$445)</f>
        <v>4.3289113600000011</v>
      </c>
      <c r="O311" s="21">
        <f>MIN('3.1 Market'!$F302,'1.1 Control Panel'!O474*'1.1 Control Panel'!O$445)</f>
        <v>4.4631290880000005</v>
      </c>
      <c r="P311" s="21">
        <f>MIN('3.1 Market'!$F302,'1.1 Control Panel'!P474*'1.1 Control Panel'!P$445)</f>
        <v>4.5705032704000006</v>
      </c>
      <c r="Q311" s="21">
        <f>MIN('3.1 Market'!$G302,'1.1 Control Panel'!Q474*'1.1 Control Panel'!Q$445)</f>
        <v>9.3128052326400024</v>
      </c>
      <c r="R311" s="21">
        <f>MIN('3.1 Market'!$G302,'1.1 Control Panel'!R474*'1.1 Control Panel'!R$445)</f>
        <v>9.4502441861120019</v>
      </c>
      <c r="S311" s="21">
        <f>MIN('3.1 Market'!$G302,'1.1 Control Panel'!S474*'1.1 Control Panel'!S$445)</f>
        <v>9.5601953488896019</v>
      </c>
      <c r="T311" s="21">
        <f>MIN('3.1 Market'!$G302,'1.1 Control Panel'!T474*'1.1 Control Panel'!T$445)</f>
        <v>9.6481562791116815</v>
      </c>
      <c r="U311" s="21">
        <f>MIN('3.1 Market'!$G302,'1.1 Control Panel'!U474*'1.1 Control Panel'!U$445)</f>
        <v>14.577787534934018</v>
      </c>
      <c r="V311" s="21">
        <f>MIN('3.1 Market'!$G302,'1.1 Control Panel'!V474*'1.1 Control Panel'!V$445)</f>
        <v>14.662230027947215</v>
      </c>
      <c r="W311" s="21">
        <f>MIN('3.1 Market'!$G302,'1.1 Control Panel'!W474*'1.1 Control Panel'!W$445)</f>
        <v>14.729784022357771</v>
      </c>
      <c r="X311" s="21">
        <f>MIN('3.1 Market'!$G302,'1.1 Control Panel'!X474*'1.1 Control Panel'!X$445)</f>
        <v>14.783827217886218</v>
      </c>
      <c r="Y311" s="21">
        <f>MIN('3.1 Market'!$G302,'1.1 Control Panel'!Y474*'1.1 Control Panel'!Y$445)</f>
        <v>14.827061774308977</v>
      </c>
      <c r="Z311" s="21">
        <f>MIN('3.1 Market'!$G302,'1.1 Control Panel'!Z474*'1.1 Control Panel'!Z$445)</f>
        <v>14.861649419447183</v>
      </c>
      <c r="AA311" s="21">
        <f>MIN('3.1 Market'!$G302,'1.1 Control Panel'!AA474*'1.1 Control Panel'!AA$445)</f>
        <v>14.889319535557744</v>
      </c>
      <c r="AB311" s="21">
        <f>MIN('3.1 Market'!$G302,'1.1 Control Panel'!AB474*'1.1 Control Panel'!AB$445)</f>
        <v>14.911455628446197</v>
      </c>
      <c r="AC311" s="21">
        <f>MIN('3.1 Market'!$H302,'1.1 Control Panel'!AC474*'1.1 Control Panel'!AC$445)</f>
        <v>24.881940837928262</v>
      </c>
      <c r="AD311" s="21">
        <f>MIN('3.1 Market'!$H302,'1.1 Control Panel'!AD474*'1.1 Control Panel'!AD$445)</f>
        <v>24.905552670342608</v>
      </c>
      <c r="AE311" s="21">
        <f>MIN('3.1 Market'!$H302,'1.1 Control Panel'!AE474*'1.1 Control Panel'!AE$445)</f>
        <v>24.924442136274088</v>
      </c>
      <c r="AF311" s="21">
        <f>MIN('3.1 Market'!$H302,'1.1 Control Panel'!AF474*'1.1 Control Panel'!AF$445)</f>
        <v>24.939553709019275</v>
      </c>
      <c r="AG311" s="21">
        <f>MIN('3.1 Market'!$H302,'1.1 Control Panel'!AG474*'1.1 Control Panel'!AG$445)</f>
        <v>34.932300154101597</v>
      </c>
      <c r="AH311" s="21">
        <f>MIN('3.1 Market'!$H302,'1.1 Control Panel'!AH474*'1.1 Control Panel'!AH$445)</f>
        <v>34.945840123281279</v>
      </c>
      <c r="AI311" s="21">
        <f>MIN('3.1 Market'!$H302,'1.1 Control Panel'!AI474*'1.1 Control Panel'!AI$445)</f>
        <v>34.95667209862502</v>
      </c>
      <c r="AJ311" s="21">
        <f>MIN('3.1 Market'!$H302,'1.1 Control Panel'!AJ474*'1.1 Control Panel'!AJ$445)</f>
        <v>34.965337678900021</v>
      </c>
      <c r="AK311" s="21">
        <f>MIN('3.1 Market'!$H302,'1.1 Control Panel'!AK474*'1.1 Control Panel'!AK$445)</f>
        <v>39.968308734994309</v>
      </c>
      <c r="AL311" s="21">
        <f>MIN('3.1 Market'!$H302,'1.1 Control Panel'!AL474*'1.1 Control Panel'!AL$445)</f>
        <v>39.974646987995449</v>
      </c>
      <c r="AM311" s="21">
        <f>MIN('3.1 Market'!$H302,'1.1 Control Panel'!AM474*'1.1 Control Panel'!AM$445)</f>
        <v>39.979717590396362</v>
      </c>
      <c r="AN311" s="21">
        <f>MIN('3.1 Market'!$H302,'1.1 Control Panel'!AN474*'1.1 Control Panel'!AN$445)</f>
        <v>39.98377407231709</v>
      </c>
      <c r="AP311" s="21"/>
    </row>
    <row r="312" spans="2:42" x14ac:dyDescent="0.25">
      <c r="B312" s="99" t="s">
        <v>9</v>
      </c>
      <c r="C312" s="105" t="str">
        <f>'4.2 Sector Mapping'!$B$10</f>
        <v>Industrials and Services</v>
      </c>
      <c r="D312" s="106" t="s">
        <v>162</v>
      </c>
      <c r="E312" s="105">
        <f>SUM(E313:E318)</f>
        <v>0</v>
      </c>
      <c r="F312" s="105">
        <f t="shared" ref="F312:H312" si="155">SUM(F313:F318)</f>
        <v>0</v>
      </c>
      <c r="G312" s="105">
        <f t="shared" si="155"/>
        <v>0</v>
      </c>
      <c r="H312" s="105">
        <f t="shared" si="155"/>
        <v>0</v>
      </c>
      <c r="I312" s="105">
        <f t="shared" ref="I312:AN312" si="156">SUM(I313:I318)</f>
        <v>0</v>
      </c>
      <c r="J312" s="105">
        <f t="shared" si="156"/>
        <v>0</v>
      </c>
      <c r="K312" s="105">
        <f t="shared" si="156"/>
        <v>0</v>
      </c>
      <c r="L312" s="105">
        <f t="shared" si="156"/>
        <v>0</v>
      </c>
      <c r="M312" s="105">
        <f t="shared" si="156"/>
        <v>0</v>
      </c>
      <c r="N312" s="105">
        <f t="shared" si="156"/>
        <v>0</v>
      </c>
      <c r="O312" s="105">
        <f t="shared" si="156"/>
        <v>0</v>
      </c>
      <c r="P312" s="105">
        <f t="shared" si="156"/>
        <v>0</v>
      </c>
      <c r="Q312" s="105">
        <f t="shared" si="156"/>
        <v>28.969207848960004</v>
      </c>
      <c r="R312" s="105">
        <f t="shared" si="156"/>
        <v>29.175366279168006</v>
      </c>
      <c r="S312" s="105">
        <f t="shared" si="156"/>
        <v>29.340293023334404</v>
      </c>
      <c r="T312" s="105">
        <f t="shared" si="156"/>
        <v>29.472234418667526</v>
      </c>
      <c r="U312" s="105">
        <f t="shared" si="156"/>
        <v>55.211870065210164</v>
      </c>
      <c r="V312" s="105">
        <f t="shared" si="156"/>
        <v>55.369496052168131</v>
      </c>
      <c r="W312" s="105">
        <f t="shared" si="156"/>
        <v>55.49559684173451</v>
      </c>
      <c r="X312" s="105">
        <f t="shared" si="156"/>
        <v>55.596477473387608</v>
      </c>
      <c r="Y312" s="105">
        <f t="shared" si="156"/>
        <v>55.677181978710088</v>
      </c>
      <c r="Z312" s="105">
        <f t="shared" si="156"/>
        <v>55.741745582968072</v>
      </c>
      <c r="AA312" s="105">
        <f t="shared" si="156"/>
        <v>55.793396466374446</v>
      </c>
      <c r="AB312" s="105">
        <f t="shared" si="156"/>
        <v>55.834717173099563</v>
      </c>
      <c r="AC312" s="105">
        <f t="shared" si="156"/>
        <v>155.60332121543897</v>
      </c>
      <c r="AD312" s="105">
        <f t="shared" si="156"/>
        <v>155.6826569723512</v>
      </c>
      <c r="AE312" s="105">
        <f t="shared" si="156"/>
        <v>155.74612557788095</v>
      </c>
      <c r="AF312" s="105">
        <f t="shared" si="156"/>
        <v>155.79690046230476</v>
      </c>
      <c r="AG312" s="105">
        <f t="shared" si="156"/>
        <v>255.72920061640636</v>
      </c>
      <c r="AH312" s="105">
        <f t="shared" si="156"/>
        <v>255.78336049312506</v>
      </c>
      <c r="AI312" s="105">
        <f t="shared" si="156"/>
        <v>255.82668839450008</v>
      </c>
      <c r="AJ312" s="105">
        <f t="shared" si="156"/>
        <v>255.86135071560008</v>
      </c>
      <c r="AK312" s="105">
        <f t="shared" si="156"/>
        <v>327.87640406647779</v>
      </c>
      <c r="AL312" s="105">
        <f t="shared" si="156"/>
        <v>327.90112325318228</v>
      </c>
      <c r="AM312" s="105">
        <f t="shared" si="156"/>
        <v>327.92089860254578</v>
      </c>
      <c r="AN312" s="105">
        <f t="shared" si="156"/>
        <v>327.9367188820367</v>
      </c>
      <c r="AP312" s="105"/>
    </row>
    <row r="313" spans="2:42" x14ac:dyDescent="0.25">
      <c r="C313" s="20" t="s">
        <v>600</v>
      </c>
      <c r="D313" s="34" t="s">
        <v>162</v>
      </c>
      <c r="E313" s="20">
        <f>MIN('3.1 Market'!$F304,'1.1 Control Panel'!E500*'1.1 Control Panel'!E$476)</f>
        <v>0</v>
      </c>
      <c r="F313" s="20">
        <f>MIN('3.1 Market'!$F304,'1.1 Control Panel'!F500*'1.1 Control Panel'!F$476)</f>
        <v>0</v>
      </c>
      <c r="G313" s="20">
        <f>MIN('3.1 Market'!$F304,'1.1 Control Panel'!G500*'1.1 Control Panel'!G$476)</f>
        <v>0</v>
      </c>
      <c r="H313" s="20">
        <f>MIN('3.1 Market'!$F304,'1.1 Control Panel'!H500*'1.1 Control Panel'!H$476)</f>
        <v>0</v>
      </c>
      <c r="I313" s="20">
        <f>MIN('3.1 Market'!$F304,'1.1 Control Panel'!I500*'1.1 Control Panel'!I$476)</f>
        <v>0</v>
      </c>
      <c r="J313" s="20">
        <f>MIN('3.1 Market'!$F304,'1.1 Control Panel'!J500*'1.1 Control Panel'!J$476)</f>
        <v>0</v>
      </c>
      <c r="K313" s="20">
        <f>MIN('3.1 Market'!$F304,'1.1 Control Panel'!K500*'1.1 Control Panel'!K$476)</f>
        <v>0</v>
      </c>
      <c r="L313" s="20">
        <f>MIN('3.1 Market'!$F304,'1.1 Control Panel'!L500*'1.1 Control Panel'!L$476)</f>
        <v>0</v>
      </c>
      <c r="M313" s="20">
        <f>MIN('3.1 Market'!$F304,'1.1 Control Panel'!M500*'1.1 Control Panel'!M$476)</f>
        <v>0</v>
      </c>
      <c r="N313" s="20">
        <f>MIN('3.1 Market'!$F304,'1.1 Control Panel'!N500*'1.1 Control Panel'!N$476)</f>
        <v>0</v>
      </c>
      <c r="O313" s="20">
        <f>MIN('3.1 Market'!$F304,'1.1 Control Panel'!O500*'1.1 Control Panel'!O$476)</f>
        <v>0</v>
      </c>
      <c r="P313" s="20">
        <f>MIN('3.1 Market'!$F304,'1.1 Control Panel'!P500*'1.1 Control Panel'!P$476)</f>
        <v>0</v>
      </c>
      <c r="Q313" s="20">
        <f>MIN('3.1 Market'!$G304,'1.1 Control Panel'!Q500*'1.1 Control Panel'!Q$476)</f>
        <v>5</v>
      </c>
      <c r="R313" s="20">
        <f>MIN('3.1 Market'!$G304,'1.1 Control Panel'!R500*'1.1 Control Panel'!R$476)</f>
        <v>5</v>
      </c>
      <c r="S313" s="20">
        <f>MIN('3.1 Market'!$G304,'1.1 Control Panel'!S500*'1.1 Control Panel'!S$476)</f>
        <v>5</v>
      </c>
      <c r="T313" s="20">
        <f>MIN('3.1 Market'!$G304,'1.1 Control Panel'!T500*'1.1 Control Panel'!T$476)</f>
        <v>5</v>
      </c>
      <c r="U313" s="20">
        <f>MIN('3.1 Market'!$G304,'1.1 Control Panel'!U500*'1.1 Control Panel'!U$476)</f>
        <v>10</v>
      </c>
      <c r="V313" s="20">
        <f>MIN('3.1 Market'!$G304,'1.1 Control Panel'!V500*'1.1 Control Panel'!V$476)</f>
        <v>10</v>
      </c>
      <c r="W313" s="20">
        <f>MIN('3.1 Market'!$G304,'1.1 Control Panel'!W500*'1.1 Control Panel'!W$476)</f>
        <v>10</v>
      </c>
      <c r="X313" s="20">
        <f>MIN('3.1 Market'!$G304,'1.1 Control Panel'!X500*'1.1 Control Panel'!X$476)</f>
        <v>10</v>
      </c>
      <c r="Y313" s="20">
        <f>MIN('3.1 Market'!$G304,'1.1 Control Panel'!Y500*'1.1 Control Panel'!Y$476)</f>
        <v>10</v>
      </c>
      <c r="Z313" s="20">
        <f>MIN('3.1 Market'!$G304,'1.1 Control Panel'!Z500*'1.1 Control Panel'!Z$476)</f>
        <v>10</v>
      </c>
      <c r="AA313" s="20">
        <f>MIN('3.1 Market'!$G304,'1.1 Control Panel'!AA500*'1.1 Control Panel'!AA$476)</f>
        <v>10</v>
      </c>
      <c r="AB313" s="20">
        <f>MIN('3.1 Market'!$G304,'1.1 Control Panel'!AB500*'1.1 Control Panel'!AB$476)</f>
        <v>10</v>
      </c>
      <c r="AC313" s="20">
        <f>MIN('3.1 Market'!$H304,'1.1 Control Panel'!AC500*'1.1 Control Panel'!AC$476)</f>
        <v>30</v>
      </c>
      <c r="AD313" s="20">
        <f>MIN('3.1 Market'!$H304,'1.1 Control Panel'!AD500*'1.1 Control Panel'!AD$476)</f>
        <v>30</v>
      </c>
      <c r="AE313" s="20">
        <f>MIN('3.1 Market'!$H304,'1.1 Control Panel'!AE500*'1.1 Control Panel'!AE$476)</f>
        <v>30</v>
      </c>
      <c r="AF313" s="20">
        <f>MIN('3.1 Market'!$H304,'1.1 Control Panel'!AF500*'1.1 Control Panel'!AF$476)</f>
        <v>30</v>
      </c>
      <c r="AG313" s="20">
        <f>MIN('3.1 Market'!$H304,'1.1 Control Panel'!AG500*'1.1 Control Panel'!AG$476)</f>
        <v>50</v>
      </c>
      <c r="AH313" s="20">
        <f>MIN('3.1 Market'!$H304,'1.1 Control Panel'!AH500*'1.1 Control Panel'!AH$476)</f>
        <v>50</v>
      </c>
      <c r="AI313" s="20">
        <f>MIN('3.1 Market'!$H304,'1.1 Control Panel'!AI500*'1.1 Control Panel'!AI$476)</f>
        <v>50</v>
      </c>
      <c r="AJ313" s="20">
        <f>MIN('3.1 Market'!$H304,'1.1 Control Panel'!AJ500*'1.1 Control Panel'!AJ$476)</f>
        <v>50</v>
      </c>
      <c r="AK313" s="20">
        <f>MIN('3.1 Market'!$H304,'1.1 Control Panel'!AK500*'1.1 Control Panel'!AK$476)</f>
        <v>65</v>
      </c>
      <c r="AL313" s="20">
        <f>MIN('3.1 Market'!$H304,'1.1 Control Panel'!AL500*'1.1 Control Panel'!AL$476)</f>
        <v>65</v>
      </c>
      <c r="AM313" s="20">
        <f>MIN('3.1 Market'!$H304,'1.1 Control Panel'!AM500*'1.1 Control Panel'!AM$476)</f>
        <v>65</v>
      </c>
      <c r="AN313" s="20">
        <f>MIN('3.1 Market'!$H304,'1.1 Control Panel'!AN500*'1.1 Control Panel'!AN$476)</f>
        <v>65</v>
      </c>
      <c r="AP313" s="20"/>
    </row>
    <row r="314" spans="2:42" x14ac:dyDescent="0.25">
      <c r="C314" s="20" t="s">
        <v>392</v>
      </c>
      <c r="D314" s="34" t="s">
        <v>162</v>
      </c>
      <c r="E314" s="20">
        <f>MIN('3.1 Market'!$F305,'1.1 Control Panel'!E501*'1.1 Control Panel'!E$476)</f>
        <v>0</v>
      </c>
      <c r="F314" s="20">
        <f>MIN('3.1 Market'!$F305,'1.1 Control Panel'!F501*'1.1 Control Panel'!F$476)</f>
        <v>0</v>
      </c>
      <c r="G314" s="20">
        <f>MIN('3.1 Market'!$F305,'1.1 Control Panel'!G501*'1.1 Control Panel'!G$476)</f>
        <v>0</v>
      </c>
      <c r="H314" s="20">
        <f>MIN('3.1 Market'!$F305,'1.1 Control Panel'!H501*'1.1 Control Panel'!H$476)</f>
        <v>0</v>
      </c>
      <c r="I314" s="20">
        <f>MIN('3.1 Market'!$F305,'1.1 Control Panel'!I501*'1.1 Control Panel'!I$476)</f>
        <v>0</v>
      </c>
      <c r="J314" s="20">
        <f>MIN('3.1 Market'!$F305,'1.1 Control Panel'!J501*'1.1 Control Panel'!J$476)</f>
        <v>0</v>
      </c>
      <c r="K314" s="20">
        <f>MIN('3.1 Market'!$F305,'1.1 Control Panel'!K501*'1.1 Control Panel'!K$476)</f>
        <v>0</v>
      </c>
      <c r="L314" s="20">
        <f>MIN('3.1 Market'!$F305,'1.1 Control Panel'!L501*'1.1 Control Panel'!L$476)</f>
        <v>0</v>
      </c>
      <c r="M314" s="20">
        <f>MIN('3.1 Market'!$F305,'1.1 Control Panel'!M501*'1.1 Control Panel'!M$476)</f>
        <v>0</v>
      </c>
      <c r="N314" s="20">
        <f>MIN('3.1 Market'!$F305,'1.1 Control Panel'!N501*'1.1 Control Panel'!N$476)</f>
        <v>0</v>
      </c>
      <c r="O314" s="20">
        <f>MIN('3.1 Market'!$F305,'1.1 Control Panel'!O501*'1.1 Control Panel'!O$476)</f>
        <v>0</v>
      </c>
      <c r="P314" s="20">
        <f>MIN('3.1 Market'!$F305,'1.1 Control Panel'!P501*'1.1 Control Panel'!P$476)</f>
        <v>0</v>
      </c>
      <c r="Q314" s="20">
        <f>MIN('3.1 Market'!$G305,'1.1 Control Panel'!Q501*'1.1 Control Panel'!Q$476)</f>
        <v>4.9312805232640002</v>
      </c>
      <c r="R314" s="20">
        <f>MIN('3.1 Market'!$G305,'1.1 Control Panel'!R501*'1.1 Control Panel'!R$476)</f>
        <v>4.9450244186112009</v>
      </c>
      <c r="S314" s="20">
        <f>MIN('3.1 Market'!$G305,'1.1 Control Panel'!S501*'1.1 Control Panel'!S$476)</f>
        <v>4.9560195348889611</v>
      </c>
      <c r="T314" s="20">
        <f>MIN('3.1 Market'!$G305,'1.1 Control Panel'!T501*'1.1 Control Panel'!T$476)</f>
        <v>4.964815627911169</v>
      </c>
      <c r="U314" s="20">
        <f>MIN('3.1 Market'!$G305,'1.1 Control Panel'!U501*'1.1 Control Panel'!U$476)</f>
        <v>6</v>
      </c>
      <c r="V314" s="20">
        <f>MIN('3.1 Market'!$G305,'1.1 Control Panel'!V501*'1.1 Control Panel'!V$476)</f>
        <v>6</v>
      </c>
      <c r="W314" s="20">
        <f>MIN('3.1 Market'!$G305,'1.1 Control Panel'!W501*'1.1 Control Panel'!W$476)</f>
        <v>6</v>
      </c>
      <c r="X314" s="20">
        <f>MIN('3.1 Market'!$G305,'1.1 Control Panel'!X501*'1.1 Control Panel'!X$476)</f>
        <v>6</v>
      </c>
      <c r="Y314" s="20">
        <f>MIN('3.1 Market'!$G305,'1.1 Control Panel'!Y501*'1.1 Control Panel'!Y$476)</f>
        <v>6</v>
      </c>
      <c r="Z314" s="20">
        <f>MIN('3.1 Market'!$G305,'1.1 Control Panel'!Z501*'1.1 Control Panel'!Z$476)</f>
        <v>6</v>
      </c>
      <c r="AA314" s="20">
        <f>MIN('3.1 Market'!$G305,'1.1 Control Panel'!AA501*'1.1 Control Panel'!AA$476)</f>
        <v>6</v>
      </c>
      <c r="AB314" s="20">
        <f>MIN('3.1 Market'!$G305,'1.1 Control Panel'!AB501*'1.1 Control Panel'!AB$476)</f>
        <v>6</v>
      </c>
      <c r="AC314" s="20">
        <f>MIN('3.1 Market'!$H305,'1.1 Control Panel'!AC501*'1.1 Control Panel'!AC$476)</f>
        <v>6</v>
      </c>
      <c r="AD314" s="20">
        <f>MIN('3.1 Market'!$H305,'1.1 Control Panel'!AD501*'1.1 Control Panel'!AD$476)</f>
        <v>6</v>
      </c>
      <c r="AE314" s="20">
        <f>MIN('3.1 Market'!$H305,'1.1 Control Panel'!AE501*'1.1 Control Panel'!AE$476)</f>
        <v>6</v>
      </c>
      <c r="AF314" s="20">
        <f>MIN('3.1 Market'!$H305,'1.1 Control Panel'!AF501*'1.1 Control Panel'!AF$476)</f>
        <v>6</v>
      </c>
      <c r="AG314" s="20">
        <f>MIN('3.1 Market'!$H305,'1.1 Control Panel'!AG501*'1.1 Control Panel'!AG$476)</f>
        <v>6</v>
      </c>
      <c r="AH314" s="20">
        <f>MIN('3.1 Market'!$H305,'1.1 Control Panel'!AH501*'1.1 Control Panel'!AH$476)</f>
        <v>6</v>
      </c>
      <c r="AI314" s="20">
        <f>MIN('3.1 Market'!$H305,'1.1 Control Panel'!AI501*'1.1 Control Panel'!AI$476)</f>
        <v>6</v>
      </c>
      <c r="AJ314" s="20">
        <f>MIN('3.1 Market'!$H305,'1.1 Control Panel'!AJ501*'1.1 Control Panel'!AJ$476)</f>
        <v>6</v>
      </c>
      <c r="AK314" s="20">
        <f>MIN('3.1 Market'!$H305,'1.1 Control Panel'!AK501*'1.1 Control Panel'!AK$476)</f>
        <v>6</v>
      </c>
      <c r="AL314" s="20">
        <f>MIN('3.1 Market'!$H305,'1.1 Control Panel'!AL501*'1.1 Control Panel'!AL$476)</f>
        <v>6</v>
      </c>
      <c r="AM314" s="20">
        <f>MIN('3.1 Market'!$H305,'1.1 Control Panel'!AM501*'1.1 Control Panel'!AM$476)</f>
        <v>6</v>
      </c>
      <c r="AN314" s="20">
        <f>MIN('3.1 Market'!$H305,'1.1 Control Panel'!AN501*'1.1 Control Panel'!AN$476)</f>
        <v>6</v>
      </c>
      <c r="AP314" s="20"/>
    </row>
    <row r="315" spans="2:42" x14ac:dyDescent="0.25">
      <c r="C315" s="20" t="s">
        <v>454</v>
      </c>
      <c r="D315" s="34" t="s">
        <v>162</v>
      </c>
      <c r="E315" s="20">
        <f>MIN('3.1 Market'!$F306,'1.1 Control Panel'!E502*'1.1 Control Panel'!E$476)</f>
        <v>0</v>
      </c>
      <c r="F315" s="20">
        <f>MIN('3.1 Market'!$F306,'1.1 Control Panel'!F502*'1.1 Control Panel'!F$476)</f>
        <v>0</v>
      </c>
      <c r="G315" s="20">
        <f>MIN('3.1 Market'!$F306,'1.1 Control Panel'!G502*'1.1 Control Panel'!G$476)</f>
        <v>0</v>
      </c>
      <c r="H315" s="20">
        <f>MIN('3.1 Market'!$F306,'1.1 Control Panel'!H502*'1.1 Control Panel'!H$476)</f>
        <v>0</v>
      </c>
      <c r="I315" s="20">
        <f>MIN('3.1 Market'!$F306,'1.1 Control Panel'!I502*'1.1 Control Panel'!I$476)</f>
        <v>0</v>
      </c>
      <c r="J315" s="20">
        <f>MIN('3.1 Market'!$F306,'1.1 Control Panel'!J502*'1.1 Control Panel'!J$476)</f>
        <v>0</v>
      </c>
      <c r="K315" s="20">
        <f>MIN('3.1 Market'!$F306,'1.1 Control Panel'!K502*'1.1 Control Panel'!K$476)</f>
        <v>0</v>
      </c>
      <c r="L315" s="20">
        <f>MIN('3.1 Market'!$F306,'1.1 Control Panel'!L502*'1.1 Control Panel'!L$476)</f>
        <v>0</v>
      </c>
      <c r="M315" s="20">
        <f>MIN('3.1 Market'!$F306,'1.1 Control Panel'!M502*'1.1 Control Panel'!M$476)</f>
        <v>0</v>
      </c>
      <c r="N315" s="20">
        <f>MIN('3.1 Market'!$F306,'1.1 Control Panel'!N502*'1.1 Control Panel'!N$476)</f>
        <v>0</v>
      </c>
      <c r="O315" s="20">
        <f>MIN('3.1 Market'!$F306,'1.1 Control Panel'!O502*'1.1 Control Panel'!O$476)</f>
        <v>0</v>
      </c>
      <c r="P315" s="20">
        <f>MIN('3.1 Market'!$F306,'1.1 Control Panel'!P502*'1.1 Control Panel'!P$476)</f>
        <v>0</v>
      </c>
      <c r="Q315" s="20">
        <f>MIN('3.1 Market'!$G306,'1.1 Control Panel'!Q502*'1.1 Control Panel'!Q$476)</f>
        <v>4.8625610465280014</v>
      </c>
      <c r="R315" s="20">
        <f>MIN('3.1 Market'!$G306,'1.1 Control Panel'!R502*'1.1 Control Panel'!R$476)</f>
        <v>4.8900488372224018</v>
      </c>
      <c r="S315" s="20">
        <f>MIN('3.1 Market'!$G306,'1.1 Control Panel'!S502*'1.1 Control Panel'!S$476)</f>
        <v>4.9120390697779222</v>
      </c>
      <c r="T315" s="20">
        <f>MIN('3.1 Market'!$G306,'1.1 Control Panel'!T502*'1.1 Control Panel'!T$476)</f>
        <v>4.9296312558223381</v>
      </c>
      <c r="U315" s="20">
        <f>MIN('3.1 Market'!$G306,'1.1 Control Panel'!U502*'1.1 Control Panel'!U$476)</f>
        <v>9.8874100093157402</v>
      </c>
      <c r="V315" s="20">
        <f>MIN('3.1 Market'!$G306,'1.1 Control Panel'!V502*'1.1 Control Panel'!V$476)</f>
        <v>9.9099280074525922</v>
      </c>
      <c r="W315" s="20">
        <f>MIN('3.1 Market'!$G306,'1.1 Control Panel'!W502*'1.1 Control Panel'!W$476)</f>
        <v>9.9279424059620744</v>
      </c>
      <c r="X315" s="20">
        <f>MIN('3.1 Market'!$G306,'1.1 Control Panel'!X502*'1.1 Control Panel'!X$476)</f>
        <v>9.9423539247696588</v>
      </c>
      <c r="Y315" s="20">
        <f>MIN('3.1 Market'!$G306,'1.1 Control Panel'!Y502*'1.1 Control Panel'!Y$476)</f>
        <v>9.9538831398157264</v>
      </c>
      <c r="Z315" s="20">
        <f>MIN('3.1 Market'!$G306,'1.1 Control Panel'!Z502*'1.1 Control Panel'!Z$476)</f>
        <v>9.9631065118525814</v>
      </c>
      <c r="AA315" s="20">
        <f>MIN('3.1 Market'!$G306,'1.1 Control Panel'!AA502*'1.1 Control Panel'!AA$476)</f>
        <v>9.9704852094820655</v>
      </c>
      <c r="AB315" s="20">
        <f>MIN('3.1 Market'!$G306,'1.1 Control Panel'!AB502*'1.1 Control Panel'!AB$476)</f>
        <v>9.9763881675856538</v>
      </c>
      <c r="AC315" s="20">
        <f>MIN('3.1 Market'!$H306,'1.1 Control Panel'!AC502*'1.1 Control Panel'!AC$476)</f>
        <v>29.943331602205571</v>
      </c>
      <c r="AD315" s="20">
        <f>MIN('3.1 Market'!$H306,'1.1 Control Panel'!AD502*'1.1 Control Panel'!AD$476)</f>
        <v>29.954665281764459</v>
      </c>
      <c r="AE315" s="20">
        <f>MIN('3.1 Market'!$H306,'1.1 Control Panel'!AE502*'1.1 Control Panel'!AE$476)</f>
        <v>29.963732225411565</v>
      </c>
      <c r="AF315" s="20">
        <f>MIN('3.1 Market'!$H306,'1.1 Control Panel'!AF502*'1.1 Control Panel'!AF$476)</f>
        <v>29.970985780329254</v>
      </c>
      <c r="AG315" s="20">
        <f>MIN('3.1 Market'!$H306,'1.1 Control Panel'!AG502*'1.1 Control Panel'!AG$476)</f>
        <v>49.961314373772339</v>
      </c>
      <c r="AH315" s="20">
        <f>MIN('3.1 Market'!$H306,'1.1 Control Panel'!AH502*'1.1 Control Panel'!AH$476)</f>
        <v>49.969051499017866</v>
      </c>
      <c r="AI315" s="20">
        <f>MIN('3.1 Market'!$H306,'1.1 Control Panel'!AI502*'1.1 Control Panel'!AI$476)</f>
        <v>49.975241199214295</v>
      </c>
      <c r="AJ315" s="20">
        <f>MIN('3.1 Market'!$H306,'1.1 Control Panel'!AJ502*'1.1 Control Panel'!AJ$476)</f>
        <v>49.980192959371443</v>
      </c>
      <c r="AK315" s="20">
        <f>MIN('3.1 Market'!$H306,'1.1 Control Panel'!AK502*'1.1 Control Panel'!AK$476)</f>
        <v>62</v>
      </c>
      <c r="AL315" s="20">
        <f>MIN('3.1 Market'!$H306,'1.1 Control Panel'!AL502*'1.1 Control Panel'!AL$476)</f>
        <v>62</v>
      </c>
      <c r="AM315" s="20">
        <f>MIN('3.1 Market'!$H306,'1.1 Control Panel'!AM502*'1.1 Control Panel'!AM$476)</f>
        <v>62</v>
      </c>
      <c r="AN315" s="20">
        <f>MIN('3.1 Market'!$H306,'1.1 Control Panel'!AN502*'1.1 Control Panel'!AN$476)</f>
        <v>62</v>
      </c>
      <c r="AP315" s="20"/>
    </row>
    <row r="316" spans="2:42" x14ac:dyDescent="0.25">
      <c r="C316" s="21" t="s">
        <v>455</v>
      </c>
      <c r="D316" s="38" t="s">
        <v>162</v>
      </c>
      <c r="E316" s="21">
        <f>MIN('3.1 Market'!$F307,'1.1 Control Panel'!E503*'1.1 Control Panel'!E$476)</f>
        <v>0</v>
      </c>
      <c r="F316" s="21">
        <f>MIN('3.1 Market'!$F307,'1.1 Control Panel'!F503*'1.1 Control Panel'!F$476)</f>
        <v>0</v>
      </c>
      <c r="G316" s="21">
        <f>MIN('3.1 Market'!$F307,'1.1 Control Panel'!G503*'1.1 Control Panel'!G$476)</f>
        <v>0</v>
      </c>
      <c r="H316" s="21">
        <f>MIN('3.1 Market'!$F307,'1.1 Control Panel'!H503*'1.1 Control Panel'!H$476)</f>
        <v>0</v>
      </c>
      <c r="I316" s="21">
        <f>MIN('3.1 Market'!$F307,'1.1 Control Panel'!I503*'1.1 Control Panel'!I$476)</f>
        <v>0</v>
      </c>
      <c r="J316" s="21">
        <f>MIN('3.1 Market'!$F307,'1.1 Control Panel'!J503*'1.1 Control Panel'!J$476)</f>
        <v>0</v>
      </c>
      <c r="K316" s="21">
        <f>MIN('3.1 Market'!$F307,'1.1 Control Panel'!K503*'1.1 Control Panel'!K$476)</f>
        <v>0</v>
      </c>
      <c r="L316" s="21">
        <f>MIN('3.1 Market'!$F307,'1.1 Control Panel'!L503*'1.1 Control Panel'!L$476)</f>
        <v>0</v>
      </c>
      <c r="M316" s="21">
        <f>MIN('3.1 Market'!$F307,'1.1 Control Panel'!M503*'1.1 Control Panel'!M$476)</f>
        <v>0</v>
      </c>
      <c r="N316" s="21">
        <f>MIN('3.1 Market'!$F307,'1.1 Control Panel'!N503*'1.1 Control Panel'!N$476)</f>
        <v>0</v>
      </c>
      <c r="O316" s="21">
        <f>MIN('3.1 Market'!$F307,'1.1 Control Panel'!O503*'1.1 Control Panel'!O$476)</f>
        <v>0</v>
      </c>
      <c r="P316" s="21">
        <f>MIN('3.1 Market'!$F307,'1.1 Control Panel'!P503*'1.1 Control Panel'!P$476)</f>
        <v>0</v>
      </c>
      <c r="Q316" s="21">
        <f>MIN('3.1 Market'!$G307,'1.1 Control Panel'!Q503*'1.1 Control Panel'!Q$476)</f>
        <v>4.7938415697920007</v>
      </c>
      <c r="R316" s="21">
        <f>MIN('3.1 Market'!$G307,'1.1 Control Panel'!R503*'1.1 Control Panel'!R$476)</f>
        <v>4.8350732558336009</v>
      </c>
      <c r="S316" s="21">
        <f>MIN('3.1 Market'!$G307,'1.1 Control Panel'!S503*'1.1 Control Panel'!S$476)</f>
        <v>4.8680586046668815</v>
      </c>
      <c r="T316" s="21">
        <f>MIN('3.1 Market'!$G307,'1.1 Control Panel'!T503*'1.1 Control Panel'!T$476)</f>
        <v>4.8944468837335053</v>
      </c>
      <c r="U316" s="21">
        <f>MIN('3.1 Market'!$G307,'1.1 Control Panel'!U503*'1.1 Control Panel'!U$476)</f>
        <v>9.8311150139736085</v>
      </c>
      <c r="V316" s="21">
        <f>MIN('3.1 Market'!$G307,'1.1 Control Panel'!V503*'1.1 Control Panel'!V$476)</f>
        <v>9.8648920111788883</v>
      </c>
      <c r="W316" s="21">
        <f>MIN('3.1 Market'!$G307,'1.1 Control Panel'!W503*'1.1 Control Panel'!W$476)</f>
        <v>9.8919136089431099</v>
      </c>
      <c r="X316" s="21">
        <f>MIN('3.1 Market'!$G307,'1.1 Control Panel'!X503*'1.1 Control Panel'!X$476)</f>
        <v>9.9135308871544883</v>
      </c>
      <c r="Y316" s="21">
        <f>MIN('3.1 Market'!$G307,'1.1 Control Panel'!Y503*'1.1 Control Panel'!Y$476)</f>
        <v>9.9308247097235913</v>
      </c>
      <c r="Z316" s="21">
        <f>MIN('3.1 Market'!$G307,'1.1 Control Panel'!Z503*'1.1 Control Panel'!Z$476)</f>
        <v>9.9446597677788731</v>
      </c>
      <c r="AA316" s="21">
        <f>MIN('3.1 Market'!$G307,'1.1 Control Panel'!AA503*'1.1 Control Panel'!AA$476)</f>
        <v>9.9557278142230992</v>
      </c>
      <c r="AB316" s="21">
        <f>MIN('3.1 Market'!$G307,'1.1 Control Panel'!AB503*'1.1 Control Panel'!AB$476)</f>
        <v>9.9645822513784807</v>
      </c>
      <c r="AC316" s="21">
        <f>MIN('3.1 Market'!$H307,'1.1 Control Panel'!AC503*'1.1 Control Panel'!AC$476)</f>
        <v>29.914997403308352</v>
      </c>
      <c r="AD316" s="21">
        <f>MIN('3.1 Market'!$H307,'1.1 Control Panel'!AD503*'1.1 Control Panel'!AD$476)</f>
        <v>29.931997922646683</v>
      </c>
      <c r="AE316" s="21">
        <f>MIN('3.1 Market'!$H307,'1.1 Control Panel'!AE503*'1.1 Control Panel'!AE$476)</f>
        <v>29.94559833811735</v>
      </c>
      <c r="AF316" s="21">
        <f>MIN('3.1 Market'!$H307,'1.1 Control Panel'!AF503*'1.1 Control Panel'!AF$476)</f>
        <v>29.956478670493876</v>
      </c>
      <c r="AG316" s="21">
        <f>MIN('3.1 Market'!$H307,'1.1 Control Panel'!AG503*'1.1 Control Panel'!AG$476)</f>
        <v>49.941971560658502</v>
      </c>
      <c r="AH316" s="21">
        <f>MIN('3.1 Market'!$H307,'1.1 Control Panel'!AH503*'1.1 Control Panel'!AH$476)</f>
        <v>49.953577248526798</v>
      </c>
      <c r="AI316" s="21">
        <f>MIN('3.1 Market'!$H307,'1.1 Control Panel'!AI503*'1.1 Control Panel'!AI$476)</f>
        <v>49.962861798821443</v>
      </c>
      <c r="AJ316" s="21">
        <f>MIN('3.1 Market'!$H307,'1.1 Control Panel'!AJ503*'1.1 Control Panel'!AJ$476)</f>
        <v>49.970289439057154</v>
      </c>
      <c r="AK316" s="21">
        <f>MIN('3.1 Market'!$H307,'1.1 Control Panel'!AK503*'1.1 Control Panel'!AK$476)</f>
        <v>64.969101016619447</v>
      </c>
      <c r="AL316" s="21">
        <f>MIN('3.1 Market'!$H307,'1.1 Control Panel'!AL503*'1.1 Control Panel'!AL$476)</f>
        <v>64.975280813295555</v>
      </c>
      <c r="AM316" s="21">
        <f>MIN('3.1 Market'!$H307,'1.1 Control Panel'!AM503*'1.1 Control Panel'!AM$476)</f>
        <v>64.980224650636458</v>
      </c>
      <c r="AN316" s="21">
        <f>MIN('3.1 Market'!$H307,'1.1 Control Panel'!AN503*'1.1 Control Panel'!AN$476)</f>
        <v>64.984179720509175</v>
      </c>
      <c r="AP316" s="21"/>
    </row>
    <row r="317" spans="2:42" x14ac:dyDescent="0.25">
      <c r="C317" s="21" t="s">
        <v>393</v>
      </c>
      <c r="D317" s="38" t="s">
        <v>162</v>
      </c>
      <c r="E317" s="21">
        <f>MIN('3.1 Market'!$F308,'1.1 Control Panel'!E504*'1.1 Control Panel'!E$476)</f>
        <v>0</v>
      </c>
      <c r="F317" s="21">
        <f>MIN('3.1 Market'!$F308,'1.1 Control Panel'!F504*'1.1 Control Panel'!F$476)</f>
        <v>0</v>
      </c>
      <c r="G317" s="21">
        <f>MIN('3.1 Market'!$F308,'1.1 Control Panel'!G504*'1.1 Control Panel'!G$476)</f>
        <v>0</v>
      </c>
      <c r="H317" s="21">
        <f>MIN('3.1 Market'!$F308,'1.1 Control Panel'!H504*'1.1 Control Panel'!H$476)</f>
        <v>0</v>
      </c>
      <c r="I317" s="21">
        <f>MIN('3.1 Market'!$F308,'1.1 Control Panel'!I504*'1.1 Control Panel'!I$476)</f>
        <v>0</v>
      </c>
      <c r="J317" s="21">
        <f>MIN('3.1 Market'!$F308,'1.1 Control Panel'!J504*'1.1 Control Panel'!J$476)</f>
        <v>0</v>
      </c>
      <c r="K317" s="21">
        <f>MIN('3.1 Market'!$F308,'1.1 Control Panel'!K504*'1.1 Control Panel'!K$476)</f>
        <v>0</v>
      </c>
      <c r="L317" s="21">
        <f>MIN('3.1 Market'!$F308,'1.1 Control Panel'!L504*'1.1 Control Panel'!L$476)</f>
        <v>0</v>
      </c>
      <c r="M317" s="21">
        <f>MIN('3.1 Market'!$F308,'1.1 Control Panel'!M504*'1.1 Control Panel'!M$476)</f>
        <v>0</v>
      </c>
      <c r="N317" s="21">
        <f>MIN('3.1 Market'!$F308,'1.1 Control Panel'!N504*'1.1 Control Panel'!N$476)</f>
        <v>0</v>
      </c>
      <c r="O317" s="21">
        <f>MIN('3.1 Market'!$F308,'1.1 Control Panel'!O504*'1.1 Control Panel'!O$476)</f>
        <v>0</v>
      </c>
      <c r="P317" s="21">
        <f>MIN('3.1 Market'!$F308,'1.1 Control Panel'!P504*'1.1 Control Panel'!P$476)</f>
        <v>0</v>
      </c>
      <c r="Q317" s="21">
        <f>MIN('3.1 Market'!$G308,'1.1 Control Panel'!Q504*'1.1 Control Panel'!Q$476)</f>
        <v>4.7251220930560009</v>
      </c>
      <c r="R317" s="21">
        <f>MIN('3.1 Market'!$G308,'1.1 Control Panel'!R504*'1.1 Control Panel'!R$476)</f>
        <v>4.7800976744448009</v>
      </c>
      <c r="S317" s="21">
        <f>MIN('3.1 Market'!$G308,'1.1 Control Panel'!S504*'1.1 Control Panel'!S$476)</f>
        <v>4.8240781395558407</v>
      </c>
      <c r="T317" s="21">
        <f>MIN('3.1 Market'!$G308,'1.1 Control Panel'!T504*'1.1 Control Panel'!T$476)</f>
        <v>4.8592625116446726</v>
      </c>
      <c r="U317" s="21">
        <f>MIN('3.1 Market'!$G308,'1.1 Control Panel'!U504*'1.1 Control Panel'!U$476)</f>
        <v>9.7748200186314769</v>
      </c>
      <c r="V317" s="21">
        <f>MIN('3.1 Market'!$G308,'1.1 Control Panel'!V504*'1.1 Control Panel'!V$476)</f>
        <v>9.8198560149051808</v>
      </c>
      <c r="W317" s="21">
        <f>MIN('3.1 Market'!$G308,'1.1 Control Panel'!W504*'1.1 Control Panel'!W$476)</f>
        <v>9.8558848119241453</v>
      </c>
      <c r="X317" s="21">
        <f>MIN('3.1 Market'!$G308,'1.1 Control Panel'!X504*'1.1 Control Panel'!X$476)</f>
        <v>9.8847078495393177</v>
      </c>
      <c r="Y317" s="21">
        <f>MIN('3.1 Market'!$G308,'1.1 Control Panel'!Y504*'1.1 Control Panel'!Y$476)</f>
        <v>9.9077662796314545</v>
      </c>
      <c r="Z317" s="21">
        <f>MIN('3.1 Market'!$G308,'1.1 Control Panel'!Z504*'1.1 Control Panel'!Z$476)</f>
        <v>9.9262130237051629</v>
      </c>
      <c r="AA317" s="21">
        <f>MIN('3.1 Market'!$G308,'1.1 Control Panel'!AA504*'1.1 Control Panel'!AA$476)</f>
        <v>9.940970418964131</v>
      </c>
      <c r="AB317" s="21">
        <f>MIN('3.1 Market'!$G308,'1.1 Control Panel'!AB504*'1.1 Control Panel'!AB$476)</f>
        <v>9.9527763351713041</v>
      </c>
      <c r="AC317" s="21">
        <f>MIN('3.1 Market'!$H308,'1.1 Control Panel'!AC504*'1.1 Control Panel'!AC$476)</f>
        <v>29.886663204411132</v>
      </c>
      <c r="AD317" s="21">
        <f>MIN('3.1 Market'!$H308,'1.1 Control Panel'!AD504*'1.1 Control Panel'!AD$476)</f>
        <v>29.909330563528908</v>
      </c>
      <c r="AE317" s="21">
        <f>MIN('3.1 Market'!$H308,'1.1 Control Panel'!AE504*'1.1 Control Panel'!AE$476)</f>
        <v>29.92746445082313</v>
      </c>
      <c r="AF317" s="21">
        <f>MIN('3.1 Market'!$H308,'1.1 Control Panel'!AF504*'1.1 Control Panel'!AF$476)</f>
        <v>29.941971560658509</v>
      </c>
      <c r="AG317" s="21">
        <f>MIN('3.1 Market'!$H308,'1.1 Control Panel'!AG504*'1.1 Control Panel'!AG$476)</f>
        <v>49.922628747544678</v>
      </c>
      <c r="AH317" s="21">
        <f>MIN('3.1 Market'!$H308,'1.1 Control Panel'!AH504*'1.1 Control Panel'!AH$476)</f>
        <v>49.938102998035745</v>
      </c>
      <c r="AI317" s="21">
        <f>MIN('3.1 Market'!$H308,'1.1 Control Panel'!AI504*'1.1 Control Panel'!AI$476)</f>
        <v>49.950482398428598</v>
      </c>
      <c r="AJ317" s="21">
        <f>MIN('3.1 Market'!$H308,'1.1 Control Panel'!AJ504*'1.1 Control Panel'!AJ$476)</f>
        <v>49.960385918742887</v>
      </c>
      <c r="AK317" s="21">
        <f>MIN('3.1 Market'!$H308,'1.1 Control Panel'!AK504*'1.1 Control Panel'!AK$476)</f>
        <v>64.958801355492611</v>
      </c>
      <c r="AL317" s="21">
        <f>MIN('3.1 Market'!$H308,'1.1 Control Panel'!AL504*'1.1 Control Panel'!AL$476)</f>
        <v>64.967041084394083</v>
      </c>
      <c r="AM317" s="21">
        <f>MIN('3.1 Market'!$H308,'1.1 Control Panel'!AM504*'1.1 Control Panel'!AM$476)</f>
        <v>64.973632867515278</v>
      </c>
      <c r="AN317" s="21">
        <f>MIN('3.1 Market'!$H308,'1.1 Control Panel'!AN504*'1.1 Control Panel'!AN$476)</f>
        <v>64.978906294012219</v>
      </c>
      <c r="AP317" s="21"/>
    </row>
    <row r="318" spans="2:42" x14ac:dyDescent="0.25">
      <c r="C318" s="21" t="s">
        <v>456</v>
      </c>
      <c r="D318" s="38" t="s">
        <v>162</v>
      </c>
      <c r="E318" s="21">
        <f>MIN('3.1 Market'!$F309,'1.1 Control Panel'!E505*'1.1 Control Panel'!E$476)</f>
        <v>0</v>
      </c>
      <c r="F318" s="21">
        <f>MIN('3.1 Market'!$F309,'1.1 Control Panel'!F505*'1.1 Control Panel'!F$476)</f>
        <v>0</v>
      </c>
      <c r="G318" s="21">
        <f>MIN('3.1 Market'!$F309,'1.1 Control Panel'!G505*'1.1 Control Panel'!G$476)</f>
        <v>0</v>
      </c>
      <c r="H318" s="21">
        <f>MIN('3.1 Market'!$F309,'1.1 Control Panel'!H505*'1.1 Control Panel'!H$476)</f>
        <v>0</v>
      </c>
      <c r="I318" s="21">
        <f>MIN('3.1 Market'!$F309,'1.1 Control Panel'!I505*'1.1 Control Panel'!I$476)</f>
        <v>0</v>
      </c>
      <c r="J318" s="21">
        <f>MIN('3.1 Market'!$F309,'1.1 Control Panel'!J505*'1.1 Control Panel'!J$476)</f>
        <v>0</v>
      </c>
      <c r="K318" s="21">
        <f>MIN('3.1 Market'!$F309,'1.1 Control Panel'!K505*'1.1 Control Panel'!K$476)</f>
        <v>0</v>
      </c>
      <c r="L318" s="21">
        <f>MIN('3.1 Market'!$F309,'1.1 Control Panel'!L505*'1.1 Control Panel'!L$476)</f>
        <v>0</v>
      </c>
      <c r="M318" s="21">
        <f>MIN('3.1 Market'!$F309,'1.1 Control Panel'!M505*'1.1 Control Panel'!M$476)</f>
        <v>0</v>
      </c>
      <c r="N318" s="21">
        <f>MIN('3.1 Market'!$F309,'1.1 Control Panel'!N505*'1.1 Control Panel'!N$476)</f>
        <v>0</v>
      </c>
      <c r="O318" s="21">
        <f>MIN('3.1 Market'!$F309,'1.1 Control Panel'!O505*'1.1 Control Panel'!O$476)</f>
        <v>0</v>
      </c>
      <c r="P318" s="21">
        <f>MIN('3.1 Market'!$F309,'1.1 Control Panel'!P505*'1.1 Control Panel'!P$476)</f>
        <v>0</v>
      </c>
      <c r="Q318" s="21">
        <f>MIN('3.1 Market'!$G309,'1.1 Control Panel'!Q505*'1.1 Control Panel'!Q$476)</f>
        <v>4.6564026163200012</v>
      </c>
      <c r="R318" s="21">
        <f>MIN('3.1 Market'!$G309,'1.1 Control Panel'!R505*'1.1 Control Panel'!R$476)</f>
        <v>4.7251220930560009</v>
      </c>
      <c r="S318" s="21">
        <f>MIN('3.1 Market'!$G309,'1.1 Control Panel'!S505*'1.1 Control Panel'!S$476)</f>
        <v>4.7800976744448009</v>
      </c>
      <c r="T318" s="21">
        <f>MIN('3.1 Market'!$G309,'1.1 Control Panel'!T505*'1.1 Control Panel'!T$476)</f>
        <v>4.8240781395558407</v>
      </c>
      <c r="U318" s="21">
        <f>MIN('3.1 Market'!$G309,'1.1 Control Panel'!U505*'1.1 Control Panel'!U$476)</f>
        <v>9.7185250232893452</v>
      </c>
      <c r="V318" s="21">
        <f>MIN('3.1 Market'!$G309,'1.1 Control Panel'!V505*'1.1 Control Panel'!V$476)</f>
        <v>9.7748200186314769</v>
      </c>
      <c r="W318" s="21">
        <f>MIN('3.1 Market'!$G309,'1.1 Control Panel'!W505*'1.1 Control Panel'!W$476)</f>
        <v>9.8198560149051808</v>
      </c>
      <c r="X318" s="21">
        <f>MIN('3.1 Market'!$G309,'1.1 Control Panel'!X505*'1.1 Control Panel'!X$476)</f>
        <v>9.8558848119241453</v>
      </c>
      <c r="Y318" s="21">
        <f>MIN('3.1 Market'!$G309,'1.1 Control Panel'!Y505*'1.1 Control Panel'!Y$476)</f>
        <v>9.8847078495393177</v>
      </c>
      <c r="Z318" s="21">
        <f>MIN('3.1 Market'!$G309,'1.1 Control Panel'!Z505*'1.1 Control Panel'!Z$476)</f>
        <v>9.9077662796314545</v>
      </c>
      <c r="AA318" s="21">
        <f>MIN('3.1 Market'!$G309,'1.1 Control Panel'!AA505*'1.1 Control Panel'!AA$476)</f>
        <v>9.9262130237051629</v>
      </c>
      <c r="AB318" s="21">
        <f>MIN('3.1 Market'!$G309,'1.1 Control Panel'!AB505*'1.1 Control Panel'!AB$476)</f>
        <v>9.940970418964131</v>
      </c>
      <c r="AC318" s="21">
        <f>MIN('3.1 Market'!$H309,'1.1 Control Panel'!AC505*'1.1 Control Panel'!AC$476)</f>
        <v>29.858329005513912</v>
      </c>
      <c r="AD318" s="21">
        <f>MIN('3.1 Market'!$H309,'1.1 Control Panel'!AD505*'1.1 Control Panel'!AD$476)</f>
        <v>29.886663204411132</v>
      </c>
      <c r="AE318" s="21">
        <f>MIN('3.1 Market'!$H309,'1.1 Control Panel'!AE505*'1.1 Control Panel'!AE$476)</f>
        <v>29.909330563528908</v>
      </c>
      <c r="AF318" s="21">
        <f>MIN('3.1 Market'!$H309,'1.1 Control Panel'!AF505*'1.1 Control Panel'!AF$476)</f>
        <v>29.92746445082313</v>
      </c>
      <c r="AG318" s="21">
        <f>MIN('3.1 Market'!$H309,'1.1 Control Panel'!AG505*'1.1 Control Panel'!AG$476)</f>
        <v>49.903285934430848</v>
      </c>
      <c r="AH318" s="21">
        <f>MIN('3.1 Market'!$H309,'1.1 Control Panel'!AH505*'1.1 Control Panel'!AH$476)</f>
        <v>49.922628747544678</v>
      </c>
      <c r="AI318" s="21">
        <f>MIN('3.1 Market'!$H309,'1.1 Control Panel'!AI505*'1.1 Control Panel'!AI$476)</f>
        <v>49.938102998035745</v>
      </c>
      <c r="AJ318" s="21">
        <f>MIN('3.1 Market'!$H309,'1.1 Control Panel'!AJ505*'1.1 Control Panel'!AJ$476)</f>
        <v>49.950482398428598</v>
      </c>
      <c r="AK318" s="21">
        <f>MIN('3.1 Market'!$H309,'1.1 Control Panel'!AK505*'1.1 Control Panel'!AK$476)</f>
        <v>64.948501694365746</v>
      </c>
      <c r="AL318" s="21">
        <f>MIN('3.1 Market'!$H309,'1.1 Control Panel'!AL505*'1.1 Control Panel'!AL$476)</f>
        <v>64.958801355492611</v>
      </c>
      <c r="AM318" s="21">
        <f>MIN('3.1 Market'!$H309,'1.1 Control Panel'!AM505*'1.1 Control Panel'!AM$476)</f>
        <v>64.967041084394083</v>
      </c>
      <c r="AN318" s="21">
        <f>MIN('3.1 Market'!$H309,'1.1 Control Panel'!AN505*'1.1 Control Panel'!AN$476)</f>
        <v>64.973632867515278</v>
      </c>
      <c r="AP318" s="21"/>
    </row>
    <row r="319" spans="2:42" x14ac:dyDescent="0.25">
      <c r="B319" s="99" t="s">
        <v>9</v>
      </c>
      <c r="C319" s="105" t="str">
        <f>'4.2 Sector Mapping'!$B$11</f>
        <v>Professional Services: Human Resources, Education, Consulting, Legal</v>
      </c>
      <c r="D319" s="106" t="s">
        <v>162</v>
      </c>
      <c r="E319" s="105">
        <f>SUM(E320:E325)</f>
        <v>15</v>
      </c>
      <c r="F319" s="105">
        <f t="shared" ref="F319:H319" si="157">SUM(F320:F325)</f>
        <v>17.8</v>
      </c>
      <c r="G319" s="105">
        <f t="shared" si="157"/>
        <v>68.160000000000011</v>
      </c>
      <c r="H319" s="105">
        <f t="shared" si="157"/>
        <v>75.328000000000017</v>
      </c>
      <c r="I319" s="105">
        <f t="shared" ref="I319:AN319" si="158">SUM(I320:I325)</f>
        <v>81.062400000000011</v>
      </c>
      <c r="J319" s="105">
        <f t="shared" si="158"/>
        <v>126.47488000000003</v>
      </c>
      <c r="K319" s="105">
        <f t="shared" si="158"/>
        <v>131.979904</v>
      </c>
      <c r="L319" s="105">
        <f t="shared" si="158"/>
        <v>136.38392320000003</v>
      </c>
      <c r="M319" s="105">
        <f t="shared" si="158"/>
        <v>162.55832832000002</v>
      </c>
      <c r="N319" s="105">
        <f t="shared" si="158"/>
        <v>165.84666265600003</v>
      </c>
      <c r="O319" s="105">
        <f t="shared" si="158"/>
        <v>168.47733012480003</v>
      </c>
      <c r="P319" s="105">
        <f t="shared" si="158"/>
        <v>170.58186409984</v>
      </c>
      <c r="Q319" s="105">
        <f t="shared" si="158"/>
        <v>193.40293023334402</v>
      </c>
      <c r="R319" s="105">
        <f t="shared" si="158"/>
        <v>194.72234418667523</v>
      </c>
      <c r="S319" s="105">
        <f t="shared" si="158"/>
        <v>195.77787534934018</v>
      </c>
      <c r="T319" s="105">
        <f t="shared" si="158"/>
        <v>196.62230027947214</v>
      </c>
      <c r="U319" s="105">
        <f t="shared" si="158"/>
        <v>215.22670764672287</v>
      </c>
      <c r="V319" s="105">
        <f t="shared" si="158"/>
        <v>215.58136611737831</v>
      </c>
      <c r="W319" s="105">
        <f t="shared" si="158"/>
        <v>215.86509289390264</v>
      </c>
      <c r="X319" s="105">
        <f t="shared" si="158"/>
        <v>216.09207431512215</v>
      </c>
      <c r="Y319" s="105">
        <f t="shared" si="158"/>
        <v>231.19295494677525</v>
      </c>
      <c r="Z319" s="105">
        <f t="shared" si="158"/>
        <v>231.35436395742019</v>
      </c>
      <c r="AA319" s="105">
        <f t="shared" si="158"/>
        <v>231.48349116593613</v>
      </c>
      <c r="AB319" s="105">
        <f t="shared" si="158"/>
        <v>231.58679293274895</v>
      </c>
      <c r="AC319" s="105">
        <f t="shared" si="158"/>
        <v>310.50415151929872</v>
      </c>
      <c r="AD319" s="105">
        <f t="shared" si="158"/>
        <v>310.603321215439</v>
      </c>
      <c r="AE319" s="105">
        <f t="shared" si="158"/>
        <v>310.6826569723512</v>
      </c>
      <c r="AF319" s="105">
        <f t="shared" si="158"/>
        <v>310.746125577881</v>
      </c>
      <c r="AG319" s="105">
        <f t="shared" si="158"/>
        <v>400.71566064722668</v>
      </c>
      <c r="AH319" s="105">
        <f t="shared" si="158"/>
        <v>400.77252851778132</v>
      </c>
      <c r="AI319" s="105">
        <f t="shared" si="158"/>
        <v>400.81802281422506</v>
      </c>
      <c r="AJ319" s="105">
        <f t="shared" si="158"/>
        <v>400.85441825138008</v>
      </c>
      <c r="AK319" s="105">
        <f t="shared" si="158"/>
        <v>475.85580474422409</v>
      </c>
      <c r="AL319" s="105">
        <f t="shared" si="158"/>
        <v>475.8846437953793</v>
      </c>
      <c r="AM319" s="105">
        <f t="shared" si="158"/>
        <v>475.90771503630344</v>
      </c>
      <c r="AN319" s="105">
        <f t="shared" si="158"/>
        <v>475.92617202904285</v>
      </c>
      <c r="AP319" s="105"/>
    </row>
    <row r="320" spans="2:42" x14ac:dyDescent="0.25">
      <c r="C320" s="20" t="s">
        <v>600</v>
      </c>
      <c r="D320" s="34" t="s">
        <v>162</v>
      </c>
      <c r="E320" s="20">
        <f>MIN('3.1 Market'!$F311,'1.1 Control Panel'!E531*'1.1 Control Panel'!E$507)</f>
        <v>5</v>
      </c>
      <c r="F320" s="20">
        <f>MIN('3.1 Market'!$F311,'1.1 Control Panel'!F531*'1.1 Control Panel'!F$507)</f>
        <v>5</v>
      </c>
      <c r="G320" s="20">
        <f>MIN('3.1 Market'!$F311,'1.1 Control Panel'!G531*'1.1 Control Panel'!G$507)</f>
        <v>20</v>
      </c>
      <c r="H320" s="20">
        <f>MIN('3.1 Market'!$F311,'1.1 Control Panel'!H531*'1.1 Control Panel'!H$507)</f>
        <v>20</v>
      </c>
      <c r="I320" s="20">
        <f>MIN('3.1 Market'!$F311,'1.1 Control Panel'!I531*'1.1 Control Panel'!I$507)</f>
        <v>20</v>
      </c>
      <c r="J320" s="20">
        <f>MIN('3.1 Market'!$F311,'1.1 Control Panel'!J531*'1.1 Control Panel'!J$507)</f>
        <v>30</v>
      </c>
      <c r="K320" s="20">
        <f>MIN('3.1 Market'!$F311,'1.1 Control Panel'!K531*'1.1 Control Panel'!K$507)</f>
        <v>30</v>
      </c>
      <c r="L320" s="20">
        <f>MIN('3.1 Market'!$F311,'1.1 Control Panel'!L531*'1.1 Control Panel'!L$507)</f>
        <v>30</v>
      </c>
      <c r="M320" s="20">
        <f>MIN('3.1 Market'!$F311,'1.1 Control Panel'!M531*'1.1 Control Panel'!M$507)</f>
        <v>35</v>
      </c>
      <c r="N320" s="20">
        <f>MIN('3.1 Market'!$F311,'1.1 Control Panel'!N531*'1.1 Control Panel'!N$507)</f>
        <v>35</v>
      </c>
      <c r="O320" s="20">
        <f>MIN('3.1 Market'!$F311,'1.1 Control Panel'!O531*'1.1 Control Panel'!O$507)</f>
        <v>35</v>
      </c>
      <c r="P320" s="20">
        <f>MIN('3.1 Market'!$F311,'1.1 Control Panel'!P531*'1.1 Control Panel'!P$507)</f>
        <v>35</v>
      </c>
      <c r="Q320" s="20">
        <f>MIN('3.1 Market'!$G311,'1.1 Control Panel'!Q531*'1.1 Control Panel'!Q$507)</f>
        <v>40</v>
      </c>
      <c r="R320" s="20">
        <f>MIN('3.1 Market'!$G311,'1.1 Control Panel'!R531*'1.1 Control Panel'!R$507)</f>
        <v>40</v>
      </c>
      <c r="S320" s="20">
        <f>MIN('3.1 Market'!$G311,'1.1 Control Panel'!S531*'1.1 Control Panel'!S$507)</f>
        <v>40</v>
      </c>
      <c r="T320" s="20">
        <f>MIN('3.1 Market'!$G311,'1.1 Control Panel'!T531*'1.1 Control Panel'!T$507)</f>
        <v>40</v>
      </c>
      <c r="U320" s="20">
        <f>MIN('3.1 Market'!$G311,'1.1 Control Panel'!U531*'1.1 Control Panel'!U$507)</f>
        <v>45</v>
      </c>
      <c r="V320" s="20">
        <f>MIN('3.1 Market'!$G311,'1.1 Control Panel'!V531*'1.1 Control Panel'!V$507)</f>
        <v>45</v>
      </c>
      <c r="W320" s="20">
        <f>MIN('3.1 Market'!$G311,'1.1 Control Panel'!W531*'1.1 Control Panel'!W$507)</f>
        <v>45</v>
      </c>
      <c r="X320" s="20">
        <f>MIN('3.1 Market'!$G311,'1.1 Control Panel'!X531*'1.1 Control Panel'!X$507)</f>
        <v>45</v>
      </c>
      <c r="Y320" s="20">
        <f>MIN('3.1 Market'!$G311,'1.1 Control Panel'!Y531*'1.1 Control Panel'!Y$507)</f>
        <v>50</v>
      </c>
      <c r="Z320" s="20">
        <f>MIN('3.1 Market'!$G311,'1.1 Control Panel'!Z531*'1.1 Control Panel'!Z$507)</f>
        <v>50</v>
      </c>
      <c r="AA320" s="20">
        <f>MIN('3.1 Market'!$G311,'1.1 Control Panel'!AA531*'1.1 Control Panel'!AA$507)</f>
        <v>50</v>
      </c>
      <c r="AB320" s="20">
        <f>MIN('3.1 Market'!$G311,'1.1 Control Panel'!AB531*'1.1 Control Panel'!AB$507)</f>
        <v>50</v>
      </c>
      <c r="AC320" s="20">
        <f>MIN('3.1 Market'!$H311,'1.1 Control Panel'!AC531*'1.1 Control Panel'!AC$507)</f>
        <v>75</v>
      </c>
      <c r="AD320" s="20">
        <f>MIN('3.1 Market'!$H311,'1.1 Control Panel'!AD531*'1.1 Control Panel'!AD$507)</f>
        <v>75</v>
      </c>
      <c r="AE320" s="20">
        <f>MIN('3.1 Market'!$H311,'1.1 Control Panel'!AE531*'1.1 Control Panel'!AE$507)</f>
        <v>75</v>
      </c>
      <c r="AF320" s="20">
        <f>MIN('3.1 Market'!$H311,'1.1 Control Panel'!AF531*'1.1 Control Panel'!AF$507)</f>
        <v>75</v>
      </c>
      <c r="AG320" s="20">
        <f>MIN('3.1 Market'!$H311,'1.1 Control Panel'!AG531*'1.1 Control Panel'!AG$507)</f>
        <v>105</v>
      </c>
      <c r="AH320" s="20">
        <f>MIN('3.1 Market'!$H311,'1.1 Control Panel'!AH531*'1.1 Control Panel'!AH$507)</f>
        <v>105</v>
      </c>
      <c r="AI320" s="20">
        <f>MIN('3.1 Market'!$H311,'1.1 Control Panel'!AI531*'1.1 Control Panel'!AI$507)</f>
        <v>105</v>
      </c>
      <c r="AJ320" s="20">
        <f>MIN('3.1 Market'!$H311,'1.1 Control Panel'!AJ531*'1.1 Control Panel'!AJ$507)</f>
        <v>105</v>
      </c>
      <c r="AK320" s="20">
        <f>MIN('3.1 Market'!$H311,'1.1 Control Panel'!AK531*'1.1 Control Panel'!AK$507)</f>
        <v>130</v>
      </c>
      <c r="AL320" s="20">
        <f>MIN('3.1 Market'!$H311,'1.1 Control Panel'!AL531*'1.1 Control Panel'!AL$507)</f>
        <v>130</v>
      </c>
      <c r="AM320" s="20">
        <f>MIN('3.1 Market'!$H311,'1.1 Control Panel'!AM531*'1.1 Control Panel'!AM$507)</f>
        <v>130</v>
      </c>
      <c r="AN320" s="20">
        <f>MIN('3.1 Market'!$H311,'1.1 Control Panel'!AN531*'1.1 Control Panel'!AN$507)</f>
        <v>130</v>
      </c>
      <c r="AP320" s="20"/>
    </row>
    <row r="321" spans="2:42" x14ac:dyDescent="0.25">
      <c r="C321" s="20" t="s">
        <v>392</v>
      </c>
      <c r="D321" s="34" t="s">
        <v>162</v>
      </c>
      <c r="E321" s="20">
        <f>MIN('3.1 Market'!$F312,'1.1 Control Panel'!E532*'1.1 Control Panel'!E$507)</f>
        <v>4</v>
      </c>
      <c r="F321" s="20">
        <f>MIN('3.1 Market'!$F312,'1.1 Control Panel'!F532*'1.1 Control Panel'!F$507)</f>
        <v>4</v>
      </c>
      <c r="G321" s="20">
        <f>MIN('3.1 Market'!$F312,'1.1 Control Panel'!G532*'1.1 Control Panel'!G$507)</f>
        <v>4</v>
      </c>
      <c r="H321" s="20">
        <f>MIN('3.1 Market'!$F312,'1.1 Control Panel'!H532*'1.1 Control Panel'!H$507)</f>
        <v>4</v>
      </c>
      <c r="I321" s="20">
        <f>MIN('3.1 Market'!$F312,'1.1 Control Panel'!I532*'1.1 Control Panel'!I$507)</f>
        <v>4</v>
      </c>
      <c r="J321" s="20">
        <f>MIN('3.1 Market'!$F312,'1.1 Control Panel'!J532*'1.1 Control Panel'!J$507)</f>
        <v>4</v>
      </c>
      <c r="K321" s="20">
        <f>MIN('3.1 Market'!$F312,'1.1 Control Panel'!K532*'1.1 Control Panel'!K$507)</f>
        <v>4</v>
      </c>
      <c r="L321" s="20">
        <f>MIN('3.1 Market'!$F312,'1.1 Control Panel'!L532*'1.1 Control Panel'!L$507)</f>
        <v>4</v>
      </c>
      <c r="M321" s="20">
        <f>MIN('3.1 Market'!$F312,'1.1 Control Panel'!M532*'1.1 Control Panel'!M$507)</f>
        <v>4</v>
      </c>
      <c r="N321" s="20">
        <f>MIN('3.1 Market'!$F312,'1.1 Control Panel'!N532*'1.1 Control Panel'!N$507)</f>
        <v>4</v>
      </c>
      <c r="O321" s="20">
        <f>MIN('3.1 Market'!$F312,'1.1 Control Panel'!O532*'1.1 Control Panel'!O$507)</f>
        <v>4</v>
      </c>
      <c r="P321" s="20">
        <f>MIN('3.1 Market'!$F312,'1.1 Control Panel'!P532*'1.1 Control Panel'!P$507)</f>
        <v>4</v>
      </c>
      <c r="Q321" s="20">
        <f>MIN('3.1 Market'!$G312,'1.1 Control Panel'!Q532*'1.1 Control Panel'!Q$507)</f>
        <v>4</v>
      </c>
      <c r="R321" s="20">
        <f>MIN('3.1 Market'!$G312,'1.1 Control Panel'!R532*'1.1 Control Panel'!R$507)</f>
        <v>4</v>
      </c>
      <c r="S321" s="20">
        <f>MIN('3.1 Market'!$G312,'1.1 Control Panel'!S532*'1.1 Control Panel'!S$507)</f>
        <v>4</v>
      </c>
      <c r="T321" s="20">
        <f>MIN('3.1 Market'!$G312,'1.1 Control Panel'!T532*'1.1 Control Panel'!T$507)</f>
        <v>4</v>
      </c>
      <c r="U321" s="20">
        <f>MIN('3.1 Market'!$G312,'1.1 Control Panel'!U532*'1.1 Control Panel'!U$507)</f>
        <v>4</v>
      </c>
      <c r="V321" s="20">
        <f>MIN('3.1 Market'!$G312,'1.1 Control Panel'!V532*'1.1 Control Panel'!V$507)</f>
        <v>4</v>
      </c>
      <c r="W321" s="20">
        <f>MIN('3.1 Market'!$G312,'1.1 Control Panel'!W532*'1.1 Control Panel'!W$507)</f>
        <v>4</v>
      </c>
      <c r="X321" s="20">
        <f>MIN('3.1 Market'!$G312,'1.1 Control Panel'!X532*'1.1 Control Panel'!X$507)</f>
        <v>4</v>
      </c>
      <c r="Y321" s="20">
        <f>MIN('3.1 Market'!$G312,'1.1 Control Panel'!Y532*'1.1 Control Panel'!Y$507)</f>
        <v>4</v>
      </c>
      <c r="Z321" s="20">
        <f>MIN('3.1 Market'!$G312,'1.1 Control Panel'!Z532*'1.1 Control Panel'!Z$507)</f>
        <v>4</v>
      </c>
      <c r="AA321" s="20">
        <f>MIN('3.1 Market'!$G312,'1.1 Control Panel'!AA532*'1.1 Control Panel'!AA$507)</f>
        <v>4</v>
      </c>
      <c r="AB321" s="20">
        <f>MIN('3.1 Market'!$G312,'1.1 Control Panel'!AB532*'1.1 Control Panel'!AB$507)</f>
        <v>4</v>
      </c>
      <c r="AC321" s="20">
        <f>MIN('3.1 Market'!$H312,'1.1 Control Panel'!AC532*'1.1 Control Panel'!AC$507)</f>
        <v>4</v>
      </c>
      <c r="AD321" s="20">
        <f>MIN('3.1 Market'!$H312,'1.1 Control Panel'!AD532*'1.1 Control Panel'!AD$507)</f>
        <v>4</v>
      </c>
      <c r="AE321" s="20">
        <f>MIN('3.1 Market'!$H312,'1.1 Control Panel'!AE532*'1.1 Control Panel'!AE$507)</f>
        <v>4</v>
      </c>
      <c r="AF321" s="20">
        <f>MIN('3.1 Market'!$H312,'1.1 Control Panel'!AF532*'1.1 Control Panel'!AF$507)</f>
        <v>4</v>
      </c>
      <c r="AG321" s="20">
        <f>MIN('3.1 Market'!$H312,'1.1 Control Panel'!AG532*'1.1 Control Panel'!AG$507)</f>
        <v>4</v>
      </c>
      <c r="AH321" s="20">
        <f>MIN('3.1 Market'!$H312,'1.1 Control Panel'!AH532*'1.1 Control Panel'!AH$507)</f>
        <v>4</v>
      </c>
      <c r="AI321" s="20">
        <f>MIN('3.1 Market'!$H312,'1.1 Control Panel'!AI532*'1.1 Control Panel'!AI$507)</f>
        <v>4</v>
      </c>
      <c r="AJ321" s="20">
        <f>MIN('3.1 Market'!$H312,'1.1 Control Panel'!AJ532*'1.1 Control Panel'!AJ$507)</f>
        <v>4</v>
      </c>
      <c r="AK321" s="20">
        <f>MIN('3.1 Market'!$H312,'1.1 Control Panel'!AK532*'1.1 Control Panel'!AK$507)</f>
        <v>4</v>
      </c>
      <c r="AL321" s="20">
        <f>MIN('3.1 Market'!$H312,'1.1 Control Panel'!AL532*'1.1 Control Panel'!AL$507)</f>
        <v>4</v>
      </c>
      <c r="AM321" s="20">
        <f>MIN('3.1 Market'!$H312,'1.1 Control Panel'!AM532*'1.1 Control Panel'!AM$507)</f>
        <v>4</v>
      </c>
      <c r="AN321" s="20">
        <f>MIN('3.1 Market'!$H312,'1.1 Control Panel'!AN532*'1.1 Control Panel'!AN$507)</f>
        <v>4</v>
      </c>
      <c r="AP321" s="20"/>
    </row>
    <row r="322" spans="2:42" x14ac:dyDescent="0.25">
      <c r="C322" s="20" t="s">
        <v>454</v>
      </c>
      <c r="D322" s="34" t="s">
        <v>162</v>
      </c>
      <c r="E322" s="20">
        <f>MIN('3.1 Market'!$F313,'1.1 Control Panel'!E533*'1.1 Control Panel'!E$507)</f>
        <v>3</v>
      </c>
      <c r="F322" s="20">
        <f>MIN('3.1 Market'!$F313,'1.1 Control Panel'!F533*'1.1 Control Panel'!F$507)</f>
        <v>3.4000000000000004</v>
      </c>
      <c r="G322" s="20">
        <f>MIN('3.1 Market'!$F313,'1.1 Control Panel'!G533*'1.1 Control Panel'!G$507)</f>
        <v>14.880000000000003</v>
      </c>
      <c r="H322" s="20">
        <f>MIN('3.1 Market'!$F313,'1.1 Control Panel'!H533*'1.1 Control Panel'!H$507)</f>
        <v>15.904000000000003</v>
      </c>
      <c r="I322" s="20">
        <f>MIN('3.1 Market'!$F313,'1.1 Control Panel'!I533*'1.1 Control Panel'!I$507)</f>
        <v>16.723200000000006</v>
      </c>
      <c r="J322" s="20">
        <f>MIN('3.1 Market'!$F313,'1.1 Control Panel'!J533*'1.1 Control Panel'!J$507)</f>
        <v>26.067840000000011</v>
      </c>
      <c r="K322" s="20">
        <f>MIN('3.1 Market'!$F313,'1.1 Control Panel'!K533*'1.1 Control Panel'!K$507)</f>
        <v>26.854272000000009</v>
      </c>
      <c r="L322" s="20">
        <f>MIN('3.1 Market'!$F313,'1.1 Control Panel'!L533*'1.1 Control Panel'!L$507)</f>
        <v>27.48341760000001</v>
      </c>
      <c r="M322" s="20">
        <f>MIN('3.1 Market'!$F313,'1.1 Control Panel'!M533*'1.1 Control Panel'!M$507)</f>
        <v>32.651189760000008</v>
      </c>
      <c r="N322" s="20">
        <f>MIN('3.1 Market'!$F313,'1.1 Control Panel'!N533*'1.1 Control Panel'!N$507)</f>
        <v>33.120951808000008</v>
      </c>
      <c r="O322" s="20">
        <f>MIN('3.1 Market'!$F313,'1.1 Control Panel'!O533*'1.1 Control Panel'!O$507)</f>
        <v>33.496761446400015</v>
      </c>
      <c r="P322" s="20">
        <f>MIN('3.1 Market'!$F313,'1.1 Control Panel'!P533*'1.1 Control Panel'!P$507)</f>
        <v>33.797409157120008</v>
      </c>
      <c r="Q322" s="20">
        <f>MIN('3.1 Market'!$G313,'1.1 Control Panel'!Q533*'1.1 Control Panel'!Q$507)</f>
        <v>36</v>
      </c>
      <c r="R322" s="20">
        <f>MIN('3.1 Market'!$G313,'1.1 Control Panel'!R533*'1.1 Control Panel'!R$507)</f>
        <v>36</v>
      </c>
      <c r="S322" s="20">
        <f>MIN('3.1 Market'!$G313,'1.1 Control Panel'!S533*'1.1 Control Panel'!S$507)</f>
        <v>36</v>
      </c>
      <c r="T322" s="20">
        <f>MIN('3.1 Market'!$G313,'1.1 Control Panel'!T533*'1.1 Control Panel'!T$507)</f>
        <v>36</v>
      </c>
      <c r="U322" s="20">
        <f>MIN('3.1 Market'!$G313,'1.1 Control Panel'!U533*'1.1 Control Panel'!U$507)</f>
        <v>36</v>
      </c>
      <c r="V322" s="20">
        <f>MIN('3.1 Market'!$G313,'1.1 Control Panel'!V533*'1.1 Control Panel'!V$507)</f>
        <v>36</v>
      </c>
      <c r="W322" s="20">
        <f>MIN('3.1 Market'!$G313,'1.1 Control Panel'!W533*'1.1 Control Panel'!W$507)</f>
        <v>36</v>
      </c>
      <c r="X322" s="20">
        <f>MIN('3.1 Market'!$G313,'1.1 Control Panel'!X533*'1.1 Control Panel'!X$507)</f>
        <v>36</v>
      </c>
      <c r="Y322" s="20">
        <f>MIN('3.1 Market'!$G313,'1.1 Control Panel'!Y533*'1.1 Control Panel'!Y$507)</f>
        <v>36</v>
      </c>
      <c r="Z322" s="20">
        <f>MIN('3.1 Market'!$G313,'1.1 Control Panel'!Z533*'1.1 Control Panel'!Z$507)</f>
        <v>36</v>
      </c>
      <c r="AA322" s="20">
        <f>MIN('3.1 Market'!$G313,'1.1 Control Panel'!AA533*'1.1 Control Panel'!AA$507)</f>
        <v>36</v>
      </c>
      <c r="AB322" s="20">
        <f>MIN('3.1 Market'!$G313,'1.1 Control Panel'!AB533*'1.1 Control Panel'!AB$507)</f>
        <v>36</v>
      </c>
      <c r="AC322" s="20">
        <f>MIN('3.1 Market'!$H313,'1.1 Control Panel'!AC533*'1.1 Control Panel'!AC$507)</f>
        <v>38</v>
      </c>
      <c r="AD322" s="20">
        <f>MIN('3.1 Market'!$H313,'1.1 Control Panel'!AD533*'1.1 Control Panel'!AD$507)</f>
        <v>38</v>
      </c>
      <c r="AE322" s="20">
        <f>MIN('3.1 Market'!$H313,'1.1 Control Panel'!AE533*'1.1 Control Panel'!AE$507)</f>
        <v>38</v>
      </c>
      <c r="AF322" s="20">
        <f>MIN('3.1 Market'!$H313,'1.1 Control Panel'!AF533*'1.1 Control Panel'!AF$507)</f>
        <v>38</v>
      </c>
      <c r="AG322" s="20">
        <f>MIN('3.1 Market'!$H313,'1.1 Control Panel'!AG533*'1.1 Control Panel'!AG$507)</f>
        <v>38</v>
      </c>
      <c r="AH322" s="20">
        <f>MIN('3.1 Market'!$H313,'1.1 Control Panel'!AH533*'1.1 Control Panel'!AH$507)</f>
        <v>38</v>
      </c>
      <c r="AI322" s="20">
        <f>MIN('3.1 Market'!$H313,'1.1 Control Panel'!AI533*'1.1 Control Panel'!AI$507)</f>
        <v>38</v>
      </c>
      <c r="AJ322" s="20">
        <f>MIN('3.1 Market'!$H313,'1.1 Control Panel'!AJ533*'1.1 Control Panel'!AJ$507)</f>
        <v>38</v>
      </c>
      <c r="AK322" s="20">
        <f>MIN('3.1 Market'!$H313,'1.1 Control Panel'!AK533*'1.1 Control Panel'!AK$507)</f>
        <v>38</v>
      </c>
      <c r="AL322" s="20">
        <f>MIN('3.1 Market'!$H313,'1.1 Control Panel'!AL533*'1.1 Control Panel'!AL$507)</f>
        <v>38</v>
      </c>
      <c r="AM322" s="20">
        <f>MIN('3.1 Market'!$H313,'1.1 Control Panel'!AM533*'1.1 Control Panel'!AM$507)</f>
        <v>38</v>
      </c>
      <c r="AN322" s="20">
        <f>MIN('3.1 Market'!$H313,'1.1 Control Panel'!AN533*'1.1 Control Panel'!AN$507)</f>
        <v>38</v>
      </c>
      <c r="AP322" s="20"/>
    </row>
    <row r="323" spans="2:42" x14ac:dyDescent="0.25">
      <c r="C323" s="21" t="s">
        <v>455</v>
      </c>
      <c r="D323" s="38" t="s">
        <v>162</v>
      </c>
      <c r="E323" s="21">
        <f>MIN('3.1 Market'!$F314,'1.1 Control Panel'!E534*'1.1 Control Panel'!E$507)</f>
        <v>2</v>
      </c>
      <c r="F323" s="21">
        <f>MIN('3.1 Market'!$F314,'1.1 Control Panel'!F534*'1.1 Control Panel'!F$507)</f>
        <v>2.6</v>
      </c>
      <c r="G323" s="21">
        <f>MIN('3.1 Market'!$F314,'1.1 Control Panel'!G534*'1.1 Control Panel'!G$507)</f>
        <v>12.32</v>
      </c>
      <c r="H323" s="21">
        <f>MIN('3.1 Market'!$F314,'1.1 Control Panel'!H534*'1.1 Control Panel'!H$507)</f>
        <v>13.856000000000002</v>
      </c>
      <c r="I323" s="21">
        <f>MIN('3.1 Market'!$F314,'1.1 Control Panel'!I534*'1.1 Control Panel'!I$507)</f>
        <v>15.084800000000001</v>
      </c>
      <c r="J323" s="21">
        <f>MIN('3.1 Market'!$F314,'1.1 Control Panel'!J534*'1.1 Control Panel'!J$507)</f>
        <v>24.101760000000006</v>
      </c>
      <c r="K323" s="21">
        <f>MIN('3.1 Market'!$F314,'1.1 Control Panel'!K534*'1.1 Control Panel'!K$507)</f>
        <v>25.281408000000003</v>
      </c>
      <c r="L323" s="21">
        <f>MIN('3.1 Market'!$F314,'1.1 Control Panel'!L534*'1.1 Control Panel'!L$507)</f>
        <v>26.225126400000004</v>
      </c>
      <c r="M323" s="21">
        <f>MIN('3.1 Market'!$F314,'1.1 Control Panel'!M534*'1.1 Control Panel'!M$507)</f>
        <v>31.476784640000009</v>
      </c>
      <c r="N323" s="21">
        <f>MIN('3.1 Market'!$F314,'1.1 Control Panel'!N534*'1.1 Control Panel'!N$507)</f>
        <v>32.181427712000016</v>
      </c>
      <c r="O323" s="21">
        <f>MIN('3.1 Market'!$F314,'1.1 Control Panel'!O534*'1.1 Control Panel'!O$507)</f>
        <v>32.745142169600008</v>
      </c>
      <c r="P323" s="21">
        <f>MIN('3.1 Market'!$F314,'1.1 Control Panel'!P534*'1.1 Control Panel'!P$507)</f>
        <v>33.196113735680008</v>
      </c>
      <c r="Q323" s="21">
        <f>MIN('3.1 Market'!$G314,'1.1 Control Panel'!Q534*'1.1 Control Panel'!Q$507)</f>
        <v>38.350732558336006</v>
      </c>
      <c r="R323" s="21">
        <f>MIN('3.1 Market'!$G314,'1.1 Control Panel'!R534*'1.1 Control Panel'!R$507)</f>
        <v>38.680586046668807</v>
      </c>
      <c r="S323" s="21">
        <f>MIN('3.1 Market'!$G314,'1.1 Control Panel'!S534*'1.1 Control Panel'!S$507)</f>
        <v>38.944468837335052</v>
      </c>
      <c r="T323" s="21">
        <f>MIN('3.1 Market'!$G314,'1.1 Control Panel'!T534*'1.1 Control Panel'!T$507)</f>
        <v>39.155575069868043</v>
      </c>
      <c r="U323" s="21">
        <f>MIN('3.1 Market'!$G314,'1.1 Control Panel'!U534*'1.1 Control Panel'!U$507)</f>
        <v>44.240017562881235</v>
      </c>
      <c r="V323" s="21">
        <f>MIN('3.1 Market'!$G314,'1.1 Control Panel'!V534*'1.1 Control Panel'!V$507)</f>
        <v>44.392014050304994</v>
      </c>
      <c r="W323" s="21">
        <f>MIN('3.1 Market'!$G314,'1.1 Control Panel'!W534*'1.1 Control Panel'!W$507)</f>
        <v>44.513611240243996</v>
      </c>
      <c r="X323" s="21">
        <f>MIN('3.1 Market'!$G314,'1.1 Control Panel'!X534*'1.1 Control Panel'!X$507)</f>
        <v>44.6108889921952</v>
      </c>
      <c r="Y323" s="21">
        <f>MIN('3.1 Market'!$G314,'1.1 Control Panel'!Y534*'1.1 Control Panel'!Y$507)</f>
        <v>49.65412354861796</v>
      </c>
      <c r="Z323" s="21">
        <f>MIN('3.1 Market'!$G314,'1.1 Control Panel'!Z534*'1.1 Control Panel'!Z$507)</f>
        <v>49.723298838894365</v>
      </c>
      <c r="AA323" s="21">
        <f>MIN('3.1 Market'!$G314,'1.1 Control Panel'!AA534*'1.1 Control Panel'!AA$507)</f>
        <v>49.778639071115492</v>
      </c>
      <c r="AB323" s="21">
        <f>MIN('3.1 Market'!$G314,'1.1 Control Panel'!AB534*'1.1 Control Panel'!AB$507)</f>
        <v>49.822911256892404</v>
      </c>
      <c r="AC323" s="21">
        <f>MIN('3.1 Market'!$H314,'1.1 Control Panel'!AC534*'1.1 Control Panel'!AC$507)</f>
        <v>74.787493508270884</v>
      </c>
      <c r="AD323" s="21">
        <f>MIN('3.1 Market'!$H314,'1.1 Control Panel'!AD534*'1.1 Control Panel'!AD$507)</f>
        <v>74.82999480661671</v>
      </c>
      <c r="AE323" s="21">
        <f>MIN('3.1 Market'!$H314,'1.1 Control Panel'!AE534*'1.1 Control Panel'!AE$507)</f>
        <v>74.863995845293374</v>
      </c>
      <c r="AF323" s="21">
        <f>MIN('3.1 Market'!$H314,'1.1 Control Panel'!AF534*'1.1 Control Panel'!AF$507)</f>
        <v>74.891196676234685</v>
      </c>
      <c r="AG323" s="21">
        <f>MIN('3.1 Market'!$H314,'1.1 Control Panel'!AG534*'1.1 Control Panel'!AG$507)</f>
        <v>104.87814027738284</v>
      </c>
      <c r="AH323" s="21">
        <f>MIN('3.1 Market'!$H314,'1.1 Control Panel'!AH534*'1.1 Control Panel'!AH$507)</f>
        <v>104.90251222190626</v>
      </c>
      <c r="AI323" s="21">
        <f>MIN('3.1 Market'!$H314,'1.1 Control Panel'!AI534*'1.1 Control Panel'!AI$507)</f>
        <v>104.92200977752503</v>
      </c>
      <c r="AJ323" s="21">
        <f>MIN('3.1 Market'!$H314,'1.1 Control Panel'!AJ534*'1.1 Control Panel'!AJ$507)</f>
        <v>104.93760782202003</v>
      </c>
      <c r="AK323" s="21">
        <f>MIN('3.1 Market'!$H314,'1.1 Control Panel'!AK534*'1.1 Control Panel'!AK$507)</f>
        <v>129.93820203323889</v>
      </c>
      <c r="AL323" s="21">
        <f>MIN('3.1 Market'!$H314,'1.1 Control Panel'!AL534*'1.1 Control Panel'!AL$507)</f>
        <v>129.95056162659111</v>
      </c>
      <c r="AM323" s="21">
        <f>MIN('3.1 Market'!$H314,'1.1 Control Panel'!AM534*'1.1 Control Panel'!AM$507)</f>
        <v>129.96044930127292</v>
      </c>
      <c r="AN323" s="21">
        <f>MIN('3.1 Market'!$H314,'1.1 Control Panel'!AN534*'1.1 Control Panel'!AN$507)</f>
        <v>129.96835944101835</v>
      </c>
      <c r="AP323" s="21"/>
    </row>
    <row r="324" spans="2:42" x14ac:dyDescent="0.25">
      <c r="C324" s="21" t="s">
        <v>393</v>
      </c>
      <c r="D324" s="38" t="s">
        <v>162</v>
      </c>
      <c r="E324" s="21">
        <f>MIN('3.1 Market'!$F315,'1.1 Control Panel'!E535*'1.1 Control Panel'!E$507)</f>
        <v>1</v>
      </c>
      <c r="F324" s="21">
        <f>MIN('3.1 Market'!$F315,'1.1 Control Panel'!F535*'1.1 Control Panel'!F$507)</f>
        <v>1.8</v>
      </c>
      <c r="G324" s="21">
        <f>MIN('3.1 Market'!$F315,'1.1 Control Panel'!G535*'1.1 Control Panel'!G$507)</f>
        <v>9.7600000000000016</v>
      </c>
      <c r="H324" s="21">
        <f>MIN('3.1 Market'!$F315,'1.1 Control Panel'!H535*'1.1 Control Panel'!H$507)</f>
        <v>11.808000000000002</v>
      </c>
      <c r="I324" s="21">
        <f>MIN('3.1 Market'!$F315,'1.1 Control Panel'!I535*'1.1 Control Panel'!I$507)</f>
        <v>13.446400000000002</v>
      </c>
      <c r="J324" s="21">
        <f>MIN('3.1 Market'!$F315,'1.1 Control Panel'!J535*'1.1 Control Panel'!J$507)</f>
        <v>22.135680000000004</v>
      </c>
      <c r="K324" s="21">
        <f>MIN('3.1 Market'!$F315,'1.1 Control Panel'!K535*'1.1 Control Panel'!K$507)</f>
        <v>23.708544000000003</v>
      </c>
      <c r="L324" s="21">
        <f>MIN('3.1 Market'!$F315,'1.1 Control Panel'!L535*'1.1 Control Panel'!L$507)</f>
        <v>24.966835200000006</v>
      </c>
      <c r="M324" s="21">
        <f>MIN('3.1 Market'!$F315,'1.1 Control Panel'!M535*'1.1 Control Panel'!M$507)</f>
        <v>30.302379520000009</v>
      </c>
      <c r="N324" s="21">
        <f>MIN('3.1 Market'!$F315,'1.1 Control Panel'!N535*'1.1 Control Panel'!N$507)</f>
        <v>31.241903616000002</v>
      </c>
      <c r="O324" s="21">
        <f>MIN('3.1 Market'!$F315,'1.1 Control Panel'!O535*'1.1 Control Panel'!O$507)</f>
        <v>31.993522892800005</v>
      </c>
      <c r="P324" s="21">
        <f>MIN('3.1 Market'!$F315,'1.1 Control Panel'!P535*'1.1 Control Panel'!P$507)</f>
        <v>32.594818314240008</v>
      </c>
      <c r="Q324" s="21">
        <f>MIN('3.1 Market'!$G315,'1.1 Control Panel'!Q535*'1.1 Control Panel'!Q$507)</f>
        <v>37.800976744448008</v>
      </c>
      <c r="R324" s="21">
        <f>MIN('3.1 Market'!$G315,'1.1 Control Panel'!R535*'1.1 Control Panel'!R$507)</f>
        <v>38.240781395558407</v>
      </c>
      <c r="S324" s="21">
        <f>MIN('3.1 Market'!$G315,'1.1 Control Panel'!S535*'1.1 Control Panel'!S$507)</f>
        <v>38.592625116446726</v>
      </c>
      <c r="T324" s="21">
        <f>MIN('3.1 Market'!$G315,'1.1 Control Panel'!T535*'1.1 Control Panel'!T$507)</f>
        <v>38.874100093157381</v>
      </c>
      <c r="U324" s="21">
        <f>MIN('3.1 Market'!$G315,'1.1 Control Panel'!U535*'1.1 Control Panel'!U$507)</f>
        <v>43.986690083841644</v>
      </c>
      <c r="V324" s="21">
        <f>MIN('3.1 Market'!$G315,'1.1 Control Panel'!V535*'1.1 Control Panel'!V$507)</f>
        <v>44.189352067073315</v>
      </c>
      <c r="W324" s="21">
        <f>MIN('3.1 Market'!$G315,'1.1 Control Panel'!W535*'1.1 Control Panel'!W$507)</f>
        <v>44.351481653658652</v>
      </c>
      <c r="X324" s="21">
        <f>MIN('3.1 Market'!$G315,'1.1 Control Panel'!X535*'1.1 Control Panel'!X$507)</f>
        <v>44.481185322926933</v>
      </c>
      <c r="Y324" s="21">
        <f>MIN('3.1 Market'!$G315,'1.1 Control Panel'!Y535*'1.1 Control Panel'!Y$507)</f>
        <v>49.538831398157271</v>
      </c>
      <c r="Z324" s="21">
        <f>MIN('3.1 Market'!$G315,'1.1 Control Panel'!Z535*'1.1 Control Panel'!Z$507)</f>
        <v>49.631065118525811</v>
      </c>
      <c r="AA324" s="21">
        <f>MIN('3.1 Market'!$G315,'1.1 Control Panel'!AA535*'1.1 Control Panel'!AA$507)</f>
        <v>49.704852094820652</v>
      </c>
      <c r="AB324" s="21">
        <f>MIN('3.1 Market'!$G315,'1.1 Control Panel'!AB535*'1.1 Control Panel'!AB$507)</f>
        <v>49.763881675856524</v>
      </c>
      <c r="AC324" s="21">
        <f>MIN('3.1 Market'!$H315,'1.1 Control Panel'!AC535*'1.1 Control Panel'!AC$507)</f>
        <v>74.716658011027832</v>
      </c>
      <c r="AD324" s="21">
        <f>MIN('3.1 Market'!$H315,'1.1 Control Panel'!AD535*'1.1 Control Panel'!AD$507)</f>
        <v>74.773326408822271</v>
      </c>
      <c r="AE324" s="21">
        <f>MIN('3.1 Market'!$H315,'1.1 Control Panel'!AE535*'1.1 Control Panel'!AE$507)</f>
        <v>74.818661127057823</v>
      </c>
      <c r="AF324" s="21">
        <f>MIN('3.1 Market'!$H315,'1.1 Control Panel'!AF535*'1.1 Control Panel'!AF$507)</f>
        <v>74.854928901646275</v>
      </c>
      <c r="AG324" s="21">
        <f>MIN('3.1 Market'!$H315,'1.1 Control Panel'!AG535*'1.1 Control Panel'!AG$507)</f>
        <v>104.83752036984383</v>
      </c>
      <c r="AH324" s="21">
        <f>MIN('3.1 Market'!$H315,'1.1 Control Panel'!AH535*'1.1 Control Panel'!AH$507)</f>
        <v>104.87001629587508</v>
      </c>
      <c r="AI324" s="21">
        <f>MIN('3.1 Market'!$H315,'1.1 Control Panel'!AI535*'1.1 Control Panel'!AI$507)</f>
        <v>104.89601303670005</v>
      </c>
      <c r="AJ324" s="21">
        <f>MIN('3.1 Market'!$H315,'1.1 Control Panel'!AJ535*'1.1 Control Panel'!AJ$507)</f>
        <v>104.91681042936005</v>
      </c>
      <c r="AK324" s="21">
        <f>MIN('3.1 Market'!$H315,'1.1 Control Panel'!AK535*'1.1 Control Panel'!AK$507)</f>
        <v>129.91760271098522</v>
      </c>
      <c r="AL324" s="21">
        <f>MIN('3.1 Market'!$H315,'1.1 Control Panel'!AL535*'1.1 Control Panel'!AL$507)</f>
        <v>129.93408216878817</v>
      </c>
      <c r="AM324" s="21">
        <f>MIN('3.1 Market'!$H315,'1.1 Control Panel'!AM535*'1.1 Control Panel'!AM$507)</f>
        <v>129.94726573503056</v>
      </c>
      <c r="AN324" s="21">
        <f>MIN('3.1 Market'!$H315,'1.1 Control Panel'!AN535*'1.1 Control Panel'!AN$507)</f>
        <v>129.95781258802444</v>
      </c>
      <c r="AP324" s="21"/>
    </row>
    <row r="325" spans="2:42" x14ac:dyDescent="0.25">
      <c r="C325" s="21" t="s">
        <v>456</v>
      </c>
      <c r="D325" s="38" t="s">
        <v>162</v>
      </c>
      <c r="E325" s="21">
        <f>MIN('3.1 Market'!$F316,'1.1 Control Panel'!E536*'1.1 Control Panel'!E$507)</f>
        <v>0</v>
      </c>
      <c r="F325" s="21">
        <f>MIN('3.1 Market'!$F316,'1.1 Control Panel'!F536*'1.1 Control Panel'!F$507)</f>
        <v>1</v>
      </c>
      <c r="G325" s="21">
        <f>MIN('3.1 Market'!$F316,'1.1 Control Panel'!G536*'1.1 Control Panel'!G$507)</f>
        <v>7.2</v>
      </c>
      <c r="H325" s="21">
        <f>MIN('3.1 Market'!$F316,'1.1 Control Panel'!H536*'1.1 Control Panel'!H$507)</f>
        <v>9.7600000000000016</v>
      </c>
      <c r="I325" s="21">
        <f>MIN('3.1 Market'!$F316,'1.1 Control Panel'!I536*'1.1 Control Panel'!I$507)</f>
        <v>11.808000000000002</v>
      </c>
      <c r="J325" s="21">
        <f>MIN('3.1 Market'!$F316,'1.1 Control Panel'!J536*'1.1 Control Panel'!J$507)</f>
        <v>20.169600000000003</v>
      </c>
      <c r="K325" s="21">
        <f>MIN('3.1 Market'!$F316,'1.1 Control Panel'!K536*'1.1 Control Panel'!K$507)</f>
        <v>22.135680000000004</v>
      </c>
      <c r="L325" s="21">
        <f>MIN('3.1 Market'!$F316,'1.1 Control Panel'!L536*'1.1 Control Panel'!L$507)</f>
        <v>23.708544000000003</v>
      </c>
      <c r="M325" s="21">
        <f>MIN('3.1 Market'!$F316,'1.1 Control Panel'!M536*'1.1 Control Panel'!M$507)</f>
        <v>29.127974400000006</v>
      </c>
      <c r="N325" s="21">
        <f>MIN('3.1 Market'!$F316,'1.1 Control Panel'!N536*'1.1 Control Panel'!N$507)</f>
        <v>30.302379520000009</v>
      </c>
      <c r="O325" s="21">
        <f>MIN('3.1 Market'!$F316,'1.1 Control Panel'!O536*'1.1 Control Panel'!O$507)</f>
        <v>31.241903616000002</v>
      </c>
      <c r="P325" s="21">
        <f>MIN('3.1 Market'!$F316,'1.1 Control Panel'!P536*'1.1 Control Panel'!P$507)</f>
        <v>31.993522892800005</v>
      </c>
      <c r="Q325" s="21">
        <f>MIN('3.1 Market'!$G316,'1.1 Control Panel'!Q536*'1.1 Control Panel'!Q$507)</f>
        <v>37.251220930560009</v>
      </c>
      <c r="R325" s="21">
        <f>MIN('3.1 Market'!$G316,'1.1 Control Panel'!R536*'1.1 Control Panel'!R$507)</f>
        <v>37.800976744448008</v>
      </c>
      <c r="S325" s="21">
        <f>MIN('3.1 Market'!$G316,'1.1 Control Panel'!S536*'1.1 Control Panel'!S$507)</f>
        <v>38.240781395558407</v>
      </c>
      <c r="T325" s="21">
        <f>MIN('3.1 Market'!$G316,'1.1 Control Panel'!T536*'1.1 Control Panel'!T$507)</f>
        <v>38.592625116446726</v>
      </c>
      <c r="U325" s="21">
        <f>MIN('3.1 Market'!$G316,'1.1 Control Panel'!U536*'1.1 Control Panel'!U$507)</f>
        <v>42</v>
      </c>
      <c r="V325" s="21">
        <f>MIN('3.1 Market'!$G316,'1.1 Control Panel'!V536*'1.1 Control Panel'!V$507)</f>
        <v>42</v>
      </c>
      <c r="W325" s="21">
        <f>MIN('3.1 Market'!$G316,'1.1 Control Panel'!W536*'1.1 Control Panel'!W$507)</f>
        <v>42</v>
      </c>
      <c r="X325" s="21">
        <f>MIN('3.1 Market'!$G316,'1.1 Control Panel'!X536*'1.1 Control Panel'!X$507)</f>
        <v>42</v>
      </c>
      <c r="Y325" s="21">
        <f>MIN('3.1 Market'!$G316,'1.1 Control Panel'!Y536*'1.1 Control Panel'!Y$507)</f>
        <v>42</v>
      </c>
      <c r="Z325" s="21">
        <f>MIN('3.1 Market'!$G316,'1.1 Control Panel'!Z536*'1.1 Control Panel'!Z$507)</f>
        <v>42</v>
      </c>
      <c r="AA325" s="21">
        <f>MIN('3.1 Market'!$G316,'1.1 Control Panel'!AA536*'1.1 Control Panel'!AA$507)</f>
        <v>42</v>
      </c>
      <c r="AB325" s="21">
        <f>MIN('3.1 Market'!$G316,'1.1 Control Panel'!AB536*'1.1 Control Panel'!AB$507)</f>
        <v>42</v>
      </c>
      <c r="AC325" s="21">
        <f>MIN('3.1 Market'!$H316,'1.1 Control Panel'!AC536*'1.1 Control Panel'!AC$507)</f>
        <v>44</v>
      </c>
      <c r="AD325" s="21">
        <f>MIN('3.1 Market'!$H316,'1.1 Control Panel'!AD536*'1.1 Control Panel'!AD$507)</f>
        <v>44</v>
      </c>
      <c r="AE325" s="21">
        <f>MIN('3.1 Market'!$H316,'1.1 Control Panel'!AE536*'1.1 Control Panel'!AE$507)</f>
        <v>44</v>
      </c>
      <c r="AF325" s="21">
        <f>MIN('3.1 Market'!$H316,'1.1 Control Panel'!AF536*'1.1 Control Panel'!AF$507)</f>
        <v>44</v>
      </c>
      <c r="AG325" s="21">
        <f>MIN('3.1 Market'!$H316,'1.1 Control Panel'!AG536*'1.1 Control Panel'!AG$507)</f>
        <v>44</v>
      </c>
      <c r="AH325" s="21">
        <f>MIN('3.1 Market'!$H316,'1.1 Control Panel'!AH536*'1.1 Control Panel'!AH$507)</f>
        <v>44</v>
      </c>
      <c r="AI325" s="21">
        <f>MIN('3.1 Market'!$H316,'1.1 Control Panel'!AI536*'1.1 Control Panel'!AI$507)</f>
        <v>44</v>
      </c>
      <c r="AJ325" s="21">
        <f>MIN('3.1 Market'!$H316,'1.1 Control Panel'!AJ536*'1.1 Control Panel'!AJ$507)</f>
        <v>44</v>
      </c>
      <c r="AK325" s="21">
        <f>MIN('3.1 Market'!$H316,'1.1 Control Panel'!AK536*'1.1 Control Panel'!AK$507)</f>
        <v>44</v>
      </c>
      <c r="AL325" s="21">
        <f>MIN('3.1 Market'!$H316,'1.1 Control Panel'!AL536*'1.1 Control Panel'!AL$507)</f>
        <v>44</v>
      </c>
      <c r="AM325" s="21">
        <f>MIN('3.1 Market'!$H316,'1.1 Control Panel'!AM536*'1.1 Control Panel'!AM$507)</f>
        <v>44</v>
      </c>
      <c r="AN325" s="21">
        <f>MIN('3.1 Market'!$H316,'1.1 Control Panel'!AN536*'1.1 Control Panel'!AN$507)</f>
        <v>44</v>
      </c>
      <c r="AP325" s="21"/>
    </row>
    <row r="326" spans="2:42" x14ac:dyDescent="0.25">
      <c r="B326" s="99" t="s">
        <v>9</v>
      </c>
      <c r="C326" s="105" t="str">
        <f>'4.2 Sector Mapping'!$B$12</f>
        <v>Public and Social Services</v>
      </c>
      <c r="D326" s="106" t="s">
        <v>162</v>
      </c>
      <c r="E326" s="105">
        <f>SUM(E327:E332)</f>
        <v>0</v>
      </c>
      <c r="F326" s="105">
        <f t="shared" ref="F326:H326" si="159">SUM(F327:F332)</f>
        <v>0</v>
      </c>
      <c r="G326" s="105">
        <f t="shared" si="159"/>
        <v>0</v>
      </c>
      <c r="H326" s="105">
        <f t="shared" si="159"/>
        <v>0</v>
      </c>
      <c r="I326" s="105">
        <f t="shared" ref="I326:AN326" si="160">SUM(I327:I332)</f>
        <v>21.265600000000003</v>
      </c>
      <c r="J326" s="105">
        <f t="shared" si="160"/>
        <v>22.412480000000002</v>
      </c>
      <c r="K326" s="105">
        <f t="shared" si="160"/>
        <v>23.329984000000003</v>
      </c>
      <c r="L326" s="105">
        <f t="shared" si="160"/>
        <v>24.063987200000003</v>
      </c>
      <c r="M326" s="105">
        <f t="shared" si="160"/>
        <v>24.651189760000001</v>
      </c>
      <c r="N326" s="105">
        <f t="shared" si="160"/>
        <v>25.120951808000001</v>
      </c>
      <c r="O326" s="105">
        <f t="shared" si="160"/>
        <v>25.496761446400001</v>
      </c>
      <c r="P326" s="105">
        <f t="shared" si="160"/>
        <v>25.797409157120004</v>
      </c>
      <c r="Q326" s="105">
        <f t="shared" si="160"/>
        <v>50.075854651392007</v>
      </c>
      <c r="R326" s="105">
        <f t="shared" si="160"/>
        <v>50.460683721113611</v>
      </c>
      <c r="S326" s="105">
        <f t="shared" si="160"/>
        <v>50.768546976890889</v>
      </c>
      <c r="T326" s="105">
        <f t="shared" si="160"/>
        <v>51.014837581512715</v>
      </c>
      <c r="U326" s="105">
        <f t="shared" si="160"/>
        <v>75.817805097815253</v>
      </c>
      <c r="V326" s="105">
        <f t="shared" si="160"/>
        <v>76.054244078252196</v>
      </c>
      <c r="W326" s="105">
        <f t="shared" si="160"/>
        <v>76.243395262601766</v>
      </c>
      <c r="X326" s="105">
        <f t="shared" si="160"/>
        <v>76.394716210081413</v>
      </c>
      <c r="Y326" s="105">
        <f t="shared" si="160"/>
        <v>76.515772968065136</v>
      </c>
      <c r="Z326" s="105">
        <f t="shared" si="160"/>
        <v>76.612618374452111</v>
      </c>
      <c r="AA326" s="105">
        <f t="shared" si="160"/>
        <v>76.690094699561683</v>
      </c>
      <c r="AB326" s="105">
        <f t="shared" si="160"/>
        <v>76.752075759649358</v>
      </c>
      <c r="AC326" s="105">
        <f t="shared" si="160"/>
        <v>101.73554747695931</v>
      </c>
      <c r="AD326" s="105">
        <f t="shared" si="160"/>
        <v>101.78843798156745</v>
      </c>
      <c r="AE326" s="105">
        <f t="shared" si="160"/>
        <v>101.83075038525396</v>
      </c>
      <c r="AF326" s="105">
        <f t="shared" si="160"/>
        <v>101.86460030820318</v>
      </c>
      <c r="AG326" s="105">
        <f t="shared" si="160"/>
        <v>142.91876018492189</v>
      </c>
      <c r="AH326" s="105">
        <f t="shared" si="160"/>
        <v>142.93500814793754</v>
      </c>
      <c r="AI326" s="105">
        <f t="shared" si="160"/>
        <v>142.94800651835001</v>
      </c>
      <c r="AJ326" s="105">
        <f t="shared" si="160"/>
        <v>142.95840521468003</v>
      </c>
      <c r="AK326" s="105">
        <f t="shared" si="160"/>
        <v>157.96117820036804</v>
      </c>
      <c r="AL326" s="105">
        <f t="shared" si="160"/>
        <v>157.96894256029441</v>
      </c>
      <c r="AM326" s="105">
        <f t="shared" si="160"/>
        <v>157.97515404823554</v>
      </c>
      <c r="AN326" s="105">
        <f t="shared" si="160"/>
        <v>157.98012323858845</v>
      </c>
      <c r="AP326" s="105"/>
    </row>
    <row r="327" spans="2:42" x14ac:dyDescent="0.25">
      <c r="C327" s="20" t="s">
        <v>600</v>
      </c>
      <c r="D327" s="34" t="s">
        <v>162</v>
      </c>
      <c r="E327" s="20">
        <f>MIN('3.1 Market'!$F318,'1.1 Control Panel'!E562*'1.1 Control Panel'!E$538)</f>
        <v>0</v>
      </c>
      <c r="F327" s="20">
        <f>MIN('3.1 Market'!$F318,'1.1 Control Panel'!F562*'1.1 Control Panel'!F$538)</f>
        <v>0</v>
      </c>
      <c r="G327" s="20">
        <f>MIN('3.1 Market'!$F318,'1.1 Control Panel'!G562*'1.1 Control Panel'!G$538)</f>
        <v>0</v>
      </c>
      <c r="H327" s="20">
        <f>MIN('3.1 Market'!$F318,'1.1 Control Panel'!H562*'1.1 Control Panel'!H$538)</f>
        <v>0</v>
      </c>
      <c r="I327" s="20">
        <f>MIN('3.1 Market'!$F318,'1.1 Control Panel'!I562*'1.1 Control Panel'!I$538)</f>
        <v>5</v>
      </c>
      <c r="J327" s="20">
        <f>MIN('3.1 Market'!$F318,'1.1 Control Panel'!J562*'1.1 Control Panel'!J$538)</f>
        <v>5</v>
      </c>
      <c r="K327" s="20">
        <f>MIN('3.1 Market'!$F318,'1.1 Control Panel'!K562*'1.1 Control Panel'!K$538)</f>
        <v>5</v>
      </c>
      <c r="L327" s="20">
        <f>MIN('3.1 Market'!$F318,'1.1 Control Panel'!L562*'1.1 Control Panel'!L$538)</f>
        <v>5</v>
      </c>
      <c r="M327" s="20">
        <f>MIN('3.1 Market'!$F318,'1.1 Control Panel'!M562*'1.1 Control Panel'!M$538)</f>
        <v>5</v>
      </c>
      <c r="N327" s="20">
        <f>MIN('3.1 Market'!$F318,'1.1 Control Panel'!N562*'1.1 Control Panel'!N$538)</f>
        <v>5</v>
      </c>
      <c r="O327" s="20">
        <f>MIN('3.1 Market'!$F318,'1.1 Control Panel'!O562*'1.1 Control Panel'!O$538)</f>
        <v>5</v>
      </c>
      <c r="P327" s="20">
        <f>MIN('3.1 Market'!$F318,'1.1 Control Panel'!P562*'1.1 Control Panel'!P$538)</f>
        <v>5</v>
      </c>
      <c r="Q327" s="20">
        <f>MIN('3.1 Market'!$G318,'1.1 Control Panel'!Q562*'1.1 Control Panel'!Q$538)</f>
        <v>10</v>
      </c>
      <c r="R327" s="20">
        <f>MIN('3.1 Market'!$G318,'1.1 Control Panel'!R562*'1.1 Control Panel'!R$538)</f>
        <v>10</v>
      </c>
      <c r="S327" s="20">
        <f>MIN('3.1 Market'!$G318,'1.1 Control Panel'!S562*'1.1 Control Panel'!S$538)</f>
        <v>10</v>
      </c>
      <c r="T327" s="20">
        <f>MIN('3.1 Market'!$G318,'1.1 Control Panel'!T562*'1.1 Control Panel'!T$538)</f>
        <v>10</v>
      </c>
      <c r="U327" s="20">
        <f>MIN('3.1 Market'!$G318,'1.1 Control Panel'!U562*'1.1 Control Panel'!U$538)</f>
        <v>15</v>
      </c>
      <c r="V327" s="20">
        <f>MIN('3.1 Market'!$G318,'1.1 Control Panel'!V562*'1.1 Control Panel'!V$538)</f>
        <v>15</v>
      </c>
      <c r="W327" s="20">
        <f>MIN('3.1 Market'!$G318,'1.1 Control Panel'!W562*'1.1 Control Panel'!W$538)</f>
        <v>15</v>
      </c>
      <c r="X327" s="20">
        <f>MIN('3.1 Market'!$G318,'1.1 Control Panel'!X562*'1.1 Control Panel'!X$538)</f>
        <v>15</v>
      </c>
      <c r="Y327" s="20">
        <f>MIN('3.1 Market'!$G318,'1.1 Control Panel'!Y562*'1.1 Control Panel'!Y$538)</f>
        <v>15</v>
      </c>
      <c r="Z327" s="20">
        <f>MIN('3.1 Market'!$G318,'1.1 Control Panel'!Z562*'1.1 Control Panel'!Z$538)</f>
        <v>15</v>
      </c>
      <c r="AA327" s="20">
        <f>MIN('3.1 Market'!$G318,'1.1 Control Panel'!AA562*'1.1 Control Panel'!AA$538)</f>
        <v>15</v>
      </c>
      <c r="AB327" s="20">
        <f>MIN('3.1 Market'!$G318,'1.1 Control Panel'!AB562*'1.1 Control Panel'!AB$538)</f>
        <v>15</v>
      </c>
      <c r="AC327" s="20">
        <f>MIN('3.1 Market'!$H318,'1.1 Control Panel'!AC562*'1.1 Control Panel'!AC$538)</f>
        <v>20</v>
      </c>
      <c r="AD327" s="20">
        <f>MIN('3.1 Market'!$H318,'1.1 Control Panel'!AD562*'1.1 Control Panel'!AD$538)</f>
        <v>20</v>
      </c>
      <c r="AE327" s="20">
        <f>MIN('3.1 Market'!$H318,'1.1 Control Panel'!AE562*'1.1 Control Panel'!AE$538)</f>
        <v>20</v>
      </c>
      <c r="AF327" s="20">
        <f>MIN('3.1 Market'!$H318,'1.1 Control Panel'!AF562*'1.1 Control Panel'!AF$538)</f>
        <v>20</v>
      </c>
      <c r="AG327" s="20">
        <f>MIN('3.1 Market'!$H318,'1.1 Control Panel'!AG562*'1.1 Control Panel'!AG$538)</f>
        <v>30</v>
      </c>
      <c r="AH327" s="20">
        <f>MIN('3.1 Market'!$H318,'1.1 Control Panel'!AH562*'1.1 Control Panel'!AH$538)</f>
        <v>30</v>
      </c>
      <c r="AI327" s="20">
        <f>MIN('3.1 Market'!$H318,'1.1 Control Panel'!AI562*'1.1 Control Panel'!AI$538)</f>
        <v>30</v>
      </c>
      <c r="AJ327" s="20">
        <f>MIN('3.1 Market'!$H318,'1.1 Control Panel'!AJ562*'1.1 Control Panel'!AJ$538)</f>
        <v>30</v>
      </c>
      <c r="AK327" s="20">
        <f>MIN('3.1 Market'!$H318,'1.1 Control Panel'!AK562*'1.1 Control Panel'!AK$538)</f>
        <v>35</v>
      </c>
      <c r="AL327" s="20">
        <f>MIN('3.1 Market'!$H318,'1.1 Control Panel'!AL562*'1.1 Control Panel'!AL$538)</f>
        <v>35</v>
      </c>
      <c r="AM327" s="20">
        <f>MIN('3.1 Market'!$H318,'1.1 Control Panel'!AM562*'1.1 Control Panel'!AM$538)</f>
        <v>35</v>
      </c>
      <c r="AN327" s="20">
        <f>MIN('3.1 Market'!$H318,'1.1 Control Panel'!AN562*'1.1 Control Panel'!AN$538)</f>
        <v>35</v>
      </c>
      <c r="AP327" s="20"/>
    </row>
    <row r="328" spans="2:42" x14ac:dyDescent="0.25">
      <c r="C328" s="20" t="s">
        <v>392</v>
      </c>
      <c r="D328" s="34" t="s">
        <v>162</v>
      </c>
      <c r="E328" s="20">
        <f>MIN('3.1 Market'!$F319,'1.1 Control Panel'!E563*'1.1 Control Panel'!E$538)</f>
        <v>0</v>
      </c>
      <c r="F328" s="20">
        <f>MIN('3.1 Market'!$F319,'1.1 Control Panel'!F563*'1.1 Control Panel'!F$538)</f>
        <v>0</v>
      </c>
      <c r="G328" s="20">
        <f>MIN('3.1 Market'!$F319,'1.1 Control Panel'!G563*'1.1 Control Panel'!G$538)</f>
        <v>0</v>
      </c>
      <c r="H328" s="20">
        <f>MIN('3.1 Market'!$F319,'1.1 Control Panel'!H563*'1.1 Control Panel'!H$538)</f>
        <v>0</v>
      </c>
      <c r="I328" s="20">
        <f>MIN('3.1 Market'!$F319,'1.1 Control Panel'!I563*'1.1 Control Panel'!I$538)</f>
        <v>2</v>
      </c>
      <c r="J328" s="20">
        <f>MIN('3.1 Market'!$F319,'1.1 Control Panel'!J563*'1.1 Control Panel'!J$538)</f>
        <v>2</v>
      </c>
      <c r="K328" s="20">
        <f>MIN('3.1 Market'!$F319,'1.1 Control Panel'!K563*'1.1 Control Panel'!K$538)</f>
        <v>2</v>
      </c>
      <c r="L328" s="20">
        <f>MIN('3.1 Market'!$F319,'1.1 Control Panel'!L563*'1.1 Control Panel'!L$538)</f>
        <v>2</v>
      </c>
      <c r="M328" s="20">
        <f>MIN('3.1 Market'!$F319,'1.1 Control Panel'!M563*'1.1 Control Panel'!M$538)</f>
        <v>2</v>
      </c>
      <c r="N328" s="20">
        <f>MIN('3.1 Market'!$F319,'1.1 Control Panel'!N563*'1.1 Control Panel'!N$538)</f>
        <v>2</v>
      </c>
      <c r="O328" s="20">
        <f>MIN('3.1 Market'!$F319,'1.1 Control Panel'!O563*'1.1 Control Panel'!O$538)</f>
        <v>2</v>
      </c>
      <c r="P328" s="20">
        <f>MIN('3.1 Market'!$F319,'1.1 Control Panel'!P563*'1.1 Control Panel'!P$538)</f>
        <v>2</v>
      </c>
      <c r="Q328" s="20">
        <f>MIN('3.1 Market'!$G319,'1.1 Control Panel'!Q563*'1.1 Control Panel'!Q$538)</f>
        <v>2</v>
      </c>
      <c r="R328" s="20">
        <f>MIN('3.1 Market'!$G319,'1.1 Control Panel'!R563*'1.1 Control Panel'!R$538)</f>
        <v>2</v>
      </c>
      <c r="S328" s="20">
        <f>MIN('3.1 Market'!$G319,'1.1 Control Panel'!S563*'1.1 Control Panel'!S$538)</f>
        <v>2</v>
      </c>
      <c r="T328" s="20">
        <f>MIN('3.1 Market'!$G319,'1.1 Control Panel'!T563*'1.1 Control Panel'!T$538)</f>
        <v>2</v>
      </c>
      <c r="U328" s="20">
        <f>MIN('3.1 Market'!$G319,'1.1 Control Panel'!U563*'1.1 Control Panel'!U$538)</f>
        <v>2</v>
      </c>
      <c r="V328" s="20">
        <f>MIN('3.1 Market'!$G319,'1.1 Control Panel'!V563*'1.1 Control Panel'!V$538)</f>
        <v>2</v>
      </c>
      <c r="W328" s="20">
        <f>MIN('3.1 Market'!$G319,'1.1 Control Panel'!W563*'1.1 Control Panel'!W$538)</f>
        <v>2</v>
      </c>
      <c r="X328" s="20">
        <f>MIN('3.1 Market'!$G319,'1.1 Control Panel'!X563*'1.1 Control Panel'!X$538)</f>
        <v>2</v>
      </c>
      <c r="Y328" s="20">
        <f>MIN('3.1 Market'!$G319,'1.1 Control Panel'!Y563*'1.1 Control Panel'!Y$538)</f>
        <v>2</v>
      </c>
      <c r="Z328" s="20">
        <f>MIN('3.1 Market'!$G319,'1.1 Control Panel'!Z563*'1.1 Control Panel'!Z$538)</f>
        <v>2</v>
      </c>
      <c r="AA328" s="20">
        <f>MIN('3.1 Market'!$G319,'1.1 Control Panel'!AA563*'1.1 Control Panel'!AA$538)</f>
        <v>2</v>
      </c>
      <c r="AB328" s="20">
        <f>MIN('3.1 Market'!$G319,'1.1 Control Panel'!AB563*'1.1 Control Panel'!AB$538)</f>
        <v>2</v>
      </c>
      <c r="AC328" s="20">
        <f>MIN('3.1 Market'!$H319,'1.1 Control Panel'!AC563*'1.1 Control Panel'!AC$538)</f>
        <v>2</v>
      </c>
      <c r="AD328" s="20">
        <f>MIN('3.1 Market'!$H319,'1.1 Control Panel'!AD563*'1.1 Control Panel'!AD$538)</f>
        <v>2</v>
      </c>
      <c r="AE328" s="20">
        <f>MIN('3.1 Market'!$H319,'1.1 Control Panel'!AE563*'1.1 Control Panel'!AE$538)</f>
        <v>2</v>
      </c>
      <c r="AF328" s="20">
        <f>MIN('3.1 Market'!$H319,'1.1 Control Panel'!AF563*'1.1 Control Panel'!AF$538)</f>
        <v>2</v>
      </c>
      <c r="AG328" s="20">
        <f>MIN('3.1 Market'!$H319,'1.1 Control Panel'!AG563*'1.1 Control Panel'!AG$538)</f>
        <v>2</v>
      </c>
      <c r="AH328" s="20">
        <f>MIN('3.1 Market'!$H319,'1.1 Control Panel'!AH563*'1.1 Control Panel'!AH$538)</f>
        <v>2</v>
      </c>
      <c r="AI328" s="20">
        <f>MIN('3.1 Market'!$H319,'1.1 Control Panel'!AI563*'1.1 Control Panel'!AI$538)</f>
        <v>2</v>
      </c>
      <c r="AJ328" s="20">
        <f>MIN('3.1 Market'!$H319,'1.1 Control Panel'!AJ563*'1.1 Control Panel'!AJ$538)</f>
        <v>2</v>
      </c>
      <c r="AK328" s="20">
        <f>MIN('3.1 Market'!$H319,'1.1 Control Panel'!AK563*'1.1 Control Panel'!AK$538)</f>
        <v>2</v>
      </c>
      <c r="AL328" s="20">
        <f>MIN('3.1 Market'!$H319,'1.1 Control Panel'!AL563*'1.1 Control Panel'!AL$538)</f>
        <v>2</v>
      </c>
      <c r="AM328" s="20">
        <f>MIN('3.1 Market'!$H319,'1.1 Control Panel'!AM563*'1.1 Control Panel'!AM$538)</f>
        <v>2</v>
      </c>
      <c r="AN328" s="20">
        <f>MIN('3.1 Market'!$H319,'1.1 Control Panel'!AN563*'1.1 Control Panel'!AN$538)</f>
        <v>2</v>
      </c>
      <c r="AP328" s="20"/>
    </row>
    <row r="329" spans="2:42" x14ac:dyDescent="0.25">
      <c r="C329" s="20" t="s">
        <v>454</v>
      </c>
      <c r="D329" s="34" t="s">
        <v>162</v>
      </c>
      <c r="E329" s="20">
        <f>MIN('3.1 Market'!$F320,'1.1 Control Panel'!E564*'1.1 Control Panel'!E$538)</f>
        <v>0</v>
      </c>
      <c r="F329" s="20">
        <f>MIN('3.1 Market'!$F320,'1.1 Control Panel'!F564*'1.1 Control Panel'!F$538)</f>
        <v>0</v>
      </c>
      <c r="G329" s="20">
        <f>MIN('3.1 Market'!$F320,'1.1 Control Panel'!G564*'1.1 Control Panel'!G$538)</f>
        <v>0</v>
      </c>
      <c r="H329" s="20">
        <f>MIN('3.1 Market'!$F320,'1.1 Control Panel'!H564*'1.1 Control Panel'!H$538)</f>
        <v>0</v>
      </c>
      <c r="I329" s="20">
        <f>MIN('3.1 Market'!$F320,'1.1 Control Panel'!I564*'1.1 Control Panel'!I$538)</f>
        <v>4.1808000000000014</v>
      </c>
      <c r="J329" s="20">
        <f>MIN('3.1 Market'!$F320,'1.1 Control Panel'!J564*'1.1 Control Panel'!J$538)</f>
        <v>4.3446400000000018</v>
      </c>
      <c r="K329" s="20">
        <f>MIN('3.1 Market'!$F320,'1.1 Control Panel'!K564*'1.1 Control Panel'!K$538)</f>
        <v>4.4757120000000015</v>
      </c>
      <c r="L329" s="20">
        <f>MIN('3.1 Market'!$F320,'1.1 Control Panel'!L564*'1.1 Control Panel'!L$538)</f>
        <v>4.5805696000000014</v>
      </c>
      <c r="M329" s="20">
        <f>MIN('3.1 Market'!$F320,'1.1 Control Panel'!M564*'1.1 Control Panel'!M$538)</f>
        <v>4.6644556800000014</v>
      </c>
      <c r="N329" s="20">
        <f>MIN('3.1 Market'!$F320,'1.1 Control Panel'!N564*'1.1 Control Panel'!N$538)</f>
        <v>4.7315645440000011</v>
      </c>
      <c r="O329" s="20">
        <f>MIN('3.1 Market'!$F320,'1.1 Control Panel'!O564*'1.1 Control Panel'!O$538)</f>
        <v>4.7852516352000016</v>
      </c>
      <c r="P329" s="20">
        <f>MIN('3.1 Market'!$F320,'1.1 Control Panel'!P564*'1.1 Control Panel'!P$538)</f>
        <v>4.8282013081600015</v>
      </c>
      <c r="Q329" s="20">
        <f>MIN('3.1 Market'!$G320,'1.1 Control Panel'!Q564*'1.1 Control Panel'!Q$538)</f>
        <v>9.7251220930560027</v>
      </c>
      <c r="R329" s="20">
        <f>MIN('3.1 Market'!$G320,'1.1 Control Panel'!R564*'1.1 Control Panel'!R$538)</f>
        <v>9.7800976744448036</v>
      </c>
      <c r="S329" s="20">
        <f>MIN('3.1 Market'!$G320,'1.1 Control Panel'!S564*'1.1 Control Panel'!S$538)</f>
        <v>9.8240781395558443</v>
      </c>
      <c r="T329" s="20">
        <f>MIN('3.1 Market'!$G320,'1.1 Control Panel'!T564*'1.1 Control Panel'!T$538)</f>
        <v>9.8592625116446762</v>
      </c>
      <c r="U329" s="20">
        <f>MIN('3.1 Market'!$G320,'1.1 Control Panel'!U564*'1.1 Control Panel'!U$538)</f>
        <v>14.83111501397361</v>
      </c>
      <c r="V329" s="20">
        <f>MIN('3.1 Market'!$G320,'1.1 Control Panel'!V564*'1.1 Control Panel'!V$538)</f>
        <v>14.864892011178888</v>
      </c>
      <c r="W329" s="20">
        <f>MIN('3.1 Market'!$G320,'1.1 Control Panel'!W564*'1.1 Control Panel'!W$538)</f>
        <v>14.891913608943112</v>
      </c>
      <c r="X329" s="20">
        <f>MIN('3.1 Market'!$G320,'1.1 Control Panel'!X564*'1.1 Control Panel'!X$538)</f>
        <v>14.913530887154488</v>
      </c>
      <c r="Y329" s="20">
        <f>MIN('3.1 Market'!$G320,'1.1 Control Panel'!Y564*'1.1 Control Panel'!Y$538)</f>
        <v>14.93082470972359</v>
      </c>
      <c r="Z329" s="20">
        <f>MIN('3.1 Market'!$G320,'1.1 Control Panel'!Z564*'1.1 Control Panel'!Z$538)</f>
        <v>14.944659767778873</v>
      </c>
      <c r="AA329" s="20">
        <f>MIN('3.1 Market'!$G320,'1.1 Control Panel'!AA564*'1.1 Control Panel'!AA$538)</f>
        <v>14.955727814223099</v>
      </c>
      <c r="AB329" s="20">
        <f>MIN('3.1 Market'!$G320,'1.1 Control Panel'!AB564*'1.1 Control Panel'!AB$538)</f>
        <v>14.964582251378481</v>
      </c>
      <c r="AC329" s="20">
        <f>MIN('3.1 Market'!$H320,'1.1 Control Panel'!AC564*'1.1 Control Panel'!AC$538)</f>
        <v>19.962221068137048</v>
      </c>
      <c r="AD329" s="20">
        <f>MIN('3.1 Market'!$H320,'1.1 Control Panel'!AD564*'1.1 Control Panel'!AD$538)</f>
        <v>19.969776854509639</v>
      </c>
      <c r="AE329" s="20">
        <f>MIN('3.1 Market'!$H320,'1.1 Control Panel'!AE564*'1.1 Control Panel'!AE$538)</f>
        <v>19.97582148360771</v>
      </c>
      <c r="AF329" s="20">
        <f>MIN('3.1 Market'!$H320,'1.1 Control Panel'!AF564*'1.1 Control Panel'!AF$538)</f>
        <v>19.98065718688617</v>
      </c>
      <c r="AG329" s="20">
        <f>MIN('3.1 Market'!$H320,'1.1 Control Panel'!AG564*'1.1 Control Panel'!AG$538)</f>
        <v>27</v>
      </c>
      <c r="AH329" s="20">
        <f>MIN('3.1 Market'!$H320,'1.1 Control Panel'!AH564*'1.1 Control Panel'!AH$538)</f>
        <v>27</v>
      </c>
      <c r="AI329" s="20">
        <f>MIN('3.1 Market'!$H320,'1.1 Control Panel'!AI564*'1.1 Control Panel'!AI$538)</f>
        <v>27</v>
      </c>
      <c r="AJ329" s="20">
        <f>MIN('3.1 Market'!$H320,'1.1 Control Panel'!AJ564*'1.1 Control Panel'!AJ$538)</f>
        <v>27</v>
      </c>
      <c r="AK329" s="20">
        <f>MIN('3.1 Market'!$H320,'1.1 Control Panel'!AK564*'1.1 Control Panel'!AK$538)</f>
        <v>27</v>
      </c>
      <c r="AL329" s="20">
        <f>MIN('3.1 Market'!$H320,'1.1 Control Panel'!AL564*'1.1 Control Panel'!AL$538)</f>
        <v>27</v>
      </c>
      <c r="AM329" s="20">
        <f>MIN('3.1 Market'!$H320,'1.1 Control Panel'!AM564*'1.1 Control Panel'!AM$538)</f>
        <v>27</v>
      </c>
      <c r="AN329" s="20">
        <f>MIN('3.1 Market'!$H320,'1.1 Control Panel'!AN564*'1.1 Control Panel'!AN$538)</f>
        <v>27</v>
      </c>
      <c r="AP329" s="20"/>
    </row>
    <row r="330" spans="2:42" x14ac:dyDescent="0.25">
      <c r="C330" s="21" t="s">
        <v>455</v>
      </c>
      <c r="D330" s="38" t="s">
        <v>162</v>
      </c>
      <c r="E330" s="21">
        <f>MIN('3.1 Market'!$F321,'1.1 Control Panel'!E565*'1.1 Control Panel'!E$538)</f>
        <v>0</v>
      </c>
      <c r="F330" s="21">
        <f>MIN('3.1 Market'!$F321,'1.1 Control Panel'!F565*'1.1 Control Panel'!F$538)</f>
        <v>0</v>
      </c>
      <c r="G330" s="21">
        <f>MIN('3.1 Market'!$F321,'1.1 Control Panel'!G565*'1.1 Control Panel'!G$538)</f>
        <v>0</v>
      </c>
      <c r="H330" s="21">
        <f>MIN('3.1 Market'!$F321,'1.1 Control Panel'!H565*'1.1 Control Panel'!H$538)</f>
        <v>0</v>
      </c>
      <c r="I330" s="21">
        <f>MIN('3.1 Market'!$F321,'1.1 Control Panel'!I565*'1.1 Control Panel'!I$538)</f>
        <v>3.7712000000000003</v>
      </c>
      <c r="J330" s="21">
        <f>MIN('3.1 Market'!$F321,'1.1 Control Panel'!J565*'1.1 Control Panel'!J$538)</f>
        <v>4.016960000000001</v>
      </c>
      <c r="K330" s="21">
        <f>MIN('3.1 Market'!$F321,'1.1 Control Panel'!K565*'1.1 Control Panel'!K$538)</f>
        <v>4.2135680000000004</v>
      </c>
      <c r="L330" s="21">
        <f>MIN('3.1 Market'!$F321,'1.1 Control Panel'!L565*'1.1 Control Panel'!L$538)</f>
        <v>4.3708544000000007</v>
      </c>
      <c r="M330" s="21">
        <f>MIN('3.1 Market'!$F321,'1.1 Control Panel'!M565*'1.1 Control Panel'!M$538)</f>
        <v>4.4966835200000013</v>
      </c>
      <c r="N330" s="21">
        <f>MIN('3.1 Market'!$F321,'1.1 Control Panel'!N565*'1.1 Control Panel'!N$538)</f>
        <v>4.5973468160000017</v>
      </c>
      <c r="O330" s="21">
        <f>MIN('3.1 Market'!$F321,'1.1 Control Panel'!O565*'1.1 Control Panel'!O$538)</f>
        <v>4.6778774528000016</v>
      </c>
      <c r="P330" s="21">
        <f>MIN('3.1 Market'!$F321,'1.1 Control Panel'!P565*'1.1 Control Panel'!P$538)</f>
        <v>4.7423019622400009</v>
      </c>
      <c r="Q330" s="21">
        <f>MIN('3.1 Market'!$G321,'1.1 Control Panel'!Q565*'1.1 Control Panel'!Q$538)</f>
        <v>9.5876831395840014</v>
      </c>
      <c r="R330" s="21">
        <f>MIN('3.1 Market'!$G321,'1.1 Control Panel'!R565*'1.1 Control Panel'!R$538)</f>
        <v>9.6701465116672018</v>
      </c>
      <c r="S330" s="21">
        <f>MIN('3.1 Market'!$G321,'1.1 Control Panel'!S565*'1.1 Control Panel'!S$538)</f>
        <v>9.7361172093337629</v>
      </c>
      <c r="T330" s="21">
        <f>MIN('3.1 Market'!$G321,'1.1 Control Panel'!T565*'1.1 Control Panel'!T$538)</f>
        <v>9.7888937674670107</v>
      </c>
      <c r="U330" s="21">
        <f>MIN('3.1 Market'!$G321,'1.1 Control Panel'!U565*'1.1 Control Panel'!U$538)</f>
        <v>14.746672520960413</v>
      </c>
      <c r="V330" s="21">
        <f>MIN('3.1 Market'!$G321,'1.1 Control Panel'!V565*'1.1 Control Panel'!V$538)</f>
        <v>14.797338016768332</v>
      </c>
      <c r="W330" s="21">
        <f>MIN('3.1 Market'!$G321,'1.1 Control Panel'!W565*'1.1 Control Panel'!W$538)</f>
        <v>14.837870413414665</v>
      </c>
      <c r="X330" s="21">
        <f>MIN('3.1 Market'!$G321,'1.1 Control Panel'!X565*'1.1 Control Panel'!X$538)</f>
        <v>14.870296330731733</v>
      </c>
      <c r="Y330" s="21">
        <f>MIN('3.1 Market'!$G321,'1.1 Control Panel'!Y565*'1.1 Control Panel'!Y$538)</f>
        <v>14.896237064585387</v>
      </c>
      <c r="Z330" s="21">
        <f>MIN('3.1 Market'!$G321,'1.1 Control Panel'!Z565*'1.1 Control Panel'!Z$538)</f>
        <v>14.91698965166831</v>
      </c>
      <c r="AA330" s="21">
        <f>MIN('3.1 Market'!$G321,'1.1 Control Panel'!AA565*'1.1 Control Panel'!AA$538)</f>
        <v>14.933591721334649</v>
      </c>
      <c r="AB330" s="21">
        <f>MIN('3.1 Market'!$G321,'1.1 Control Panel'!AB565*'1.1 Control Panel'!AB$538)</f>
        <v>14.946873377067721</v>
      </c>
      <c r="AC330" s="21">
        <f>MIN('3.1 Market'!$H321,'1.1 Control Panel'!AC565*'1.1 Control Panel'!AC$538)</f>
        <v>19.943331602205568</v>
      </c>
      <c r="AD330" s="21">
        <f>MIN('3.1 Market'!$H321,'1.1 Control Panel'!AD565*'1.1 Control Panel'!AD$538)</f>
        <v>19.954665281764456</v>
      </c>
      <c r="AE330" s="21">
        <f>MIN('3.1 Market'!$H321,'1.1 Control Panel'!AE565*'1.1 Control Panel'!AE$538)</f>
        <v>19.963732225411565</v>
      </c>
      <c r="AF330" s="21">
        <f>MIN('3.1 Market'!$H321,'1.1 Control Panel'!AF565*'1.1 Control Panel'!AF$538)</f>
        <v>19.970985780329251</v>
      </c>
      <c r="AG330" s="21">
        <f>MIN('3.1 Market'!$H321,'1.1 Control Panel'!AG565*'1.1 Control Panel'!AG$538)</f>
        <v>29.965182936395099</v>
      </c>
      <c r="AH330" s="21">
        <f>MIN('3.1 Market'!$H321,'1.1 Control Panel'!AH565*'1.1 Control Panel'!AH$538)</f>
        <v>29.972146349116077</v>
      </c>
      <c r="AI330" s="21">
        <f>MIN('3.1 Market'!$H321,'1.1 Control Panel'!AI565*'1.1 Control Panel'!AI$538)</f>
        <v>29.977717079292866</v>
      </c>
      <c r="AJ330" s="21">
        <f>MIN('3.1 Market'!$H321,'1.1 Control Panel'!AJ565*'1.1 Control Panel'!AJ$538)</f>
        <v>29.982173663434295</v>
      </c>
      <c r="AK330" s="21">
        <f>MIN('3.1 Market'!$H321,'1.1 Control Panel'!AK565*'1.1 Control Panel'!AK$538)</f>
        <v>34.98336208587201</v>
      </c>
      <c r="AL330" s="21">
        <f>MIN('3.1 Market'!$H321,'1.1 Control Panel'!AL565*'1.1 Control Panel'!AL$538)</f>
        <v>34.986689668697608</v>
      </c>
      <c r="AM330" s="21">
        <f>MIN('3.1 Market'!$H321,'1.1 Control Panel'!AM565*'1.1 Control Panel'!AM$538)</f>
        <v>34.989351734958092</v>
      </c>
      <c r="AN330" s="21">
        <f>MIN('3.1 Market'!$H321,'1.1 Control Panel'!AN565*'1.1 Control Panel'!AN$538)</f>
        <v>34.991481387966473</v>
      </c>
      <c r="AP330" s="21"/>
    </row>
    <row r="331" spans="2:42" x14ac:dyDescent="0.25">
      <c r="C331" s="21" t="s">
        <v>393</v>
      </c>
      <c r="D331" s="38" t="s">
        <v>162</v>
      </c>
      <c r="E331" s="21">
        <f>MIN('3.1 Market'!$F322,'1.1 Control Panel'!E566*'1.1 Control Panel'!E$538)</f>
        <v>0</v>
      </c>
      <c r="F331" s="21">
        <f>MIN('3.1 Market'!$F322,'1.1 Control Panel'!F566*'1.1 Control Panel'!F$538)</f>
        <v>0</v>
      </c>
      <c r="G331" s="21">
        <f>MIN('3.1 Market'!$F322,'1.1 Control Panel'!G566*'1.1 Control Panel'!G$538)</f>
        <v>0</v>
      </c>
      <c r="H331" s="21">
        <f>MIN('3.1 Market'!$F322,'1.1 Control Panel'!H566*'1.1 Control Panel'!H$538)</f>
        <v>0</v>
      </c>
      <c r="I331" s="21">
        <f>MIN('3.1 Market'!$F322,'1.1 Control Panel'!I566*'1.1 Control Panel'!I$538)</f>
        <v>3.3616000000000006</v>
      </c>
      <c r="J331" s="21">
        <f>MIN('3.1 Market'!$F322,'1.1 Control Panel'!J566*'1.1 Control Panel'!J$538)</f>
        <v>3.6892800000000006</v>
      </c>
      <c r="K331" s="21">
        <f>MIN('3.1 Market'!$F322,'1.1 Control Panel'!K566*'1.1 Control Panel'!K$538)</f>
        <v>3.9514240000000007</v>
      </c>
      <c r="L331" s="21">
        <f>MIN('3.1 Market'!$F322,'1.1 Control Panel'!L566*'1.1 Control Panel'!L$538)</f>
        <v>4.1611392000000009</v>
      </c>
      <c r="M331" s="21">
        <f>MIN('3.1 Market'!$F322,'1.1 Control Panel'!M566*'1.1 Control Panel'!M$538)</f>
        <v>4.3289113600000011</v>
      </c>
      <c r="N331" s="21">
        <f>MIN('3.1 Market'!$F322,'1.1 Control Panel'!N566*'1.1 Control Panel'!N$538)</f>
        <v>4.4631290880000005</v>
      </c>
      <c r="O331" s="21">
        <f>MIN('3.1 Market'!$F322,'1.1 Control Panel'!O566*'1.1 Control Panel'!O$538)</f>
        <v>4.5705032704000006</v>
      </c>
      <c r="P331" s="21">
        <f>MIN('3.1 Market'!$F322,'1.1 Control Panel'!P566*'1.1 Control Panel'!P$538)</f>
        <v>4.6564026163200012</v>
      </c>
      <c r="Q331" s="21">
        <f>MIN('3.1 Market'!$G322,'1.1 Control Panel'!Q566*'1.1 Control Panel'!Q$538)</f>
        <v>9.4502441861120019</v>
      </c>
      <c r="R331" s="21">
        <f>MIN('3.1 Market'!$G322,'1.1 Control Panel'!R566*'1.1 Control Panel'!R$538)</f>
        <v>9.5601953488896019</v>
      </c>
      <c r="S331" s="21">
        <f>MIN('3.1 Market'!$G322,'1.1 Control Panel'!S566*'1.1 Control Panel'!S$538)</f>
        <v>9.6481562791116815</v>
      </c>
      <c r="T331" s="21">
        <f>MIN('3.1 Market'!$G322,'1.1 Control Panel'!T566*'1.1 Control Panel'!T$538)</f>
        <v>9.7185250232893452</v>
      </c>
      <c r="U331" s="21">
        <f>MIN('3.1 Market'!$G322,'1.1 Control Panel'!U566*'1.1 Control Panel'!U$538)</f>
        <v>14.662230027947215</v>
      </c>
      <c r="V331" s="21">
        <f>MIN('3.1 Market'!$G322,'1.1 Control Panel'!V566*'1.1 Control Panel'!V$538)</f>
        <v>14.729784022357771</v>
      </c>
      <c r="W331" s="21">
        <f>MIN('3.1 Market'!$G322,'1.1 Control Panel'!W566*'1.1 Control Panel'!W$538)</f>
        <v>14.783827217886218</v>
      </c>
      <c r="X331" s="21">
        <f>MIN('3.1 Market'!$G322,'1.1 Control Panel'!X566*'1.1 Control Panel'!X$538)</f>
        <v>14.827061774308977</v>
      </c>
      <c r="Y331" s="21">
        <f>MIN('3.1 Market'!$G322,'1.1 Control Panel'!Y566*'1.1 Control Panel'!Y$538)</f>
        <v>14.861649419447183</v>
      </c>
      <c r="Z331" s="21">
        <f>MIN('3.1 Market'!$G322,'1.1 Control Panel'!Z566*'1.1 Control Panel'!Z$538)</f>
        <v>14.889319535557744</v>
      </c>
      <c r="AA331" s="21">
        <f>MIN('3.1 Market'!$G322,'1.1 Control Panel'!AA566*'1.1 Control Panel'!AA$538)</f>
        <v>14.911455628446197</v>
      </c>
      <c r="AB331" s="21">
        <f>MIN('3.1 Market'!$G322,'1.1 Control Panel'!AB566*'1.1 Control Panel'!AB$538)</f>
        <v>14.929164502756956</v>
      </c>
      <c r="AC331" s="21">
        <f>MIN('3.1 Market'!$H322,'1.1 Control Panel'!AC566*'1.1 Control Panel'!AC$538)</f>
        <v>19.924442136274088</v>
      </c>
      <c r="AD331" s="21">
        <f>MIN('3.1 Market'!$H322,'1.1 Control Panel'!AD566*'1.1 Control Panel'!AD$538)</f>
        <v>19.939553709019272</v>
      </c>
      <c r="AE331" s="21">
        <f>MIN('3.1 Market'!$H322,'1.1 Control Panel'!AE566*'1.1 Control Panel'!AE$538)</f>
        <v>19.95164296721542</v>
      </c>
      <c r="AF331" s="21">
        <f>MIN('3.1 Market'!$H322,'1.1 Control Panel'!AF566*'1.1 Control Panel'!AF$538)</f>
        <v>19.961314373772339</v>
      </c>
      <c r="AG331" s="21">
        <f>MIN('3.1 Market'!$H322,'1.1 Control Panel'!AG566*'1.1 Control Panel'!AG$538)</f>
        <v>29.953577248526809</v>
      </c>
      <c r="AH331" s="21">
        <f>MIN('3.1 Market'!$H322,'1.1 Control Panel'!AH566*'1.1 Control Panel'!AH$538)</f>
        <v>29.96286179882145</v>
      </c>
      <c r="AI331" s="21">
        <f>MIN('3.1 Market'!$H322,'1.1 Control Panel'!AI566*'1.1 Control Panel'!AI$538)</f>
        <v>29.970289439057161</v>
      </c>
      <c r="AJ331" s="21">
        <f>MIN('3.1 Market'!$H322,'1.1 Control Panel'!AJ566*'1.1 Control Panel'!AJ$538)</f>
        <v>29.976231551245732</v>
      </c>
      <c r="AK331" s="21">
        <f>MIN('3.1 Market'!$H322,'1.1 Control Panel'!AK566*'1.1 Control Panel'!AK$538)</f>
        <v>34.977816114496015</v>
      </c>
      <c r="AL331" s="21">
        <f>MIN('3.1 Market'!$H322,'1.1 Control Panel'!AL566*'1.1 Control Panel'!AL$538)</f>
        <v>34.982252891596815</v>
      </c>
      <c r="AM331" s="21">
        <f>MIN('3.1 Market'!$H322,'1.1 Control Panel'!AM566*'1.1 Control Panel'!AM$538)</f>
        <v>34.985802313277453</v>
      </c>
      <c r="AN331" s="21">
        <f>MIN('3.1 Market'!$H322,'1.1 Control Panel'!AN566*'1.1 Control Panel'!AN$538)</f>
        <v>34.988641850621967</v>
      </c>
      <c r="AP331" s="21"/>
    </row>
    <row r="332" spans="2:42" x14ac:dyDescent="0.25">
      <c r="C332" s="21" t="s">
        <v>456</v>
      </c>
      <c r="D332" s="38" t="s">
        <v>162</v>
      </c>
      <c r="E332" s="21">
        <f>MIN('3.1 Market'!$F323,'1.1 Control Panel'!E567*'1.1 Control Panel'!E$538)</f>
        <v>0</v>
      </c>
      <c r="F332" s="21">
        <f>MIN('3.1 Market'!$F323,'1.1 Control Panel'!F567*'1.1 Control Panel'!F$538)</f>
        <v>0</v>
      </c>
      <c r="G332" s="21">
        <f>MIN('3.1 Market'!$F323,'1.1 Control Panel'!G567*'1.1 Control Panel'!G$538)</f>
        <v>0</v>
      </c>
      <c r="H332" s="21">
        <f>MIN('3.1 Market'!$F323,'1.1 Control Panel'!H567*'1.1 Control Panel'!H$538)</f>
        <v>0</v>
      </c>
      <c r="I332" s="21">
        <f>MIN('3.1 Market'!$F323,'1.1 Control Panel'!I567*'1.1 Control Panel'!I$538)</f>
        <v>2.9520000000000004</v>
      </c>
      <c r="J332" s="21">
        <f>MIN('3.1 Market'!$F323,'1.1 Control Panel'!J567*'1.1 Control Panel'!J$538)</f>
        <v>3.3616000000000006</v>
      </c>
      <c r="K332" s="21">
        <f>MIN('3.1 Market'!$F323,'1.1 Control Panel'!K567*'1.1 Control Panel'!K$538)</f>
        <v>3.6892800000000006</v>
      </c>
      <c r="L332" s="21">
        <f>MIN('3.1 Market'!$F323,'1.1 Control Panel'!L567*'1.1 Control Panel'!L$538)</f>
        <v>3.9514240000000007</v>
      </c>
      <c r="M332" s="21">
        <f>MIN('3.1 Market'!$F323,'1.1 Control Panel'!M567*'1.1 Control Panel'!M$538)</f>
        <v>4.1611392000000009</v>
      </c>
      <c r="N332" s="21">
        <f>MIN('3.1 Market'!$F323,'1.1 Control Panel'!N567*'1.1 Control Panel'!N$538)</f>
        <v>4.3289113600000011</v>
      </c>
      <c r="O332" s="21">
        <f>MIN('3.1 Market'!$F323,'1.1 Control Panel'!O567*'1.1 Control Panel'!O$538)</f>
        <v>4.4631290880000005</v>
      </c>
      <c r="P332" s="21">
        <f>MIN('3.1 Market'!$F323,'1.1 Control Panel'!P567*'1.1 Control Panel'!P$538)</f>
        <v>4.5705032704000006</v>
      </c>
      <c r="Q332" s="21">
        <f>MIN('3.1 Market'!$G323,'1.1 Control Panel'!Q567*'1.1 Control Panel'!Q$538)</f>
        <v>9.3128052326400024</v>
      </c>
      <c r="R332" s="21">
        <f>MIN('3.1 Market'!$G323,'1.1 Control Panel'!R567*'1.1 Control Panel'!R$538)</f>
        <v>9.4502441861120019</v>
      </c>
      <c r="S332" s="21">
        <f>MIN('3.1 Market'!$G323,'1.1 Control Panel'!S567*'1.1 Control Panel'!S$538)</f>
        <v>9.5601953488896019</v>
      </c>
      <c r="T332" s="21">
        <f>MIN('3.1 Market'!$G323,'1.1 Control Panel'!T567*'1.1 Control Panel'!T$538)</f>
        <v>9.6481562791116815</v>
      </c>
      <c r="U332" s="21">
        <f>MIN('3.1 Market'!$G323,'1.1 Control Panel'!U567*'1.1 Control Panel'!U$538)</f>
        <v>14.577787534934018</v>
      </c>
      <c r="V332" s="21">
        <f>MIN('3.1 Market'!$G323,'1.1 Control Panel'!V567*'1.1 Control Panel'!V$538)</f>
        <v>14.662230027947215</v>
      </c>
      <c r="W332" s="21">
        <f>MIN('3.1 Market'!$G323,'1.1 Control Panel'!W567*'1.1 Control Panel'!W$538)</f>
        <v>14.729784022357771</v>
      </c>
      <c r="X332" s="21">
        <f>MIN('3.1 Market'!$G323,'1.1 Control Panel'!X567*'1.1 Control Panel'!X$538)</f>
        <v>14.783827217886218</v>
      </c>
      <c r="Y332" s="21">
        <f>MIN('3.1 Market'!$G323,'1.1 Control Panel'!Y567*'1.1 Control Panel'!Y$538)</f>
        <v>14.827061774308977</v>
      </c>
      <c r="Z332" s="21">
        <f>MIN('3.1 Market'!$G323,'1.1 Control Panel'!Z567*'1.1 Control Panel'!Z$538)</f>
        <v>14.861649419447183</v>
      </c>
      <c r="AA332" s="21">
        <f>MIN('3.1 Market'!$G323,'1.1 Control Panel'!AA567*'1.1 Control Panel'!AA$538)</f>
        <v>14.889319535557744</v>
      </c>
      <c r="AB332" s="21">
        <f>MIN('3.1 Market'!$G323,'1.1 Control Panel'!AB567*'1.1 Control Panel'!AB$538)</f>
        <v>14.911455628446197</v>
      </c>
      <c r="AC332" s="21">
        <f>MIN('3.1 Market'!$H323,'1.1 Control Panel'!AC567*'1.1 Control Panel'!AC$538)</f>
        <v>19.905552670342608</v>
      </c>
      <c r="AD332" s="21">
        <f>MIN('3.1 Market'!$H323,'1.1 Control Panel'!AD567*'1.1 Control Panel'!AD$538)</f>
        <v>19.924442136274088</v>
      </c>
      <c r="AE332" s="21">
        <f>MIN('3.1 Market'!$H323,'1.1 Control Panel'!AE567*'1.1 Control Panel'!AE$538)</f>
        <v>19.939553709019272</v>
      </c>
      <c r="AF332" s="21">
        <f>MIN('3.1 Market'!$H323,'1.1 Control Panel'!AF567*'1.1 Control Panel'!AF$538)</f>
        <v>19.95164296721542</v>
      </c>
      <c r="AG332" s="21">
        <f>MIN('3.1 Market'!$H323,'1.1 Control Panel'!AG567*'1.1 Control Panel'!AG$538)</f>
        <v>24</v>
      </c>
      <c r="AH332" s="21">
        <f>MIN('3.1 Market'!$H323,'1.1 Control Panel'!AH567*'1.1 Control Panel'!AH$538)</f>
        <v>24</v>
      </c>
      <c r="AI332" s="21">
        <f>MIN('3.1 Market'!$H323,'1.1 Control Panel'!AI567*'1.1 Control Panel'!AI$538)</f>
        <v>24</v>
      </c>
      <c r="AJ332" s="21">
        <f>MIN('3.1 Market'!$H323,'1.1 Control Panel'!AJ567*'1.1 Control Panel'!AJ$538)</f>
        <v>24</v>
      </c>
      <c r="AK332" s="21">
        <f>MIN('3.1 Market'!$H323,'1.1 Control Panel'!AK567*'1.1 Control Panel'!AK$538)</f>
        <v>24</v>
      </c>
      <c r="AL332" s="21">
        <f>MIN('3.1 Market'!$H323,'1.1 Control Panel'!AL567*'1.1 Control Panel'!AL$538)</f>
        <v>24</v>
      </c>
      <c r="AM332" s="21">
        <f>MIN('3.1 Market'!$H323,'1.1 Control Panel'!AM567*'1.1 Control Panel'!AM$538)</f>
        <v>24</v>
      </c>
      <c r="AN332" s="21">
        <f>MIN('3.1 Market'!$H323,'1.1 Control Panel'!AN567*'1.1 Control Panel'!AN$538)</f>
        <v>24</v>
      </c>
      <c r="AP332" s="21"/>
    </row>
    <row r="333" spans="2:42" x14ac:dyDescent="0.25">
      <c r="B333" s="99" t="s">
        <v>9</v>
      </c>
      <c r="C333" s="105" t="str">
        <f>'4.2 Sector Mapping'!$B$13</f>
        <v>Real Estate and Construction</v>
      </c>
      <c r="D333" s="106" t="s">
        <v>162</v>
      </c>
      <c r="E333" s="105">
        <f>SUM(E334:E339)</f>
        <v>35</v>
      </c>
      <c r="F333" s="105">
        <f t="shared" ref="F333:H333" si="161">SUM(F334:F339)</f>
        <v>43.4</v>
      </c>
      <c r="G333" s="105">
        <f t="shared" si="161"/>
        <v>0</v>
      </c>
      <c r="H333" s="105">
        <f t="shared" si="161"/>
        <v>0</v>
      </c>
      <c r="I333" s="105">
        <f t="shared" ref="I333:AN333" si="162">SUM(I334:I339)</f>
        <v>0</v>
      </c>
      <c r="J333" s="105">
        <f t="shared" si="162"/>
        <v>0</v>
      </c>
      <c r="K333" s="105">
        <f t="shared" si="162"/>
        <v>0</v>
      </c>
      <c r="L333" s="105">
        <f t="shared" si="162"/>
        <v>0</v>
      </c>
      <c r="M333" s="105">
        <f t="shared" si="162"/>
        <v>0</v>
      </c>
      <c r="N333" s="105">
        <f t="shared" si="162"/>
        <v>0</v>
      </c>
      <c r="O333" s="105">
        <f t="shared" si="162"/>
        <v>0</v>
      </c>
      <c r="P333" s="105">
        <f t="shared" si="162"/>
        <v>0</v>
      </c>
      <c r="Q333" s="105">
        <f t="shared" si="162"/>
        <v>26.037927325696003</v>
      </c>
      <c r="R333" s="105">
        <f t="shared" si="162"/>
        <v>26.230341860556802</v>
      </c>
      <c r="S333" s="105">
        <f t="shared" si="162"/>
        <v>26.384273488445444</v>
      </c>
      <c r="T333" s="105">
        <f t="shared" si="162"/>
        <v>26.507418790756358</v>
      </c>
      <c r="U333" s="105">
        <f t="shared" si="162"/>
        <v>75.817805097815253</v>
      </c>
      <c r="V333" s="105">
        <f t="shared" si="162"/>
        <v>76.054244078252196</v>
      </c>
      <c r="W333" s="105">
        <f t="shared" si="162"/>
        <v>76.243395262601766</v>
      </c>
      <c r="X333" s="105">
        <f t="shared" si="162"/>
        <v>76.394716210081413</v>
      </c>
      <c r="Y333" s="105">
        <f t="shared" si="162"/>
        <v>96.584948258341541</v>
      </c>
      <c r="Z333" s="105">
        <f t="shared" si="162"/>
        <v>96.667958606673238</v>
      </c>
      <c r="AA333" s="105">
        <f t="shared" si="162"/>
        <v>96.734366885338588</v>
      </c>
      <c r="AB333" s="105">
        <f t="shared" si="162"/>
        <v>96.78749350827087</v>
      </c>
      <c r="AC333" s="105">
        <f t="shared" si="162"/>
        <v>144.7686040423394</v>
      </c>
      <c r="AD333" s="105">
        <f t="shared" si="162"/>
        <v>144.81488323387151</v>
      </c>
      <c r="AE333" s="105">
        <f t="shared" si="162"/>
        <v>144.85190658709723</v>
      </c>
      <c r="AF333" s="105">
        <f t="shared" si="162"/>
        <v>144.88152526967778</v>
      </c>
      <c r="AG333" s="105">
        <f t="shared" si="162"/>
        <v>189.86460030820319</v>
      </c>
      <c r="AH333" s="105">
        <f t="shared" si="162"/>
        <v>189.89168024656254</v>
      </c>
      <c r="AI333" s="105">
        <f t="shared" si="162"/>
        <v>189.91334419725004</v>
      </c>
      <c r="AJ333" s="105">
        <f t="shared" si="162"/>
        <v>189.93067535780006</v>
      </c>
      <c r="AK333" s="105">
        <f t="shared" si="162"/>
        <v>219.93344834348804</v>
      </c>
      <c r="AL333" s="105">
        <f t="shared" si="162"/>
        <v>219.94675867479043</v>
      </c>
      <c r="AM333" s="105">
        <f t="shared" si="162"/>
        <v>219.95740693983237</v>
      </c>
      <c r="AN333" s="105">
        <f t="shared" si="162"/>
        <v>219.96592555186589</v>
      </c>
      <c r="AP333" s="105"/>
    </row>
    <row r="334" spans="2:42" x14ac:dyDescent="0.25">
      <c r="C334" s="20" t="s">
        <v>600</v>
      </c>
      <c r="D334" s="34" t="s">
        <v>162</v>
      </c>
      <c r="E334" s="20">
        <f>MIN('3.1 Market'!$F325,'1.1 Control Panel'!E593*'1.1 Control Panel'!E$569)</f>
        <v>15</v>
      </c>
      <c r="F334" s="20">
        <f>MIN('3.1 Market'!$F325,'1.1 Control Panel'!F593*'1.1 Control Panel'!F$569)</f>
        <v>15</v>
      </c>
      <c r="G334" s="20">
        <f>MIN('3.1 Market'!$F325,'1.1 Control Panel'!G593*'1.1 Control Panel'!G$569)</f>
        <v>0</v>
      </c>
      <c r="H334" s="20">
        <f>MIN('3.1 Market'!$F325,'1.1 Control Panel'!H593*'1.1 Control Panel'!H$569)</f>
        <v>0</v>
      </c>
      <c r="I334" s="20">
        <f>MIN('3.1 Market'!$F325,'1.1 Control Panel'!I593*'1.1 Control Panel'!I$569)</f>
        <v>0</v>
      </c>
      <c r="J334" s="20">
        <f>MIN('3.1 Market'!$F325,'1.1 Control Panel'!J593*'1.1 Control Panel'!J$569)</f>
        <v>0</v>
      </c>
      <c r="K334" s="20">
        <f>MIN('3.1 Market'!$F325,'1.1 Control Panel'!K593*'1.1 Control Panel'!K$569)</f>
        <v>0</v>
      </c>
      <c r="L334" s="20">
        <f>MIN('3.1 Market'!$F325,'1.1 Control Panel'!L593*'1.1 Control Panel'!L$569)</f>
        <v>0</v>
      </c>
      <c r="M334" s="20">
        <f>MIN('3.1 Market'!$F325,'1.1 Control Panel'!M593*'1.1 Control Panel'!M$569)</f>
        <v>0</v>
      </c>
      <c r="N334" s="20">
        <f>MIN('3.1 Market'!$F325,'1.1 Control Panel'!N593*'1.1 Control Panel'!N$569)</f>
        <v>0</v>
      </c>
      <c r="O334" s="20">
        <f>MIN('3.1 Market'!$F325,'1.1 Control Panel'!O593*'1.1 Control Panel'!O$569)</f>
        <v>0</v>
      </c>
      <c r="P334" s="20">
        <f>MIN('3.1 Market'!$F325,'1.1 Control Panel'!P593*'1.1 Control Panel'!P$569)</f>
        <v>0</v>
      </c>
      <c r="Q334" s="20">
        <f>MIN('3.1 Market'!$G325,'1.1 Control Panel'!Q593*'1.1 Control Panel'!Q$569)</f>
        <v>5</v>
      </c>
      <c r="R334" s="20">
        <f>MIN('3.1 Market'!$G325,'1.1 Control Panel'!R593*'1.1 Control Panel'!R$569)</f>
        <v>5</v>
      </c>
      <c r="S334" s="20">
        <f>MIN('3.1 Market'!$G325,'1.1 Control Panel'!S593*'1.1 Control Panel'!S$569)</f>
        <v>5</v>
      </c>
      <c r="T334" s="20">
        <f>MIN('3.1 Market'!$G325,'1.1 Control Panel'!T593*'1.1 Control Panel'!T$569)</f>
        <v>5</v>
      </c>
      <c r="U334" s="20">
        <f>MIN('3.1 Market'!$G325,'1.1 Control Panel'!U593*'1.1 Control Panel'!U$569)</f>
        <v>15</v>
      </c>
      <c r="V334" s="20">
        <f>MIN('3.1 Market'!$G325,'1.1 Control Panel'!V593*'1.1 Control Panel'!V$569)</f>
        <v>15</v>
      </c>
      <c r="W334" s="20">
        <f>MIN('3.1 Market'!$G325,'1.1 Control Panel'!W593*'1.1 Control Panel'!W$569)</f>
        <v>15</v>
      </c>
      <c r="X334" s="20">
        <f>MIN('3.1 Market'!$G325,'1.1 Control Panel'!X593*'1.1 Control Panel'!X$569)</f>
        <v>15</v>
      </c>
      <c r="Y334" s="20">
        <f>MIN('3.1 Market'!$G325,'1.1 Control Panel'!Y593*'1.1 Control Panel'!Y$569)</f>
        <v>20</v>
      </c>
      <c r="Z334" s="20">
        <f>MIN('3.1 Market'!$G325,'1.1 Control Panel'!Z593*'1.1 Control Panel'!Z$569)</f>
        <v>20</v>
      </c>
      <c r="AA334" s="20">
        <f>MIN('3.1 Market'!$G325,'1.1 Control Panel'!AA593*'1.1 Control Panel'!AA$569)</f>
        <v>20</v>
      </c>
      <c r="AB334" s="20">
        <f>MIN('3.1 Market'!$G325,'1.1 Control Panel'!AB593*'1.1 Control Panel'!AB$569)</f>
        <v>20</v>
      </c>
      <c r="AC334" s="20">
        <f>MIN('3.1 Market'!$H325,'1.1 Control Panel'!AC593*'1.1 Control Panel'!AC$569)</f>
        <v>35</v>
      </c>
      <c r="AD334" s="20">
        <f>MIN('3.1 Market'!$H325,'1.1 Control Panel'!AD593*'1.1 Control Panel'!AD$569)</f>
        <v>35</v>
      </c>
      <c r="AE334" s="20">
        <f>MIN('3.1 Market'!$H325,'1.1 Control Panel'!AE593*'1.1 Control Panel'!AE$569)</f>
        <v>35</v>
      </c>
      <c r="AF334" s="20">
        <f>MIN('3.1 Market'!$H325,'1.1 Control Panel'!AF593*'1.1 Control Panel'!AF$569)</f>
        <v>35</v>
      </c>
      <c r="AG334" s="20">
        <f>MIN('3.1 Market'!$H325,'1.1 Control Panel'!AG593*'1.1 Control Panel'!AG$569)</f>
        <v>50</v>
      </c>
      <c r="AH334" s="20">
        <f>MIN('3.1 Market'!$H325,'1.1 Control Panel'!AH593*'1.1 Control Panel'!AH$569)</f>
        <v>50</v>
      </c>
      <c r="AI334" s="20">
        <f>MIN('3.1 Market'!$H325,'1.1 Control Panel'!AI593*'1.1 Control Panel'!AI$569)</f>
        <v>50</v>
      </c>
      <c r="AJ334" s="20">
        <f>MIN('3.1 Market'!$H325,'1.1 Control Panel'!AJ593*'1.1 Control Panel'!AJ$569)</f>
        <v>50</v>
      </c>
      <c r="AK334" s="20">
        <f>MIN('3.1 Market'!$H325,'1.1 Control Panel'!AK593*'1.1 Control Panel'!AK$569)</f>
        <v>60</v>
      </c>
      <c r="AL334" s="20">
        <f>MIN('3.1 Market'!$H325,'1.1 Control Panel'!AL593*'1.1 Control Panel'!AL$569)</f>
        <v>60</v>
      </c>
      <c r="AM334" s="20">
        <f>MIN('3.1 Market'!$H325,'1.1 Control Panel'!AM593*'1.1 Control Panel'!AM$569)</f>
        <v>60</v>
      </c>
      <c r="AN334" s="20">
        <f>MIN('3.1 Market'!$H325,'1.1 Control Panel'!AN593*'1.1 Control Panel'!AN$569)</f>
        <v>60</v>
      </c>
      <c r="AP334" s="20"/>
    </row>
    <row r="335" spans="2:42" x14ac:dyDescent="0.25">
      <c r="C335" s="20" t="s">
        <v>392</v>
      </c>
      <c r="D335" s="34" t="s">
        <v>162</v>
      </c>
      <c r="E335" s="20">
        <f>MIN('3.1 Market'!$F326,'1.1 Control Panel'!E594*'1.1 Control Panel'!E$569)</f>
        <v>2</v>
      </c>
      <c r="F335" s="20">
        <f>MIN('3.1 Market'!$F326,'1.1 Control Panel'!F594*'1.1 Control Panel'!F$569)</f>
        <v>2</v>
      </c>
      <c r="G335" s="20">
        <f>MIN('3.1 Market'!$F326,'1.1 Control Panel'!G594*'1.1 Control Panel'!G$569)</f>
        <v>0</v>
      </c>
      <c r="H335" s="20">
        <f>MIN('3.1 Market'!$F326,'1.1 Control Panel'!H594*'1.1 Control Panel'!H$569)</f>
        <v>0</v>
      </c>
      <c r="I335" s="20">
        <f>MIN('3.1 Market'!$F326,'1.1 Control Panel'!I594*'1.1 Control Panel'!I$569)</f>
        <v>0</v>
      </c>
      <c r="J335" s="20">
        <f>MIN('3.1 Market'!$F326,'1.1 Control Panel'!J594*'1.1 Control Panel'!J$569)</f>
        <v>0</v>
      </c>
      <c r="K335" s="20">
        <f>MIN('3.1 Market'!$F326,'1.1 Control Panel'!K594*'1.1 Control Panel'!K$569)</f>
        <v>0</v>
      </c>
      <c r="L335" s="20">
        <f>MIN('3.1 Market'!$F326,'1.1 Control Panel'!L594*'1.1 Control Panel'!L$569)</f>
        <v>0</v>
      </c>
      <c r="M335" s="20">
        <f>MIN('3.1 Market'!$F326,'1.1 Control Panel'!M594*'1.1 Control Panel'!M$569)</f>
        <v>0</v>
      </c>
      <c r="N335" s="20">
        <f>MIN('3.1 Market'!$F326,'1.1 Control Panel'!N594*'1.1 Control Panel'!N$569)</f>
        <v>0</v>
      </c>
      <c r="O335" s="20">
        <f>MIN('3.1 Market'!$F326,'1.1 Control Panel'!O594*'1.1 Control Panel'!O$569)</f>
        <v>0</v>
      </c>
      <c r="P335" s="20">
        <f>MIN('3.1 Market'!$F326,'1.1 Control Panel'!P594*'1.1 Control Panel'!P$569)</f>
        <v>0</v>
      </c>
      <c r="Q335" s="20">
        <f>MIN('3.1 Market'!$G326,'1.1 Control Panel'!Q594*'1.1 Control Panel'!Q$569)</f>
        <v>2</v>
      </c>
      <c r="R335" s="20">
        <f>MIN('3.1 Market'!$G326,'1.1 Control Panel'!R594*'1.1 Control Panel'!R$569)</f>
        <v>2</v>
      </c>
      <c r="S335" s="20">
        <f>MIN('3.1 Market'!$G326,'1.1 Control Panel'!S594*'1.1 Control Panel'!S$569)</f>
        <v>2</v>
      </c>
      <c r="T335" s="20">
        <f>MIN('3.1 Market'!$G326,'1.1 Control Panel'!T594*'1.1 Control Panel'!T$569)</f>
        <v>2</v>
      </c>
      <c r="U335" s="20">
        <f>MIN('3.1 Market'!$G326,'1.1 Control Panel'!U594*'1.1 Control Panel'!U$569)</f>
        <v>2</v>
      </c>
      <c r="V335" s="20">
        <f>MIN('3.1 Market'!$G326,'1.1 Control Panel'!V594*'1.1 Control Panel'!V$569)</f>
        <v>2</v>
      </c>
      <c r="W335" s="20">
        <f>MIN('3.1 Market'!$G326,'1.1 Control Panel'!W594*'1.1 Control Panel'!W$569)</f>
        <v>2</v>
      </c>
      <c r="X335" s="20">
        <f>MIN('3.1 Market'!$G326,'1.1 Control Panel'!X594*'1.1 Control Panel'!X$569)</f>
        <v>2</v>
      </c>
      <c r="Y335" s="20">
        <f>MIN('3.1 Market'!$G326,'1.1 Control Panel'!Y594*'1.1 Control Panel'!Y$569)</f>
        <v>2</v>
      </c>
      <c r="Z335" s="20">
        <f>MIN('3.1 Market'!$G326,'1.1 Control Panel'!Z594*'1.1 Control Panel'!Z$569)</f>
        <v>2</v>
      </c>
      <c r="AA335" s="20">
        <f>MIN('3.1 Market'!$G326,'1.1 Control Panel'!AA594*'1.1 Control Panel'!AA$569)</f>
        <v>2</v>
      </c>
      <c r="AB335" s="20">
        <f>MIN('3.1 Market'!$G326,'1.1 Control Panel'!AB594*'1.1 Control Panel'!AB$569)</f>
        <v>2</v>
      </c>
      <c r="AC335" s="20">
        <f>MIN('3.1 Market'!$H326,'1.1 Control Panel'!AC594*'1.1 Control Panel'!AC$569)</f>
        <v>2</v>
      </c>
      <c r="AD335" s="20">
        <f>MIN('3.1 Market'!$H326,'1.1 Control Panel'!AD594*'1.1 Control Panel'!AD$569)</f>
        <v>2</v>
      </c>
      <c r="AE335" s="20">
        <f>MIN('3.1 Market'!$H326,'1.1 Control Panel'!AE594*'1.1 Control Panel'!AE$569)</f>
        <v>2</v>
      </c>
      <c r="AF335" s="20">
        <f>MIN('3.1 Market'!$H326,'1.1 Control Panel'!AF594*'1.1 Control Panel'!AF$569)</f>
        <v>2</v>
      </c>
      <c r="AG335" s="20">
        <f>MIN('3.1 Market'!$H326,'1.1 Control Panel'!AG594*'1.1 Control Panel'!AG$569)</f>
        <v>2</v>
      </c>
      <c r="AH335" s="20">
        <f>MIN('3.1 Market'!$H326,'1.1 Control Panel'!AH594*'1.1 Control Panel'!AH$569)</f>
        <v>2</v>
      </c>
      <c r="AI335" s="20">
        <f>MIN('3.1 Market'!$H326,'1.1 Control Panel'!AI594*'1.1 Control Panel'!AI$569)</f>
        <v>2</v>
      </c>
      <c r="AJ335" s="20">
        <f>MIN('3.1 Market'!$H326,'1.1 Control Panel'!AJ594*'1.1 Control Panel'!AJ$569)</f>
        <v>2</v>
      </c>
      <c r="AK335" s="20">
        <f>MIN('3.1 Market'!$H326,'1.1 Control Panel'!AK594*'1.1 Control Panel'!AK$569)</f>
        <v>2</v>
      </c>
      <c r="AL335" s="20">
        <f>MIN('3.1 Market'!$H326,'1.1 Control Panel'!AL594*'1.1 Control Panel'!AL$569)</f>
        <v>2</v>
      </c>
      <c r="AM335" s="20">
        <f>MIN('3.1 Market'!$H326,'1.1 Control Panel'!AM594*'1.1 Control Panel'!AM$569)</f>
        <v>2</v>
      </c>
      <c r="AN335" s="20">
        <f>MIN('3.1 Market'!$H326,'1.1 Control Panel'!AN594*'1.1 Control Panel'!AN$569)</f>
        <v>2</v>
      </c>
      <c r="AP335" s="20"/>
    </row>
    <row r="336" spans="2:42" x14ac:dyDescent="0.25">
      <c r="C336" s="20" t="s">
        <v>454</v>
      </c>
      <c r="D336" s="34" t="s">
        <v>162</v>
      </c>
      <c r="E336" s="20">
        <f>MIN('3.1 Market'!$F327,'1.1 Control Panel'!E595*'1.1 Control Panel'!E$569)</f>
        <v>9</v>
      </c>
      <c r="F336" s="20">
        <f>MIN('3.1 Market'!$F327,'1.1 Control Panel'!F595*'1.1 Control Panel'!F$569)</f>
        <v>10.200000000000001</v>
      </c>
      <c r="G336" s="20">
        <f>MIN('3.1 Market'!$F327,'1.1 Control Panel'!G595*'1.1 Control Panel'!G$569)</f>
        <v>0</v>
      </c>
      <c r="H336" s="20">
        <f>MIN('3.1 Market'!$F327,'1.1 Control Panel'!H595*'1.1 Control Panel'!H$569)</f>
        <v>0</v>
      </c>
      <c r="I336" s="20">
        <f>MIN('3.1 Market'!$F327,'1.1 Control Panel'!I595*'1.1 Control Panel'!I$569)</f>
        <v>0</v>
      </c>
      <c r="J336" s="20">
        <f>MIN('3.1 Market'!$F327,'1.1 Control Panel'!J595*'1.1 Control Panel'!J$569)</f>
        <v>0</v>
      </c>
      <c r="K336" s="20">
        <f>MIN('3.1 Market'!$F327,'1.1 Control Panel'!K595*'1.1 Control Panel'!K$569)</f>
        <v>0</v>
      </c>
      <c r="L336" s="20">
        <f>MIN('3.1 Market'!$F327,'1.1 Control Panel'!L595*'1.1 Control Panel'!L$569)</f>
        <v>0</v>
      </c>
      <c r="M336" s="20">
        <f>MIN('3.1 Market'!$F327,'1.1 Control Panel'!M595*'1.1 Control Panel'!M$569)</f>
        <v>0</v>
      </c>
      <c r="N336" s="20">
        <f>MIN('3.1 Market'!$F327,'1.1 Control Panel'!N595*'1.1 Control Panel'!N$569)</f>
        <v>0</v>
      </c>
      <c r="O336" s="20">
        <f>MIN('3.1 Market'!$F327,'1.1 Control Panel'!O595*'1.1 Control Panel'!O$569)</f>
        <v>0</v>
      </c>
      <c r="P336" s="20">
        <f>MIN('3.1 Market'!$F327,'1.1 Control Panel'!P595*'1.1 Control Panel'!P$569)</f>
        <v>0</v>
      </c>
      <c r="Q336" s="20">
        <f>MIN('3.1 Market'!$G327,'1.1 Control Panel'!Q595*'1.1 Control Panel'!Q$569)</f>
        <v>4.8625610465280014</v>
      </c>
      <c r="R336" s="20">
        <f>MIN('3.1 Market'!$G327,'1.1 Control Panel'!R595*'1.1 Control Panel'!R$569)</f>
        <v>4.8900488372224018</v>
      </c>
      <c r="S336" s="20">
        <f>MIN('3.1 Market'!$G327,'1.1 Control Panel'!S595*'1.1 Control Panel'!S$569)</f>
        <v>4.9120390697779222</v>
      </c>
      <c r="T336" s="20">
        <f>MIN('3.1 Market'!$G327,'1.1 Control Panel'!T595*'1.1 Control Panel'!T$569)</f>
        <v>4.9296312558223381</v>
      </c>
      <c r="U336" s="20">
        <f>MIN('3.1 Market'!$G327,'1.1 Control Panel'!U595*'1.1 Control Panel'!U$569)</f>
        <v>14.83111501397361</v>
      </c>
      <c r="V336" s="20">
        <f>MIN('3.1 Market'!$G327,'1.1 Control Panel'!V595*'1.1 Control Panel'!V$569)</f>
        <v>14.864892011178888</v>
      </c>
      <c r="W336" s="20">
        <f>MIN('3.1 Market'!$G327,'1.1 Control Panel'!W595*'1.1 Control Panel'!W$569)</f>
        <v>14.891913608943112</v>
      </c>
      <c r="X336" s="20">
        <f>MIN('3.1 Market'!$G327,'1.1 Control Panel'!X595*'1.1 Control Panel'!X$569)</f>
        <v>14.913530887154488</v>
      </c>
      <c r="Y336" s="20">
        <f>MIN('3.1 Market'!$G327,'1.1 Control Panel'!Y595*'1.1 Control Panel'!Y$569)</f>
        <v>19.907766279631453</v>
      </c>
      <c r="Z336" s="20">
        <f>MIN('3.1 Market'!$G327,'1.1 Control Panel'!Z595*'1.1 Control Panel'!Z$569)</f>
        <v>19.926213023705163</v>
      </c>
      <c r="AA336" s="20">
        <f>MIN('3.1 Market'!$G327,'1.1 Control Panel'!AA595*'1.1 Control Panel'!AA$569)</f>
        <v>19.940970418964131</v>
      </c>
      <c r="AB336" s="20">
        <f>MIN('3.1 Market'!$G327,'1.1 Control Panel'!AB595*'1.1 Control Panel'!AB$569)</f>
        <v>19.952776335171308</v>
      </c>
      <c r="AC336" s="20">
        <f>MIN('3.1 Market'!$H327,'1.1 Control Panel'!AC595*'1.1 Control Panel'!AC$569)</f>
        <v>22</v>
      </c>
      <c r="AD336" s="20">
        <f>MIN('3.1 Market'!$H327,'1.1 Control Panel'!AD595*'1.1 Control Panel'!AD$569)</f>
        <v>22</v>
      </c>
      <c r="AE336" s="20">
        <f>MIN('3.1 Market'!$H327,'1.1 Control Panel'!AE595*'1.1 Control Panel'!AE$569)</f>
        <v>22</v>
      </c>
      <c r="AF336" s="20">
        <f>MIN('3.1 Market'!$H327,'1.1 Control Panel'!AF595*'1.1 Control Panel'!AF$569)</f>
        <v>22</v>
      </c>
      <c r="AG336" s="20">
        <f>MIN('3.1 Market'!$H327,'1.1 Control Panel'!AG595*'1.1 Control Panel'!AG$569)</f>
        <v>22</v>
      </c>
      <c r="AH336" s="20">
        <f>MIN('3.1 Market'!$H327,'1.1 Control Panel'!AH595*'1.1 Control Panel'!AH$569)</f>
        <v>22</v>
      </c>
      <c r="AI336" s="20">
        <f>MIN('3.1 Market'!$H327,'1.1 Control Panel'!AI595*'1.1 Control Panel'!AI$569)</f>
        <v>22</v>
      </c>
      <c r="AJ336" s="20">
        <f>MIN('3.1 Market'!$H327,'1.1 Control Panel'!AJ595*'1.1 Control Panel'!AJ$569)</f>
        <v>22</v>
      </c>
      <c r="AK336" s="20">
        <f>MIN('3.1 Market'!$H327,'1.1 Control Panel'!AK595*'1.1 Control Panel'!AK$569)</f>
        <v>22</v>
      </c>
      <c r="AL336" s="20">
        <f>MIN('3.1 Market'!$H327,'1.1 Control Panel'!AL595*'1.1 Control Panel'!AL$569)</f>
        <v>22</v>
      </c>
      <c r="AM336" s="20">
        <f>MIN('3.1 Market'!$H327,'1.1 Control Panel'!AM595*'1.1 Control Panel'!AM$569)</f>
        <v>22</v>
      </c>
      <c r="AN336" s="20">
        <f>MIN('3.1 Market'!$H327,'1.1 Control Panel'!AN595*'1.1 Control Panel'!AN$569)</f>
        <v>22</v>
      </c>
      <c r="AP336" s="20"/>
    </row>
    <row r="337" spans="2:42" x14ac:dyDescent="0.25">
      <c r="C337" s="21" t="s">
        <v>455</v>
      </c>
      <c r="D337" s="38" t="s">
        <v>162</v>
      </c>
      <c r="E337" s="21">
        <f>MIN('3.1 Market'!$F328,'1.1 Control Panel'!E596*'1.1 Control Panel'!E$569)</f>
        <v>6</v>
      </c>
      <c r="F337" s="21">
        <f>MIN('3.1 Market'!$F328,'1.1 Control Panel'!F596*'1.1 Control Panel'!F$569)</f>
        <v>7.8000000000000007</v>
      </c>
      <c r="G337" s="21">
        <f>MIN('3.1 Market'!$F328,'1.1 Control Panel'!G596*'1.1 Control Panel'!G$569)</f>
        <v>0</v>
      </c>
      <c r="H337" s="21">
        <f>MIN('3.1 Market'!$F328,'1.1 Control Panel'!H596*'1.1 Control Panel'!H$569)</f>
        <v>0</v>
      </c>
      <c r="I337" s="21">
        <f>MIN('3.1 Market'!$F328,'1.1 Control Panel'!I596*'1.1 Control Panel'!I$569)</f>
        <v>0</v>
      </c>
      <c r="J337" s="21">
        <f>MIN('3.1 Market'!$F328,'1.1 Control Panel'!J596*'1.1 Control Panel'!J$569)</f>
        <v>0</v>
      </c>
      <c r="K337" s="21">
        <f>MIN('3.1 Market'!$F328,'1.1 Control Panel'!K596*'1.1 Control Panel'!K$569)</f>
        <v>0</v>
      </c>
      <c r="L337" s="21">
        <f>MIN('3.1 Market'!$F328,'1.1 Control Panel'!L596*'1.1 Control Panel'!L$569)</f>
        <v>0</v>
      </c>
      <c r="M337" s="21">
        <f>MIN('3.1 Market'!$F328,'1.1 Control Panel'!M596*'1.1 Control Panel'!M$569)</f>
        <v>0</v>
      </c>
      <c r="N337" s="21">
        <f>MIN('3.1 Market'!$F328,'1.1 Control Panel'!N596*'1.1 Control Panel'!N$569)</f>
        <v>0</v>
      </c>
      <c r="O337" s="21">
        <f>MIN('3.1 Market'!$F328,'1.1 Control Panel'!O596*'1.1 Control Panel'!O$569)</f>
        <v>0</v>
      </c>
      <c r="P337" s="21">
        <f>MIN('3.1 Market'!$F328,'1.1 Control Panel'!P596*'1.1 Control Panel'!P$569)</f>
        <v>0</v>
      </c>
      <c r="Q337" s="21">
        <f>MIN('3.1 Market'!$G328,'1.1 Control Panel'!Q596*'1.1 Control Panel'!Q$569)</f>
        <v>4.7938415697920007</v>
      </c>
      <c r="R337" s="21">
        <f>MIN('3.1 Market'!$G328,'1.1 Control Panel'!R596*'1.1 Control Panel'!R$569)</f>
        <v>4.8350732558336009</v>
      </c>
      <c r="S337" s="21">
        <f>MIN('3.1 Market'!$G328,'1.1 Control Panel'!S596*'1.1 Control Panel'!S$569)</f>
        <v>4.8680586046668815</v>
      </c>
      <c r="T337" s="21">
        <f>MIN('3.1 Market'!$G328,'1.1 Control Panel'!T596*'1.1 Control Panel'!T$569)</f>
        <v>4.8944468837335053</v>
      </c>
      <c r="U337" s="21">
        <f>MIN('3.1 Market'!$G328,'1.1 Control Panel'!U596*'1.1 Control Panel'!U$569)</f>
        <v>14.746672520960413</v>
      </c>
      <c r="V337" s="21">
        <f>MIN('3.1 Market'!$G328,'1.1 Control Panel'!V596*'1.1 Control Panel'!V$569)</f>
        <v>14.797338016768332</v>
      </c>
      <c r="W337" s="21">
        <f>MIN('3.1 Market'!$G328,'1.1 Control Panel'!W596*'1.1 Control Panel'!W$569)</f>
        <v>14.837870413414665</v>
      </c>
      <c r="X337" s="21">
        <f>MIN('3.1 Market'!$G328,'1.1 Control Panel'!X596*'1.1 Control Panel'!X$569)</f>
        <v>14.870296330731733</v>
      </c>
      <c r="Y337" s="21">
        <f>MIN('3.1 Market'!$G328,'1.1 Control Panel'!Y596*'1.1 Control Panel'!Y$569)</f>
        <v>19.861649419447183</v>
      </c>
      <c r="Z337" s="21">
        <f>MIN('3.1 Market'!$G328,'1.1 Control Panel'!Z596*'1.1 Control Panel'!Z$569)</f>
        <v>19.889319535557746</v>
      </c>
      <c r="AA337" s="21">
        <f>MIN('3.1 Market'!$G328,'1.1 Control Panel'!AA596*'1.1 Control Panel'!AA$569)</f>
        <v>19.911455628446198</v>
      </c>
      <c r="AB337" s="21">
        <f>MIN('3.1 Market'!$G328,'1.1 Control Panel'!AB596*'1.1 Control Panel'!AB$569)</f>
        <v>19.929164502756961</v>
      </c>
      <c r="AC337" s="21">
        <f>MIN('3.1 Market'!$H328,'1.1 Control Panel'!AC596*'1.1 Control Panel'!AC$569)</f>
        <v>34.900830303859742</v>
      </c>
      <c r="AD337" s="21">
        <f>MIN('3.1 Market'!$H328,'1.1 Control Panel'!AD596*'1.1 Control Panel'!AD$569)</f>
        <v>34.920664243087799</v>
      </c>
      <c r="AE337" s="21">
        <f>MIN('3.1 Market'!$H328,'1.1 Control Panel'!AE596*'1.1 Control Panel'!AE$569)</f>
        <v>34.936531394470236</v>
      </c>
      <c r="AF337" s="21">
        <f>MIN('3.1 Market'!$H328,'1.1 Control Panel'!AF596*'1.1 Control Panel'!AF$569)</f>
        <v>34.949225115576191</v>
      </c>
      <c r="AG337" s="21">
        <f>MIN('3.1 Market'!$H328,'1.1 Control Panel'!AG596*'1.1 Control Panel'!AG$569)</f>
        <v>49.941971560658502</v>
      </c>
      <c r="AH337" s="21">
        <f>MIN('3.1 Market'!$H328,'1.1 Control Panel'!AH596*'1.1 Control Panel'!AH$569)</f>
        <v>49.953577248526798</v>
      </c>
      <c r="AI337" s="21">
        <f>MIN('3.1 Market'!$H328,'1.1 Control Panel'!AI596*'1.1 Control Panel'!AI$569)</f>
        <v>49.962861798821443</v>
      </c>
      <c r="AJ337" s="21">
        <f>MIN('3.1 Market'!$H328,'1.1 Control Panel'!AJ596*'1.1 Control Panel'!AJ$569)</f>
        <v>49.970289439057154</v>
      </c>
      <c r="AK337" s="21">
        <f>MIN('3.1 Market'!$H328,'1.1 Control Panel'!AK596*'1.1 Control Panel'!AK$569)</f>
        <v>59.971477861494876</v>
      </c>
      <c r="AL337" s="21">
        <f>MIN('3.1 Market'!$H328,'1.1 Control Panel'!AL596*'1.1 Control Panel'!AL$569)</f>
        <v>59.977182289195902</v>
      </c>
      <c r="AM337" s="21">
        <f>MIN('3.1 Market'!$H328,'1.1 Control Panel'!AM596*'1.1 Control Panel'!AM$569)</f>
        <v>59.981745831356726</v>
      </c>
      <c r="AN337" s="21">
        <f>MIN('3.1 Market'!$H328,'1.1 Control Panel'!AN596*'1.1 Control Panel'!AN$569)</f>
        <v>59.985396665085389</v>
      </c>
      <c r="AP337" s="21"/>
    </row>
    <row r="338" spans="2:42" x14ac:dyDescent="0.25">
      <c r="C338" s="21" t="s">
        <v>393</v>
      </c>
      <c r="D338" s="38" t="s">
        <v>162</v>
      </c>
      <c r="E338" s="21">
        <f>MIN('3.1 Market'!$F329,'1.1 Control Panel'!E597*'1.1 Control Panel'!E$569)</f>
        <v>3</v>
      </c>
      <c r="F338" s="21">
        <f>MIN('3.1 Market'!$F329,'1.1 Control Panel'!F597*'1.1 Control Panel'!F$569)</f>
        <v>5.4</v>
      </c>
      <c r="G338" s="21">
        <f>MIN('3.1 Market'!$F329,'1.1 Control Panel'!G597*'1.1 Control Panel'!G$569)</f>
        <v>0</v>
      </c>
      <c r="H338" s="21">
        <f>MIN('3.1 Market'!$F329,'1.1 Control Panel'!H597*'1.1 Control Panel'!H$569)</f>
        <v>0</v>
      </c>
      <c r="I338" s="21">
        <f>MIN('3.1 Market'!$F329,'1.1 Control Panel'!I597*'1.1 Control Panel'!I$569)</f>
        <v>0</v>
      </c>
      <c r="J338" s="21">
        <f>MIN('3.1 Market'!$F329,'1.1 Control Panel'!J597*'1.1 Control Panel'!J$569)</f>
        <v>0</v>
      </c>
      <c r="K338" s="21">
        <f>MIN('3.1 Market'!$F329,'1.1 Control Panel'!K597*'1.1 Control Panel'!K$569)</f>
        <v>0</v>
      </c>
      <c r="L338" s="21">
        <f>MIN('3.1 Market'!$F329,'1.1 Control Panel'!L597*'1.1 Control Panel'!L$569)</f>
        <v>0</v>
      </c>
      <c r="M338" s="21">
        <f>MIN('3.1 Market'!$F329,'1.1 Control Panel'!M597*'1.1 Control Panel'!M$569)</f>
        <v>0</v>
      </c>
      <c r="N338" s="21">
        <f>MIN('3.1 Market'!$F329,'1.1 Control Panel'!N597*'1.1 Control Panel'!N$569)</f>
        <v>0</v>
      </c>
      <c r="O338" s="21">
        <f>MIN('3.1 Market'!$F329,'1.1 Control Panel'!O597*'1.1 Control Panel'!O$569)</f>
        <v>0</v>
      </c>
      <c r="P338" s="21">
        <f>MIN('3.1 Market'!$F329,'1.1 Control Panel'!P597*'1.1 Control Panel'!P$569)</f>
        <v>0</v>
      </c>
      <c r="Q338" s="21">
        <f>MIN('3.1 Market'!$G329,'1.1 Control Panel'!Q597*'1.1 Control Panel'!Q$569)</f>
        <v>4.7251220930560009</v>
      </c>
      <c r="R338" s="21">
        <f>MIN('3.1 Market'!$G329,'1.1 Control Panel'!R597*'1.1 Control Panel'!R$569)</f>
        <v>4.7800976744448009</v>
      </c>
      <c r="S338" s="21">
        <f>MIN('3.1 Market'!$G329,'1.1 Control Panel'!S597*'1.1 Control Panel'!S$569)</f>
        <v>4.8240781395558407</v>
      </c>
      <c r="T338" s="21">
        <f>MIN('3.1 Market'!$G329,'1.1 Control Panel'!T597*'1.1 Control Panel'!T$569)</f>
        <v>4.8592625116446726</v>
      </c>
      <c r="U338" s="21">
        <f>MIN('3.1 Market'!$G329,'1.1 Control Panel'!U597*'1.1 Control Panel'!U$569)</f>
        <v>14.662230027947215</v>
      </c>
      <c r="V338" s="21">
        <f>MIN('3.1 Market'!$G329,'1.1 Control Panel'!V597*'1.1 Control Panel'!V$569)</f>
        <v>14.729784022357771</v>
      </c>
      <c r="W338" s="21">
        <f>MIN('3.1 Market'!$G329,'1.1 Control Panel'!W597*'1.1 Control Panel'!W$569)</f>
        <v>14.783827217886218</v>
      </c>
      <c r="X338" s="21">
        <f>MIN('3.1 Market'!$G329,'1.1 Control Panel'!X597*'1.1 Control Panel'!X$569)</f>
        <v>14.827061774308977</v>
      </c>
      <c r="Y338" s="21">
        <f>MIN('3.1 Market'!$G329,'1.1 Control Panel'!Y597*'1.1 Control Panel'!Y$569)</f>
        <v>19.815532559262909</v>
      </c>
      <c r="Z338" s="21">
        <f>MIN('3.1 Market'!$G329,'1.1 Control Panel'!Z597*'1.1 Control Panel'!Z$569)</f>
        <v>19.852426047410326</v>
      </c>
      <c r="AA338" s="21">
        <f>MIN('3.1 Market'!$G329,'1.1 Control Panel'!AA597*'1.1 Control Panel'!AA$569)</f>
        <v>19.881940837928262</v>
      </c>
      <c r="AB338" s="21">
        <f>MIN('3.1 Market'!$G329,'1.1 Control Panel'!AB597*'1.1 Control Panel'!AB$569)</f>
        <v>19.905552670342608</v>
      </c>
      <c r="AC338" s="21">
        <f>MIN('3.1 Market'!$H329,'1.1 Control Panel'!AC597*'1.1 Control Panel'!AC$569)</f>
        <v>34.867773738479656</v>
      </c>
      <c r="AD338" s="21">
        <f>MIN('3.1 Market'!$H329,'1.1 Control Panel'!AD597*'1.1 Control Panel'!AD$569)</f>
        <v>34.894218990783727</v>
      </c>
      <c r="AE338" s="21">
        <f>MIN('3.1 Market'!$H329,'1.1 Control Panel'!AE597*'1.1 Control Panel'!AE$569)</f>
        <v>34.915375192626982</v>
      </c>
      <c r="AF338" s="21">
        <f>MIN('3.1 Market'!$H329,'1.1 Control Panel'!AF597*'1.1 Control Panel'!AF$569)</f>
        <v>34.932300154101597</v>
      </c>
      <c r="AG338" s="21">
        <f>MIN('3.1 Market'!$H329,'1.1 Control Panel'!AG597*'1.1 Control Panel'!AG$569)</f>
        <v>49.922628747544678</v>
      </c>
      <c r="AH338" s="21">
        <f>MIN('3.1 Market'!$H329,'1.1 Control Panel'!AH597*'1.1 Control Panel'!AH$569)</f>
        <v>49.938102998035745</v>
      </c>
      <c r="AI338" s="21">
        <f>MIN('3.1 Market'!$H329,'1.1 Control Panel'!AI597*'1.1 Control Panel'!AI$569)</f>
        <v>49.950482398428598</v>
      </c>
      <c r="AJ338" s="21">
        <f>MIN('3.1 Market'!$H329,'1.1 Control Panel'!AJ597*'1.1 Control Panel'!AJ$569)</f>
        <v>49.960385918742887</v>
      </c>
      <c r="AK338" s="21">
        <f>MIN('3.1 Market'!$H329,'1.1 Control Panel'!AK597*'1.1 Control Panel'!AK$569)</f>
        <v>59.961970481993177</v>
      </c>
      <c r="AL338" s="21">
        <f>MIN('3.1 Market'!$H329,'1.1 Control Panel'!AL597*'1.1 Control Panel'!AL$569)</f>
        <v>59.969576385594543</v>
      </c>
      <c r="AM338" s="21">
        <f>MIN('3.1 Market'!$H329,'1.1 Control Panel'!AM597*'1.1 Control Panel'!AM$569)</f>
        <v>59.975661108475634</v>
      </c>
      <c r="AN338" s="21">
        <f>MIN('3.1 Market'!$H329,'1.1 Control Panel'!AN597*'1.1 Control Panel'!AN$569)</f>
        <v>59.980528886780512</v>
      </c>
      <c r="AP338" s="21"/>
    </row>
    <row r="339" spans="2:42" x14ac:dyDescent="0.25">
      <c r="C339" s="21" t="s">
        <v>456</v>
      </c>
      <c r="D339" s="38" t="s">
        <v>162</v>
      </c>
      <c r="E339" s="21">
        <f>MIN('3.1 Market'!$F330,'1.1 Control Panel'!E598*'1.1 Control Panel'!E$569)</f>
        <v>0</v>
      </c>
      <c r="F339" s="21">
        <f>MIN('3.1 Market'!$F330,'1.1 Control Panel'!F598*'1.1 Control Panel'!F$569)</f>
        <v>3</v>
      </c>
      <c r="G339" s="21">
        <f>MIN('3.1 Market'!$F330,'1.1 Control Panel'!G598*'1.1 Control Panel'!G$569)</f>
        <v>0</v>
      </c>
      <c r="H339" s="21">
        <f>MIN('3.1 Market'!$F330,'1.1 Control Panel'!H598*'1.1 Control Panel'!H$569)</f>
        <v>0</v>
      </c>
      <c r="I339" s="21">
        <f>MIN('3.1 Market'!$F330,'1.1 Control Panel'!I598*'1.1 Control Panel'!I$569)</f>
        <v>0</v>
      </c>
      <c r="J339" s="21">
        <f>MIN('3.1 Market'!$F330,'1.1 Control Panel'!J598*'1.1 Control Panel'!J$569)</f>
        <v>0</v>
      </c>
      <c r="K339" s="21">
        <f>MIN('3.1 Market'!$F330,'1.1 Control Panel'!K598*'1.1 Control Panel'!K$569)</f>
        <v>0</v>
      </c>
      <c r="L339" s="21">
        <f>MIN('3.1 Market'!$F330,'1.1 Control Panel'!L598*'1.1 Control Panel'!L$569)</f>
        <v>0</v>
      </c>
      <c r="M339" s="21">
        <f>MIN('3.1 Market'!$F330,'1.1 Control Panel'!M598*'1.1 Control Panel'!M$569)</f>
        <v>0</v>
      </c>
      <c r="N339" s="21">
        <f>MIN('3.1 Market'!$F330,'1.1 Control Panel'!N598*'1.1 Control Panel'!N$569)</f>
        <v>0</v>
      </c>
      <c r="O339" s="21">
        <f>MIN('3.1 Market'!$F330,'1.1 Control Panel'!O598*'1.1 Control Panel'!O$569)</f>
        <v>0</v>
      </c>
      <c r="P339" s="21">
        <f>MIN('3.1 Market'!$F330,'1.1 Control Panel'!P598*'1.1 Control Panel'!P$569)</f>
        <v>0</v>
      </c>
      <c r="Q339" s="21">
        <f>MIN('3.1 Market'!$G330,'1.1 Control Panel'!Q598*'1.1 Control Panel'!Q$569)</f>
        <v>4.6564026163200012</v>
      </c>
      <c r="R339" s="21">
        <f>MIN('3.1 Market'!$G330,'1.1 Control Panel'!R598*'1.1 Control Panel'!R$569)</f>
        <v>4.7251220930560009</v>
      </c>
      <c r="S339" s="21">
        <f>MIN('3.1 Market'!$G330,'1.1 Control Panel'!S598*'1.1 Control Panel'!S$569)</f>
        <v>4.7800976744448009</v>
      </c>
      <c r="T339" s="21">
        <f>MIN('3.1 Market'!$G330,'1.1 Control Panel'!T598*'1.1 Control Panel'!T$569)</f>
        <v>4.8240781395558407</v>
      </c>
      <c r="U339" s="21">
        <f>MIN('3.1 Market'!$G330,'1.1 Control Panel'!U598*'1.1 Control Panel'!U$569)</f>
        <v>14.577787534934018</v>
      </c>
      <c r="V339" s="21">
        <f>MIN('3.1 Market'!$G330,'1.1 Control Panel'!V598*'1.1 Control Panel'!V$569)</f>
        <v>14.662230027947215</v>
      </c>
      <c r="W339" s="21">
        <f>MIN('3.1 Market'!$G330,'1.1 Control Panel'!W598*'1.1 Control Panel'!W$569)</f>
        <v>14.729784022357771</v>
      </c>
      <c r="X339" s="21">
        <f>MIN('3.1 Market'!$G330,'1.1 Control Panel'!X598*'1.1 Control Panel'!X$569)</f>
        <v>14.783827217886218</v>
      </c>
      <c r="Y339" s="21">
        <f>MIN('3.1 Market'!$G330,'1.1 Control Panel'!Y598*'1.1 Control Panel'!Y$569)</f>
        <v>15</v>
      </c>
      <c r="Z339" s="21">
        <f>MIN('3.1 Market'!$G330,'1.1 Control Panel'!Z598*'1.1 Control Panel'!Z$569)</f>
        <v>15</v>
      </c>
      <c r="AA339" s="21">
        <f>MIN('3.1 Market'!$G330,'1.1 Control Panel'!AA598*'1.1 Control Panel'!AA$569)</f>
        <v>15</v>
      </c>
      <c r="AB339" s="21">
        <f>MIN('3.1 Market'!$G330,'1.1 Control Panel'!AB598*'1.1 Control Panel'!AB$569)</f>
        <v>15</v>
      </c>
      <c r="AC339" s="21">
        <f>MIN('3.1 Market'!$H330,'1.1 Control Panel'!AC598*'1.1 Control Panel'!AC$569)</f>
        <v>16</v>
      </c>
      <c r="AD339" s="21">
        <f>MIN('3.1 Market'!$H330,'1.1 Control Panel'!AD598*'1.1 Control Panel'!AD$569)</f>
        <v>16</v>
      </c>
      <c r="AE339" s="21">
        <f>MIN('3.1 Market'!$H330,'1.1 Control Panel'!AE598*'1.1 Control Panel'!AE$569)</f>
        <v>16</v>
      </c>
      <c r="AF339" s="21">
        <f>MIN('3.1 Market'!$H330,'1.1 Control Panel'!AF598*'1.1 Control Panel'!AF$569)</f>
        <v>16</v>
      </c>
      <c r="AG339" s="21">
        <f>MIN('3.1 Market'!$H330,'1.1 Control Panel'!AG598*'1.1 Control Panel'!AG$569)</f>
        <v>16</v>
      </c>
      <c r="AH339" s="21">
        <f>MIN('3.1 Market'!$H330,'1.1 Control Panel'!AH598*'1.1 Control Panel'!AH$569)</f>
        <v>16</v>
      </c>
      <c r="AI339" s="21">
        <f>MIN('3.1 Market'!$H330,'1.1 Control Panel'!AI598*'1.1 Control Panel'!AI$569)</f>
        <v>16</v>
      </c>
      <c r="AJ339" s="21">
        <f>MIN('3.1 Market'!$H330,'1.1 Control Panel'!AJ598*'1.1 Control Panel'!AJ$569)</f>
        <v>16</v>
      </c>
      <c r="AK339" s="21">
        <f>MIN('3.1 Market'!$H330,'1.1 Control Panel'!AK598*'1.1 Control Panel'!AK$569)</f>
        <v>16</v>
      </c>
      <c r="AL339" s="21">
        <f>MIN('3.1 Market'!$H330,'1.1 Control Panel'!AL598*'1.1 Control Panel'!AL$569)</f>
        <v>16</v>
      </c>
      <c r="AM339" s="21">
        <f>MIN('3.1 Market'!$H330,'1.1 Control Panel'!AM598*'1.1 Control Panel'!AM$569)</f>
        <v>16</v>
      </c>
      <c r="AN339" s="21">
        <f>MIN('3.1 Market'!$H330,'1.1 Control Panel'!AN598*'1.1 Control Panel'!AN$569)</f>
        <v>16</v>
      </c>
      <c r="AP339" s="21"/>
    </row>
    <row r="340" spans="2:42" x14ac:dyDescent="0.25">
      <c r="B340" s="99" t="s">
        <v>9</v>
      </c>
      <c r="C340" s="105" t="str">
        <f>'4.2 Sector Mapping'!$B$14</f>
        <v>Retail and Consumer Goods</v>
      </c>
      <c r="D340" s="106" t="s">
        <v>162</v>
      </c>
      <c r="E340" s="105">
        <f>SUM(E341:E346)</f>
        <v>24</v>
      </c>
      <c r="F340" s="105">
        <f t="shared" ref="F340:H340" si="163">SUM(F341:F346)</f>
        <v>29.6</v>
      </c>
      <c r="G340" s="105">
        <f t="shared" si="163"/>
        <v>18.040000000000003</v>
      </c>
      <c r="H340" s="105">
        <f t="shared" si="163"/>
        <v>19.832000000000004</v>
      </c>
      <c r="I340" s="105">
        <f t="shared" ref="I340:AN340" si="164">SUM(I341:I346)</f>
        <v>40.531200000000005</v>
      </c>
      <c r="J340" s="105">
        <f t="shared" si="164"/>
        <v>42.824960000000004</v>
      </c>
      <c r="K340" s="105">
        <f t="shared" si="164"/>
        <v>44.659968000000006</v>
      </c>
      <c r="L340" s="105">
        <f t="shared" si="164"/>
        <v>46.127974400000006</v>
      </c>
      <c r="M340" s="105">
        <f t="shared" si="164"/>
        <v>88.960202240000015</v>
      </c>
      <c r="N340" s="105">
        <f t="shared" si="164"/>
        <v>104.30237952000002</v>
      </c>
      <c r="O340" s="105">
        <f t="shared" si="164"/>
        <v>119.49028433920002</v>
      </c>
      <c r="P340" s="105">
        <f t="shared" si="164"/>
        <v>134.79093204992</v>
      </c>
      <c r="Q340" s="105">
        <f t="shared" si="164"/>
        <v>154.15170930278401</v>
      </c>
      <c r="R340" s="105">
        <f t="shared" si="164"/>
        <v>154.92136744222722</v>
      </c>
      <c r="S340" s="105">
        <f t="shared" si="164"/>
        <v>155.53709395378178</v>
      </c>
      <c r="T340" s="105">
        <f t="shared" si="164"/>
        <v>156.02967516302542</v>
      </c>
      <c r="U340" s="105">
        <f t="shared" si="164"/>
        <v>186.02967516302542</v>
      </c>
      <c r="V340" s="105">
        <f t="shared" si="164"/>
        <v>186.42374013042036</v>
      </c>
      <c r="W340" s="105">
        <f t="shared" si="164"/>
        <v>186.73899210433626</v>
      </c>
      <c r="X340" s="105">
        <f t="shared" si="164"/>
        <v>186.99119368346902</v>
      </c>
      <c r="Y340" s="105">
        <f t="shared" si="164"/>
        <v>202.11225044145274</v>
      </c>
      <c r="Z340" s="105">
        <f t="shared" si="164"/>
        <v>202.28980035316221</v>
      </c>
      <c r="AA340" s="105">
        <f t="shared" si="164"/>
        <v>202.43184028252978</v>
      </c>
      <c r="AB340" s="105">
        <f t="shared" si="164"/>
        <v>202.5454722260238</v>
      </c>
      <c r="AC340" s="105">
        <f t="shared" si="164"/>
        <v>279.47109495391862</v>
      </c>
      <c r="AD340" s="105">
        <f t="shared" si="164"/>
        <v>279.57687596313491</v>
      </c>
      <c r="AE340" s="105">
        <f t="shared" si="164"/>
        <v>279.66150077050793</v>
      </c>
      <c r="AF340" s="105">
        <f t="shared" si="164"/>
        <v>279.72920061640639</v>
      </c>
      <c r="AG340" s="105">
        <f t="shared" si="164"/>
        <v>354.71566064722668</v>
      </c>
      <c r="AH340" s="105">
        <f t="shared" si="164"/>
        <v>354.77252851778132</v>
      </c>
      <c r="AI340" s="105">
        <f t="shared" si="164"/>
        <v>354.81802281422506</v>
      </c>
      <c r="AJ340" s="105">
        <f t="shared" si="164"/>
        <v>354.85441825138008</v>
      </c>
      <c r="AK340" s="105">
        <f t="shared" si="164"/>
        <v>429.85580474422409</v>
      </c>
      <c r="AL340" s="105">
        <f t="shared" si="164"/>
        <v>429.8846437953793</v>
      </c>
      <c r="AM340" s="105">
        <f t="shared" si="164"/>
        <v>429.90771503630344</v>
      </c>
      <c r="AN340" s="105">
        <f t="shared" si="164"/>
        <v>429.92617202904285</v>
      </c>
      <c r="AP340" s="105"/>
    </row>
    <row r="341" spans="2:42" x14ac:dyDescent="0.25">
      <c r="C341" s="20" t="s">
        <v>600</v>
      </c>
      <c r="D341" s="34" t="s">
        <v>162</v>
      </c>
      <c r="E341" s="20">
        <f>MIN('3.1 Market'!$F332,'1.1 Control Panel'!E624*'1.1 Control Panel'!E$600)</f>
        <v>10</v>
      </c>
      <c r="F341" s="20">
        <f>MIN('3.1 Market'!$F332,'1.1 Control Panel'!F624*'1.1 Control Panel'!F$600)</f>
        <v>10</v>
      </c>
      <c r="G341" s="20">
        <f>MIN('3.1 Market'!$F332,'1.1 Control Panel'!G624*'1.1 Control Panel'!G$600)</f>
        <v>5</v>
      </c>
      <c r="H341" s="20">
        <f>MIN('3.1 Market'!$F332,'1.1 Control Panel'!H624*'1.1 Control Panel'!H$600)</f>
        <v>5</v>
      </c>
      <c r="I341" s="20">
        <f>MIN('3.1 Market'!$F332,'1.1 Control Panel'!I624*'1.1 Control Panel'!I$600)</f>
        <v>10</v>
      </c>
      <c r="J341" s="20">
        <f>MIN('3.1 Market'!$F332,'1.1 Control Panel'!J624*'1.1 Control Panel'!J$600)</f>
        <v>10</v>
      </c>
      <c r="K341" s="20">
        <f>MIN('3.1 Market'!$F332,'1.1 Control Panel'!K624*'1.1 Control Panel'!K$600)</f>
        <v>10</v>
      </c>
      <c r="L341" s="20">
        <f>MIN('3.1 Market'!$F332,'1.1 Control Panel'!L624*'1.1 Control Panel'!L$600)</f>
        <v>10</v>
      </c>
      <c r="M341" s="20">
        <f>MIN('3.1 Market'!$F332,'1.1 Control Panel'!M624*'1.1 Control Panel'!M$600)</f>
        <v>20</v>
      </c>
      <c r="N341" s="20">
        <f>MIN('3.1 Market'!$F332,'1.1 Control Panel'!N624*'1.1 Control Panel'!N$600)</f>
        <v>25</v>
      </c>
      <c r="O341" s="20">
        <f>MIN('3.1 Market'!$F332,'1.1 Control Panel'!O624*'1.1 Control Panel'!O$600)</f>
        <v>30</v>
      </c>
      <c r="P341" s="20">
        <f>MIN('3.1 Market'!$F332,'1.1 Control Panel'!P624*'1.1 Control Panel'!P$600)</f>
        <v>35</v>
      </c>
      <c r="Q341" s="20">
        <f>MIN('3.1 Market'!$G332,'1.1 Control Panel'!Q624*'1.1 Control Panel'!Q$600)</f>
        <v>40</v>
      </c>
      <c r="R341" s="20">
        <f>MIN('3.1 Market'!$G332,'1.1 Control Panel'!R624*'1.1 Control Panel'!R$600)</f>
        <v>40</v>
      </c>
      <c r="S341" s="20">
        <f>MIN('3.1 Market'!$G332,'1.1 Control Panel'!S624*'1.1 Control Panel'!S$600)</f>
        <v>40</v>
      </c>
      <c r="T341" s="20">
        <f>MIN('3.1 Market'!$G332,'1.1 Control Panel'!T624*'1.1 Control Panel'!T$600)</f>
        <v>40</v>
      </c>
      <c r="U341" s="20">
        <f>MIN('3.1 Market'!$G332,'1.1 Control Panel'!U624*'1.1 Control Panel'!U$600)</f>
        <v>50</v>
      </c>
      <c r="V341" s="20">
        <f>MIN('3.1 Market'!$G332,'1.1 Control Panel'!V624*'1.1 Control Panel'!V$600)</f>
        <v>50</v>
      </c>
      <c r="W341" s="20">
        <f>MIN('3.1 Market'!$G332,'1.1 Control Panel'!W624*'1.1 Control Panel'!W$600)</f>
        <v>50</v>
      </c>
      <c r="X341" s="20">
        <f>MIN('3.1 Market'!$G332,'1.1 Control Panel'!X624*'1.1 Control Panel'!X$600)</f>
        <v>50</v>
      </c>
      <c r="Y341" s="20">
        <f>MIN('3.1 Market'!$G332,'1.1 Control Panel'!Y624*'1.1 Control Panel'!Y$600)</f>
        <v>55</v>
      </c>
      <c r="Z341" s="20">
        <f>MIN('3.1 Market'!$G332,'1.1 Control Panel'!Z624*'1.1 Control Panel'!Z$600)</f>
        <v>55</v>
      </c>
      <c r="AA341" s="20">
        <f>MIN('3.1 Market'!$G332,'1.1 Control Panel'!AA624*'1.1 Control Panel'!AA$600)</f>
        <v>55</v>
      </c>
      <c r="AB341" s="20">
        <f>MIN('3.1 Market'!$G332,'1.1 Control Panel'!AB624*'1.1 Control Panel'!AB$600)</f>
        <v>55</v>
      </c>
      <c r="AC341" s="20">
        <f>MIN('3.1 Market'!$H332,'1.1 Control Panel'!AC624*'1.1 Control Panel'!AC$600)</f>
        <v>80</v>
      </c>
      <c r="AD341" s="20">
        <f>MIN('3.1 Market'!$H332,'1.1 Control Panel'!AD624*'1.1 Control Panel'!AD$600)</f>
        <v>80</v>
      </c>
      <c r="AE341" s="20">
        <f>MIN('3.1 Market'!$H332,'1.1 Control Panel'!AE624*'1.1 Control Panel'!AE$600)</f>
        <v>80</v>
      </c>
      <c r="AF341" s="20">
        <f>MIN('3.1 Market'!$H332,'1.1 Control Panel'!AF624*'1.1 Control Panel'!AF$600)</f>
        <v>80</v>
      </c>
      <c r="AG341" s="20">
        <f>MIN('3.1 Market'!$H332,'1.1 Control Panel'!AG624*'1.1 Control Panel'!AG$600)</f>
        <v>105</v>
      </c>
      <c r="AH341" s="20">
        <f>MIN('3.1 Market'!$H332,'1.1 Control Panel'!AH624*'1.1 Control Panel'!AH$600)</f>
        <v>105</v>
      </c>
      <c r="AI341" s="20">
        <f>MIN('3.1 Market'!$H332,'1.1 Control Panel'!AI624*'1.1 Control Panel'!AI$600)</f>
        <v>105</v>
      </c>
      <c r="AJ341" s="20">
        <f>MIN('3.1 Market'!$H332,'1.1 Control Panel'!AJ624*'1.1 Control Panel'!AJ$600)</f>
        <v>105</v>
      </c>
      <c r="AK341" s="20">
        <f>MIN('3.1 Market'!$H332,'1.1 Control Panel'!AK624*'1.1 Control Panel'!AK$600)</f>
        <v>130</v>
      </c>
      <c r="AL341" s="20">
        <f>MIN('3.1 Market'!$H332,'1.1 Control Panel'!AL624*'1.1 Control Panel'!AL$600)</f>
        <v>130</v>
      </c>
      <c r="AM341" s="20">
        <f>MIN('3.1 Market'!$H332,'1.1 Control Panel'!AM624*'1.1 Control Panel'!AM$600)</f>
        <v>130</v>
      </c>
      <c r="AN341" s="20">
        <f>MIN('3.1 Market'!$H332,'1.1 Control Panel'!AN624*'1.1 Control Panel'!AN$600)</f>
        <v>130</v>
      </c>
      <c r="AP341" s="20"/>
    </row>
    <row r="342" spans="2:42" x14ac:dyDescent="0.25">
      <c r="C342" s="20" t="s">
        <v>392</v>
      </c>
      <c r="D342" s="34" t="s">
        <v>162</v>
      </c>
      <c r="E342" s="20">
        <f>MIN('3.1 Market'!$F333,'1.1 Control Panel'!E625*'1.1 Control Panel'!E$600)</f>
        <v>2</v>
      </c>
      <c r="F342" s="20">
        <f>MIN('3.1 Market'!$F333,'1.1 Control Panel'!F625*'1.1 Control Panel'!F$600)</f>
        <v>2</v>
      </c>
      <c r="G342" s="20">
        <f>MIN('3.1 Market'!$F333,'1.1 Control Panel'!G625*'1.1 Control Panel'!G$600)</f>
        <v>2</v>
      </c>
      <c r="H342" s="20">
        <f>MIN('3.1 Market'!$F333,'1.1 Control Panel'!H625*'1.1 Control Panel'!H$600)</f>
        <v>2</v>
      </c>
      <c r="I342" s="20">
        <f>MIN('3.1 Market'!$F333,'1.1 Control Panel'!I625*'1.1 Control Panel'!I$600)</f>
        <v>2</v>
      </c>
      <c r="J342" s="20">
        <f>MIN('3.1 Market'!$F333,'1.1 Control Panel'!J625*'1.1 Control Panel'!J$600)</f>
        <v>2</v>
      </c>
      <c r="K342" s="20">
        <f>MIN('3.1 Market'!$F333,'1.1 Control Panel'!K625*'1.1 Control Panel'!K$600)</f>
        <v>2</v>
      </c>
      <c r="L342" s="20">
        <f>MIN('3.1 Market'!$F333,'1.1 Control Panel'!L625*'1.1 Control Panel'!L$600)</f>
        <v>2</v>
      </c>
      <c r="M342" s="20">
        <f>MIN('3.1 Market'!$F333,'1.1 Control Panel'!M625*'1.1 Control Panel'!M$600)</f>
        <v>2</v>
      </c>
      <c r="N342" s="20">
        <f>MIN('3.1 Market'!$F333,'1.1 Control Panel'!N625*'1.1 Control Panel'!N$600)</f>
        <v>2</v>
      </c>
      <c r="O342" s="20">
        <f>MIN('3.1 Market'!$F333,'1.1 Control Panel'!O625*'1.1 Control Panel'!O$600)</f>
        <v>2</v>
      </c>
      <c r="P342" s="20">
        <f>MIN('3.1 Market'!$F333,'1.1 Control Panel'!P625*'1.1 Control Panel'!P$600)</f>
        <v>2</v>
      </c>
      <c r="Q342" s="20">
        <f>MIN('3.1 Market'!$G333,'1.1 Control Panel'!Q625*'1.1 Control Panel'!Q$600)</f>
        <v>2</v>
      </c>
      <c r="R342" s="20">
        <f>MIN('3.1 Market'!$G333,'1.1 Control Panel'!R625*'1.1 Control Panel'!R$600)</f>
        <v>2</v>
      </c>
      <c r="S342" s="20">
        <f>MIN('3.1 Market'!$G333,'1.1 Control Panel'!S625*'1.1 Control Panel'!S$600)</f>
        <v>2</v>
      </c>
      <c r="T342" s="20">
        <f>MIN('3.1 Market'!$G333,'1.1 Control Panel'!T625*'1.1 Control Panel'!T$600)</f>
        <v>2</v>
      </c>
      <c r="U342" s="20">
        <f>MIN('3.1 Market'!$G333,'1.1 Control Panel'!U625*'1.1 Control Panel'!U$600)</f>
        <v>2</v>
      </c>
      <c r="V342" s="20">
        <f>MIN('3.1 Market'!$G333,'1.1 Control Panel'!V625*'1.1 Control Panel'!V$600)</f>
        <v>2</v>
      </c>
      <c r="W342" s="20">
        <f>MIN('3.1 Market'!$G333,'1.1 Control Panel'!W625*'1.1 Control Panel'!W$600)</f>
        <v>2</v>
      </c>
      <c r="X342" s="20">
        <f>MIN('3.1 Market'!$G333,'1.1 Control Panel'!X625*'1.1 Control Panel'!X$600)</f>
        <v>2</v>
      </c>
      <c r="Y342" s="20">
        <f>MIN('3.1 Market'!$G333,'1.1 Control Panel'!Y625*'1.1 Control Panel'!Y$600)</f>
        <v>2</v>
      </c>
      <c r="Z342" s="20">
        <f>MIN('3.1 Market'!$G333,'1.1 Control Panel'!Z625*'1.1 Control Panel'!Z$600)</f>
        <v>2</v>
      </c>
      <c r="AA342" s="20">
        <f>MIN('3.1 Market'!$G333,'1.1 Control Panel'!AA625*'1.1 Control Panel'!AA$600)</f>
        <v>2</v>
      </c>
      <c r="AB342" s="20">
        <f>MIN('3.1 Market'!$G333,'1.1 Control Panel'!AB625*'1.1 Control Panel'!AB$600)</f>
        <v>2</v>
      </c>
      <c r="AC342" s="20">
        <f>MIN('3.1 Market'!$H333,'1.1 Control Panel'!AC625*'1.1 Control Panel'!AC$600)</f>
        <v>2</v>
      </c>
      <c r="AD342" s="20">
        <f>MIN('3.1 Market'!$H333,'1.1 Control Panel'!AD625*'1.1 Control Panel'!AD$600)</f>
        <v>2</v>
      </c>
      <c r="AE342" s="20">
        <f>MIN('3.1 Market'!$H333,'1.1 Control Panel'!AE625*'1.1 Control Panel'!AE$600)</f>
        <v>2</v>
      </c>
      <c r="AF342" s="20">
        <f>MIN('3.1 Market'!$H333,'1.1 Control Panel'!AF625*'1.1 Control Panel'!AF$600)</f>
        <v>2</v>
      </c>
      <c r="AG342" s="20">
        <f>MIN('3.1 Market'!$H333,'1.1 Control Panel'!AG625*'1.1 Control Panel'!AG$600)</f>
        <v>2</v>
      </c>
      <c r="AH342" s="20">
        <f>MIN('3.1 Market'!$H333,'1.1 Control Panel'!AH625*'1.1 Control Panel'!AH$600)</f>
        <v>2</v>
      </c>
      <c r="AI342" s="20">
        <f>MIN('3.1 Market'!$H333,'1.1 Control Panel'!AI625*'1.1 Control Panel'!AI$600)</f>
        <v>2</v>
      </c>
      <c r="AJ342" s="20">
        <f>MIN('3.1 Market'!$H333,'1.1 Control Panel'!AJ625*'1.1 Control Panel'!AJ$600)</f>
        <v>2</v>
      </c>
      <c r="AK342" s="20">
        <f>MIN('3.1 Market'!$H333,'1.1 Control Panel'!AK625*'1.1 Control Panel'!AK$600)</f>
        <v>2</v>
      </c>
      <c r="AL342" s="20">
        <f>MIN('3.1 Market'!$H333,'1.1 Control Panel'!AL625*'1.1 Control Panel'!AL$600)</f>
        <v>2</v>
      </c>
      <c r="AM342" s="20">
        <f>MIN('3.1 Market'!$H333,'1.1 Control Panel'!AM625*'1.1 Control Panel'!AM$600)</f>
        <v>2</v>
      </c>
      <c r="AN342" s="20">
        <f>MIN('3.1 Market'!$H333,'1.1 Control Panel'!AN625*'1.1 Control Panel'!AN$600)</f>
        <v>2</v>
      </c>
      <c r="AP342" s="20"/>
    </row>
    <row r="343" spans="2:42" x14ac:dyDescent="0.25">
      <c r="C343" s="20" t="s">
        <v>454</v>
      </c>
      <c r="D343" s="34" t="s">
        <v>162</v>
      </c>
      <c r="E343" s="20">
        <f>MIN('3.1 Market'!$F334,'1.1 Control Panel'!E626*'1.1 Control Panel'!E$600)</f>
        <v>6</v>
      </c>
      <c r="F343" s="20">
        <f>MIN('3.1 Market'!$F334,'1.1 Control Panel'!F626*'1.1 Control Panel'!F$600)</f>
        <v>6.8000000000000007</v>
      </c>
      <c r="G343" s="20">
        <f>MIN('3.1 Market'!$F334,'1.1 Control Panel'!G626*'1.1 Control Panel'!G$600)</f>
        <v>3.7200000000000006</v>
      </c>
      <c r="H343" s="20">
        <f>MIN('3.1 Market'!$F334,'1.1 Control Panel'!H626*'1.1 Control Panel'!H$600)</f>
        <v>3.9760000000000009</v>
      </c>
      <c r="I343" s="20">
        <f>MIN('3.1 Market'!$F334,'1.1 Control Panel'!I626*'1.1 Control Panel'!I$600)</f>
        <v>8.3616000000000028</v>
      </c>
      <c r="J343" s="20">
        <f>MIN('3.1 Market'!$F334,'1.1 Control Panel'!J626*'1.1 Control Panel'!J$600)</f>
        <v>8.6892800000000037</v>
      </c>
      <c r="K343" s="20">
        <f>MIN('3.1 Market'!$F334,'1.1 Control Panel'!K626*'1.1 Control Panel'!K$600)</f>
        <v>8.9514240000000029</v>
      </c>
      <c r="L343" s="20">
        <f>MIN('3.1 Market'!$F334,'1.1 Control Panel'!L626*'1.1 Control Panel'!L$600)</f>
        <v>9.1611392000000027</v>
      </c>
      <c r="M343" s="20">
        <f>MIN('3.1 Market'!$F334,'1.1 Control Panel'!M626*'1.1 Control Panel'!M$600)</f>
        <v>18.657822720000006</v>
      </c>
      <c r="N343" s="20">
        <f>MIN('3.1 Market'!$F334,'1.1 Control Panel'!N626*'1.1 Control Panel'!N$600)</f>
        <v>19</v>
      </c>
      <c r="O343" s="20">
        <f>MIN('3.1 Market'!$F334,'1.1 Control Panel'!O626*'1.1 Control Panel'!O$600)</f>
        <v>19</v>
      </c>
      <c r="P343" s="20">
        <f>MIN('3.1 Market'!$F334,'1.1 Control Panel'!P626*'1.1 Control Panel'!P$600)</f>
        <v>19</v>
      </c>
      <c r="Q343" s="20">
        <f>MIN('3.1 Market'!$G334,'1.1 Control Panel'!Q626*'1.1 Control Panel'!Q$600)</f>
        <v>21</v>
      </c>
      <c r="R343" s="20">
        <f>MIN('3.1 Market'!$G334,'1.1 Control Panel'!R626*'1.1 Control Panel'!R$600)</f>
        <v>21</v>
      </c>
      <c r="S343" s="20">
        <f>MIN('3.1 Market'!$G334,'1.1 Control Panel'!S626*'1.1 Control Panel'!S$600)</f>
        <v>21</v>
      </c>
      <c r="T343" s="20">
        <f>MIN('3.1 Market'!$G334,'1.1 Control Panel'!T626*'1.1 Control Panel'!T$600)</f>
        <v>21</v>
      </c>
      <c r="U343" s="20">
        <f>MIN('3.1 Market'!$G334,'1.1 Control Panel'!U626*'1.1 Control Panel'!U$600)</f>
        <v>21</v>
      </c>
      <c r="V343" s="20">
        <f>MIN('3.1 Market'!$G334,'1.1 Control Panel'!V626*'1.1 Control Panel'!V$600)</f>
        <v>21</v>
      </c>
      <c r="W343" s="20">
        <f>MIN('3.1 Market'!$G334,'1.1 Control Panel'!W626*'1.1 Control Panel'!W$600)</f>
        <v>21</v>
      </c>
      <c r="X343" s="20">
        <f>MIN('3.1 Market'!$G334,'1.1 Control Panel'!X626*'1.1 Control Panel'!X$600)</f>
        <v>21</v>
      </c>
      <c r="Y343" s="20">
        <f>MIN('3.1 Market'!$G334,'1.1 Control Panel'!Y626*'1.1 Control Panel'!Y$600)</f>
        <v>21</v>
      </c>
      <c r="Z343" s="20">
        <f>MIN('3.1 Market'!$G334,'1.1 Control Panel'!Z626*'1.1 Control Panel'!Z$600)</f>
        <v>21</v>
      </c>
      <c r="AA343" s="20">
        <f>MIN('3.1 Market'!$G334,'1.1 Control Panel'!AA626*'1.1 Control Panel'!AA$600)</f>
        <v>21</v>
      </c>
      <c r="AB343" s="20">
        <f>MIN('3.1 Market'!$G334,'1.1 Control Panel'!AB626*'1.1 Control Panel'!AB$600)</f>
        <v>21</v>
      </c>
      <c r="AC343" s="20">
        <f>MIN('3.1 Market'!$H334,'1.1 Control Panel'!AC626*'1.1 Control Panel'!AC$600)</f>
        <v>22</v>
      </c>
      <c r="AD343" s="20">
        <f>MIN('3.1 Market'!$H334,'1.1 Control Panel'!AD626*'1.1 Control Panel'!AD$600)</f>
        <v>22</v>
      </c>
      <c r="AE343" s="20">
        <f>MIN('3.1 Market'!$H334,'1.1 Control Panel'!AE626*'1.1 Control Panel'!AE$600)</f>
        <v>22</v>
      </c>
      <c r="AF343" s="20">
        <f>MIN('3.1 Market'!$H334,'1.1 Control Panel'!AF626*'1.1 Control Panel'!AF$600)</f>
        <v>22</v>
      </c>
      <c r="AG343" s="20">
        <f>MIN('3.1 Market'!$H334,'1.1 Control Panel'!AG626*'1.1 Control Panel'!AG$600)</f>
        <v>22</v>
      </c>
      <c r="AH343" s="20">
        <f>MIN('3.1 Market'!$H334,'1.1 Control Panel'!AH626*'1.1 Control Panel'!AH$600)</f>
        <v>22</v>
      </c>
      <c r="AI343" s="20">
        <f>MIN('3.1 Market'!$H334,'1.1 Control Panel'!AI626*'1.1 Control Panel'!AI$600)</f>
        <v>22</v>
      </c>
      <c r="AJ343" s="20">
        <f>MIN('3.1 Market'!$H334,'1.1 Control Panel'!AJ626*'1.1 Control Panel'!AJ$600)</f>
        <v>22</v>
      </c>
      <c r="AK343" s="20">
        <f>MIN('3.1 Market'!$H334,'1.1 Control Panel'!AK626*'1.1 Control Panel'!AK$600)</f>
        <v>22</v>
      </c>
      <c r="AL343" s="20">
        <f>MIN('3.1 Market'!$H334,'1.1 Control Panel'!AL626*'1.1 Control Panel'!AL$600)</f>
        <v>22</v>
      </c>
      <c r="AM343" s="20">
        <f>MIN('3.1 Market'!$H334,'1.1 Control Panel'!AM626*'1.1 Control Panel'!AM$600)</f>
        <v>22</v>
      </c>
      <c r="AN343" s="20">
        <f>MIN('3.1 Market'!$H334,'1.1 Control Panel'!AN626*'1.1 Control Panel'!AN$600)</f>
        <v>22</v>
      </c>
      <c r="AP343" s="20"/>
    </row>
    <row r="344" spans="2:42" x14ac:dyDescent="0.25">
      <c r="C344" s="21" t="s">
        <v>455</v>
      </c>
      <c r="D344" s="38" t="s">
        <v>162</v>
      </c>
      <c r="E344" s="21">
        <f>MIN('3.1 Market'!$F335,'1.1 Control Panel'!E627*'1.1 Control Panel'!E$600)</f>
        <v>4</v>
      </c>
      <c r="F344" s="21">
        <f>MIN('3.1 Market'!$F335,'1.1 Control Panel'!F627*'1.1 Control Panel'!F$600)</f>
        <v>5.2</v>
      </c>
      <c r="G344" s="21">
        <f>MIN('3.1 Market'!$F335,'1.1 Control Panel'!G627*'1.1 Control Panel'!G$600)</f>
        <v>3.08</v>
      </c>
      <c r="H344" s="21">
        <f>MIN('3.1 Market'!$F335,'1.1 Control Panel'!H627*'1.1 Control Panel'!H$600)</f>
        <v>3.4640000000000004</v>
      </c>
      <c r="I344" s="21">
        <f>MIN('3.1 Market'!$F335,'1.1 Control Panel'!I627*'1.1 Control Panel'!I$600)</f>
        <v>7.5424000000000007</v>
      </c>
      <c r="J344" s="21">
        <f>MIN('3.1 Market'!$F335,'1.1 Control Panel'!J627*'1.1 Control Panel'!J$600)</f>
        <v>8.0339200000000019</v>
      </c>
      <c r="K344" s="21">
        <f>MIN('3.1 Market'!$F335,'1.1 Control Panel'!K627*'1.1 Control Panel'!K$600)</f>
        <v>8.4271360000000008</v>
      </c>
      <c r="L344" s="21">
        <f>MIN('3.1 Market'!$F335,'1.1 Control Panel'!L627*'1.1 Control Panel'!L$600)</f>
        <v>8.7417088000000014</v>
      </c>
      <c r="M344" s="21">
        <f>MIN('3.1 Market'!$F335,'1.1 Control Panel'!M627*'1.1 Control Panel'!M$600)</f>
        <v>17.986734080000005</v>
      </c>
      <c r="N344" s="21">
        <f>MIN('3.1 Market'!$F335,'1.1 Control Panel'!N627*'1.1 Control Panel'!N$600)</f>
        <v>22.986734080000009</v>
      </c>
      <c r="O344" s="21">
        <f>MIN('3.1 Market'!$F335,'1.1 Control Panel'!O627*'1.1 Control Panel'!O$600)</f>
        <v>28.067264716800011</v>
      </c>
      <c r="P344" s="21">
        <f>MIN('3.1 Market'!$F335,'1.1 Control Panel'!P627*'1.1 Control Panel'!P$600)</f>
        <v>33.196113735680008</v>
      </c>
      <c r="Q344" s="21">
        <f>MIN('3.1 Market'!$G335,'1.1 Control Panel'!Q627*'1.1 Control Panel'!Q$600)</f>
        <v>38.350732558336006</v>
      </c>
      <c r="R344" s="21">
        <f>MIN('3.1 Market'!$G335,'1.1 Control Panel'!R627*'1.1 Control Panel'!R$600)</f>
        <v>38.680586046668807</v>
      </c>
      <c r="S344" s="21">
        <f>MIN('3.1 Market'!$G335,'1.1 Control Panel'!S627*'1.1 Control Panel'!S$600)</f>
        <v>38.944468837335052</v>
      </c>
      <c r="T344" s="21">
        <f>MIN('3.1 Market'!$G335,'1.1 Control Panel'!T627*'1.1 Control Panel'!T$600)</f>
        <v>39.155575069868043</v>
      </c>
      <c r="U344" s="21">
        <f>MIN('3.1 Market'!$G335,'1.1 Control Panel'!U627*'1.1 Control Panel'!U$600)</f>
        <v>49.155575069868043</v>
      </c>
      <c r="V344" s="21">
        <f>MIN('3.1 Market'!$G335,'1.1 Control Panel'!V627*'1.1 Control Panel'!V$600)</f>
        <v>49.324460055894441</v>
      </c>
      <c r="W344" s="21">
        <f>MIN('3.1 Market'!$G335,'1.1 Control Panel'!W627*'1.1 Control Panel'!W$600)</f>
        <v>49.459568044715553</v>
      </c>
      <c r="X344" s="21">
        <f>MIN('3.1 Market'!$G335,'1.1 Control Panel'!X627*'1.1 Control Panel'!X$600)</f>
        <v>49.56765443577244</v>
      </c>
      <c r="Y344" s="21">
        <f>MIN('3.1 Market'!$G335,'1.1 Control Panel'!Y627*'1.1 Control Panel'!Y$600)</f>
        <v>54.619535903479751</v>
      </c>
      <c r="Z344" s="21">
        <f>MIN('3.1 Market'!$G335,'1.1 Control Panel'!Z627*'1.1 Control Panel'!Z$600)</f>
        <v>54.695628722783802</v>
      </c>
      <c r="AA344" s="21">
        <f>MIN('3.1 Market'!$G335,'1.1 Control Panel'!AA627*'1.1 Control Panel'!AA$600)</f>
        <v>54.756502978227047</v>
      </c>
      <c r="AB344" s="21">
        <f>MIN('3.1 Market'!$G335,'1.1 Control Panel'!AB627*'1.1 Control Panel'!AB$600)</f>
        <v>54.805202382581641</v>
      </c>
      <c r="AC344" s="21">
        <f>MIN('3.1 Market'!$H335,'1.1 Control Panel'!AC627*'1.1 Control Panel'!AC$600)</f>
        <v>79.773326408822271</v>
      </c>
      <c r="AD344" s="21">
        <f>MIN('3.1 Market'!$H335,'1.1 Control Panel'!AD627*'1.1 Control Panel'!AD$600)</f>
        <v>79.818661127057823</v>
      </c>
      <c r="AE344" s="21">
        <f>MIN('3.1 Market'!$H335,'1.1 Control Panel'!AE627*'1.1 Control Panel'!AE$600)</f>
        <v>79.854928901646261</v>
      </c>
      <c r="AF344" s="21">
        <f>MIN('3.1 Market'!$H335,'1.1 Control Panel'!AF627*'1.1 Control Panel'!AF$600)</f>
        <v>79.883943121317003</v>
      </c>
      <c r="AG344" s="21">
        <f>MIN('3.1 Market'!$H335,'1.1 Control Panel'!AG627*'1.1 Control Panel'!AG$600)</f>
        <v>104.87814027738284</v>
      </c>
      <c r="AH344" s="21">
        <f>MIN('3.1 Market'!$H335,'1.1 Control Panel'!AH627*'1.1 Control Panel'!AH$600)</f>
        <v>104.90251222190626</v>
      </c>
      <c r="AI344" s="21">
        <f>MIN('3.1 Market'!$H335,'1.1 Control Panel'!AI627*'1.1 Control Panel'!AI$600)</f>
        <v>104.92200977752503</v>
      </c>
      <c r="AJ344" s="21">
        <f>MIN('3.1 Market'!$H335,'1.1 Control Panel'!AJ627*'1.1 Control Panel'!AJ$600)</f>
        <v>104.93760782202003</v>
      </c>
      <c r="AK344" s="21">
        <f>MIN('3.1 Market'!$H335,'1.1 Control Panel'!AK627*'1.1 Control Panel'!AK$600)</f>
        <v>129.93820203323889</v>
      </c>
      <c r="AL344" s="21">
        <f>MIN('3.1 Market'!$H335,'1.1 Control Panel'!AL627*'1.1 Control Panel'!AL$600)</f>
        <v>129.95056162659111</v>
      </c>
      <c r="AM344" s="21">
        <f>MIN('3.1 Market'!$H335,'1.1 Control Panel'!AM627*'1.1 Control Panel'!AM$600)</f>
        <v>129.96044930127292</v>
      </c>
      <c r="AN344" s="21">
        <f>MIN('3.1 Market'!$H335,'1.1 Control Panel'!AN627*'1.1 Control Panel'!AN$600)</f>
        <v>129.96835944101835</v>
      </c>
      <c r="AP344" s="21"/>
    </row>
    <row r="345" spans="2:42" x14ac:dyDescent="0.25">
      <c r="C345" s="21" t="s">
        <v>393</v>
      </c>
      <c r="D345" s="38" t="s">
        <v>162</v>
      </c>
      <c r="E345" s="21">
        <f>MIN('3.1 Market'!$F336,'1.1 Control Panel'!E628*'1.1 Control Panel'!E$600)</f>
        <v>2</v>
      </c>
      <c r="F345" s="21">
        <f>MIN('3.1 Market'!$F336,'1.1 Control Panel'!F628*'1.1 Control Panel'!F$600)</f>
        <v>3.6</v>
      </c>
      <c r="G345" s="21">
        <f>MIN('3.1 Market'!$F336,'1.1 Control Panel'!G628*'1.1 Control Panel'!G$600)</f>
        <v>2.4400000000000004</v>
      </c>
      <c r="H345" s="21">
        <f>MIN('3.1 Market'!$F336,'1.1 Control Panel'!H628*'1.1 Control Panel'!H$600)</f>
        <v>2.9520000000000004</v>
      </c>
      <c r="I345" s="21">
        <f>MIN('3.1 Market'!$F336,'1.1 Control Panel'!I628*'1.1 Control Panel'!I$600)</f>
        <v>6.7232000000000012</v>
      </c>
      <c r="J345" s="21">
        <f>MIN('3.1 Market'!$F336,'1.1 Control Panel'!J628*'1.1 Control Panel'!J$600)</f>
        <v>7.3785600000000011</v>
      </c>
      <c r="K345" s="21">
        <f>MIN('3.1 Market'!$F336,'1.1 Control Panel'!K628*'1.1 Control Panel'!K$600)</f>
        <v>7.9028480000000014</v>
      </c>
      <c r="L345" s="21">
        <f>MIN('3.1 Market'!$F336,'1.1 Control Panel'!L628*'1.1 Control Panel'!L$600)</f>
        <v>8.3222784000000019</v>
      </c>
      <c r="M345" s="21">
        <f>MIN('3.1 Market'!$F336,'1.1 Control Panel'!M628*'1.1 Control Panel'!M$600)</f>
        <v>17.315645440000004</v>
      </c>
      <c r="N345" s="21">
        <f>MIN('3.1 Market'!$F336,'1.1 Control Panel'!N628*'1.1 Control Panel'!N$600)</f>
        <v>22.315645440000004</v>
      </c>
      <c r="O345" s="21">
        <f>MIN('3.1 Market'!$F336,'1.1 Control Panel'!O628*'1.1 Control Panel'!O$600)</f>
        <v>27.423019622400005</v>
      </c>
      <c r="P345" s="21">
        <f>MIN('3.1 Market'!$F336,'1.1 Control Panel'!P628*'1.1 Control Panel'!P$600)</f>
        <v>32.594818314240008</v>
      </c>
      <c r="Q345" s="21">
        <f>MIN('3.1 Market'!$G336,'1.1 Control Panel'!Q628*'1.1 Control Panel'!Q$600)</f>
        <v>37.800976744448008</v>
      </c>
      <c r="R345" s="21">
        <f>MIN('3.1 Market'!$G336,'1.1 Control Panel'!R628*'1.1 Control Panel'!R$600)</f>
        <v>38.240781395558407</v>
      </c>
      <c r="S345" s="21">
        <f>MIN('3.1 Market'!$G336,'1.1 Control Panel'!S628*'1.1 Control Panel'!S$600)</f>
        <v>38.592625116446726</v>
      </c>
      <c r="T345" s="21">
        <f>MIN('3.1 Market'!$G336,'1.1 Control Panel'!T628*'1.1 Control Panel'!T$600)</f>
        <v>38.874100093157381</v>
      </c>
      <c r="U345" s="21">
        <f>MIN('3.1 Market'!$G336,'1.1 Control Panel'!U628*'1.1 Control Panel'!U$600)</f>
        <v>48.874100093157381</v>
      </c>
      <c r="V345" s="21">
        <f>MIN('3.1 Market'!$G336,'1.1 Control Panel'!V628*'1.1 Control Panel'!V$600)</f>
        <v>49.099280074525907</v>
      </c>
      <c r="W345" s="21">
        <f>MIN('3.1 Market'!$G336,'1.1 Control Panel'!W628*'1.1 Control Panel'!W$600)</f>
        <v>49.279424059620723</v>
      </c>
      <c r="X345" s="21">
        <f>MIN('3.1 Market'!$G336,'1.1 Control Panel'!X628*'1.1 Control Panel'!X$600)</f>
        <v>49.423539247696588</v>
      </c>
      <c r="Y345" s="21">
        <f>MIN('3.1 Market'!$G336,'1.1 Control Panel'!Y628*'1.1 Control Panel'!Y$600)</f>
        <v>54.492714537973001</v>
      </c>
      <c r="Z345" s="21">
        <f>MIN('3.1 Market'!$G336,'1.1 Control Panel'!Z628*'1.1 Control Panel'!Z$600)</f>
        <v>54.594171630378398</v>
      </c>
      <c r="AA345" s="21">
        <f>MIN('3.1 Market'!$G336,'1.1 Control Panel'!AA628*'1.1 Control Panel'!AA$600)</f>
        <v>54.675337304302722</v>
      </c>
      <c r="AB345" s="21">
        <f>MIN('3.1 Market'!$G336,'1.1 Control Panel'!AB628*'1.1 Control Panel'!AB$600)</f>
        <v>54.740269843442171</v>
      </c>
      <c r="AC345" s="21">
        <f>MIN('3.1 Market'!$H336,'1.1 Control Panel'!AC628*'1.1 Control Panel'!AC$600)</f>
        <v>79.697768545096352</v>
      </c>
      <c r="AD345" s="21">
        <f>MIN('3.1 Market'!$H336,'1.1 Control Panel'!AD628*'1.1 Control Panel'!AD$600)</f>
        <v>79.758214836077087</v>
      </c>
      <c r="AE345" s="21">
        <f>MIN('3.1 Market'!$H336,'1.1 Control Panel'!AE628*'1.1 Control Panel'!AE$600)</f>
        <v>79.806571868861681</v>
      </c>
      <c r="AF345" s="21">
        <f>MIN('3.1 Market'!$H336,'1.1 Control Panel'!AF628*'1.1 Control Panel'!AF$600)</f>
        <v>79.845257495089356</v>
      </c>
      <c r="AG345" s="21">
        <f>MIN('3.1 Market'!$H336,'1.1 Control Panel'!AG628*'1.1 Control Panel'!AG$600)</f>
        <v>104.83752036984383</v>
      </c>
      <c r="AH345" s="21">
        <f>MIN('3.1 Market'!$H336,'1.1 Control Panel'!AH628*'1.1 Control Panel'!AH$600)</f>
        <v>104.87001629587508</v>
      </c>
      <c r="AI345" s="21">
        <f>MIN('3.1 Market'!$H336,'1.1 Control Panel'!AI628*'1.1 Control Panel'!AI$600)</f>
        <v>104.89601303670005</v>
      </c>
      <c r="AJ345" s="21">
        <f>MIN('3.1 Market'!$H336,'1.1 Control Panel'!AJ628*'1.1 Control Panel'!AJ$600)</f>
        <v>104.91681042936005</v>
      </c>
      <c r="AK345" s="21">
        <f>MIN('3.1 Market'!$H336,'1.1 Control Panel'!AK628*'1.1 Control Panel'!AK$600)</f>
        <v>129.91760271098522</v>
      </c>
      <c r="AL345" s="21">
        <f>MIN('3.1 Market'!$H336,'1.1 Control Panel'!AL628*'1.1 Control Panel'!AL$600)</f>
        <v>129.93408216878817</v>
      </c>
      <c r="AM345" s="21">
        <f>MIN('3.1 Market'!$H336,'1.1 Control Panel'!AM628*'1.1 Control Panel'!AM$600)</f>
        <v>129.94726573503056</v>
      </c>
      <c r="AN345" s="21">
        <f>MIN('3.1 Market'!$H336,'1.1 Control Panel'!AN628*'1.1 Control Panel'!AN$600)</f>
        <v>129.95781258802444</v>
      </c>
      <c r="AP345" s="21"/>
    </row>
    <row r="346" spans="2:42" x14ac:dyDescent="0.25">
      <c r="C346" s="21" t="s">
        <v>456</v>
      </c>
      <c r="D346" s="38" t="s">
        <v>162</v>
      </c>
      <c r="E346" s="21">
        <f>MIN('3.1 Market'!$F337,'1.1 Control Panel'!E629*'1.1 Control Panel'!E$600)</f>
        <v>0</v>
      </c>
      <c r="F346" s="21">
        <f>MIN('3.1 Market'!$F337,'1.1 Control Panel'!F629*'1.1 Control Panel'!F$600)</f>
        <v>2</v>
      </c>
      <c r="G346" s="21">
        <f>MIN('3.1 Market'!$F337,'1.1 Control Panel'!G629*'1.1 Control Panel'!G$600)</f>
        <v>1.8</v>
      </c>
      <c r="H346" s="21">
        <f>MIN('3.1 Market'!$F337,'1.1 Control Panel'!H629*'1.1 Control Panel'!H$600)</f>
        <v>2.4400000000000004</v>
      </c>
      <c r="I346" s="21">
        <f>MIN('3.1 Market'!$F337,'1.1 Control Panel'!I629*'1.1 Control Panel'!I$600)</f>
        <v>5.9040000000000008</v>
      </c>
      <c r="J346" s="21">
        <f>MIN('3.1 Market'!$F337,'1.1 Control Panel'!J629*'1.1 Control Panel'!J$600)</f>
        <v>6.7232000000000012</v>
      </c>
      <c r="K346" s="21">
        <f>MIN('3.1 Market'!$F337,'1.1 Control Panel'!K629*'1.1 Control Panel'!K$600)</f>
        <v>7.3785600000000011</v>
      </c>
      <c r="L346" s="21">
        <f>MIN('3.1 Market'!$F337,'1.1 Control Panel'!L629*'1.1 Control Panel'!L$600)</f>
        <v>7.9028480000000014</v>
      </c>
      <c r="M346" s="21">
        <f>MIN('3.1 Market'!$F337,'1.1 Control Panel'!M629*'1.1 Control Panel'!M$600)</f>
        <v>13</v>
      </c>
      <c r="N346" s="21">
        <f>MIN('3.1 Market'!$F337,'1.1 Control Panel'!N629*'1.1 Control Panel'!N$600)</f>
        <v>13</v>
      </c>
      <c r="O346" s="21">
        <f>MIN('3.1 Market'!$F337,'1.1 Control Panel'!O629*'1.1 Control Panel'!O$600)</f>
        <v>13</v>
      </c>
      <c r="P346" s="21">
        <f>MIN('3.1 Market'!$F337,'1.1 Control Panel'!P629*'1.1 Control Panel'!P$600)</f>
        <v>13</v>
      </c>
      <c r="Q346" s="21">
        <f>MIN('3.1 Market'!$G337,'1.1 Control Panel'!Q629*'1.1 Control Panel'!Q$600)</f>
        <v>15</v>
      </c>
      <c r="R346" s="21">
        <f>MIN('3.1 Market'!$G337,'1.1 Control Panel'!R629*'1.1 Control Panel'!R$600)</f>
        <v>15</v>
      </c>
      <c r="S346" s="21">
        <f>MIN('3.1 Market'!$G337,'1.1 Control Panel'!S629*'1.1 Control Panel'!S$600)</f>
        <v>15</v>
      </c>
      <c r="T346" s="21">
        <f>MIN('3.1 Market'!$G337,'1.1 Control Panel'!T629*'1.1 Control Panel'!T$600)</f>
        <v>15</v>
      </c>
      <c r="U346" s="21">
        <f>MIN('3.1 Market'!$G337,'1.1 Control Panel'!U629*'1.1 Control Panel'!U$600)</f>
        <v>15</v>
      </c>
      <c r="V346" s="21">
        <f>MIN('3.1 Market'!$G337,'1.1 Control Panel'!V629*'1.1 Control Panel'!V$600)</f>
        <v>15</v>
      </c>
      <c r="W346" s="21">
        <f>MIN('3.1 Market'!$G337,'1.1 Control Panel'!W629*'1.1 Control Panel'!W$600)</f>
        <v>15</v>
      </c>
      <c r="X346" s="21">
        <f>MIN('3.1 Market'!$G337,'1.1 Control Panel'!X629*'1.1 Control Panel'!X$600)</f>
        <v>15</v>
      </c>
      <c r="Y346" s="21">
        <f>MIN('3.1 Market'!$G337,'1.1 Control Panel'!Y629*'1.1 Control Panel'!Y$600)</f>
        <v>15</v>
      </c>
      <c r="Z346" s="21">
        <f>MIN('3.1 Market'!$G337,'1.1 Control Panel'!Z629*'1.1 Control Panel'!Z$600)</f>
        <v>15</v>
      </c>
      <c r="AA346" s="21">
        <f>MIN('3.1 Market'!$G337,'1.1 Control Panel'!AA629*'1.1 Control Panel'!AA$600)</f>
        <v>15</v>
      </c>
      <c r="AB346" s="21">
        <f>MIN('3.1 Market'!$G337,'1.1 Control Panel'!AB629*'1.1 Control Panel'!AB$600)</f>
        <v>15</v>
      </c>
      <c r="AC346" s="21">
        <f>MIN('3.1 Market'!$H337,'1.1 Control Panel'!AC629*'1.1 Control Panel'!AC$600)</f>
        <v>16</v>
      </c>
      <c r="AD346" s="21">
        <f>MIN('3.1 Market'!$H337,'1.1 Control Panel'!AD629*'1.1 Control Panel'!AD$600)</f>
        <v>16</v>
      </c>
      <c r="AE346" s="21">
        <f>MIN('3.1 Market'!$H337,'1.1 Control Panel'!AE629*'1.1 Control Panel'!AE$600)</f>
        <v>16</v>
      </c>
      <c r="AF346" s="21">
        <f>MIN('3.1 Market'!$H337,'1.1 Control Panel'!AF629*'1.1 Control Panel'!AF$600)</f>
        <v>16</v>
      </c>
      <c r="AG346" s="21">
        <f>MIN('3.1 Market'!$H337,'1.1 Control Panel'!AG629*'1.1 Control Panel'!AG$600)</f>
        <v>16</v>
      </c>
      <c r="AH346" s="21">
        <f>MIN('3.1 Market'!$H337,'1.1 Control Panel'!AH629*'1.1 Control Panel'!AH$600)</f>
        <v>16</v>
      </c>
      <c r="AI346" s="21">
        <f>MIN('3.1 Market'!$H337,'1.1 Control Panel'!AI629*'1.1 Control Panel'!AI$600)</f>
        <v>16</v>
      </c>
      <c r="AJ346" s="21">
        <f>MIN('3.1 Market'!$H337,'1.1 Control Panel'!AJ629*'1.1 Control Panel'!AJ$600)</f>
        <v>16</v>
      </c>
      <c r="AK346" s="21">
        <f>MIN('3.1 Market'!$H337,'1.1 Control Panel'!AK629*'1.1 Control Panel'!AK$600)</f>
        <v>16</v>
      </c>
      <c r="AL346" s="21">
        <f>MIN('3.1 Market'!$H337,'1.1 Control Panel'!AL629*'1.1 Control Panel'!AL$600)</f>
        <v>16</v>
      </c>
      <c r="AM346" s="21">
        <f>MIN('3.1 Market'!$H337,'1.1 Control Panel'!AM629*'1.1 Control Panel'!AM$600)</f>
        <v>16</v>
      </c>
      <c r="AN346" s="21">
        <f>MIN('3.1 Market'!$H337,'1.1 Control Panel'!AN629*'1.1 Control Panel'!AN$600)</f>
        <v>16</v>
      </c>
      <c r="AP346" s="21"/>
    </row>
    <row r="347" spans="2:42" x14ac:dyDescent="0.25">
      <c r="B347" s="99" t="s">
        <v>9</v>
      </c>
      <c r="C347" s="105" t="str">
        <f>'4.2 Sector Mapping'!$B$15</f>
        <v>Entertainment and Recreation</v>
      </c>
      <c r="D347" s="106" t="s">
        <v>162</v>
      </c>
      <c r="E347" s="105">
        <f>SUM(E348:E353)</f>
        <v>0</v>
      </c>
      <c r="F347" s="105">
        <f t="shared" ref="F347:H347" si="165">SUM(F348:F353)</f>
        <v>0</v>
      </c>
      <c r="G347" s="105">
        <f t="shared" si="165"/>
        <v>0</v>
      </c>
      <c r="H347" s="105">
        <f t="shared" si="165"/>
        <v>0</v>
      </c>
      <c r="I347" s="105">
        <f t="shared" ref="I347:AN347" si="166">SUM(I348:I353)</f>
        <v>22.265600000000003</v>
      </c>
      <c r="J347" s="105">
        <f t="shared" si="166"/>
        <v>23.412480000000002</v>
      </c>
      <c r="K347" s="105">
        <f t="shared" si="166"/>
        <v>24.329984000000003</v>
      </c>
      <c r="L347" s="105">
        <f t="shared" si="166"/>
        <v>25.063987200000003</v>
      </c>
      <c r="M347" s="105">
        <f t="shared" si="166"/>
        <v>25.651189760000001</v>
      </c>
      <c r="N347" s="105">
        <f t="shared" si="166"/>
        <v>26.120951808000001</v>
      </c>
      <c r="O347" s="105">
        <f t="shared" si="166"/>
        <v>26.496761446400001</v>
      </c>
      <c r="P347" s="105">
        <f t="shared" si="166"/>
        <v>26.797409157120004</v>
      </c>
      <c r="Q347" s="105">
        <f t="shared" si="166"/>
        <v>51.075854651392007</v>
      </c>
      <c r="R347" s="105">
        <f t="shared" si="166"/>
        <v>51.460683721113604</v>
      </c>
      <c r="S347" s="105">
        <f t="shared" si="166"/>
        <v>51.768546976890889</v>
      </c>
      <c r="T347" s="105">
        <f t="shared" si="166"/>
        <v>52.014837581512715</v>
      </c>
      <c r="U347" s="105">
        <f t="shared" si="166"/>
        <v>76.817805097815253</v>
      </c>
      <c r="V347" s="105">
        <f t="shared" si="166"/>
        <v>77.054244078252196</v>
      </c>
      <c r="W347" s="105">
        <f t="shared" si="166"/>
        <v>77.243395262601766</v>
      </c>
      <c r="X347" s="105">
        <f t="shared" si="166"/>
        <v>77.394716210081413</v>
      </c>
      <c r="Y347" s="105">
        <f t="shared" si="166"/>
        <v>77.515772968065136</v>
      </c>
      <c r="Z347" s="105">
        <f t="shared" si="166"/>
        <v>77.612618374452111</v>
      </c>
      <c r="AA347" s="105">
        <f t="shared" si="166"/>
        <v>77.690094699561683</v>
      </c>
      <c r="AB347" s="105">
        <f t="shared" si="166"/>
        <v>77.752075759649358</v>
      </c>
      <c r="AC347" s="105">
        <f t="shared" si="166"/>
        <v>127.66943434619913</v>
      </c>
      <c r="AD347" s="105">
        <f t="shared" si="166"/>
        <v>127.73554747695931</v>
      </c>
      <c r="AE347" s="105">
        <f t="shared" si="166"/>
        <v>127.78843798156745</v>
      </c>
      <c r="AF347" s="105">
        <f t="shared" si="166"/>
        <v>127.83075038525396</v>
      </c>
      <c r="AG347" s="105">
        <f t="shared" si="166"/>
        <v>191.89168024656254</v>
      </c>
      <c r="AH347" s="105">
        <f t="shared" si="166"/>
        <v>191.91334419725004</v>
      </c>
      <c r="AI347" s="105">
        <f t="shared" si="166"/>
        <v>191.93067535780003</v>
      </c>
      <c r="AJ347" s="105">
        <f t="shared" si="166"/>
        <v>191.94454028624003</v>
      </c>
      <c r="AK347" s="105">
        <f t="shared" si="166"/>
        <v>221.94454028624003</v>
      </c>
      <c r="AL347" s="105">
        <f t="shared" si="166"/>
        <v>221.95563222899204</v>
      </c>
      <c r="AM347" s="105">
        <f t="shared" si="166"/>
        <v>221.96450578319366</v>
      </c>
      <c r="AN347" s="105">
        <f t="shared" si="166"/>
        <v>221.97160462655492</v>
      </c>
      <c r="AP347" s="105"/>
    </row>
    <row r="348" spans="2:42" x14ac:dyDescent="0.25">
      <c r="C348" s="20" t="s">
        <v>600</v>
      </c>
      <c r="D348" s="34" t="s">
        <v>162</v>
      </c>
      <c r="E348" s="20">
        <f>MIN('3.1 Market'!$F339,'1.1 Control Panel'!E655*'1.1 Control Panel'!E$631)</f>
        <v>0</v>
      </c>
      <c r="F348" s="20">
        <f>MIN('3.1 Market'!$F339,'1.1 Control Panel'!F655*'1.1 Control Panel'!F$631)</f>
        <v>0</v>
      </c>
      <c r="G348" s="20">
        <f>MIN('3.1 Market'!$F339,'1.1 Control Panel'!G655*'1.1 Control Panel'!G$631)</f>
        <v>0</v>
      </c>
      <c r="H348" s="20">
        <f>MIN('3.1 Market'!$F339,'1.1 Control Panel'!H655*'1.1 Control Panel'!H$631)</f>
        <v>0</v>
      </c>
      <c r="I348" s="20">
        <f>MIN('3.1 Market'!$F339,'1.1 Control Panel'!I655*'1.1 Control Panel'!I$631)</f>
        <v>5</v>
      </c>
      <c r="J348" s="20">
        <f>MIN('3.1 Market'!$F339,'1.1 Control Panel'!J655*'1.1 Control Panel'!J$631)</f>
        <v>5</v>
      </c>
      <c r="K348" s="20">
        <f>MIN('3.1 Market'!$F339,'1.1 Control Panel'!K655*'1.1 Control Panel'!K$631)</f>
        <v>5</v>
      </c>
      <c r="L348" s="20">
        <f>MIN('3.1 Market'!$F339,'1.1 Control Panel'!L655*'1.1 Control Panel'!L$631)</f>
        <v>5</v>
      </c>
      <c r="M348" s="20">
        <f>MIN('3.1 Market'!$F339,'1.1 Control Panel'!M655*'1.1 Control Panel'!M$631)</f>
        <v>5</v>
      </c>
      <c r="N348" s="20">
        <f>MIN('3.1 Market'!$F339,'1.1 Control Panel'!N655*'1.1 Control Panel'!N$631)</f>
        <v>5</v>
      </c>
      <c r="O348" s="20">
        <f>MIN('3.1 Market'!$F339,'1.1 Control Panel'!O655*'1.1 Control Panel'!O$631)</f>
        <v>5</v>
      </c>
      <c r="P348" s="20">
        <f>MIN('3.1 Market'!$F339,'1.1 Control Panel'!P655*'1.1 Control Panel'!P$631)</f>
        <v>5</v>
      </c>
      <c r="Q348" s="20">
        <f>MIN('3.1 Market'!$G339,'1.1 Control Panel'!Q655*'1.1 Control Panel'!Q$631)</f>
        <v>10</v>
      </c>
      <c r="R348" s="20">
        <f>MIN('3.1 Market'!$G339,'1.1 Control Panel'!R655*'1.1 Control Panel'!R$631)</f>
        <v>10</v>
      </c>
      <c r="S348" s="20">
        <f>MIN('3.1 Market'!$G339,'1.1 Control Panel'!S655*'1.1 Control Panel'!S$631)</f>
        <v>10</v>
      </c>
      <c r="T348" s="20">
        <f>MIN('3.1 Market'!$G339,'1.1 Control Panel'!T655*'1.1 Control Panel'!T$631)</f>
        <v>10</v>
      </c>
      <c r="U348" s="20">
        <f>MIN('3.1 Market'!$G339,'1.1 Control Panel'!U655*'1.1 Control Panel'!U$631)</f>
        <v>15</v>
      </c>
      <c r="V348" s="20">
        <f>MIN('3.1 Market'!$G339,'1.1 Control Panel'!V655*'1.1 Control Panel'!V$631)</f>
        <v>15</v>
      </c>
      <c r="W348" s="20">
        <f>MIN('3.1 Market'!$G339,'1.1 Control Panel'!W655*'1.1 Control Panel'!W$631)</f>
        <v>15</v>
      </c>
      <c r="X348" s="20">
        <f>MIN('3.1 Market'!$G339,'1.1 Control Panel'!X655*'1.1 Control Panel'!X$631)</f>
        <v>15</v>
      </c>
      <c r="Y348" s="20">
        <f>MIN('3.1 Market'!$G339,'1.1 Control Panel'!Y655*'1.1 Control Panel'!Y$631)</f>
        <v>15</v>
      </c>
      <c r="Z348" s="20">
        <f>MIN('3.1 Market'!$G339,'1.1 Control Panel'!Z655*'1.1 Control Panel'!Z$631)</f>
        <v>15</v>
      </c>
      <c r="AA348" s="20">
        <f>MIN('3.1 Market'!$G339,'1.1 Control Panel'!AA655*'1.1 Control Panel'!AA$631)</f>
        <v>15</v>
      </c>
      <c r="AB348" s="20">
        <f>MIN('3.1 Market'!$G339,'1.1 Control Panel'!AB655*'1.1 Control Panel'!AB$631)</f>
        <v>15</v>
      </c>
      <c r="AC348" s="20">
        <f>MIN('3.1 Market'!$H339,'1.1 Control Panel'!AC655*'1.1 Control Panel'!AC$631)</f>
        <v>25</v>
      </c>
      <c r="AD348" s="20">
        <f>MIN('3.1 Market'!$H339,'1.1 Control Panel'!AD655*'1.1 Control Panel'!AD$631)</f>
        <v>25</v>
      </c>
      <c r="AE348" s="20">
        <f>MIN('3.1 Market'!$H339,'1.1 Control Panel'!AE655*'1.1 Control Panel'!AE$631)</f>
        <v>25</v>
      </c>
      <c r="AF348" s="20">
        <f>MIN('3.1 Market'!$H339,'1.1 Control Panel'!AF655*'1.1 Control Panel'!AF$631)</f>
        <v>25</v>
      </c>
      <c r="AG348" s="20">
        <f>MIN('3.1 Market'!$H339,'1.1 Control Panel'!AG655*'1.1 Control Panel'!AG$631)</f>
        <v>40</v>
      </c>
      <c r="AH348" s="20">
        <f>MIN('3.1 Market'!$H339,'1.1 Control Panel'!AH655*'1.1 Control Panel'!AH$631)</f>
        <v>40</v>
      </c>
      <c r="AI348" s="20">
        <f>MIN('3.1 Market'!$H339,'1.1 Control Panel'!AI655*'1.1 Control Panel'!AI$631)</f>
        <v>40</v>
      </c>
      <c r="AJ348" s="20">
        <f>MIN('3.1 Market'!$H339,'1.1 Control Panel'!AJ655*'1.1 Control Panel'!AJ$631)</f>
        <v>40</v>
      </c>
      <c r="AK348" s="20">
        <f>MIN('3.1 Market'!$H339,'1.1 Control Panel'!AK655*'1.1 Control Panel'!AK$631)</f>
        <v>50</v>
      </c>
      <c r="AL348" s="20">
        <f>MIN('3.1 Market'!$H339,'1.1 Control Panel'!AL655*'1.1 Control Panel'!AL$631)</f>
        <v>50</v>
      </c>
      <c r="AM348" s="20">
        <f>MIN('3.1 Market'!$H339,'1.1 Control Panel'!AM655*'1.1 Control Panel'!AM$631)</f>
        <v>50</v>
      </c>
      <c r="AN348" s="20">
        <f>MIN('3.1 Market'!$H339,'1.1 Control Panel'!AN655*'1.1 Control Panel'!AN$631)</f>
        <v>50</v>
      </c>
      <c r="AP348" s="20"/>
    </row>
    <row r="349" spans="2:42" x14ac:dyDescent="0.25">
      <c r="C349" s="20" t="s">
        <v>392</v>
      </c>
      <c r="D349" s="34" t="s">
        <v>162</v>
      </c>
      <c r="E349" s="20">
        <f>MIN('3.1 Market'!$F340,'1.1 Control Panel'!E656*'1.1 Control Panel'!E$631)</f>
        <v>0</v>
      </c>
      <c r="F349" s="20">
        <f>MIN('3.1 Market'!$F340,'1.1 Control Panel'!F656*'1.1 Control Panel'!F$631)</f>
        <v>0</v>
      </c>
      <c r="G349" s="20">
        <f>MIN('3.1 Market'!$F340,'1.1 Control Panel'!G656*'1.1 Control Panel'!G$631)</f>
        <v>0</v>
      </c>
      <c r="H349" s="20">
        <f>MIN('3.1 Market'!$F340,'1.1 Control Panel'!H656*'1.1 Control Panel'!H$631)</f>
        <v>0</v>
      </c>
      <c r="I349" s="20">
        <f>MIN('3.1 Market'!$F340,'1.1 Control Panel'!I656*'1.1 Control Panel'!I$631)</f>
        <v>3</v>
      </c>
      <c r="J349" s="20">
        <f>MIN('3.1 Market'!$F340,'1.1 Control Panel'!J656*'1.1 Control Panel'!J$631)</f>
        <v>3</v>
      </c>
      <c r="K349" s="20">
        <f>MIN('3.1 Market'!$F340,'1.1 Control Panel'!K656*'1.1 Control Panel'!K$631)</f>
        <v>3</v>
      </c>
      <c r="L349" s="20">
        <f>MIN('3.1 Market'!$F340,'1.1 Control Panel'!L656*'1.1 Control Panel'!L$631)</f>
        <v>3</v>
      </c>
      <c r="M349" s="20">
        <f>MIN('3.1 Market'!$F340,'1.1 Control Panel'!M656*'1.1 Control Panel'!M$631)</f>
        <v>3</v>
      </c>
      <c r="N349" s="20">
        <f>MIN('3.1 Market'!$F340,'1.1 Control Panel'!N656*'1.1 Control Panel'!N$631)</f>
        <v>3</v>
      </c>
      <c r="O349" s="20">
        <f>MIN('3.1 Market'!$F340,'1.1 Control Panel'!O656*'1.1 Control Panel'!O$631)</f>
        <v>3</v>
      </c>
      <c r="P349" s="20">
        <f>MIN('3.1 Market'!$F340,'1.1 Control Panel'!P656*'1.1 Control Panel'!P$631)</f>
        <v>3</v>
      </c>
      <c r="Q349" s="20">
        <f>MIN('3.1 Market'!$G340,'1.1 Control Panel'!Q656*'1.1 Control Panel'!Q$631)</f>
        <v>3</v>
      </c>
      <c r="R349" s="20">
        <f>MIN('3.1 Market'!$G340,'1.1 Control Panel'!R656*'1.1 Control Panel'!R$631)</f>
        <v>3</v>
      </c>
      <c r="S349" s="20">
        <f>MIN('3.1 Market'!$G340,'1.1 Control Panel'!S656*'1.1 Control Panel'!S$631)</f>
        <v>3</v>
      </c>
      <c r="T349" s="20">
        <f>MIN('3.1 Market'!$G340,'1.1 Control Panel'!T656*'1.1 Control Panel'!T$631)</f>
        <v>3</v>
      </c>
      <c r="U349" s="20">
        <f>MIN('3.1 Market'!$G340,'1.1 Control Panel'!U656*'1.1 Control Panel'!U$631)</f>
        <v>3</v>
      </c>
      <c r="V349" s="20">
        <f>MIN('3.1 Market'!$G340,'1.1 Control Panel'!V656*'1.1 Control Panel'!V$631)</f>
        <v>3</v>
      </c>
      <c r="W349" s="20">
        <f>MIN('3.1 Market'!$G340,'1.1 Control Panel'!W656*'1.1 Control Panel'!W$631)</f>
        <v>3</v>
      </c>
      <c r="X349" s="20">
        <f>MIN('3.1 Market'!$G340,'1.1 Control Panel'!X656*'1.1 Control Panel'!X$631)</f>
        <v>3</v>
      </c>
      <c r="Y349" s="20">
        <f>MIN('3.1 Market'!$G340,'1.1 Control Panel'!Y656*'1.1 Control Panel'!Y$631)</f>
        <v>3</v>
      </c>
      <c r="Z349" s="20">
        <f>MIN('3.1 Market'!$G340,'1.1 Control Panel'!Z656*'1.1 Control Panel'!Z$631)</f>
        <v>3</v>
      </c>
      <c r="AA349" s="20">
        <f>MIN('3.1 Market'!$G340,'1.1 Control Panel'!AA656*'1.1 Control Panel'!AA$631)</f>
        <v>3</v>
      </c>
      <c r="AB349" s="20">
        <f>MIN('3.1 Market'!$G340,'1.1 Control Panel'!AB656*'1.1 Control Panel'!AB$631)</f>
        <v>3</v>
      </c>
      <c r="AC349" s="20">
        <f>MIN('3.1 Market'!$H340,'1.1 Control Panel'!AC656*'1.1 Control Panel'!AC$631)</f>
        <v>3</v>
      </c>
      <c r="AD349" s="20">
        <f>MIN('3.1 Market'!$H340,'1.1 Control Panel'!AD656*'1.1 Control Panel'!AD$631)</f>
        <v>3</v>
      </c>
      <c r="AE349" s="20">
        <f>MIN('3.1 Market'!$H340,'1.1 Control Panel'!AE656*'1.1 Control Panel'!AE$631)</f>
        <v>3</v>
      </c>
      <c r="AF349" s="20">
        <f>MIN('3.1 Market'!$H340,'1.1 Control Panel'!AF656*'1.1 Control Panel'!AF$631)</f>
        <v>3</v>
      </c>
      <c r="AG349" s="20">
        <f>MIN('3.1 Market'!$H340,'1.1 Control Panel'!AG656*'1.1 Control Panel'!AG$631)</f>
        <v>3</v>
      </c>
      <c r="AH349" s="20">
        <f>MIN('3.1 Market'!$H340,'1.1 Control Panel'!AH656*'1.1 Control Panel'!AH$631)</f>
        <v>3</v>
      </c>
      <c r="AI349" s="20">
        <f>MIN('3.1 Market'!$H340,'1.1 Control Panel'!AI656*'1.1 Control Panel'!AI$631)</f>
        <v>3</v>
      </c>
      <c r="AJ349" s="20">
        <f>MIN('3.1 Market'!$H340,'1.1 Control Panel'!AJ656*'1.1 Control Panel'!AJ$631)</f>
        <v>3</v>
      </c>
      <c r="AK349" s="20">
        <f>MIN('3.1 Market'!$H340,'1.1 Control Panel'!AK656*'1.1 Control Panel'!AK$631)</f>
        <v>3</v>
      </c>
      <c r="AL349" s="20">
        <f>MIN('3.1 Market'!$H340,'1.1 Control Panel'!AL656*'1.1 Control Panel'!AL$631)</f>
        <v>3</v>
      </c>
      <c r="AM349" s="20">
        <f>MIN('3.1 Market'!$H340,'1.1 Control Panel'!AM656*'1.1 Control Panel'!AM$631)</f>
        <v>3</v>
      </c>
      <c r="AN349" s="20">
        <f>MIN('3.1 Market'!$H340,'1.1 Control Panel'!AN656*'1.1 Control Panel'!AN$631)</f>
        <v>3</v>
      </c>
      <c r="AP349" s="20"/>
    </row>
    <row r="350" spans="2:42" x14ac:dyDescent="0.25">
      <c r="C350" s="20" t="s">
        <v>454</v>
      </c>
      <c r="D350" s="34" t="s">
        <v>162</v>
      </c>
      <c r="E350" s="20">
        <f>MIN('3.1 Market'!$F341,'1.1 Control Panel'!E657*'1.1 Control Panel'!E$631)</f>
        <v>0</v>
      </c>
      <c r="F350" s="20">
        <f>MIN('3.1 Market'!$F341,'1.1 Control Panel'!F657*'1.1 Control Panel'!F$631)</f>
        <v>0</v>
      </c>
      <c r="G350" s="20">
        <f>MIN('3.1 Market'!$F341,'1.1 Control Panel'!G657*'1.1 Control Panel'!G$631)</f>
        <v>0</v>
      </c>
      <c r="H350" s="20">
        <f>MIN('3.1 Market'!$F341,'1.1 Control Panel'!H657*'1.1 Control Panel'!H$631)</f>
        <v>0</v>
      </c>
      <c r="I350" s="20">
        <f>MIN('3.1 Market'!$F341,'1.1 Control Panel'!I657*'1.1 Control Panel'!I$631)</f>
        <v>4.1808000000000014</v>
      </c>
      <c r="J350" s="20">
        <f>MIN('3.1 Market'!$F341,'1.1 Control Panel'!J657*'1.1 Control Panel'!J$631)</f>
        <v>4.3446400000000018</v>
      </c>
      <c r="K350" s="20">
        <f>MIN('3.1 Market'!$F341,'1.1 Control Panel'!K657*'1.1 Control Panel'!K$631)</f>
        <v>4.4757120000000015</v>
      </c>
      <c r="L350" s="20">
        <f>MIN('3.1 Market'!$F341,'1.1 Control Panel'!L657*'1.1 Control Panel'!L$631)</f>
        <v>4.5805696000000014</v>
      </c>
      <c r="M350" s="20">
        <f>MIN('3.1 Market'!$F341,'1.1 Control Panel'!M657*'1.1 Control Panel'!M$631)</f>
        <v>4.6644556800000014</v>
      </c>
      <c r="N350" s="20">
        <f>MIN('3.1 Market'!$F341,'1.1 Control Panel'!N657*'1.1 Control Panel'!N$631)</f>
        <v>4.7315645440000011</v>
      </c>
      <c r="O350" s="20">
        <f>MIN('3.1 Market'!$F341,'1.1 Control Panel'!O657*'1.1 Control Panel'!O$631)</f>
        <v>4.7852516352000016</v>
      </c>
      <c r="P350" s="20">
        <f>MIN('3.1 Market'!$F341,'1.1 Control Panel'!P657*'1.1 Control Panel'!P$631)</f>
        <v>4.8282013081600015</v>
      </c>
      <c r="Q350" s="20">
        <f>MIN('3.1 Market'!$G341,'1.1 Control Panel'!Q657*'1.1 Control Panel'!Q$631)</f>
        <v>9.7251220930560027</v>
      </c>
      <c r="R350" s="20">
        <f>MIN('3.1 Market'!$G341,'1.1 Control Panel'!R657*'1.1 Control Panel'!R$631)</f>
        <v>9.7800976744448036</v>
      </c>
      <c r="S350" s="20">
        <f>MIN('3.1 Market'!$G341,'1.1 Control Panel'!S657*'1.1 Control Panel'!S$631)</f>
        <v>9.8240781395558443</v>
      </c>
      <c r="T350" s="20">
        <f>MIN('3.1 Market'!$G341,'1.1 Control Panel'!T657*'1.1 Control Panel'!T$631)</f>
        <v>9.8592625116446762</v>
      </c>
      <c r="U350" s="20">
        <f>MIN('3.1 Market'!$G341,'1.1 Control Panel'!U657*'1.1 Control Panel'!U$631)</f>
        <v>14.83111501397361</v>
      </c>
      <c r="V350" s="20">
        <f>MIN('3.1 Market'!$G341,'1.1 Control Panel'!V657*'1.1 Control Panel'!V$631)</f>
        <v>14.864892011178888</v>
      </c>
      <c r="W350" s="20">
        <f>MIN('3.1 Market'!$G341,'1.1 Control Panel'!W657*'1.1 Control Panel'!W$631)</f>
        <v>14.891913608943112</v>
      </c>
      <c r="X350" s="20">
        <f>MIN('3.1 Market'!$G341,'1.1 Control Panel'!X657*'1.1 Control Panel'!X$631)</f>
        <v>14.913530887154488</v>
      </c>
      <c r="Y350" s="20">
        <f>MIN('3.1 Market'!$G341,'1.1 Control Panel'!Y657*'1.1 Control Panel'!Y$631)</f>
        <v>14.93082470972359</v>
      </c>
      <c r="Z350" s="20">
        <f>MIN('3.1 Market'!$G341,'1.1 Control Panel'!Z657*'1.1 Control Panel'!Z$631)</f>
        <v>14.944659767778873</v>
      </c>
      <c r="AA350" s="20">
        <f>MIN('3.1 Market'!$G341,'1.1 Control Panel'!AA657*'1.1 Control Panel'!AA$631)</f>
        <v>14.955727814223099</v>
      </c>
      <c r="AB350" s="20">
        <f>MIN('3.1 Market'!$G341,'1.1 Control Panel'!AB657*'1.1 Control Panel'!AB$631)</f>
        <v>14.964582251378481</v>
      </c>
      <c r="AC350" s="20">
        <f>MIN('3.1 Market'!$H341,'1.1 Control Panel'!AC657*'1.1 Control Panel'!AC$631)</f>
        <v>24.952776335171308</v>
      </c>
      <c r="AD350" s="20">
        <f>MIN('3.1 Market'!$H341,'1.1 Control Panel'!AD657*'1.1 Control Panel'!AD$631)</f>
        <v>24.962221068137048</v>
      </c>
      <c r="AE350" s="20">
        <f>MIN('3.1 Market'!$H341,'1.1 Control Panel'!AE657*'1.1 Control Panel'!AE$631)</f>
        <v>24.969776854509639</v>
      </c>
      <c r="AF350" s="20">
        <f>MIN('3.1 Market'!$H341,'1.1 Control Panel'!AF657*'1.1 Control Panel'!AF$631)</f>
        <v>24.97582148360771</v>
      </c>
      <c r="AG350" s="20">
        <f>MIN('3.1 Market'!$H341,'1.1 Control Panel'!AG657*'1.1 Control Panel'!AG$631)</f>
        <v>38</v>
      </c>
      <c r="AH350" s="20">
        <f>MIN('3.1 Market'!$H341,'1.1 Control Panel'!AH657*'1.1 Control Panel'!AH$631)</f>
        <v>38</v>
      </c>
      <c r="AI350" s="20">
        <f>MIN('3.1 Market'!$H341,'1.1 Control Panel'!AI657*'1.1 Control Panel'!AI$631)</f>
        <v>38</v>
      </c>
      <c r="AJ350" s="20">
        <f>MIN('3.1 Market'!$H341,'1.1 Control Panel'!AJ657*'1.1 Control Panel'!AJ$631)</f>
        <v>38</v>
      </c>
      <c r="AK350" s="20">
        <f>MIN('3.1 Market'!$H341,'1.1 Control Panel'!AK657*'1.1 Control Panel'!AK$631)</f>
        <v>38</v>
      </c>
      <c r="AL350" s="20">
        <f>MIN('3.1 Market'!$H341,'1.1 Control Panel'!AL657*'1.1 Control Panel'!AL$631)</f>
        <v>38</v>
      </c>
      <c r="AM350" s="20">
        <f>MIN('3.1 Market'!$H341,'1.1 Control Panel'!AM657*'1.1 Control Panel'!AM$631)</f>
        <v>38</v>
      </c>
      <c r="AN350" s="20">
        <f>MIN('3.1 Market'!$H341,'1.1 Control Panel'!AN657*'1.1 Control Panel'!AN$631)</f>
        <v>38</v>
      </c>
      <c r="AP350" s="20"/>
    </row>
    <row r="351" spans="2:42" x14ac:dyDescent="0.25">
      <c r="C351" s="21" t="s">
        <v>455</v>
      </c>
      <c r="D351" s="38" t="s">
        <v>162</v>
      </c>
      <c r="E351" s="21">
        <f>MIN('3.1 Market'!$F342,'1.1 Control Panel'!E658*'1.1 Control Panel'!E$631)</f>
        <v>0</v>
      </c>
      <c r="F351" s="21">
        <f>MIN('3.1 Market'!$F342,'1.1 Control Panel'!F658*'1.1 Control Panel'!F$631)</f>
        <v>0</v>
      </c>
      <c r="G351" s="21">
        <f>MIN('3.1 Market'!$F342,'1.1 Control Panel'!G658*'1.1 Control Panel'!G$631)</f>
        <v>0</v>
      </c>
      <c r="H351" s="21">
        <f>MIN('3.1 Market'!$F342,'1.1 Control Panel'!H658*'1.1 Control Panel'!H$631)</f>
        <v>0</v>
      </c>
      <c r="I351" s="21">
        <f>MIN('3.1 Market'!$F342,'1.1 Control Panel'!I658*'1.1 Control Panel'!I$631)</f>
        <v>3.7712000000000003</v>
      </c>
      <c r="J351" s="21">
        <f>MIN('3.1 Market'!$F342,'1.1 Control Panel'!J658*'1.1 Control Panel'!J$631)</f>
        <v>4.016960000000001</v>
      </c>
      <c r="K351" s="21">
        <f>MIN('3.1 Market'!$F342,'1.1 Control Panel'!K658*'1.1 Control Panel'!K$631)</f>
        <v>4.2135680000000004</v>
      </c>
      <c r="L351" s="21">
        <f>MIN('3.1 Market'!$F342,'1.1 Control Panel'!L658*'1.1 Control Panel'!L$631)</f>
        <v>4.3708544000000007</v>
      </c>
      <c r="M351" s="21">
        <f>MIN('3.1 Market'!$F342,'1.1 Control Panel'!M658*'1.1 Control Panel'!M$631)</f>
        <v>4.4966835200000013</v>
      </c>
      <c r="N351" s="21">
        <f>MIN('3.1 Market'!$F342,'1.1 Control Panel'!N658*'1.1 Control Panel'!N$631)</f>
        <v>4.5973468160000017</v>
      </c>
      <c r="O351" s="21">
        <f>MIN('3.1 Market'!$F342,'1.1 Control Panel'!O658*'1.1 Control Panel'!O$631)</f>
        <v>4.6778774528000016</v>
      </c>
      <c r="P351" s="21">
        <f>MIN('3.1 Market'!$F342,'1.1 Control Panel'!P658*'1.1 Control Panel'!P$631)</f>
        <v>4.7423019622400009</v>
      </c>
      <c r="Q351" s="21">
        <f>MIN('3.1 Market'!$G342,'1.1 Control Panel'!Q658*'1.1 Control Panel'!Q$631)</f>
        <v>9.5876831395840014</v>
      </c>
      <c r="R351" s="21">
        <f>MIN('3.1 Market'!$G342,'1.1 Control Panel'!R658*'1.1 Control Panel'!R$631)</f>
        <v>9.6701465116672018</v>
      </c>
      <c r="S351" s="21">
        <f>MIN('3.1 Market'!$G342,'1.1 Control Panel'!S658*'1.1 Control Panel'!S$631)</f>
        <v>9.7361172093337629</v>
      </c>
      <c r="T351" s="21">
        <f>MIN('3.1 Market'!$G342,'1.1 Control Panel'!T658*'1.1 Control Panel'!T$631)</f>
        <v>9.7888937674670107</v>
      </c>
      <c r="U351" s="21">
        <f>MIN('3.1 Market'!$G342,'1.1 Control Panel'!U658*'1.1 Control Panel'!U$631)</f>
        <v>14.746672520960413</v>
      </c>
      <c r="V351" s="21">
        <f>MIN('3.1 Market'!$G342,'1.1 Control Panel'!V658*'1.1 Control Panel'!V$631)</f>
        <v>14.797338016768332</v>
      </c>
      <c r="W351" s="21">
        <f>MIN('3.1 Market'!$G342,'1.1 Control Panel'!W658*'1.1 Control Panel'!W$631)</f>
        <v>14.837870413414665</v>
      </c>
      <c r="X351" s="21">
        <f>MIN('3.1 Market'!$G342,'1.1 Control Panel'!X658*'1.1 Control Panel'!X$631)</f>
        <v>14.870296330731733</v>
      </c>
      <c r="Y351" s="21">
        <f>MIN('3.1 Market'!$G342,'1.1 Control Panel'!Y658*'1.1 Control Panel'!Y$631)</f>
        <v>14.896237064585387</v>
      </c>
      <c r="Z351" s="21">
        <f>MIN('3.1 Market'!$G342,'1.1 Control Panel'!Z658*'1.1 Control Panel'!Z$631)</f>
        <v>14.91698965166831</v>
      </c>
      <c r="AA351" s="21">
        <f>MIN('3.1 Market'!$G342,'1.1 Control Panel'!AA658*'1.1 Control Panel'!AA$631)</f>
        <v>14.933591721334649</v>
      </c>
      <c r="AB351" s="21">
        <f>MIN('3.1 Market'!$G342,'1.1 Control Panel'!AB658*'1.1 Control Panel'!AB$631)</f>
        <v>14.946873377067721</v>
      </c>
      <c r="AC351" s="21">
        <f>MIN('3.1 Market'!$H342,'1.1 Control Panel'!AC658*'1.1 Control Panel'!AC$631)</f>
        <v>24.929164502756961</v>
      </c>
      <c r="AD351" s="21">
        <f>MIN('3.1 Market'!$H342,'1.1 Control Panel'!AD658*'1.1 Control Panel'!AD$631)</f>
        <v>24.943331602205568</v>
      </c>
      <c r="AE351" s="21">
        <f>MIN('3.1 Market'!$H342,'1.1 Control Panel'!AE658*'1.1 Control Panel'!AE$631)</f>
        <v>24.954665281764456</v>
      </c>
      <c r="AF351" s="21">
        <f>MIN('3.1 Market'!$H342,'1.1 Control Panel'!AF658*'1.1 Control Panel'!AF$631)</f>
        <v>24.963732225411562</v>
      </c>
      <c r="AG351" s="21">
        <f>MIN('3.1 Market'!$H342,'1.1 Control Panel'!AG658*'1.1 Control Panel'!AG$631)</f>
        <v>39.953577248526798</v>
      </c>
      <c r="AH351" s="21">
        <f>MIN('3.1 Market'!$H342,'1.1 Control Panel'!AH658*'1.1 Control Panel'!AH$631)</f>
        <v>39.962861798821436</v>
      </c>
      <c r="AI351" s="21">
        <f>MIN('3.1 Market'!$H342,'1.1 Control Panel'!AI658*'1.1 Control Panel'!AI$631)</f>
        <v>39.970289439057154</v>
      </c>
      <c r="AJ351" s="21">
        <f>MIN('3.1 Market'!$H342,'1.1 Control Panel'!AJ658*'1.1 Control Panel'!AJ$631)</f>
        <v>39.976231551245725</v>
      </c>
      <c r="AK351" s="21">
        <f>MIN('3.1 Market'!$H342,'1.1 Control Panel'!AK658*'1.1 Control Panel'!AK$631)</f>
        <v>49.976231551245725</v>
      </c>
      <c r="AL351" s="21">
        <f>MIN('3.1 Market'!$H342,'1.1 Control Panel'!AL658*'1.1 Control Panel'!AL$631)</f>
        <v>49.980985240996588</v>
      </c>
      <c r="AM351" s="21">
        <f>MIN('3.1 Market'!$H342,'1.1 Control Panel'!AM658*'1.1 Control Panel'!AM$631)</f>
        <v>49.984788192797268</v>
      </c>
      <c r="AN351" s="21">
        <f>MIN('3.1 Market'!$H342,'1.1 Control Panel'!AN658*'1.1 Control Panel'!AN$631)</f>
        <v>49.987830554237824</v>
      </c>
      <c r="AP351" s="21"/>
    </row>
    <row r="352" spans="2:42" x14ac:dyDescent="0.25">
      <c r="C352" s="21" t="s">
        <v>393</v>
      </c>
      <c r="D352" s="38" t="s">
        <v>162</v>
      </c>
      <c r="E352" s="21">
        <f>MIN('3.1 Market'!$F343,'1.1 Control Panel'!E659*'1.1 Control Panel'!E$631)</f>
        <v>0</v>
      </c>
      <c r="F352" s="21">
        <f>MIN('3.1 Market'!$F343,'1.1 Control Panel'!F659*'1.1 Control Panel'!F$631)</f>
        <v>0</v>
      </c>
      <c r="G352" s="21">
        <f>MIN('3.1 Market'!$F343,'1.1 Control Panel'!G659*'1.1 Control Panel'!G$631)</f>
        <v>0</v>
      </c>
      <c r="H352" s="21">
        <f>MIN('3.1 Market'!$F343,'1.1 Control Panel'!H659*'1.1 Control Panel'!H$631)</f>
        <v>0</v>
      </c>
      <c r="I352" s="21">
        <f>MIN('3.1 Market'!$F343,'1.1 Control Panel'!I659*'1.1 Control Panel'!I$631)</f>
        <v>3.3616000000000006</v>
      </c>
      <c r="J352" s="21">
        <f>MIN('3.1 Market'!$F343,'1.1 Control Panel'!J659*'1.1 Control Panel'!J$631)</f>
        <v>3.6892800000000006</v>
      </c>
      <c r="K352" s="21">
        <f>MIN('3.1 Market'!$F343,'1.1 Control Panel'!K659*'1.1 Control Panel'!K$631)</f>
        <v>3.9514240000000007</v>
      </c>
      <c r="L352" s="21">
        <f>MIN('3.1 Market'!$F343,'1.1 Control Panel'!L659*'1.1 Control Panel'!L$631)</f>
        <v>4.1611392000000009</v>
      </c>
      <c r="M352" s="21">
        <f>MIN('3.1 Market'!$F343,'1.1 Control Panel'!M659*'1.1 Control Panel'!M$631)</f>
        <v>4.3289113600000011</v>
      </c>
      <c r="N352" s="21">
        <f>MIN('3.1 Market'!$F343,'1.1 Control Panel'!N659*'1.1 Control Panel'!N$631)</f>
        <v>4.4631290880000005</v>
      </c>
      <c r="O352" s="21">
        <f>MIN('3.1 Market'!$F343,'1.1 Control Panel'!O659*'1.1 Control Panel'!O$631)</f>
        <v>4.5705032704000006</v>
      </c>
      <c r="P352" s="21">
        <f>MIN('3.1 Market'!$F343,'1.1 Control Panel'!P659*'1.1 Control Panel'!P$631)</f>
        <v>4.6564026163200012</v>
      </c>
      <c r="Q352" s="21">
        <f>MIN('3.1 Market'!$G343,'1.1 Control Panel'!Q659*'1.1 Control Panel'!Q$631)</f>
        <v>9.4502441861120019</v>
      </c>
      <c r="R352" s="21">
        <f>MIN('3.1 Market'!$G343,'1.1 Control Panel'!R659*'1.1 Control Panel'!R$631)</f>
        <v>9.5601953488896019</v>
      </c>
      <c r="S352" s="21">
        <f>MIN('3.1 Market'!$G343,'1.1 Control Panel'!S659*'1.1 Control Panel'!S$631)</f>
        <v>9.6481562791116815</v>
      </c>
      <c r="T352" s="21">
        <f>MIN('3.1 Market'!$G343,'1.1 Control Panel'!T659*'1.1 Control Panel'!T$631)</f>
        <v>9.7185250232893452</v>
      </c>
      <c r="U352" s="21">
        <f>MIN('3.1 Market'!$G343,'1.1 Control Panel'!U659*'1.1 Control Panel'!U$631)</f>
        <v>14.662230027947215</v>
      </c>
      <c r="V352" s="21">
        <f>MIN('3.1 Market'!$G343,'1.1 Control Panel'!V659*'1.1 Control Panel'!V$631)</f>
        <v>14.729784022357771</v>
      </c>
      <c r="W352" s="21">
        <f>MIN('3.1 Market'!$G343,'1.1 Control Panel'!W659*'1.1 Control Panel'!W$631)</f>
        <v>14.783827217886218</v>
      </c>
      <c r="X352" s="21">
        <f>MIN('3.1 Market'!$G343,'1.1 Control Panel'!X659*'1.1 Control Panel'!X$631)</f>
        <v>14.827061774308977</v>
      </c>
      <c r="Y352" s="21">
        <f>MIN('3.1 Market'!$G343,'1.1 Control Panel'!Y659*'1.1 Control Panel'!Y$631)</f>
        <v>14.861649419447183</v>
      </c>
      <c r="Z352" s="21">
        <f>MIN('3.1 Market'!$G343,'1.1 Control Panel'!Z659*'1.1 Control Panel'!Z$631)</f>
        <v>14.889319535557744</v>
      </c>
      <c r="AA352" s="21">
        <f>MIN('3.1 Market'!$G343,'1.1 Control Panel'!AA659*'1.1 Control Panel'!AA$631)</f>
        <v>14.911455628446197</v>
      </c>
      <c r="AB352" s="21">
        <f>MIN('3.1 Market'!$G343,'1.1 Control Panel'!AB659*'1.1 Control Panel'!AB$631)</f>
        <v>14.929164502756956</v>
      </c>
      <c r="AC352" s="21">
        <f>MIN('3.1 Market'!$H343,'1.1 Control Panel'!AC659*'1.1 Control Panel'!AC$631)</f>
        <v>24.905552670342608</v>
      </c>
      <c r="AD352" s="21">
        <f>MIN('3.1 Market'!$H343,'1.1 Control Panel'!AD659*'1.1 Control Panel'!AD$631)</f>
        <v>24.924442136274088</v>
      </c>
      <c r="AE352" s="21">
        <f>MIN('3.1 Market'!$H343,'1.1 Control Panel'!AE659*'1.1 Control Panel'!AE$631)</f>
        <v>24.939553709019275</v>
      </c>
      <c r="AF352" s="21">
        <f>MIN('3.1 Market'!$H343,'1.1 Control Panel'!AF659*'1.1 Control Panel'!AF$631)</f>
        <v>24.951642967215424</v>
      </c>
      <c r="AG352" s="21">
        <f>MIN('3.1 Market'!$H343,'1.1 Control Panel'!AG659*'1.1 Control Panel'!AG$631)</f>
        <v>39.938102998035745</v>
      </c>
      <c r="AH352" s="21">
        <f>MIN('3.1 Market'!$H343,'1.1 Control Panel'!AH659*'1.1 Control Panel'!AH$631)</f>
        <v>39.950482398428598</v>
      </c>
      <c r="AI352" s="21">
        <f>MIN('3.1 Market'!$H343,'1.1 Control Panel'!AI659*'1.1 Control Panel'!AI$631)</f>
        <v>39.96038591874288</v>
      </c>
      <c r="AJ352" s="21">
        <f>MIN('3.1 Market'!$H343,'1.1 Control Panel'!AJ659*'1.1 Control Panel'!AJ$631)</f>
        <v>39.968308734994309</v>
      </c>
      <c r="AK352" s="21">
        <f>MIN('3.1 Market'!$H343,'1.1 Control Panel'!AK659*'1.1 Control Panel'!AK$631)</f>
        <v>49.968308734994309</v>
      </c>
      <c r="AL352" s="21">
        <f>MIN('3.1 Market'!$H343,'1.1 Control Panel'!AL659*'1.1 Control Panel'!AL$631)</f>
        <v>49.974646987995456</v>
      </c>
      <c r="AM352" s="21">
        <f>MIN('3.1 Market'!$H343,'1.1 Control Panel'!AM659*'1.1 Control Panel'!AM$631)</f>
        <v>49.979717590396362</v>
      </c>
      <c r="AN352" s="21">
        <f>MIN('3.1 Market'!$H343,'1.1 Control Panel'!AN659*'1.1 Control Panel'!AN$631)</f>
        <v>49.98377407231709</v>
      </c>
      <c r="AP352" s="21"/>
    </row>
    <row r="353" spans="2:42" x14ac:dyDescent="0.25">
      <c r="C353" s="21" t="s">
        <v>456</v>
      </c>
      <c r="D353" s="38" t="s">
        <v>162</v>
      </c>
      <c r="E353" s="21">
        <f>MIN('3.1 Market'!$F344,'1.1 Control Panel'!E660*'1.1 Control Panel'!E$631)</f>
        <v>0</v>
      </c>
      <c r="F353" s="21">
        <f>MIN('3.1 Market'!$F344,'1.1 Control Panel'!F660*'1.1 Control Panel'!F$631)</f>
        <v>0</v>
      </c>
      <c r="G353" s="21">
        <f>MIN('3.1 Market'!$F344,'1.1 Control Panel'!G660*'1.1 Control Panel'!G$631)</f>
        <v>0</v>
      </c>
      <c r="H353" s="21">
        <f>MIN('3.1 Market'!$F344,'1.1 Control Panel'!H660*'1.1 Control Panel'!H$631)</f>
        <v>0</v>
      </c>
      <c r="I353" s="21">
        <f>MIN('3.1 Market'!$F344,'1.1 Control Panel'!I660*'1.1 Control Panel'!I$631)</f>
        <v>2.9520000000000004</v>
      </c>
      <c r="J353" s="21">
        <f>MIN('3.1 Market'!$F344,'1.1 Control Panel'!J660*'1.1 Control Panel'!J$631)</f>
        <v>3.3616000000000006</v>
      </c>
      <c r="K353" s="21">
        <f>MIN('3.1 Market'!$F344,'1.1 Control Panel'!K660*'1.1 Control Panel'!K$631)</f>
        <v>3.6892800000000006</v>
      </c>
      <c r="L353" s="21">
        <f>MIN('3.1 Market'!$F344,'1.1 Control Panel'!L660*'1.1 Control Panel'!L$631)</f>
        <v>3.9514240000000007</v>
      </c>
      <c r="M353" s="21">
        <f>MIN('3.1 Market'!$F344,'1.1 Control Panel'!M660*'1.1 Control Panel'!M$631)</f>
        <v>4.1611392000000009</v>
      </c>
      <c r="N353" s="21">
        <f>MIN('3.1 Market'!$F344,'1.1 Control Panel'!N660*'1.1 Control Panel'!N$631)</f>
        <v>4.3289113600000011</v>
      </c>
      <c r="O353" s="21">
        <f>MIN('3.1 Market'!$F344,'1.1 Control Panel'!O660*'1.1 Control Panel'!O$631)</f>
        <v>4.4631290880000005</v>
      </c>
      <c r="P353" s="21">
        <f>MIN('3.1 Market'!$F344,'1.1 Control Panel'!P660*'1.1 Control Panel'!P$631)</f>
        <v>4.5705032704000006</v>
      </c>
      <c r="Q353" s="21">
        <f>MIN('3.1 Market'!$G344,'1.1 Control Panel'!Q660*'1.1 Control Panel'!Q$631)</f>
        <v>9.3128052326400024</v>
      </c>
      <c r="R353" s="21">
        <f>MIN('3.1 Market'!$G344,'1.1 Control Panel'!R660*'1.1 Control Panel'!R$631)</f>
        <v>9.4502441861120019</v>
      </c>
      <c r="S353" s="21">
        <f>MIN('3.1 Market'!$G344,'1.1 Control Panel'!S660*'1.1 Control Panel'!S$631)</f>
        <v>9.5601953488896019</v>
      </c>
      <c r="T353" s="21">
        <f>MIN('3.1 Market'!$G344,'1.1 Control Panel'!T660*'1.1 Control Panel'!T$631)</f>
        <v>9.6481562791116815</v>
      </c>
      <c r="U353" s="21">
        <f>MIN('3.1 Market'!$G344,'1.1 Control Panel'!U660*'1.1 Control Panel'!U$631)</f>
        <v>14.577787534934018</v>
      </c>
      <c r="V353" s="21">
        <f>MIN('3.1 Market'!$G344,'1.1 Control Panel'!V660*'1.1 Control Panel'!V$631)</f>
        <v>14.662230027947215</v>
      </c>
      <c r="W353" s="21">
        <f>MIN('3.1 Market'!$G344,'1.1 Control Panel'!W660*'1.1 Control Panel'!W$631)</f>
        <v>14.729784022357771</v>
      </c>
      <c r="X353" s="21">
        <f>MIN('3.1 Market'!$G344,'1.1 Control Panel'!X660*'1.1 Control Panel'!X$631)</f>
        <v>14.783827217886218</v>
      </c>
      <c r="Y353" s="21">
        <f>MIN('3.1 Market'!$G344,'1.1 Control Panel'!Y660*'1.1 Control Panel'!Y$631)</f>
        <v>14.827061774308977</v>
      </c>
      <c r="Z353" s="21">
        <f>MIN('3.1 Market'!$G344,'1.1 Control Panel'!Z660*'1.1 Control Panel'!Z$631)</f>
        <v>14.861649419447183</v>
      </c>
      <c r="AA353" s="21">
        <f>MIN('3.1 Market'!$G344,'1.1 Control Panel'!AA660*'1.1 Control Panel'!AA$631)</f>
        <v>14.889319535557744</v>
      </c>
      <c r="AB353" s="21">
        <f>MIN('3.1 Market'!$G344,'1.1 Control Panel'!AB660*'1.1 Control Panel'!AB$631)</f>
        <v>14.911455628446197</v>
      </c>
      <c r="AC353" s="21">
        <f>MIN('3.1 Market'!$H344,'1.1 Control Panel'!AC660*'1.1 Control Panel'!AC$631)</f>
        <v>24.881940837928262</v>
      </c>
      <c r="AD353" s="21">
        <f>MIN('3.1 Market'!$H344,'1.1 Control Panel'!AD660*'1.1 Control Panel'!AD$631)</f>
        <v>24.905552670342608</v>
      </c>
      <c r="AE353" s="21">
        <f>MIN('3.1 Market'!$H344,'1.1 Control Panel'!AE660*'1.1 Control Panel'!AE$631)</f>
        <v>24.924442136274088</v>
      </c>
      <c r="AF353" s="21">
        <f>MIN('3.1 Market'!$H344,'1.1 Control Panel'!AF660*'1.1 Control Panel'!AF$631)</f>
        <v>24.939553709019275</v>
      </c>
      <c r="AG353" s="21">
        <f>MIN('3.1 Market'!$H344,'1.1 Control Panel'!AG660*'1.1 Control Panel'!AG$631)</f>
        <v>31</v>
      </c>
      <c r="AH353" s="21">
        <f>MIN('3.1 Market'!$H344,'1.1 Control Panel'!AH660*'1.1 Control Panel'!AH$631)</f>
        <v>31</v>
      </c>
      <c r="AI353" s="21">
        <f>MIN('3.1 Market'!$H344,'1.1 Control Panel'!AI660*'1.1 Control Panel'!AI$631)</f>
        <v>31</v>
      </c>
      <c r="AJ353" s="21">
        <f>MIN('3.1 Market'!$H344,'1.1 Control Panel'!AJ660*'1.1 Control Panel'!AJ$631)</f>
        <v>31</v>
      </c>
      <c r="AK353" s="21">
        <f>MIN('3.1 Market'!$H344,'1.1 Control Panel'!AK660*'1.1 Control Panel'!AK$631)</f>
        <v>31</v>
      </c>
      <c r="AL353" s="21">
        <f>MIN('3.1 Market'!$H344,'1.1 Control Panel'!AL660*'1.1 Control Panel'!AL$631)</f>
        <v>31</v>
      </c>
      <c r="AM353" s="21">
        <f>MIN('3.1 Market'!$H344,'1.1 Control Panel'!AM660*'1.1 Control Panel'!AM$631)</f>
        <v>31</v>
      </c>
      <c r="AN353" s="21">
        <f>MIN('3.1 Market'!$H344,'1.1 Control Panel'!AN660*'1.1 Control Panel'!AN$631)</f>
        <v>31</v>
      </c>
      <c r="AP353" s="21"/>
    </row>
    <row r="354" spans="2:42" x14ac:dyDescent="0.25">
      <c r="B354" s="99" t="s">
        <v>9</v>
      </c>
      <c r="C354" s="105" t="str">
        <f>'4.2 Sector Mapping'!$B$16</f>
        <v>Transportation and Services</v>
      </c>
      <c r="D354" s="106" t="s">
        <v>162</v>
      </c>
      <c r="E354" s="105">
        <f>SUM(E355:E360)</f>
        <v>0</v>
      </c>
      <c r="F354" s="105">
        <f t="shared" ref="F354:H354" si="167">SUM(F355:F360)</f>
        <v>0</v>
      </c>
      <c r="G354" s="105">
        <f t="shared" si="167"/>
        <v>0</v>
      </c>
      <c r="H354" s="105">
        <f t="shared" si="167"/>
        <v>0</v>
      </c>
      <c r="I354" s="105">
        <f t="shared" ref="I354:AN354" si="168">SUM(I355:I360)</f>
        <v>0</v>
      </c>
      <c r="J354" s="105">
        <f t="shared" si="168"/>
        <v>0</v>
      </c>
      <c r="K354" s="105">
        <f t="shared" si="168"/>
        <v>0</v>
      </c>
      <c r="L354" s="105">
        <f t="shared" si="168"/>
        <v>0</v>
      </c>
      <c r="M354" s="105">
        <f t="shared" si="168"/>
        <v>0</v>
      </c>
      <c r="N354" s="105">
        <f t="shared" si="168"/>
        <v>0</v>
      </c>
      <c r="O354" s="105">
        <f t="shared" si="168"/>
        <v>0</v>
      </c>
      <c r="P354" s="105">
        <f t="shared" si="168"/>
        <v>0</v>
      </c>
      <c r="Q354" s="105">
        <f t="shared" si="168"/>
        <v>27.037927325696003</v>
      </c>
      <c r="R354" s="105">
        <f t="shared" si="168"/>
        <v>27.230341860556802</v>
      </c>
      <c r="S354" s="105">
        <f t="shared" si="168"/>
        <v>27.384273488445444</v>
      </c>
      <c r="T354" s="105">
        <f t="shared" si="168"/>
        <v>27.507418790756358</v>
      </c>
      <c r="U354" s="105">
        <f t="shared" si="168"/>
        <v>52.211870065210164</v>
      </c>
      <c r="V354" s="105">
        <f t="shared" si="168"/>
        <v>52.369496052168131</v>
      </c>
      <c r="W354" s="105">
        <f t="shared" si="168"/>
        <v>52.49559684173451</v>
      </c>
      <c r="X354" s="105">
        <f t="shared" si="168"/>
        <v>52.596477473387608</v>
      </c>
      <c r="Y354" s="105">
        <f t="shared" si="168"/>
        <v>52.677181978710088</v>
      </c>
      <c r="Z354" s="105">
        <f t="shared" si="168"/>
        <v>52.741745582968072</v>
      </c>
      <c r="AA354" s="105">
        <f t="shared" si="168"/>
        <v>52.793396466374446</v>
      </c>
      <c r="AB354" s="105">
        <f t="shared" si="168"/>
        <v>52.834717173099563</v>
      </c>
      <c r="AC354" s="105">
        <f t="shared" si="168"/>
        <v>102.73554747695931</v>
      </c>
      <c r="AD354" s="105">
        <f t="shared" si="168"/>
        <v>102.78843798156745</v>
      </c>
      <c r="AE354" s="105">
        <f t="shared" si="168"/>
        <v>102.83075038525396</v>
      </c>
      <c r="AF354" s="105">
        <f t="shared" si="168"/>
        <v>102.86460030820318</v>
      </c>
      <c r="AG354" s="105">
        <f t="shared" si="168"/>
        <v>138.91876018492189</v>
      </c>
      <c r="AH354" s="105">
        <f t="shared" si="168"/>
        <v>138.93500814793754</v>
      </c>
      <c r="AI354" s="105">
        <f t="shared" si="168"/>
        <v>138.94800651835001</v>
      </c>
      <c r="AJ354" s="105">
        <f t="shared" si="168"/>
        <v>138.95840521468003</v>
      </c>
      <c r="AK354" s="105">
        <f t="shared" si="168"/>
        <v>153.96117820036804</v>
      </c>
      <c r="AL354" s="105">
        <f t="shared" si="168"/>
        <v>153.96894256029441</v>
      </c>
      <c r="AM354" s="105">
        <f t="shared" si="168"/>
        <v>153.97515404823554</v>
      </c>
      <c r="AN354" s="105">
        <f t="shared" si="168"/>
        <v>153.98012323858845</v>
      </c>
      <c r="AP354" s="105"/>
    </row>
    <row r="355" spans="2:42" x14ac:dyDescent="0.25">
      <c r="C355" s="20" t="s">
        <v>600</v>
      </c>
      <c r="D355" s="34" t="s">
        <v>162</v>
      </c>
      <c r="E355" s="20">
        <f>MIN('3.1 Market'!$F346,'1.1 Control Panel'!E686*'1.1 Control Panel'!E$662)</f>
        <v>0</v>
      </c>
      <c r="F355" s="20">
        <f>MIN('3.1 Market'!$F346,'1.1 Control Panel'!F686*'1.1 Control Panel'!F$662)</f>
        <v>0</v>
      </c>
      <c r="G355" s="20">
        <f>MIN('3.1 Market'!$F346,'1.1 Control Panel'!G686*'1.1 Control Panel'!G$662)</f>
        <v>0</v>
      </c>
      <c r="H355" s="20">
        <f>MIN('3.1 Market'!$F346,'1.1 Control Panel'!H686*'1.1 Control Panel'!H$662)</f>
        <v>0</v>
      </c>
      <c r="I355" s="20">
        <f>MIN('3.1 Market'!$F346,'1.1 Control Panel'!I686*'1.1 Control Panel'!I$662)</f>
        <v>0</v>
      </c>
      <c r="J355" s="20">
        <f>MIN('3.1 Market'!$F346,'1.1 Control Panel'!J686*'1.1 Control Panel'!J$662)</f>
        <v>0</v>
      </c>
      <c r="K355" s="20">
        <f>MIN('3.1 Market'!$F346,'1.1 Control Panel'!K686*'1.1 Control Panel'!K$662)</f>
        <v>0</v>
      </c>
      <c r="L355" s="20">
        <f>MIN('3.1 Market'!$F346,'1.1 Control Panel'!L686*'1.1 Control Panel'!L$662)</f>
        <v>0</v>
      </c>
      <c r="M355" s="20">
        <f>MIN('3.1 Market'!$F346,'1.1 Control Panel'!M686*'1.1 Control Panel'!M$662)</f>
        <v>0</v>
      </c>
      <c r="N355" s="20">
        <f>MIN('3.1 Market'!$F346,'1.1 Control Panel'!N686*'1.1 Control Panel'!N$662)</f>
        <v>0</v>
      </c>
      <c r="O355" s="20">
        <f>MIN('3.1 Market'!$F346,'1.1 Control Panel'!O686*'1.1 Control Panel'!O$662)</f>
        <v>0</v>
      </c>
      <c r="P355" s="20">
        <f>MIN('3.1 Market'!$F346,'1.1 Control Panel'!P686*'1.1 Control Panel'!P$662)</f>
        <v>0</v>
      </c>
      <c r="Q355" s="20">
        <f>MIN('3.1 Market'!$G346,'1.1 Control Panel'!Q686*'1.1 Control Panel'!Q$662)</f>
        <v>5</v>
      </c>
      <c r="R355" s="20">
        <f>MIN('3.1 Market'!$G346,'1.1 Control Panel'!R686*'1.1 Control Panel'!R$662)</f>
        <v>5</v>
      </c>
      <c r="S355" s="20">
        <f>MIN('3.1 Market'!$G346,'1.1 Control Panel'!S686*'1.1 Control Panel'!S$662)</f>
        <v>5</v>
      </c>
      <c r="T355" s="20">
        <f>MIN('3.1 Market'!$G346,'1.1 Control Panel'!T686*'1.1 Control Panel'!T$662)</f>
        <v>5</v>
      </c>
      <c r="U355" s="20">
        <f>MIN('3.1 Market'!$G346,'1.1 Control Panel'!U686*'1.1 Control Panel'!U$662)</f>
        <v>10</v>
      </c>
      <c r="V355" s="20">
        <f>MIN('3.1 Market'!$G346,'1.1 Control Panel'!V686*'1.1 Control Panel'!V$662)</f>
        <v>10</v>
      </c>
      <c r="W355" s="20">
        <f>MIN('3.1 Market'!$G346,'1.1 Control Panel'!W686*'1.1 Control Panel'!W$662)</f>
        <v>10</v>
      </c>
      <c r="X355" s="20">
        <f>MIN('3.1 Market'!$G346,'1.1 Control Panel'!X686*'1.1 Control Panel'!X$662)</f>
        <v>10</v>
      </c>
      <c r="Y355" s="20">
        <f>MIN('3.1 Market'!$G346,'1.1 Control Panel'!Y686*'1.1 Control Panel'!Y$662)</f>
        <v>10</v>
      </c>
      <c r="Z355" s="20">
        <f>MIN('3.1 Market'!$G346,'1.1 Control Panel'!Z686*'1.1 Control Panel'!Z$662)</f>
        <v>10</v>
      </c>
      <c r="AA355" s="20">
        <f>MIN('3.1 Market'!$G346,'1.1 Control Panel'!AA686*'1.1 Control Panel'!AA$662)</f>
        <v>10</v>
      </c>
      <c r="AB355" s="20">
        <f>MIN('3.1 Market'!$G346,'1.1 Control Panel'!AB686*'1.1 Control Panel'!AB$662)</f>
        <v>10</v>
      </c>
      <c r="AC355" s="20">
        <f>MIN('3.1 Market'!$H346,'1.1 Control Panel'!AC686*'1.1 Control Panel'!AC$662)</f>
        <v>20</v>
      </c>
      <c r="AD355" s="20">
        <f>MIN('3.1 Market'!$H346,'1.1 Control Panel'!AD686*'1.1 Control Panel'!AD$662)</f>
        <v>20</v>
      </c>
      <c r="AE355" s="20">
        <f>MIN('3.1 Market'!$H346,'1.1 Control Panel'!AE686*'1.1 Control Panel'!AE$662)</f>
        <v>20</v>
      </c>
      <c r="AF355" s="20">
        <f>MIN('3.1 Market'!$H346,'1.1 Control Panel'!AF686*'1.1 Control Panel'!AF$662)</f>
        <v>20</v>
      </c>
      <c r="AG355" s="20">
        <f>MIN('3.1 Market'!$H346,'1.1 Control Panel'!AG686*'1.1 Control Panel'!AG$662)</f>
        <v>30</v>
      </c>
      <c r="AH355" s="20">
        <f>MIN('3.1 Market'!$H346,'1.1 Control Panel'!AH686*'1.1 Control Panel'!AH$662)</f>
        <v>30</v>
      </c>
      <c r="AI355" s="20">
        <f>MIN('3.1 Market'!$H346,'1.1 Control Panel'!AI686*'1.1 Control Panel'!AI$662)</f>
        <v>30</v>
      </c>
      <c r="AJ355" s="20">
        <f>MIN('3.1 Market'!$H346,'1.1 Control Panel'!AJ686*'1.1 Control Panel'!AJ$662)</f>
        <v>30</v>
      </c>
      <c r="AK355" s="20">
        <f>MIN('3.1 Market'!$H346,'1.1 Control Panel'!AK686*'1.1 Control Panel'!AK$662)</f>
        <v>35</v>
      </c>
      <c r="AL355" s="20">
        <f>MIN('3.1 Market'!$H346,'1.1 Control Panel'!AL686*'1.1 Control Panel'!AL$662)</f>
        <v>35</v>
      </c>
      <c r="AM355" s="20">
        <f>MIN('3.1 Market'!$H346,'1.1 Control Panel'!AM686*'1.1 Control Panel'!AM$662)</f>
        <v>35</v>
      </c>
      <c r="AN355" s="20">
        <f>MIN('3.1 Market'!$H346,'1.1 Control Panel'!AN686*'1.1 Control Panel'!AN$662)</f>
        <v>35</v>
      </c>
      <c r="AP355" s="20"/>
    </row>
    <row r="356" spans="2:42" x14ac:dyDescent="0.25">
      <c r="C356" s="20" t="s">
        <v>392</v>
      </c>
      <c r="D356" s="34" t="s">
        <v>162</v>
      </c>
      <c r="E356" s="20">
        <f>MIN('3.1 Market'!$F347,'1.1 Control Panel'!E687*'1.1 Control Panel'!E$662)</f>
        <v>0</v>
      </c>
      <c r="F356" s="20">
        <f>MIN('3.1 Market'!$F347,'1.1 Control Panel'!F687*'1.1 Control Panel'!F$662)</f>
        <v>0</v>
      </c>
      <c r="G356" s="20">
        <f>MIN('3.1 Market'!$F347,'1.1 Control Panel'!G687*'1.1 Control Panel'!G$662)</f>
        <v>0</v>
      </c>
      <c r="H356" s="20">
        <f>MIN('3.1 Market'!$F347,'1.1 Control Panel'!H687*'1.1 Control Panel'!H$662)</f>
        <v>0</v>
      </c>
      <c r="I356" s="20">
        <f>MIN('3.1 Market'!$F347,'1.1 Control Panel'!I687*'1.1 Control Panel'!I$662)</f>
        <v>0</v>
      </c>
      <c r="J356" s="20">
        <f>MIN('3.1 Market'!$F347,'1.1 Control Panel'!J687*'1.1 Control Panel'!J$662)</f>
        <v>0</v>
      </c>
      <c r="K356" s="20">
        <f>MIN('3.1 Market'!$F347,'1.1 Control Panel'!K687*'1.1 Control Panel'!K$662)</f>
        <v>0</v>
      </c>
      <c r="L356" s="20">
        <f>MIN('3.1 Market'!$F347,'1.1 Control Panel'!L687*'1.1 Control Panel'!L$662)</f>
        <v>0</v>
      </c>
      <c r="M356" s="20">
        <f>MIN('3.1 Market'!$F347,'1.1 Control Panel'!M687*'1.1 Control Panel'!M$662)</f>
        <v>0</v>
      </c>
      <c r="N356" s="20">
        <f>MIN('3.1 Market'!$F347,'1.1 Control Panel'!N687*'1.1 Control Panel'!N$662)</f>
        <v>0</v>
      </c>
      <c r="O356" s="20">
        <f>MIN('3.1 Market'!$F347,'1.1 Control Panel'!O687*'1.1 Control Panel'!O$662)</f>
        <v>0</v>
      </c>
      <c r="P356" s="20">
        <f>MIN('3.1 Market'!$F347,'1.1 Control Panel'!P687*'1.1 Control Panel'!P$662)</f>
        <v>0</v>
      </c>
      <c r="Q356" s="20">
        <f>MIN('3.1 Market'!$G347,'1.1 Control Panel'!Q687*'1.1 Control Panel'!Q$662)</f>
        <v>3</v>
      </c>
      <c r="R356" s="20">
        <f>MIN('3.1 Market'!$G347,'1.1 Control Panel'!R687*'1.1 Control Panel'!R$662)</f>
        <v>3</v>
      </c>
      <c r="S356" s="20">
        <f>MIN('3.1 Market'!$G347,'1.1 Control Panel'!S687*'1.1 Control Panel'!S$662)</f>
        <v>3</v>
      </c>
      <c r="T356" s="20">
        <f>MIN('3.1 Market'!$G347,'1.1 Control Panel'!T687*'1.1 Control Panel'!T$662)</f>
        <v>3</v>
      </c>
      <c r="U356" s="20">
        <f>MIN('3.1 Market'!$G347,'1.1 Control Panel'!U687*'1.1 Control Panel'!U$662)</f>
        <v>3</v>
      </c>
      <c r="V356" s="20">
        <f>MIN('3.1 Market'!$G347,'1.1 Control Panel'!V687*'1.1 Control Panel'!V$662)</f>
        <v>3</v>
      </c>
      <c r="W356" s="20">
        <f>MIN('3.1 Market'!$G347,'1.1 Control Panel'!W687*'1.1 Control Panel'!W$662)</f>
        <v>3</v>
      </c>
      <c r="X356" s="20">
        <f>MIN('3.1 Market'!$G347,'1.1 Control Panel'!X687*'1.1 Control Panel'!X$662)</f>
        <v>3</v>
      </c>
      <c r="Y356" s="20">
        <f>MIN('3.1 Market'!$G347,'1.1 Control Panel'!Y687*'1.1 Control Panel'!Y$662)</f>
        <v>3</v>
      </c>
      <c r="Z356" s="20">
        <f>MIN('3.1 Market'!$G347,'1.1 Control Panel'!Z687*'1.1 Control Panel'!Z$662)</f>
        <v>3</v>
      </c>
      <c r="AA356" s="20">
        <f>MIN('3.1 Market'!$G347,'1.1 Control Panel'!AA687*'1.1 Control Panel'!AA$662)</f>
        <v>3</v>
      </c>
      <c r="AB356" s="20">
        <f>MIN('3.1 Market'!$G347,'1.1 Control Panel'!AB687*'1.1 Control Panel'!AB$662)</f>
        <v>3</v>
      </c>
      <c r="AC356" s="20">
        <f>MIN('3.1 Market'!$H347,'1.1 Control Panel'!AC687*'1.1 Control Panel'!AC$662)</f>
        <v>3</v>
      </c>
      <c r="AD356" s="20">
        <f>MIN('3.1 Market'!$H347,'1.1 Control Panel'!AD687*'1.1 Control Panel'!AD$662)</f>
        <v>3</v>
      </c>
      <c r="AE356" s="20">
        <f>MIN('3.1 Market'!$H347,'1.1 Control Panel'!AE687*'1.1 Control Panel'!AE$662)</f>
        <v>3</v>
      </c>
      <c r="AF356" s="20">
        <f>MIN('3.1 Market'!$H347,'1.1 Control Panel'!AF687*'1.1 Control Panel'!AF$662)</f>
        <v>3</v>
      </c>
      <c r="AG356" s="20">
        <f>MIN('3.1 Market'!$H347,'1.1 Control Panel'!AG687*'1.1 Control Panel'!AG$662)</f>
        <v>3</v>
      </c>
      <c r="AH356" s="20">
        <f>MIN('3.1 Market'!$H347,'1.1 Control Panel'!AH687*'1.1 Control Panel'!AH$662)</f>
        <v>3</v>
      </c>
      <c r="AI356" s="20">
        <f>MIN('3.1 Market'!$H347,'1.1 Control Panel'!AI687*'1.1 Control Panel'!AI$662)</f>
        <v>3</v>
      </c>
      <c r="AJ356" s="20">
        <f>MIN('3.1 Market'!$H347,'1.1 Control Panel'!AJ687*'1.1 Control Panel'!AJ$662)</f>
        <v>3</v>
      </c>
      <c r="AK356" s="20">
        <f>MIN('3.1 Market'!$H347,'1.1 Control Panel'!AK687*'1.1 Control Panel'!AK$662)</f>
        <v>3</v>
      </c>
      <c r="AL356" s="20">
        <f>MIN('3.1 Market'!$H347,'1.1 Control Panel'!AL687*'1.1 Control Panel'!AL$662)</f>
        <v>3</v>
      </c>
      <c r="AM356" s="20">
        <f>MIN('3.1 Market'!$H347,'1.1 Control Panel'!AM687*'1.1 Control Panel'!AM$662)</f>
        <v>3</v>
      </c>
      <c r="AN356" s="20">
        <f>MIN('3.1 Market'!$H347,'1.1 Control Panel'!AN687*'1.1 Control Panel'!AN$662)</f>
        <v>3</v>
      </c>
      <c r="AP356" s="20"/>
    </row>
    <row r="357" spans="2:42" x14ac:dyDescent="0.25">
      <c r="C357" s="20" t="s">
        <v>454</v>
      </c>
      <c r="D357" s="34" t="s">
        <v>162</v>
      </c>
      <c r="E357" s="20">
        <f>MIN('3.1 Market'!$F348,'1.1 Control Panel'!E688*'1.1 Control Panel'!E$662)</f>
        <v>0</v>
      </c>
      <c r="F357" s="20">
        <f>MIN('3.1 Market'!$F348,'1.1 Control Panel'!F688*'1.1 Control Panel'!F$662)</f>
        <v>0</v>
      </c>
      <c r="G357" s="20">
        <f>MIN('3.1 Market'!$F348,'1.1 Control Panel'!G688*'1.1 Control Panel'!G$662)</f>
        <v>0</v>
      </c>
      <c r="H357" s="20">
        <f>MIN('3.1 Market'!$F348,'1.1 Control Panel'!H688*'1.1 Control Panel'!H$662)</f>
        <v>0</v>
      </c>
      <c r="I357" s="20">
        <f>MIN('3.1 Market'!$F348,'1.1 Control Panel'!I688*'1.1 Control Panel'!I$662)</f>
        <v>0</v>
      </c>
      <c r="J357" s="20">
        <f>MIN('3.1 Market'!$F348,'1.1 Control Panel'!J688*'1.1 Control Panel'!J$662)</f>
        <v>0</v>
      </c>
      <c r="K357" s="20">
        <f>MIN('3.1 Market'!$F348,'1.1 Control Panel'!K688*'1.1 Control Panel'!K$662)</f>
        <v>0</v>
      </c>
      <c r="L357" s="20">
        <f>MIN('3.1 Market'!$F348,'1.1 Control Panel'!L688*'1.1 Control Panel'!L$662)</f>
        <v>0</v>
      </c>
      <c r="M357" s="20">
        <f>MIN('3.1 Market'!$F348,'1.1 Control Panel'!M688*'1.1 Control Panel'!M$662)</f>
        <v>0</v>
      </c>
      <c r="N357" s="20">
        <f>MIN('3.1 Market'!$F348,'1.1 Control Panel'!N688*'1.1 Control Panel'!N$662)</f>
        <v>0</v>
      </c>
      <c r="O357" s="20">
        <f>MIN('3.1 Market'!$F348,'1.1 Control Panel'!O688*'1.1 Control Panel'!O$662)</f>
        <v>0</v>
      </c>
      <c r="P357" s="20">
        <f>MIN('3.1 Market'!$F348,'1.1 Control Panel'!P688*'1.1 Control Panel'!P$662)</f>
        <v>0</v>
      </c>
      <c r="Q357" s="20">
        <f>MIN('3.1 Market'!$G348,'1.1 Control Panel'!Q688*'1.1 Control Panel'!Q$662)</f>
        <v>4.8625610465280014</v>
      </c>
      <c r="R357" s="20">
        <f>MIN('3.1 Market'!$G348,'1.1 Control Panel'!R688*'1.1 Control Panel'!R$662)</f>
        <v>4.8900488372224018</v>
      </c>
      <c r="S357" s="20">
        <f>MIN('3.1 Market'!$G348,'1.1 Control Panel'!S688*'1.1 Control Panel'!S$662)</f>
        <v>4.9120390697779222</v>
      </c>
      <c r="T357" s="20">
        <f>MIN('3.1 Market'!$G348,'1.1 Control Panel'!T688*'1.1 Control Panel'!T$662)</f>
        <v>4.9296312558223381</v>
      </c>
      <c r="U357" s="20">
        <f>MIN('3.1 Market'!$G348,'1.1 Control Panel'!U688*'1.1 Control Panel'!U$662)</f>
        <v>9.8874100093157402</v>
      </c>
      <c r="V357" s="20">
        <f>MIN('3.1 Market'!$G348,'1.1 Control Panel'!V688*'1.1 Control Panel'!V$662)</f>
        <v>9.9099280074525922</v>
      </c>
      <c r="W357" s="20">
        <f>MIN('3.1 Market'!$G348,'1.1 Control Panel'!W688*'1.1 Control Panel'!W$662)</f>
        <v>9.9279424059620744</v>
      </c>
      <c r="X357" s="20">
        <f>MIN('3.1 Market'!$G348,'1.1 Control Panel'!X688*'1.1 Control Panel'!X$662)</f>
        <v>9.9423539247696588</v>
      </c>
      <c r="Y357" s="20">
        <f>MIN('3.1 Market'!$G348,'1.1 Control Panel'!Y688*'1.1 Control Panel'!Y$662)</f>
        <v>9.9538831398157264</v>
      </c>
      <c r="Z357" s="20">
        <f>MIN('3.1 Market'!$G348,'1.1 Control Panel'!Z688*'1.1 Control Panel'!Z$662)</f>
        <v>9.9631065118525814</v>
      </c>
      <c r="AA357" s="20">
        <f>MIN('3.1 Market'!$G348,'1.1 Control Panel'!AA688*'1.1 Control Panel'!AA$662)</f>
        <v>9.9704852094820655</v>
      </c>
      <c r="AB357" s="20">
        <f>MIN('3.1 Market'!$G348,'1.1 Control Panel'!AB688*'1.1 Control Panel'!AB$662)</f>
        <v>9.9763881675856538</v>
      </c>
      <c r="AC357" s="20">
        <f>MIN('3.1 Market'!$H348,'1.1 Control Panel'!AC688*'1.1 Control Panel'!AC$662)</f>
        <v>19.962221068137048</v>
      </c>
      <c r="AD357" s="20">
        <f>MIN('3.1 Market'!$H348,'1.1 Control Panel'!AD688*'1.1 Control Panel'!AD$662)</f>
        <v>19.969776854509639</v>
      </c>
      <c r="AE357" s="20">
        <f>MIN('3.1 Market'!$H348,'1.1 Control Panel'!AE688*'1.1 Control Panel'!AE$662)</f>
        <v>19.97582148360771</v>
      </c>
      <c r="AF357" s="20">
        <f>MIN('3.1 Market'!$H348,'1.1 Control Panel'!AF688*'1.1 Control Panel'!AF$662)</f>
        <v>19.98065718688617</v>
      </c>
      <c r="AG357" s="20">
        <f>MIN('3.1 Market'!$H348,'1.1 Control Panel'!AG688*'1.1 Control Panel'!AG$662)</f>
        <v>25</v>
      </c>
      <c r="AH357" s="20">
        <f>MIN('3.1 Market'!$H348,'1.1 Control Panel'!AH688*'1.1 Control Panel'!AH$662)</f>
        <v>25</v>
      </c>
      <c r="AI357" s="20">
        <f>MIN('3.1 Market'!$H348,'1.1 Control Panel'!AI688*'1.1 Control Panel'!AI$662)</f>
        <v>25</v>
      </c>
      <c r="AJ357" s="20">
        <f>MIN('3.1 Market'!$H348,'1.1 Control Panel'!AJ688*'1.1 Control Panel'!AJ$662)</f>
        <v>25</v>
      </c>
      <c r="AK357" s="20">
        <f>MIN('3.1 Market'!$H348,'1.1 Control Panel'!AK688*'1.1 Control Panel'!AK$662)</f>
        <v>25</v>
      </c>
      <c r="AL357" s="20">
        <f>MIN('3.1 Market'!$H348,'1.1 Control Panel'!AL688*'1.1 Control Panel'!AL$662)</f>
        <v>25</v>
      </c>
      <c r="AM357" s="20">
        <f>MIN('3.1 Market'!$H348,'1.1 Control Panel'!AM688*'1.1 Control Panel'!AM$662)</f>
        <v>25</v>
      </c>
      <c r="AN357" s="20">
        <f>MIN('3.1 Market'!$H348,'1.1 Control Panel'!AN688*'1.1 Control Panel'!AN$662)</f>
        <v>25</v>
      </c>
      <c r="AP357" s="20"/>
    </row>
    <row r="358" spans="2:42" x14ac:dyDescent="0.25">
      <c r="C358" s="21" t="s">
        <v>455</v>
      </c>
      <c r="D358" s="38" t="s">
        <v>162</v>
      </c>
      <c r="E358" s="21">
        <f>MIN('3.1 Market'!$F349,'1.1 Control Panel'!E689*'1.1 Control Panel'!E$662)</f>
        <v>0</v>
      </c>
      <c r="F358" s="21">
        <f>MIN('3.1 Market'!$F349,'1.1 Control Panel'!F689*'1.1 Control Panel'!F$662)</f>
        <v>0</v>
      </c>
      <c r="G358" s="21">
        <f>MIN('3.1 Market'!$F349,'1.1 Control Panel'!G689*'1.1 Control Panel'!G$662)</f>
        <v>0</v>
      </c>
      <c r="H358" s="21">
        <f>MIN('3.1 Market'!$F349,'1.1 Control Panel'!H689*'1.1 Control Panel'!H$662)</f>
        <v>0</v>
      </c>
      <c r="I358" s="21">
        <f>MIN('3.1 Market'!$F349,'1.1 Control Panel'!I689*'1.1 Control Panel'!I$662)</f>
        <v>0</v>
      </c>
      <c r="J358" s="21">
        <f>MIN('3.1 Market'!$F349,'1.1 Control Panel'!J689*'1.1 Control Panel'!J$662)</f>
        <v>0</v>
      </c>
      <c r="K358" s="21">
        <f>MIN('3.1 Market'!$F349,'1.1 Control Panel'!K689*'1.1 Control Panel'!K$662)</f>
        <v>0</v>
      </c>
      <c r="L358" s="21">
        <f>MIN('3.1 Market'!$F349,'1.1 Control Panel'!L689*'1.1 Control Panel'!L$662)</f>
        <v>0</v>
      </c>
      <c r="M358" s="21">
        <f>MIN('3.1 Market'!$F349,'1.1 Control Panel'!M689*'1.1 Control Panel'!M$662)</f>
        <v>0</v>
      </c>
      <c r="N358" s="21">
        <f>MIN('3.1 Market'!$F349,'1.1 Control Panel'!N689*'1.1 Control Panel'!N$662)</f>
        <v>0</v>
      </c>
      <c r="O358" s="21">
        <f>MIN('3.1 Market'!$F349,'1.1 Control Panel'!O689*'1.1 Control Panel'!O$662)</f>
        <v>0</v>
      </c>
      <c r="P358" s="21">
        <f>MIN('3.1 Market'!$F349,'1.1 Control Panel'!P689*'1.1 Control Panel'!P$662)</f>
        <v>0</v>
      </c>
      <c r="Q358" s="21">
        <f>MIN('3.1 Market'!$G349,'1.1 Control Panel'!Q689*'1.1 Control Panel'!Q$662)</f>
        <v>4.7938415697920007</v>
      </c>
      <c r="R358" s="21">
        <f>MIN('3.1 Market'!$G349,'1.1 Control Panel'!R689*'1.1 Control Panel'!R$662)</f>
        <v>4.8350732558336009</v>
      </c>
      <c r="S358" s="21">
        <f>MIN('3.1 Market'!$G349,'1.1 Control Panel'!S689*'1.1 Control Panel'!S$662)</f>
        <v>4.8680586046668815</v>
      </c>
      <c r="T358" s="21">
        <f>MIN('3.1 Market'!$G349,'1.1 Control Panel'!T689*'1.1 Control Panel'!T$662)</f>
        <v>4.8944468837335053</v>
      </c>
      <c r="U358" s="21">
        <f>MIN('3.1 Market'!$G349,'1.1 Control Panel'!U689*'1.1 Control Panel'!U$662)</f>
        <v>9.8311150139736085</v>
      </c>
      <c r="V358" s="21">
        <f>MIN('3.1 Market'!$G349,'1.1 Control Panel'!V689*'1.1 Control Panel'!V$662)</f>
        <v>9.8648920111788883</v>
      </c>
      <c r="W358" s="21">
        <f>MIN('3.1 Market'!$G349,'1.1 Control Panel'!W689*'1.1 Control Panel'!W$662)</f>
        <v>9.8919136089431099</v>
      </c>
      <c r="X358" s="21">
        <f>MIN('3.1 Market'!$G349,'1.1 Control Panel'!X689*'1.1 Control Panel'!X$662)</f>
        <v>9.9135308871544883</v>
      </c>
      <c r="Y358" s="21">
        <f>MIN('3.1 Market'!$G349,'1.1 Control Panel'!Y689*'1.1 Control Panel'!Y$662)</f>
        <v>9.9308247097235913</v>
      </c>
      <c r="Z358" s="21">
        <f>MIN('3.1 Market'!$G349,'1.1 Control Panel'!Z689*'1.1 Control Panel'!Z$662)</f>
        <v>9.9446597677788731</v>
      </c>
      <c r="AA358" s="21">
        <f>MIN('3.1 Market'!$G349,'1.1 Control Panel'!AA689*'1.1 Control Panel'!AA$662)</f>
        <v>9.9557278142230992</v>
      </c>
      <c r="AB358" s="21">
        <f>MIN('3.1 Market'!$G349,'1.1 Control Panel'!AB689*'1.1 Control Panel'!AB$662)</f>
        <v>9.9645822513784807</v>
      </c>
      <c r="AC358" s="21">
        <f>MIN('3.1 Market'!$H349,'1.1 Control Panel'!AC689*'1.1 Control Panel'!AC$662)</f>
        <v>19.943331602205568</v>
      </c>
      <c r="AD358" s="21">
        <f>MIN('3.1 Market'!$H349,'1.1 Control Panel'!AD689*'1.1 Control Panel'!AD$662)</f>
        <v>19.954665281764456</v>
      </c>
      <c r="AE358" s="21">
        <f>MIN('3.1 Market'!$H349,'1.1 Control Panel'!AE689*'1.1 Control Panel'!AE$662)</f>
        <v>19.963732225411565</v>
      </c>
      <c r="AF358" s="21">
        <f>MIN('3.1 Market'!$H349,'1.1 Control Panel'!AF689*'1.1 Control Panel'!AF$662)</f>
        <v>19.970985780329251</v>
      </c>
      <c r="AG358" s="21">
        <f>MIN('3.1 Market'!$H349,'1.1 Control Panel'!AG689*'1.1 Control Panel'!AG$662)</f>
        <v>29.965182936395099</v>
      </c>
      <c r="AH358" s="21">
        <f>MIN('3.1 Market'!$H349,'1.1 Control Panel'!AH689*'1.1 Control Panel'!AH$662)</f>
        <v>29.972146349116077</v>
      </c>
      <c r="AI358" s="21">
        <f>MIN('3.1 Market'!$H349,'1.1 Control Panel'!AI689*'1.1 Control Panel'!AI$662)</f>
        <v>29.977717079292866</v>
      </c>
      <c r="AJ358" s="21">
        <f>MIN('3.1 Market'!$H349,'1.1 Control Panel'!AJ689*'1.1 Control Panel'!AJ$662)</f>
        <v>29.982173663434295</v>
      </c>
      <c r="AK358" s="21">
        <f>MIN('3.1 Market'!$H349,'1.1 Control Panel'!AK689*'1.1 Control Panel'!AK$662)</f>
        <v>34.98336208587201</v>
      </c>
      <c r="AL358" s="21">
        <f>MIN('3.1 Market'!$H349,'1.1 Control Panel'!AL689*'1.1 Control Panel'!AL$662)</f>
        <v>34.986689668697608</v>
      </c>
      <c r="AM358" s="21">
        <f>MIN('3.1 Market'!$H349,'1.1 Control Panel'!AM689*'1.1 Control Panel'!AM$662)</f>
        <v>34.989351734958092</v>
      </c>
      <c r="AN358" s="21">
        <f>MIN('3.1 Market'!$H349,'1.1 Control Panel'!AN689*'1.1 Control Panel'!AN$662)</f>
        <v>34.991481387966473</v>
      </c>
      <c r="AP358" s="21"/>
    </row>
    <row r="359" spans="2:42" x14ac:dyDescent="0.25">
      <c r="C359" s="21" t="s">
        <v>393</v>
      </c>
      <c r="D359" s="38" t="s">
        <v>162</v>
      </c>
      <c r="E359" s="21">
        <f>MIN('3.1 Market'!$F350,'1.1 Control Panel'!E690*'1.1 Control Panel'!E$662)</f>
        <v>0</v>
      </c>
      <c r="F359" s="21">
        <f>MIN('3.1 Market'!$F350,'1.1 Control Panel'!F690*'1.1 Control Panel'!F$662)</f>
        <v>0</v>
      </c>
      <c r="G359" s="21">
        <f>MIN('3.1 Market'!$F350,'1.1 Control Panel'!G690*'1.1 Control Panel'!G$662)</f>
        <v>0</v>
      </c>
      <c r="H359" s="21">
        <f>MIN('3.1 Market'!$F350,'1.1 Control Panel'!H690*'1.1 Control Panel'!H$662)</f>
        <v>0</v>
      </c>
      <c r="I359" s="21">
        <f>MIN('3.1 Market'!$F350,'1.1 Control Panel'!I690*'1.1 Control Panel'!I$662)</f>
        <v>0</v>
      </c>
      <c r="J359" s="21">
        <f>MIN('3.1 Market'!$F350,'1.1 Control Panel'!J690*'1.1 Control Panel'!J$662)</f>
        <v>0</v>
      </c>
      <c r="K359" s="21">
        <f>MIN('3.1 Market'!$F350,'1.1 Control Panel'!K690*'1.1 Control Panel'!K$662)</f>
        <v>0</v>
      </c>
      <c r="L359" s="21">
        <f>MIN('3.1 Market'!$F350,'1.1 Control Panel'!L690*'1.1 Control Panel'!L$662)</f>
        <v>0</v>
      </c>
      <c r="M359" s="21">
        <f>MIN('3.1 Market'!$F350,'1.1 Control Panel'!M690*'1.1 Control Panel'!M$662)</f>
        <v>0</v>
      </c>
      <c r="N359" s="21">
        <f>MIN('3.1 Market'!$F350,'1.1 Control Panel'!N690*'1.1 Control Panel'!N$662)</f>
        <v>0</v>
      </c>
      <c r="O359" s="21">
        <f>MIN('3.1 Market'!$F350,'1.1 Control Panel'!O690*'1.1 Control Panel'!O$662)</f>
        <v>0</v>
      </c>
      <c r="P359" s="21">
        <f>MIN('3.1 Market'!$F350,'1.1 Control Panel'!P690*'1.1 Control Panel'!P$662)</f>
        <v>0</v>
      </c>
      <c r="Q359" s="21">
        <f>MIN('3.1 Market'!$G350,'1.1 Control Panel'!Q690*'1.1 Control Panel'!Q$662)</f>
        <v>4.7251220930560009</v>
      </c>
      <c r="R359" s="21">
        <f>MIN('3.1 Market'!$G350,'1.1 Control Panel'!R690*'1.1 Control Panel'!R$662)</f>
        <v>4.7800976744448009</v>
      </c>
      <c r="S359" s="21">
        <f>MIN('3.1 Market'!$G350,'1.1 Control Panel'!S690*'1.1 Control Panel'!S$662)</f>
        <v>4.8240781395558407</v>
      </c>
      <c r="T359" s="21">
        <f>MIN('3.1 Market'!$G350,'1.1 Control Panel'!T690*'1.1 Control Panel'!T$662)</f>
        <v>4.8592625116446726</v>
      </c>
      <c r="U359" s="21">
        <f>MIN('3.1 Market'!$G350,'1.1 Control Panel'!U690*'1.1 Control Panel'!U$662)</f>
        <v>9.7748200186314769</v>
      </c>
      <c r="V359" s="21">
        <f>MIN('3.1 Market'!$G350,'1.1 Control Panel'!V690*'1.1 Control Panel'!V$662)</f>
        <v>9.8198560149051808</v>
      </c>
      <c r="W359" s="21">
        <f>MIN('3.1 Market'!$G350,'1.1 Control Panel'!W690*'1.1 Control Panel'!W$662)</f>
        <v>9.8558848119241453</v>
      </c>
      <c r="X359" s="21">
        <f>MIN('3.1 Market'!$G350,'1.1 Control Panel'!X690*'1.1 Control Panel'!X$662)</f>
        <v>9.8847078495393177</v>
      </c>
      <c r="Y359" s="21">
        <f>MIN('3.1 Market'!$G350,'1.1 Control Panel'!Y690*'1.1 Control Panel'!Y$662)</f>
        <v>9.9077662796314545</v>
      </c>
      <c r="Z359" s="21">
        <f>MIN('3.1 Market'!$G350,'1.1 Control Panel'!Z690*'1.1 Control Panel'!Z$662)</f>
        <v>9.9262130237051629</v>
      </c>
      <c r="AA359" s="21">
        <f>MIN('3.1 Market'!$G350,'1.1 Control Panel'!AA690*'1.1 Control Panel'!AA$662)</f>
        <v>9.940970418964131</v>
      </c>
      <c r="AB359" s="21">
        <f>MIN('3.1 Market'!$G350,'1.1 Control Panel'!AB690*'1.1 Control Panel'!AB$662)</f>
        <v>9.9527763351713041</v>
      </c>
      <c r="AC359" s="21">
        <f>MIN('3.1 Market'!$H350,'1.1 Control Panel'!AC690*'1.1 Control Panel'!AC$662)</f>
        <v>19.924442136274088</v>
      </c>
      <c r="AD359" s="21">
        <f>MIN('3.1 Market'!$H350,'1.1 Control Panel'!AD690*'1.1 Control Panel'!AD$662)</f>
        <v>19.939553709019272</v>
      </c>
      <c r="AE359" s="21">
        <f>MIN('3.1 Market'!$H350,'1.1 Control Panel'!AE690*'1.1 Control Panel'!AE$662)</f>
        <v>19.95164296721542</v>
      </c>
      <c r="AF359" s="21">
        <f>MIN('3.1 Market'!$H350,'1.1 Control Panel'!AF690*'1.1 Control Panel'!AF$662)</f>
        <v>19.961314373772339</v>
      </c>
      <c r="AG359" s="21">
        <f>MIN('3.1 Market'!$H350,'1.1 Control Panel'!AG690*'1.1 Control Panel'!AG$662)</f>
        <v>29.953577248526809</v>
      </c>
      <c r="AH359" s="21">
        <f>MIN('3.1 Market'!$H350,'1.1 Control Panel'!AH690*'1.1 Control Panel'!AH$662)</f>
        <v>29.96286179882145</v>
      </c>
      <c r="AI359" s="21">
        <f>MIN('3.1 Market'!$H350,'1.1 Control Panel'!AI690*'1.1 Control Panel'!AI$662)</f>
        <v>29.970289439057161</v>
      </c>
      <c r="AJ359" s="21">
        <f>MIN('3.1 Market'!$H350,'1.1 Control Panel'!AJ690*'1.1 Control Panel'!AJ$662)</f>
        <v>29.976231551245732</v>
      </c>
      <c r="AK359" s="21">
        <f>MIN('3.1 Market'!$H350,'1.1 Control Panel'!AK690*'1.1 Control Panel'!AK$662)</f>
        <v>34.977816114496015</v>
      </c>
      <c r="AL359" s="21">
        <f>MIN('3.1 Market'!$H350,'1.1 Control Panel'!AL690*'1.1 Control Panel'!AL$662)</f>
        <v>34.982252891596815</v>
      </c>
      <c r="AM359" s="21">
        <f>MIN('3.1 Market'!$H350,'1.1 Control Panel'!AM690*'1.1 Control Panel'!AM$662)</f>
        <v>34.985802313277453</v>
      </c>
      <c r="AN359" s="21">
        <f>MIN('3.1 Market'!$H350,'1.1 Control Panel'!AN690*'1.1 Control Panel'!AN$662)</f>
        <v>34.988641850621967</v>
      </c>
      <c r="AP359" s="21"/>
    </row>
    <row r="360" spans="2:42" x14ac:dyDescent="0.25">
      <c r="C360" s="27" t="s">
        <v>456</v>
      </c>
      <c r="D360" s="40" t="s">
        <v>162</v>
      </c>
      <c r="E360" s="27">
        <f>MIN('3.1 Market'!$F351,'1.1 Control Panel'!E691*'1.1 Control Panel'!E$662)</f>
        <v>0</v>
      </c>
      <c r="F360" s="27">
        <f>MIN('3.1 Market'!$F351,'1.1 Control Panel'!F691*'1.1 Control Panel'!F$662)</f>
        <v>0</v>
      </c>
      <c r="G360" s="27">
        <f>MIN('3.1 Market'!$F351,'1.1 Control Panel'!G691*'1.1 Control Panel'!G$662)</f>
        <v>0</v>
      </c>
      <c r="H360" s="27">
        <f>MIN('3.1 Market'!$F351,'1.1 Control Panel'!H691*'1.1 Control Panel'!H$662)</f>
        <v>0</v>
      </c>
      <c r="I360" s="27">
        <f>MIN('3.1 Market'!$F351,'1.1 Control Panel'!I691*'1.1 Control Panel'!I$662)</f>
        <v>0</v>
      </c>
      <c r="J360" s="27">
        <f>MIN('3.1 Market'!$F351,'1.1 Control Panel'!J691*'1.1 Control Panel'!J$662)</f>
        <v>0</v>
      </c>
      <c r="K360" s="27">
        <f>MIN('3.1 Market'!$F351,'1.1 Control Panel'!K691*'1.1 Control Panel'!K$662)</f>
        <v>0</v>
      </c>
      <c r="L360" s="27">
        <f>MIN('3.1 Market'!$F351,'1.1 Control Panel'!L691*'1.1 Control Panel'!L$662)</f>
        <v>0</v>
      </c>
      <c r="M360" s="27">
        <f>MIN('3.1 Market'!$F351,'1.1 Control Panel'!M691*'1.1 Control Panel'!M$662)</f>
        <v>0</v>
      </c>
      <c r="N360" s="27">
        <f>MIN('3.1 Market'!$F351,'1.1 Control Panel'!N691*'1.1 Control Panel'!N$662)</f>
        <v>0</v>
      </c>
      <c r="O360" s="27">
        <f>MIN('3.1 Market'!$F351,'1.1 Control Panel'!O691*'1.1 Control Panel'!O$662)</f>
        <v>0</v>
      </c>
      <c r="P360" s="27">
        <f>MIN('3.1 Market'!$F351,'1.1 Control Panel'!P691*'1.1 Control Panel'!P$662)</f>
        <v>0</v>
      </c>
      <c r="Q360" s="27">
        <f>MIN('3.1 Market'!$G351,'1.1 Control Panel'!Q691*'1.1 Control Panel'!Q$662)</f>
        <v>4.6564026163200012</v>
      </c>
      <c r="R360" s="27">
        <f>MIN('3.1 Market'!$G351,'1.1 Control Panel'!R691*'1.1 Control Panel'!R$662)</f>
        <v>4.7251220930560009</v>
      </c>
      <c r="S360" s="27">
        <f>MIN('3.1 Market'!$G351,'1.1 Control Panel'!S691*'1.1 Control Panel'!S$662)</f>
        <v>4.7800976744448009</v>
      </c>
      <c r="T360" s="27">
        <f>MIN('3.1 Market'!$G351,'1.1 Control Panel'!T691*'1.1 Control Panel'!T$662)</f>
        <v>4.8240781395558407</v>
      </c>
      <c r="U360" s="27">
        <f>MIN('3.1 Market'!$G351,'1.1 Control Panel'!U691*'1.1 Control Panel'!U$662)</f>
        <v>9.7185250232893452</v>
      </c>
      <c r="V360" s="27">
        <f>MIN('3.1 Market'!$G351,'1.1 Control Panel'!V691*'1.1 Control Panel'!V$662)</f>
        <v>9.7748200186314769</v>
      </c>
      <c r="W360" s="27">
        <f>MIN('3.1 Market'!$G351,'1.1 Control Panel'!W691*'1.1 Control Panel'!W$662)</f>
        <v>9.8198560149051808</v>
      </c>
      <c r="X360" s="27">
        <f>MIN('3.1 Market'!$G351,'1.1 Control Panel'!X691*'1.1 Control Panel'!X$662)</f>
        <v>9.8558848119241453</v>
      </c>
      <c r="Y360" s="27">
        <f>MIN('3.1 Market'!$G351,'1.1 Control Panel'!Y691*'1.1 Control Panel'!Y$662)</f>
        <v>9.8847078495393177</v>
      </c>
      <c r="Z360" s="27">
        <f>MIN('3.1 Market'!$G351,'1.1 Control Panel'!Z691*'1.1 Control Panel'!Z$662)</f>
        <v>9.9077662796314545</v>
      </c>
      <c r="AA360" s="27">
        <f>MIN('3.1 Market'!$G351,'1.1 Control Panel'!AA691*'1.1 Control Panel'!AA$662)</f>
        <v>9.9262130237051629</v>
      </c>
      <c r="AB360" s="27">
        <f>MIN('3.1 Market'!$G351,'1.1 Control Panel'!AB691*'1.1 Control Panel'!AB$662)</f>
        <v>9.940970418964131</v>
      </c>
      <c r="AC360" s="27">
        <f>MIN('3.1 Market'!$H351,'1.1 Control Panel'!AC691*'1.1 Control Panel'!AC$662)</f>
        <v>19.905552670342608</v>
      </c>
      <c r="AD360" s="27">
        <f>MIN('3.1 Market'!$H351,'1.1 Control Panel'!AD691*'1.1 Control Panel'!AD$662)</f>
        <v>19.924442136274088</v>
      </c>
      <c r="AE360" s="27">
        <f>MIN('3.1 Market'!$H351,'1.1 Control Panel'!AE691*'1.1 Control Panel'!AE$662)</f>
        <v>19.939553709019272</v>
      </c>
      <c r="AF360" s="27">
        <f>MIN('3.1 Market'!$H351,'1.1 Control Panel'!AF691*'1.1 Control Panel'!AF$662)</f>
        <v>19.95164296721542</v>
      </c>
      <c r="AG360" s="27">
        <f>MIN('3.1 Market'!$H351,'1.1 Control Panel'!AG691*'1.1 Control Panel'!AG$662)</f>
        <v>21</v>
      </c>
      <c r="AH360" s="27">
        <f>MIN('3.1 Market'!$H351,'1.1 Control Panel'!AH691*'1.1 Control Panel'!AH$662)</f>
        <v>21</v>
      </c>
      <c r="AI360" s="27">
        <f>MIN('3.1 Market'!$H351,'1.1 Control Panel'!AI691*'1.1 Control Panel'!AI$662)</f>
        <v>21</v>
      </c>
      <c r="AJ360" s="27">
        <f>MIN('3.1 Market'!$H351,'1.1 Control Panel'!AJ691*'1.1 Control Panel'!AJ$662)</f>
        <v>21</v>
      </c>
      <c r="AK360" s="27">
        <f>MIN('3.1 Market'!$H351,'1.1 Control Panel'!AK691*'1.1 Control Panel'!AK$662)</f>
        <v>21</v>
      </c>
      <c r="AL360" s="27">
        <f>MIN('3.1 Market'!$H351,'1.1 Control Panel'!AL691*'1.1 Control Panel'!AL$662)</f>
        <v>21</v>
      </c>
      <c r="AM360" s="27">
        <f>MIN('3.1 Market'!$H351,'1.1 Control Panel'!AM691*'1.1 Control Panel'!AM$662)</f>
        <v>21</v>
      </c>
      <c r="AN360" s="27">
        <f>MIN('3.1 Market'!$H351,'1.1 Control Panel'!AN691*'1.1 Control Panel'!AN$662)</f>
        <v>21</v>
      </c>
      <c r="AP360" s="27"/>
    </row>
    <row r="361" spans="2:42" x14ac:dyDescent="0.25"/>
    <row r="362" spans="2:42" x14ac:dyDescent="0.25"/>
  </sheetData>
  <pageMargins left="0.7" right="0.7" top="0.75" bottom="0.75" header="0.3" footer="0.3"/>
  <ignoredErrors>
    <ignoredError sqref="E10:AN10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2529F-574C-46E5-AA84-6167307B30A9}">
  <dimension ref="A1:AQ173"/>
  <sheetViews>
    <sheetView showGridLines="0" zoomScale="70" zoomScaleNormal="70" workbookViewId="0"/>
  </sheetViews>
  <sheetFormatPr defaultColWidth="0" defaultRowHeight="11.5" x14ac:dyDescent="0.25"/>
  <cols>
    <col min="1" max="2" width="3.6328125" style="3" customWidth="1"/>
    <col min="3" max="3" width="57" style="136" bestFit="1" customWidth="1"/>
    <col min="4" max="40" width="12.6328125" style="136" customWidth="1"/>
    <col min="41" max="41" width="0.453125" style="3" customWidth="1"/>
    <col min="42" max="42" width="50.6328125" style="3" customWidth="1"/>
    <col min="43" max="43" width="3.6328125" style="3" customWidth="1"/>
    <col min="44" max="16384" width="8.7265625" style="3" hidden="1"/>
  </cols>
  <sheetData>
    <row r="1" spans="1:42" s="4" customFormat="1" ht="14" x14ac:dyDescent="0.3">
      <c r="A1" s="103" t="str">
        <f ca="1">MID(CELL("filename",A1),FIND("]",CELL("filename",A1))+1,255)</f>
        <v>3.3 Revenue</v>
      </c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5"/>
    </row>
    <row r="2" spans="1:42" s="5" customFormat="1" x14ac:dyDescent="0.25">
      <c r="A2" s="7" t="s">
        <v>970</v>
      </c>
      <c r="C2" s="128"/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</row>
    <row r="3" spans="1:42" ht="11.5" customHeight="1" x14ac:dyDescent="0.25">
      <c r="C3" s="129"/>
    </row>
    <row r="4" spans="1:42" ht="11.5" customHeight="1" x14ac:dyDescent="0.25">
      <c r="B4" s="6" t="s">
        <v>0</v>
      </c>
      <c r="C4" s="130" t="s">
        <v>11</v>
      </c>
      <c r="D4" s="139" t="s">
        <v>14</v>
      </c>
      <c r="E4" s="252">
        <v>45688</v>
      </c>
      <c r="F4" s="252">
        <v>45716</v>
      </c>
      <c r="G4" s="252">
        <v>45747</v>
      </c>
      <c r="H4" s="252">
        <v>45777</v>
      </c>
      <c r="I4" s="252">
        <v>45808</v>
      </c>
      <c r="J4" s="252">
        <v>45838</v>
      </c>
      <c r="K4" s="252">
        <v>45869</v>
      </c>
      <c r="L4" s="252">
        <v>45900</v>
      </c>
      <c r="M4" s="252">
        <v>45930</v>
      </c>
      <c r="N4" s="252">
        <v>45961</v>
      </c>
      <c r="O4" s="252">
        <v>45991</v>
      </c>
      <c r="P4" s="252">
        <v>46022</v>
      </c>
      <c r="Q4" s="252">
        <f>E4+365.25</f>
        <v>46053.25</v>
      </c>
      <c r="R4" s="252">
        <f t="shared" ref="R4:AN4" si="0">F4+365.25</f>
        <v>46081.25</v>
      </c>
      <c r="S4" s="252">
        <f t="shared" si="0"/>
        <v>46112.25</v>
      </c>
      <c r="T4" s="252">
        <f t="shared" si="0"/>
        <v>46142.25</v>
      </c>
      <c r="U4" s="252">
        <f t="shared" si="0"/>
        <v>46173.25</v>
      </c>
      <c r="V4" s="252">
        <f t="shared" si="0"/>
        <v>46203.25</v>
      </c>
      <c r="W4" s="252">
        <f t="shared" si="0"/>
        <v>46234.25</v>
      </c>
      <c r="X4" s="252">
        <f t="shared" si="0"/>
        <v>46265.25</v>
      </c>
      <c r="Y4" s="252">
        <f t="shared" si="0"/>
        <v>46295.25</v>
      </c>
      <c r="Z4" s="252">
        <f t="shared" si="0"/>
        <v>46326.25</v>
      </c>
      <c r="AA4" s="252">
        <f t="shared" si="0"/>
        <v>46356.25</v>
      </c>
      <c r="AB4" s="252">
        <f t="shared" si="0"/>
        <v>46387.25</v>
      </c>
      <c r="AC4" s="252">
        <f t="shared" si="0"/>
        <v>46418.5</v>
      </c>
      <c r="AD4" s="252">
        <f t="shared" si="0"/>
        <v>46446.5</v>
      </c>
      <c r="AE4" s="252">
        <f t="shared" si="0"/>
        <v>46477.5</v>
      </c>
      <c r="AF4" s="252">
        <f t="shared" si="0"/>
        <v>46507.5</v>
      </c>
      <c r="AG4" s="252">
        <f t="shared" si="0"/>
        <v>46538.5</v>
      </c>
      <c r="AH4" s="252">
        <f t="shared" si="0"/>
        <v>46568.5</v>
      </c>
      <c r="AI4" s="252">
        <f t="shared" si="0"/>
        <v>46599.5</v>
      </c>
      <c r="AJ4" s="252">
        <f t="shared" si="0"/>
        <v>46630.5</v>
      </c>
      <c r="AK4" s="252">
        <f t="shared" si="0"/>
        <v>46660.5</v>
      </c>
      <c r="AL4" s="252">
        <f t="shared" si="0"/>
        <v>46691.5</v>
      </c>
      <c r="AM4" s="252">
        <f t="shared" si="0"/>
        <v>46721.5</v>
      </c>
      <c r="AN4" s="252">
        <f t="shared" si="0"/>
        <v>46752.5</v>
      </c>
      <c r="AP4" s="251" t="s">
        <v>45</v>
      </c>
    </row>
    <row r="5" spans="1:42" ht="11.5" customHeight="1" x14ac:dyDescent="0.25">
      <c r="C5" s="131" t="s">
        <v>682</v>
      </c>
      <c r="D5" s="444" t="s">
        <v>46</v>
      </c>
      <c r="E5" s="131">
        <f>E13</f>
        <v>0</v>
      </c>
      <c r="F5" s="131">
        <f t="shared" ref="F5:AN5" si="1">F13</f>
        <v>0</v>
      </c>
      <c r="G5" s="131">
        <f t="shared" si="1"/>
        <v>0</v>
      </c>
      <c r="H5" s="131">
        <f t="shared" si="1"/>
        <v>0</v>
      </c>
      <c r="I5" s="131">
        <f t="shared" si="1"/>
        <v>0</v>
      </c>
      <c r="J5" s="131">
        <f t="shared" si="1"/>
        <v>0</v>
      </c>
      <c r="K5" s="131">
        <f t="shared" si="1"/>
        <v>0</v>
      </c>
      <c r="L5" s="131">
        <f t="shared" si="1"/>
        <v>0</v>
      </c>
      <c r="M5" s="131">
        <f t="shared" si="1"/>
        <v>0</v>
      </c>
      <c r="N5" s="131">
        <f t="shared" si="1"/>
        <v>0</v>
      </c>
      <c r="O5" s="131">
        <f t="shared" si="1"/>
        <v>0</v>
      </c>
      <c r="P5" s="131">
        <f t="shared" si="1"/>
        <v>0</v>
      </c>
      <c r="Q5" s="131">
        <f t="shared" si="1"/>
        <v>0</v>
      </c>
      <c r="R5" s="131">
        <f t="shared" si="1"/>
        <v>0</v>
      </c>
      <c r="S5" s="131">
        <f t="shared" si="1"/>
        <v>0</v>
      </c>
      <c r="T5" s="131">
        <f t="shared" si="1"/>
        <v>0</v>
      </c>
      <c r="U5" s="131">
        <f t="shared" si="1"/>
        <v>0</v>
      </c>
      <c r="V5" s="131">
        <f t="shared" si="1"/>
        <v>0</v>
      </c>
      <c r="W5" s="131">
        <f t="shared" si="1"/>
        <v>0</v>
      </c>
      <c r="X5" s="131">
        <f t="shared" si="1"/>
        <v>0</v>
      </c>
      <c r="Y5" s="131">
        <f t="shared" si="1"/>
        <v>0</v>
      </c>
      <c r="Z5" s="131">
        <f t="shared" si="1"/>
        <v>0</v>
      </c>
      <c r="AA5" s="131">
        <f t="shared" si="1"/>
        <v>0</v>
      </c>
      <c r="AB5" s="131">
        <f t="shared" si="1"/>
        <v>0</v>
      </c>
      <c r="AC5" s="131">
        <f t="shared" si="1"/>
        <v>0</v>
      </c>
      <c r="AD5" s="131">
        <f t="shared" si="1"/>
        <v>0</v>
      </c>
      <c r="AE5" s="131">
        <f t="shared" si="1"/>
        <v>0</v>
      </c>
      <c r="AF5" s="131">
        <f t="shared" si="1"/>
        <v>0</v>
      </c>
      <c r="AG5" s="131">
        <f t="shared" si="1"/>
        <v>0</v>
      </c>
      <c r="AH5" s="131">
        <f t="shared" si="1"/>
        <v>0</v>
      </c>
      <c r="AI5" s="131">
        <f t="shared" si="1"/>
        <v>0</v>
      </c>
      <c r="AJ5" s="131">
        <f t="shared" si="1"/>
        <v>0</v>
      </c>
      <c r="AK5" s="131">
        <f t="shared" si="1"/>
        <v>0</v>
      </c>
      <c r="AL5" s="131">
        <f t="shared" si="1"/>
        <v>0</v>
      </c>
      <c r="AM5" s="131">
        <f t="shared" si="1"/>
        <v>0</v>
      </c>
      <c r="AN5" s="131">
        <f t="shared" si="1"/>
        <v>0</v>
      </c>
      <c r="AP5" s="20"/>
    </row>
    <row r="6" spans="1:42" ht="11.5" customHeight="1" x14ac:dyDescent="0.25">
      <c r="C6" s="132" t="s">
        <v>659</v>
      </c>
      <c r="D6" s="158" t="s">
        <v>46</v>
      </c>
      <c r="E6" s="406">
        <f>E19+E26</f>
        <v>81261</v>
      </c>
      <c r="F6" s="406">
        <f t="shared" ref="F6:AN6" si="2">F19+F26</f>
        <v>79613</v>
      </c>
      <c r="G6" s="406">
        <f t="shared" si="2"/>
        <v>76408</v>
      </c>
      <c r="H6" s="406">
        <f t="shared" si="2"/>
        <v>71076</v>
      </c>
      <c r="I6" s="406">
        <f t="shared" si="2"/>
        <v>113244</v>
      </c>
      <c r="J6" s="406">
        <f t="shared" si="2"/>
        <v>161633</v>
      </c>
      <c r="K6" s="406">
        <f t="shared" si="2"/>
        <v>138986</v>
      </c>
      <c r="L6" s="406">
        <f t="shared" si="2"/>
        <v>118556</v>
      </c>
      <c r="M6" s="406">
        <f t="shared" si="2"/>
        <v>153753</v>
      </c>
      <c r="N6" s="406">
        <f t="shared" si="2"/>
        <v>144694</v>
      </c>
      <c r="O6" s="406">
        <f t="shared" si="2"/>
        <v>136325</v>
      </c>
      <c r="P6" s="406">
        <f t="shared" si="2"/>
        <v>128895</v>
      </c>
      <c r="Q6" s="406">
        <f t="shared" si="2"/>
        <v>329660</v>
      </c>
      <c r="R6" s="406">
        <f t="shared" si="2"/>
        <v>283389</v>
      </c>
      <c r="S6" s="406">
        <f t="shared" si="2"/>
        <v>245446</v>
      </c>
      <c r="T6" s="406">
        <f t="shared" si="2"/>
        <v>212724</v>
      </c>
      <c r="U6" s="406">
        <f t="shared" si="2"/>
        <v>453183</v>
      </c>
      <c r="V6" s="406">
        <f t="shared" si="2"/>
        <v>397817</v>
      </c>
      <c r="W6" s="406">
        <f t="shared" si="2"/>
        <v>347882</v>
      </c>
      <c r="X6" s="406">
        <f t="shared" si="2"/>
        <v>302610</v>
      </c>
      <c r="Y6" s="406">
        <f t="shared" si="2"/>
        <v>336794</v>
      </c>
      <c r="Z6" s="406">
        <f t="shared" si="2"/>
        <v>299430</v>
      </c>
      <c r="AA6" s="406">
        <f t="shared" si="2"/>
        <v>268167</v>
      </c>
      <c r="AB6" s="406">
        <f t="shared" si="2"/>
        <v>240288</v>
      </c>
      <c r="AC6" s="406">
        <f t="shared" si="2"/>
        <v>860581</v>
      </c>
      <c r="AD6" s="406">
        <f t="shared" si="2"/>
        <v>745318</v>
      </c>
      <c r="AE6" s="406">
        <f t="shared" si="2"/>
        <v>646390</v>
      </c>
      <c r="AF6" s="406">
        <f t="shared" si="2"/>
        <v>559453</v>
      </c>
      <c r="AG6" s="406">
        <f t="shared" si="2"/>
        <v>1184120</v>
      </c>
      <c r="AH6" s="406">
        <f t="shared" si="2"/>
        <v>1027532</v>
      </c>
      <c r="AI6" s="406">
        <f t="shared" si="2"/>
        <v>892001</v>
      </c>
      <c r="AJ6" s="406">
        <f t="shared" si="2"/>
        <v>773953</v>
      </c>
      <c r="AK6" s="406">
        <f t="shared" si="2"/>
        <v>1177061</v>
      </c>
      <c r="AL6" s="406">
        <f t="shared" si="2"/>
        <v>1001263</v>
      </c>
      <c r="AM6" s="406">
        <f t="shared" si="2"/>
        <v>854959</v>
      </c>
      <c r="AN6" s="406">
        <f t="shared" si="2"/>
        <v>732239</v>
      </c>
      <c r="AP6" s="21"/>
    </row>
    <row r="7" spans="1:42" ht="11.5" customHeight="1" x14ac:dyDescent="0.25">
      <c r="C7" s="132" t="s">
        <v>681</v>
      </c>
      <c r="D7" s="158" t="s">
        <v>46</v>
      </c>
      <c r="E7" s="406">
        <f>E33</f>
        <v>109378</v>
      </c>
      <c r="F7" s="406">
        <f t="shared" ref="F7:AN7" si="3">F33</f>
        <v>106409</v>
      </c>
      <c r="G7" s="406">
        <f t="shared" si="3"/>
        <v>103371</v>
      </c>
      <c r="H7" s="406">
        <f t="shared" si="3"/>
        <v>95726</v>
      </c>
      <c r="I7" s="406">
        <f t="shared" si="3"/>
        <v>151984</v>
      </c>
      <c r="J7" s="406">
        <f t="shared" si="3"/>
        <v>216556</v>
      </c>
      <c r="K7" s="406">
        <f t="shared" si="3"/>
        <v>184414</v>
      </c>
      <c r="L7" s="406">
        <f t="shared" si="3"/>
        <v>158710</v>
      </c>
      <c r="M7" s="406">
        <f t="shared" si="3"/>
        <v>206411</v>
      </c>
      <c r="N7" s="406">
        <f t="shared" si="3"/>
        <v>193028</v>
      </c>
      <c r="O7" s="406">
        <f t="shared" si="3"/>
        <v>182683</v>
      </c>
      <c r="P7" s="406">
        <f t="shared" si="3"/>
        <v>171638</v>
      </c>
      <c r="Q7" s="406">
        <f t="shared" si="3"/>
        <v>441152</v>
      </c>
      <c r="R7" s="406">
        <f t="shared" si="3"/>
        <v>379349</v>
      </c>
      <c r="S7" s="406">
        <f t="shared" si="3"/>
        <v>329098</v>
      </c>
      <c r="T7" s="406">
        <f t="shared" si="3"/>
        <v>286204</v>
      </c>
      <c r="U7" s="406">
        <f t="shared" si="3"/>
        <v>607514</v>
      </c>
      <c r="V7" s="406">
        <f t="shared" si="3"/>
        <v>532478</v>
      </c>
      <c r="W7" s="406">
        <f t="shared" si="3"/>
        <v>465149</v>
      </c>
      <c r="X7" s="406">
        <f t="shared" si="3"/>
        <v>405253</v>
      </c>
      <c r="Y7" s="406">
        <f t="shared" si="3"/>
        <v>451704</v>
      </c>
      <c r="Z7" s="406">
        <f t="shared" si="3"/>
        <v>400484</v>
      </c>
      <c r="AA7" s="406">
        <f t="shared" si="3"/>
        <v>358409</v>
      </c>
      <c r="AB7" s="406">
        <f t="shared" si="3"/>
        <v>321191</v>
      </c>
      <c r="AC7" s="406">
        <f t="shared" si="3"/>
        <v>1151384</v>
      </c>
      <c r="AD7" s="406">
        <f t="shared" si="3"/>
        <v>996686</v>
      </c>
      <c r="AE7" s="406">
        <f t="shared" si="3"/>
        <v>865266</v>
      </c>
      <c r="AF7" s="406">
        <f t="shared" si="3"/>
        <v>749005</v>
      </c>
      <c r="AG7" s="406">
        <f t="shared" si="3"/>
        <v>1584519</v>
      </c>
      <c r="AH7" s="406">
        <f t="shared" si="3"/>
        <v>1374237</v>
      </c>
      <c r="AI7" s="406">
        <f t="shared" si="3"/>
        <v>1192097</v>
      </c>
      <c r="AJ7" s="406">
        <f t="shared" si="3"/>
        <v>1034742</v>
      </c>
      <c r="AK7" s="406">
        <f t="shared" si="3"/>
        <v>1573050</v>
      </c>
      <c r="AL7" s="406">
        <f t="shared" si="3"/>
        <v>1339433</v>
      </c>
      <c r="AM7" s="406">
        <f t="shared" si="3"/>
        <v>1143441</v>
      </c>
      <c r="AN7" s="406">
        <f t="shared" si="3"/>
        <v>978791</v>
      </c>
      <c r="AP7" s="21"/>
    </row>
    <row r="8" spans="1:42" ht="11.5" customHeight="1" x14ac:dyDescent="0.25">
      <c r="C8" s="133" t="s">
        <v>680</v>
      </c>
      <c r="D8" s="159" t="s">
        <v>46</v>
      </c>
      <c r="E8" s="479">
        <f>E48</f>
        <v>181250</v>
      </c>
      <c r="F8" s="479">
        <f t="shared" ref="F8:AN8" si="4">F48</f>
        <v>468750</v>
      </c>
      <c r="G8" s="479">
        <f t="shared" si="4"/>
        <v>737500</v>
      </c>
      <c r="H8" s="479">
        <f t="shared" si="4"/>
        <v>987500</v>
      </c>
      <c r="I8" s="479">
        <f t="shared" si="4"/>
        <v>1331250</v>
      </c>
      <c r="J8" s="479">
        <f t="shared" si="4"/>
        <v>2393750</v>
      </c>
      <c r="K8" s="479">
        <f t="shared" si="4"/>
        <v>3762500</v>
      </c>
      <c r="L8" s="479">
        <f t="shared" si="4"/>
        <v>5000000</v>
      </c>
      <c r="M8" s="479">
        <f t="shared" si="4"/>
        <v>6250000</v>
      </c>
      <c r="N8" s="479">
        <f t="shared" si="4"/>
        <v>7806250</v>
      </c>
      <c r="O8" s="479">
        <f t="shared" si="4"/>
        <v>9856250</v>
      </c>
      <c r="P8" s="479">
        <f t="shared" si="4"/>
        <v>11850000</v>
      </c>
      <c r="Q8" s="479">
        <f t="shared" si="4"/>
        <v>14463750</v>
      </c>
      <c r="R8" s="479">
        <f t="shared" si="4"/>
        <v>16865625</v>
      </c>
      <c r="S8" s="479">
        <f t="shared" si="4"/>
        <v>19195312.5</v>
      </c>
      <c r="T8" s="479">
        <f t="shared" si="4"/>
        <v>21321562.5</v>
      </c>
      <c r="U8" s="479">
        <f t="shared" si="4"/>
        <v>23789062.5</v>
      </c>
      <c r="V8" s="479">
        <f t="shared" si="4"/>
        <v>26735625</v>
      </c>
      <c r="W8" s="479">
        <f t="shared" si="4"/>
        <v>30069375</v>
      </c>
      <c r="X8" s="479">
        <f t="shared" si="4"/>
        <v>32851875</v>
      </c>
      <c r="Y8" s="479">
        <f t="shared" si="4"/>
        <v>35227500</v>
      </c>
      <c r="Z8" s="479">
        <f t="shared" si="4"/>
        <v>38777812.5</v>
      </c>
      <c r="AA8" s="479">
        <f t="shared" si="4"/>
        <v>42177187.5</v>
      </c>
      <c r="AB8" s="479">
        <f t="shared" si="4"/>
        <v>45202500</v>
      </c>
      <c r="AC8" s="479">
        <f t="shared" si="4"/>
        <v>51135328.125</v>
      </c>
      <c r="AD8" s="479">
        <f t="shared" si="4"/>
        <v>55255921.875</v>
      </c>
      <c r="AE8" s="479">
        <f t="shared" si="4"/>
        <v>59004421.875</v>
      </c>
      <c r="AF8" s="479">
        <f t="shared" si="4"/>
        <v>62181000</v>
      </c>
      <c r="AG8" s="479">
        <f t="shared" si="4"/>
        <v>65743453.125</v>
      </c>
      <c r="AH8" s="479">
        <f t="shared" si="4"/>
        <v>72406687.5</v>
      </c>
      <c r="AI8" s="479">
        <f t="shared" si="4"/>
        <v>80902828.125</v>
      </c>
      <c r="AJ8" s="479">
        <f t="shared" si="4"/>
        <v>88213781.25</v>
      </c>
      <c r="AK8" s="479">
        <f t="shared" si="4"/>
        <v>95614312.5</v>
      </c>
      <c r="AL8" s="479">
        <f t="shared" si="4"/>
        <v>105006234.375</v>
      </c>
      <c r="AM8" s="479">
        <f t="shared" si="4"/>
        <v>115920984.375</v>
      </c>
      <c r="AN8" s="479">
        <f t="shared" si="4"/>
        <v>125285343.75</v>
      </c>
      <c r="AP8" s="22"/>
    </row>
    <row r="9" spans="1:42" ht="11.5" customHeight="1" x14ac:dyDescent="0.25">
      <c r="C9" s="134" t="s">
        <v>688</v>
      </c>
      <c r="D9" s="153" t="s">
        <v>46</v>
      </c>
      <c r="E9" s="480">
        <f>E55</f>
        <v>5625.28</v>
      </c>
      <c r="F9" s="480">
        <f t="shared" ref="F9:AN9" ca="1" si="5">F55</f>
        <v>8407.94</v>
      </c>
      <c r="G9" s="480">
        <f t="shared" ca="1" si="5"/>
        <v>10970.580000000002</v>
      </c>
      <c r="H9" s="480">
        <f t="shared" ca="1" si="5"/>
        <v>13211.04</v>
      </c>
      <c r="I9" s="480">
        <f t="shared" ca="1" si="5"/>
        <v>18617.060000000001</v>
      </c>
      <c r="J9" s="480">
        <f t="shared" ca="1" si="5"/>
        <v>31501.279999999999</v>
      </c>
      <c r="K9" s="480">
        <f t="shared" ca="1" si="5"/>
        <v>44093</v>
      </c>
      <c r="L9" s="480">
        <f t="shared" ca="1" si="5"/>
        <v>55545.320000000007</v>
      </c>
      <c r="M9" s="480">
        <f t="shared" ca="1" si="5"/>
        <v>69703.28</v>
      </c>
      <c r="N9" s="480">
        <f t="shared" ca="1" si="5"/>
        <v>84816.94</v>
      </c>
      <c r="O9" s="480">
        <f t="shared" ca="1" si="5"/>
        <v>104942.66</v>
      </c>
      <c r="P9" s="480">
        <f t="shared" ca="1" si="5"/>
        <v>124510.66</v>
      </c>
      <c r="Q9" s="480">
        <f t="shared" ca="1" si="5"/>
        <v>160053.74</v>
      </c>
      <c r="R9" s="480">
        <f t="shared" ca="1" si="5"/>
        <v>181911.01</v>
      </c>
      <c r="S9" s="480">
        <f t="shared" ca="1" si="5"/>
        <v>203444.005</v>
      </c>
      <c r="T9" s="480">
        <f t="shared" ca="1" si="5"/>
        <v>223194.185</v>
      </c>
      <c r="U9" s="480">
        <f t="shared" ca="1" si="5"/>
        <v>259104.565</v>
      </c>
      <c r="V9" s="480">
        <f t="shared" ca="1" si="5"/>
        <v>285962.15000000002</v>
      </c>
      <c r="W9" s="480">
        <f t="shared" ca="1" si="5"/>
        <v>316954.37</v>
      </c>
      <c r="X9" s="480">
        <f t="shared" ca="1" si="5"/>
        <v>342676.01</v>
      </c>
      <c r="Y9" s="480">
        <f t="shared" ca="1" si="5"/>
        <v>368044.95999999996</v>
      </c>
      <c r="Z9" s="480">
        <f t="shared" ca="1" si="5"/>
        <v>401776.40500000003</v>
      </c>
      <c r="AA9" s="480">
        <f t="shared" ca="1" si="5"/>
        <v>434303.39500000002</v>
      </c>
      <c r="AB9" s="480">
        <f t="shared" ca="1" si="5"/>
        <v>463254.58</v>
      </c>
      <c r="AC9" s="480">
        <f t="shared" ca="1" si="5"/>
        <v>551592.58125000005</v>
      </c>
      <c r="AD9" s="480">
        <f t="shared" ca="1" si="5"/>
        <v>587399.29875000007</v>
      </c>
      <c r="AE9" s="480">
        <f t="shared" ca="1" si="5"/>
        <v>620277.33875000011</v>
      </c>
      <c r="AF9" s="480">
        <f t="shared" ca="1" si="5"/>
        <v>647979.15999999992</v>
      </c>
      <c r="AG9" s="480">
        <f t="shared" ca="1" si="5"/>
        <v>712807.31125000003</v>
      </c>
      <c r="AH9" s="480">
        <f t="shared" ca="1" si="5"/>
        <v>772102.255</v>
      </c>
      <c r="AI9" s="480">
        <f t="shared" ca="1" si="5"/>
        <v>850710.24124999996</v>
      </c>
      <c r="AJ9" s="480">
        <f t="shared" ca="1" si="5"/>
        <v>918311.71250000002</v>
      </c>
      <c r="AK9" s="480">
        <f t="shared" ca="1" si="5"/>
        <v>1011145.345</v>
      </c>
      <c r="AL9" s="480">
        <f t="shared" ca="1" si="5"/>
        <v>1096876.2637499999</v>
      </c>
      <c r="AM9" s="480">
        <f t="shared" ca="1" si="5"/>
        <v>1199177.84375</v>
      </c>
      <c r="AN9" s="480">
        <f t="shared" ca="1" si="5"/>
        <v>1287074.0375000001</v>
      </c>
      <c r="AP9" s="27"/>
    </row>
    <row r="10" spans="1:42" ht="11.5" customHeight="1" x14ac:dyDescent="0.25">
      <c r="C10" s="135" t="s">
        <v>13</v>
      </c>
      <c r="D10" s="154" t="s">
        <v>46</v>
      </c>
      <c r="E10" s="409">
        <f>SUM(E5:E9)</f>
        <v>377514.28</v>
      </c>
      <c r="F10" s="409">
        <f t="shared" ref="F10:AN10" ca="1" si="6">SUM(F5:F9)</f>
        <v>663179.93999999994</v>
      </c>
      <c r="G10" s="409">
        <f t="shared" ca="1" si="6"/>
        <v>928249.58</v>
      </c>
      <c r="H10" s="409">
        <f t="shared" ca="1" si="6"/>
        <v>1167513.04</v>
      </c>
      <c r="I10" s="409">
        <f t="shared" ca="1" si="6"/>
        <v>1615095.06</v>
      </c>
      <c r="J10" s="409">
        <f t="shared" ca="1" si="6"/>
        <v>2803440.28</v>
      </c>
      <c r="K10" s="409">
        <f t="shared" ca="1" si="6"/>
        <v>4129993</v>
      </c>
      <c r="L10" s="409">
        <f t="shared" ca="1" si="6"/>
        <v>5332811.32</v>
      </c>
      <c r="M10" s="409">
        <f t="shared" ca="1" si="6"/>
        <v>6679867.2800000003</v>
      </c>
      <c r="N10" s="409">
        <f t="shared" ca="1" si="6"/>
        <v>8228788.9400000004</v>
      </c>
      <c r="O10" s="409">
        <f t="shared" ca="1" si="6"/>
        <v>10280200.66</v>
      </c>
      <c r="P10" s="409">
        <f t="shared" ca="1" si="6"/>
        <v>12275043.66</v>
      </c>
      <c r="Q10" s="409">
        <f t="shared" ca="1" si="6"/>
        <v>15394615.74</v>
      </c>
      <c r="R10" s="409">
        <f t="shared" ca="1" si="6"/>
        <v>17710274.010000002</v>
      </c>
      <c r="S10" s="409">
        <f t="shared" ca="1" si="6"/>
        <v>19973300.504999999</v>
      </c>
      <c r="T10" s="409">
        <f t="shared" ca="1" si="6"/>
        <v>22043684.684999999</v>
      </c>
      <c r="U10" s="409">
        <f t="shared" ca="1" si="6"/>
        <v>25108864.065000001</v>
      </c>
      <c r="V10" s="409">
        <f t="shared" ca="1" si="6"/>
        <v>27951882.149999999</v>
      </c>
      <c r="W10" s="409">
        <f t="shared" ca="1" si="6"/>
        <v>31199360.370000001</v>
      </c>
      <c r="X10" s="409">
        <f t="shared" ca="1" si="6"/>
        <v>33902414.009999998</v>
      </c>
      <c r="Y10" s="409">
        <f t="shared" ca="1" si="6"/>
        <v>36384042.960000001</v>
      </c>
      <c r="Z10" s="409">
        <f t="shared" ca="1" si="6"/>
        <v>39879502.905000001</v>
      </c>
      <c r="AA10" s="409">
        <f t="shared" ca="1" si="6"/>
        <v>43238066.895000003</v>
      </c>
      <c r="AB10" s="409">
        <f t="shared" ca="1" si="6"/>
        <v>46227233.579999998</v>
      </c>
      <c r="AC10" s="409">
        <f t="shared" ca="1" si="6"/>
        <v>53698885.706249997</v>
      </c>
      <c r="AD10" s="409">
        <f t="shared" ca="1" si="6"/>
        <v>57585325.173749998</v>
      </c>
      <c r="AE10" s="409">
        <f t="shared" ca="1" si="6"/>
        <v>61136355.213749997</v>
      </c>
      <c r="AF10" s="409">
        <f t="shared" ca="1" si="6"/>
        <v>64137437.159999996</v>
      </c>
      <c r="AG10" s="409">
        <f t="shared" ca="1" si="6"/>
        <v>69224899.436250001</v>
      </c>
      <c r="AH10" s="409">
        <f t="shared" ca="1" si="6"/>
        <v>75580558.754999995</v>
      </c>
      <c r="AI10" s="409">
        <f t="shared" ca="1" si="6"/>
        <v>83837636.366249993</v>
      </c>
      <c r="AJ10" s="409">
        <f t="shared" ca="1" si="6"/>
        <v>90940787.962500006</v>
      </c>
      <c r="AK10" s="409">
        <f t="shared" ca="1" si="6"/>
        <v>99375568.844999999</v>
      </c>
      <c r="AL10" s="409">
        <f t="shared" ca="1" si="6"/>
        <v>108443806.63875</v>
      </c>
      <c r="AM10" s="409">
        <f t="shared" ca="1" si="6"/>
        <v>119118562.21875</v>
      </c>
      <c r="AN10" s="409">
        <f t="shared" ca="1" si="6"/>
        <v>128283447.78749999</v>
      </c>
      <c r="AP10" s="135"/>
    </row>
    <row r="11" spans="1:42" ht="3" customHeight="1" x14ac:dyDescent="0.25"/>
    <row r="12" spans="1:42" ht="11.5" customHeight="1" x14ac:dyDescent="0.25">
      <c r="B12" s="6" t="s">
        <v>0</v>
      </c>
      <c r="C12" s="130" t="s">
        <v>12</v>
      </c>
      <c r="D12" s="139" t="s">
        <v>14</v>
      </c>
      <c r="E12" s="252">
        <v>45688</v>
      </c>
      <c r="F12" s="252">
        <v>45716</v>
      </c>
      <c r="G12" s="252">
        <v>45747</v>
      </c>
      <c r="H12" s="252">
        <v>45777</v>
      </c>
      <c r="I12" s="252">
        <v>45808</v>
      </c>
      <c r="J12" s="252">
        <v>45838</v>
      </c>
      <c r="K12" s="252">
        <v>45869</v>
      </c>
      <c r="L12" s="252">
        <v>45900</v>
      </c>
      <c r="M12" s="252">
        <v>45930</v>
      </c>
      <c r="N12" s="252">
        <v>45961</v>
      </c>
      <c r="O12" s="252">
        <v>45991</v>
      </c>
      <c r="P12" s="252">
        <v>46022</v>
      </c>
      <c r="Q12" s="252">
        <f>E12+365.25</f>
        <v>46053.25</v>
      </c>
      <c r="R12" s="252">
        <f t="shared" ref="R12" si="7">F12+365.25</f>
        <v>46081.25</v>
      </c>
      <c r="S12" s="252">
        <f t="shared" ref="S12" si="8">G12+365.25</f>
        <v>46112.25</v>
      </c>
      <c r="T12" s="252">
        <f t="shared" ref="T12" si="9">H12+365.25</f>
        <v>46142.25</v>
      </c>
      <c r="U12" s="252">
        <f t="shared" ref="U12" si="10">I12+365.25</f>
        <v>46173.25</v>
      </c>
      <c r="V12" s="252">
        <f t="shared" ref="V12" si="11">J12+365.25</f>
        <v>46203.25</v>
      </c>
      <c r="W12" s="252">
        <f t="shared" ref="W12" si="12">K12+365.25</f>
        <v>46234.25</v>
      </c>
      <c r="X12" s="252">
        <f t="shared" ref="X12" si="13">L12+365.25</f>
        <v>46265.25</v>
      </c>
      <c r="Y12" s="252">
        <f t="shared" ref="Y12" si="14">M12+365.25</f>
        <v>46295.25</v>
      </c>
      <c r="Z12" s="252">
        <f t="shared" ref="Z12" si="15">N12+365.25</f>
        <v>46326.25</v>
      </c>
      <c r="AA12" s="252">
        <f t="shared" ref="AA12" si="16">O12+365.25</f>
        <v>46356.25</v>
      </c>
      <c r="AB12" s="252">
        <f t="shared" ref="AB12" si="17">P12+365.25</f>
        <v>46387.25</v>
      </c>
      <c r="AC12" s="252">
        <f t="shared" ref="AC12" si="18">Q12+365.25</f>
        <v>46418.5</v>
      </c>
      <c r="AD12" s="252">
        <f t="shared" ref="AD12" si="19">R12+365.25</f>
        <v>46446.5</v>
      </c>
      <c r="AE12" s="252">
        <f t="shared" ref="AE12" si="20">S12+365.25</f>
        <v>46477.5</v>
      </c>
      <c r="AF12" s="252">
        <f t="shared" ref="AF12" si="21">T12+365.25</f>
        <v>46507.5</v>
      </c>
      <c r="AG12" s="252">
        <f t="shared" ref="AG12" si="22">U12+365.25</f>
        <v>46538.5</v>
      </c>
      <c r="AH12" s="252">
        <f t="shared" ref="AH12" si="23">V12+365.25</f>
        <v>46568.5</v>
      </c>
      <c r="AI12" s="252">
        <f t="shared" ref="AI12" si="24">W12+365.25</f>
        <v>46599.5</v>
      </c>
      <c r="AJ12" s="252">
        <f t="shared" ref="AJ12" si="25">X12+365.25</f>
        <v>46630.5</v>
      </c>
      <c r="AK12" s="252">
        <f t="shared" ref="AK12" si="26">Y12+365.25</f>
        <v>46660.5</v>
      </c>
      <c r="AL12" s="252">
        <f t="shared" ref="AL12" si="27">Z12+365.25</f>
        <v>46691.5</v>
      </c>
      <c r="AM12" s="252">
        <f t="shared" ref="AM12" si="28">AA12+365.25</f>
        <v>46721.5</v>
      </c>
      <c r="AN12" s="252">
        <f t="shared" ref="AN12" si="29">AB12+365.25</f>
        <v>46752.5</v>
      </c>
      <c r="AP12" s="5"/>
    </row>
    <row r="13" spans="1:42" s="16" customFormat="1" ht="11.5" customHeight="1" x14ac:dyDescent="0.25">
      <c r="B13" s="19" t="s">
        <v>9</v>
      </c>
      <c r="C13" s="458" t="s">
        <v>728</v>
      </c>
      <c r="D13" s="489" t="s">
        <v>46</v>
      </c>
      <c r="E13" s="490">
        <f>E14*E15+E16*E17</f>
        <v>0</v>
      </c>
      <c r="F13" s="490">
        <f t="shared" ref="F13:AN13" si="30">F14*F15+F16*F17</f>
        <v>0</v>
      </c>
      <c r="G13" s="490">
        <f t="shared" si="30"/>
        <v>0</v>
      </c>
      <c r="H13" s="490">
        <f t="shared" si="30"/>
        <v>0</v>
      </c>
      <c r="I13" s="490">
        <f t="shared" si="30"/>
        <v>0</v>
      </c>
      <c r="J13" s="490">
        <f t="shared" si="30"/>
        <v>0</v>
      </c>
      <c r="K13" s="490">
        <f t="shared" si="30"/>
        <v>0</v>
      </c>
      <c r="L13" s="490">
        <f t="shared" si="30"/>
        <v>0</v>
      </c>
      <c r="M13" s="490">
        <f t="shared" si="30"/>
        <v>0</v>
      </c>
      <c r="N13" s="490">
        <f t="shared" si="30"/>
        <v>0</v>
      </c>
      <c r="O13" s="490">
        <f t="shared" si="30"/>
        <v>0</v>
      </c>
      <c r="P13" s="490">
        <f t="shared" si="30"/>
        <v>0</v>
      </c>
      <c r="Q13" s="490">
        <f t="shared" si="30"/>
        <v>0</v>
      </c>
      <c r="R13" s="490">
        <f t="shared" si="30"/>
        <v>0</v>
      </c>
      <c r="S13" s="490">
        <f t="shared" si="30"/>
        <v>0</v>
      </c>
      <c r="T13" s="490">
        <f t="shared" si="30"/>
        <v>0</v>
      </c>
      <c r="U13" s="490">
        <f t="shared" si="30"/>
        <v>0</v>
      </c>
      <c r="V13" s="490">
        <f t="shared" si="30"/>
        <v>0</v>
      </c>
      <c r="W13" s="490">
        <f t="shared" si="30"/>
        <v>0</v>
      </c>
      <c r="X13" s="490">
        <f t="shared" si="30"/>
        <v>0</v>
      </c>
      <c r="Y13" s="490">
        <f t="shared" si="30"/>
        <v>0</v>
      </c>
      <c r="Z13" s="490">
        <f t="shared" si="30"/>
        <v>0</v>
      </c>
      <c r="AA13" s="490">
        <f t="shared" si="30"/>
        <v>0</v>
      </c>
      <c r="AB13" s="490">
        <f t="shared" si="30"/>
        <v>0</v>
      </c>
      <c r="AC13" s="473">
        <f t="shared" si="30"/>
        <v>0</v>
      </c>
      <c r="AD13" s="473">
        <f t="shared" si="30"/>
        <v>0</v>
      </c>
      <c r="AE13" s="473">
        <f t="shared" si="30"/>
        <v>0</v>
      </c>
      <c r="AF13" s="473">
        <f t="shared" si="30"/>
        <v>0</v>
      </c>
      <c r="AG13" s="473">
        <f t="shared" si="30"/>
        <v>0</v>
      </c>
      <c r="AH13" s="473">
        <f t="shared" si="30"/>
        <v>0</v>
      </c>
      <c r="AI13" s="473">
        <f t="shared" si="30"/>
        <v>0</v>
      </c>
      <c r="AJ13" s="473">
        <f t="shared" si="30"/>
        <v>0</v>
      </c>
      <c r="AK13" s="473">
        <f t="shared" si="30"/>
        <v>0</v>
      </c>
      <c r="AL13" s="473">
        <f t="shared" si="30"/>
        <v>0</v>
      </c>
      <c r="AM13" s="473">
        <f t="shared" si="30"/>
        <v>0</v>
      </c>
      <c r="AN13" s="473">
        <f t="shared" si="30"/>
        <v>0</v>
      </c>
      <c r="AO13" s="428"/>
      <c r="AP13" s="457"/>
    </row>
    <row r="14" spans="1:42" ht="11.5" customHeight="1" x14ac:dyDescent="0.25">
      <c r="C14" s="429" t="s">
        <v>748</v>
      </c>
      <c r="D14" s="430" t="s">
        <v>162</v>
      </c>
      <c r="E14" s="414">
        <f>E64</f>
        <v>223</v>
      </c>
      <c r="F14" s="414">
        <f t="shared" ref="F14:AN14" si="31">F64</f>
        <v>264</v>
      </c>
      <c r="G14" s="414">
        <f t="shared" si="31"/>
        <v>298</v>
      </c>
      <c r="H14" s="414">
        <f t="shared" si="31"/>
        <v>325</v>
      </c>
      <c r="I14" s="414">
        <f t="shared" si="31"/>
        <v>479</v>
      </c>
      <c r="J14" s="414">
        <f t="shared" si="31"/>
        <v>676</v>
      </c>
      <c r="K14" s="414">
        <f t="shared" si="31"/>
        <v>701</v>
      </c>
      <c r="L14" s="414">
        <f t="shared" si="31"/>
        <v>722</v>
      </c>
      <c r="M14" s="414">
        <f t="shared" si="31"/>
        <v>887</v>
      </c>
      <c r="N14" s="414">
        <f t="shared" si="31"/>
        <v>950</v>
      </c>
      <c r="O14" s="414">
        <f t="shared" si="31"/>
        <v>1010</v>
      </c>
      <c r="P14" s="414">
        <f t="shared" si="31"/>
        <v>1069</v>
      </c>
      <c r="Q14" s="414">
        <f t="shared" si="31"/>
        <v>1651</v>
      </c>
      <c r="R14" s="414">
        <f t="shared" si="31"/>
        <v>1661</v>
      </c>
      <c r="S14" s="414">
        <f t="shared" si="31"/>
        <v>1670</v>
      </c>
      <c r="T14" s="414">
        <f t="shared" si="31"/>
        <v>1678</v>
      </c>
      <c r="U14" s="414">
        <f t="shared" si="31"/>
        <v>2411</v>
      </c>
      <c r="V14" s="414">
        <f t="shared" si="31"/>
        <v>2418</v>
      </c>
      <c r="W14" s="414">
        <f t="shared" si="31"/>
        <v>2423</v>
      </c>
      <c r="X14" s="414">
        <f t="shared" si="31"/>
        <v>2427</v>
      </c>
      <c r="Y14" s="414">
        <f t="shared" si="31"/>
        <v>2617</v>
      </c>
      <c r="Z14" s="414">
        <f t="shared" si="31"/>
        <v>2620</v>
      </c>
      <c r="AA14" s="414">
        <f t="shared" si="31"/>
        <v>2623</v>
      </c>
      <c r="AB14" s="414">
        <f t="shared" si="31"/>
        <v>2624</v>
      </c>
      <c r="AC14" s="414">
        <f t="shared" si="31"/>
        <v>4352</v>
      </c>
      <c r="AD14" s="414">
        <f t="shared" si="31"/>
        <v>4354</v>
      </c>
      <c r="AE14" s="414">
        <f t="shared" si="31"/>
        <v>4356</v>
      </c>
      <c r="AF14" s="414">
        <f t="shared" si="31"/>
        <v>4357</v>
      </c>
      <c r="AG14" s="414">
        <f t="shared" si="31"/>
        <v>6226</v>
      </c>
      <c r="AH14" s="414">
        <f t="shared" si="31"/>
        <v>6227</v>
      </c>
      <c r="AI14" s="414">
        <f t="shared" si="31"/>
        <v>6228</v>
      </c>
      <c r="AJ14" s="414">
        <f t="shared" si="31"/>
        <v>6229</v>
      </c>
      <c r="AK14" s="414">
        <f t="shared" si="31"/>
        <v>7664</v>
      </c>
      <c r="AL14" s="414">
        <f t="shared" si="31"/>
        <v>7664</v>
      </c>
      <c r="AM14" s="414">
        <f t="shared" si="31"/>
        <v>7665</v>
      </c>
      <c r="AN14" s="414">
        <f t="shared" si="31"/>
        <v>7665</v>
      </c>
      <c r="AO14" s="428"/>
      <c r="AP14" s="429"/>
    </row>
    <row r="15" spans="1:42" ht="11.5" customHeight="1" x14ac:dyDescent="0.25">
      <c r="C15" s="415" t="s">
        <v>707</v>
      </c>
      <c r="D15" s="431" t="s">
        <v>46</v>
      </c>
      <c r="E15" s="497">
        <f>'1.1 Control Panel'!E706</f>
        <v>0</v>
      </c>
      <c r="F15" s="497">
        <f>'1.1 Control Panel'!F706</f>
        <v>0</v>
      </c>
      <c r="G15" s="497">
        <f>'1.1 Control Panel'!G706</f>
        <v>0</v>
      </c>
      <c r="H15" s="497">
        <f>'1.1 Control Panel'!H706</f>
        <v>0</v>
      </c>
      <c r="I15" s="497">
        <f>'1.1 Control Panel'!I706</f>
        <v>0</v>
      </c>
      <c r="J15" s="497">
        <f>'1.1 Control Panel'!J706</f>
        <v>0</v>
      </c>
      <c r="K15" s="497">
        <f>'1.1 Control Panel'!K706</f>
        <v>0</v>
      </c>
      <c r="L15" s="497">
        <f>'1.1 Control Panel'!L706</f>
        <v>0</v>
      </c>
      <c r="M15" s="497">
        <f>'1.1 Control Panel'!M706</f>
        <v>0</v>
      </c>
      <c r="N15" s="497">
        <f>'1.1 Control Panel'!N706</f>
        <v>0</v>
      </c>
      <c r="O15" s="497">
        <f>'1.1 Control Panel'!O706</f>
        <v>0</v>
      </c>
      <c r="P15" s="497">
        <f>'1.1 Control Panel'!P706</f>
        <v>0</v>
      </c>
      <c r="Q15" s="497">
        <f>'1.1 Control Panel'!Q706</f>
        <v>0</v>
      </c>
      <c r="R15" s="497">
        <f>'1.1 Control Panel'!R706</f>
        <v>0</v>
      </c>
      <c r="S15" s="497">
        <f>'1.1 Control Panel'!S706</f>
        <v>0</v>
      </c>
      <c r="T15" s="497">
        <f>'1.1 Control Panel'!T706</f>
        <v>0</v>
      </c>
      <c r="U15" s="497">
        <f>'1.1 Control Panel'!U706</f>
        <v>0</v>
      </c>
      <c r="V15" s="497">
        <f>'1.1 Control Panel'!V706</f>
        <v>0</v>
      </c>
      <c r="W15" s="497">
        <f>'1.1 Control Panel'!W706</f>
        <v>0</v>
      </c>
      <c r="X15" s="497">
        <f>'1.1 Control Panel'!X706</f>
        <v>0</v>
      </c>
      <c r="Y15" s="497">
        <f>'1.1 Control Panel'!Y706</f>
        <v>0</v>
      </c>
      <c r="Z15" s="497">
        <f>'1.1 Control Panel'!Z706</f>
        <v>0</v>
      </c>
      <c r="AA15" s="497">
        <f>'1.1 Control Panel'!AA706</f>
        <v>0</v>
      </c>
      <c r="AB15" s="497">
        <f>'1.1 Control Panel'!AB706</f>
        <v>0</v>
      </c>
      <c r="AC15" s="497">
        <f>'1.1 Control Panel'!AC706</f>
        <v>0</v>
      </c>
      <c r="AD15" s="497">
        <f>'1.1 Control Panel'!AD706</f>
        <v>0</v>
      </c>
      <c r="AE15" s="497">
        <f>'1.1 Control Panel'!AE706</f>
        <v>0</v>
      </c>
      <c r="AF15" s="497">
        <f>'1.1 Control Panel'!AF706</f>
        <v>0</v>
      </c>
      <c r="AG15" s="497">
        <f>'1.1 Control Panel'!AG706</f>
        <v>0</v>
      </c>
      <c r="AH15" s="497">
        <f>'1.1 Control Panel'!AH706</f>
        <v>0</v>
      </c>
      <c r="AI15" s="497">
        <f>'1.1 Control Panel'!AI706</f>
        <v>0</v>
      </c>
      <c r="AJ15" s="497">
        <f>'1.1 Control Panel'!AJ706</f>
        <v>0</v>
      </c>
      <c r="AK15" s="497">
        <f>'1.1 Control Panel'!AK706</f>
        <v>0</v>
      </c>
      <c r="AL15" s="497">
        <f>'1.1 Control Panel'!AL706</f>
        <v>0</v>
      </c>
      <c r="AM15" s="497">
        <f>'1.1 Control Panel'!AM706</f>
        <v>0</v>
      </c>
      <c r="AN15" s="497">
        <f>'1.1 Control Panel'!AN706</f>
        <v>0</v>
      </c>
      <c r="AO15" s="428"/>
      <c r="AP15" s="415"/>
    </row>
    <row r="16" spans="1:42" ht="11.5" customHeight="1" x14ac:dyDescent="0.25">
      <c r="C16" s="415" t="s">
        <v>749</v>
      </c>
      <c r="D16" s="431" t="s">
        <v>162</v>
      </c>
      <c r="E16" s="496">
        <f>E88</f>
        <v>1068</v>
      </c>
      <c r="F16" s="496">
        <f t="shared" ref="F16:AN16" si="32">F88</f>
        <v>1265</v>
      </c>
      <c r="G16" s="496">
        <f t="shared" si="32"/>
        <v>1434</v>
      </c>
      <c r="H16" s="496">
        <f t="shared" si="32"/>
        <v>1561</v>
      </c>
      <c r="I16" s="496">
        <f t="shared" si="32"/>
        <v>2303</v>
      </c>
      <c r="J16" s="496">
        <f t="shared" si="32"/>
        <v>3240</v>
      </c>
      <c r="K16" s="496">
        <f t="shared" si="32"/>
        <v>3360</v>
      </c>
      <c r="L16" s="496">
        <f t="shared" si="32"/>
        <v>3456</v>
      </c>
      <c r="M16" s="496">
        <f t="shared" si="32"/>
        <v>4231</v>
      </c>
      <c r="N16" s="496">
        <f t="shared" si="32"/>
        <v>4502</v>
      </c>
      <c r="O16" s="496">
        <f t="shared" si="32"/>
        <v>4761</v>
      </c>
      <c r="P16" s="496">
        <f t="shared" si="32"/>
        <v>5014</v>
      </c>
      <c r="Q16" s="496">
        <f t="shared" si="32"/>
        <v>7770</v>
      </c>
      <c r="R16" s="496">
        <f t="shared" si="32"/>
        <v>7821</v>
      </c>
      <c r="S16" s="496">
        <f t="shared" si="32"/>
        <v>7861</v>
      </c>
      <c r="T16" s="496">
        <f t="shared" si="32"/>
        <v>7894</v>
      </c>
      <c r="U16" s="496">
        <f t="shared" si="32"/>
        <v>11271</v>
      </c>
      <c r="V16" s="496">
        <f t="shared" si="32"/>
        <v>11300</v>
      </c>
      <c r="W16" s="496">
        <f t="shared" si="32"/>
        <v>11323</v>
      </c>
      <c r="X16" s="496">
        <f t="shared" si="32"/>
        <v>11341</v>
      </c>
      <c r="Y16" s="496">
        <f t="shared" si="32"/>
        <v>12145</v>
      </c>
      <c r="Z16" s="496">
        <f t="shared" si="32"/>
        <v>12157</v>
      </c>
      <c r="AA16" s="496">
        <f t="shared" si="32"/>
        <v>12167</v>
      </c>
      <c r="AB16" s="496">
        <f t="shared" si="32"/>
        <v>12175</v>
      </c>
      <c r="AC16" s="496">
        <f t="shared" si="32"/>
        <v>19906</v>
      </c>
      <c r="AD16" s="496">
        <f t="shared" si="32"/>
        <v>19914</v>
      </c>
      <c r="AE16" s="496">
        <f t="shared" si="32"/>
        <v>19921</v>
      </c>
      <c r="AF16" s="496">
        <f t="shared" si="32"/>
        <v>19927</v>
      </c>
      <c r="AG16" s="496">
        <f t="shared" si="32"/>
        <v>28170</v>
      </c>
      <c r="AH16" s="496">
        <f t="shared" si="32"/>
        <v>28174</v>
      </c>
      <c r="AI16" s="496">
        <f t="shared" si="32"/>
        <v>28178</v>
      </c>
      <c r="AJ16" s="496">
        <f t="shared" si="32"/>
        <v>28182</v>
      </c>
      <c r="AK16" s="496">
        <f t="shared" si="32"/>
        <v>34401</v>
      </c>
      <c r="AL16" s="496">
        <f t="shared" si="32"/>
        <v>34404</v>
      </c>
      <c r="AM16" s="496">
        <f t="shared" si="32"/>
        <v>34405</v>
      </c>
      <c r="AN16" s="496">
        <f t="shared" si="32"/>
        <v>34407</v>
      </c>
      <c r="AO16" s="428"/>
      <c r="AP16" s="415"/>
    </row>
    <row r="17" spans="2:42" ht="11.5" customHeight="1" x14ac:dyDescent="0.25">
      <c r="C17" s="432" t="s">
        <v>707</v>
      </c>
      <c r="D17" s="433" t="s">
        <v>46</v>
      </c>
      <c r="E17" s="478">
        <f>'1.1 Control Panel'!E759</f>
        <v>0</v>
      </c>
      <c r="F17" s="478">
        <f>'1.1 Control Panel'!F759</f>
        <v>0</v>
      </c>
      <c r="G17" s="478">
        <f>'1.1 Control Panel'!G759</f>
        <v>0</v>
      </c>
      <c r="H17" s="478">
        <f>'1.1 Control Panel'!H759</f>
        <v>0</v>
      </c>
      <c r="I17" s="478">
        <f>'1.1 Control Panel'!I759</f>
        <v>0</v>
      </c>
      <c r="J17" s="478">
        <f>'1.1 Control Panel'!J759</f>
        <v>0</v>
      </c>
      <c r="K17" s="478">
        <f>'1.1 Control Panel'!K759</f>
        <v>0</v>
      </c>
      <c r="L17" s="478">
        <f>'1.1 Control Panel'!L759</f>
        <v>0</v>
      </c>
      <c r="M17" s="478">
        <f>'1.1 Control Panel'!M759</f>
        <v>0</v>
      </c>
      <c r="N17" s="478">
        <f>'1.1 Control Panel'!N759</f>
        <v>0</v>
      </c>
      <c r="O17" s="478">
        <f>'1.1 Control Panel'!O759</f>
        <v>0</v>
      </c>
      <c r="P17" s="478">
        <f>'1.1 Control Panel'!P759</f>
        <v>0</v>
      </c>
      <c r="Q17" s="478">
        <f>'1.1 Control Panel'!Q759</f>
        <v>0</v>
      </c>
      <c r="R17" s="478">
        <f>'1.1 Control Panel'!R759</f>
        <v>0</v>
      </c>
      <c r="S17" s="478">
        <f>'1.1 Control Panel'!S759</f>
        <v>0</v>
      </c>
      <c r="T17" s="478">
        <f>'1.1 Control Panel'!T759</f>
        <v>0</v>
      </c>
      <c r="U17" s="478">
        <f>'1.1 Control Panel'!U759</f>
        <v>0</v>
      </c>
      <c r="V17" s="478">
        <f>'1.1 Control Panel'!V759</f>
        <v>0</v>
      </c>
      <c r="W17" s="478">
        <f>'1.1 Control Panel'!W759</f>
        <v>0</v>
      </c>
      <c r="X17" s="478">
        <f>'1.1 Control Panel'!X759</f>
        <v>0</v>
      </c>
      <c r="Y17" s="478">
        <f>'1.1 Control Panel'!Y759</f>
        <v>0</v>
      </c>
      <c r="Z17" s="478">
        <f>'1.1 Control Panel'!Z759</f>
        <v>0</v>
      </c>
      <c r="AA17" s="478">
        <f>'1.1 Control Panel'!AA759</f>
        <v>0</v>
      </c>
      <c r="AB17" s="478">
        <f>'1.1 Control Panel'!AB759</f>
        <v>0</v>
      </c>
      <c r="AC17" s="478">
        <f>'1.1 Control Panel'!AC759</f>
        <v>0</v>
      </c>
      <c r="AD17" s="478">
        <f>'1.1 Control Panel'!AD759</f>
        <v>0</v>
      </c>
      <c r="AE17" s="478">
        <f>'1.1 Control Panel'!AE759</f>
        <v>0</v>
      </c>
      <c r="AF17" s="478">
        <f>'1.1 Control Panel'!AF759</f>
        <v>0</v>
      </c>
      <c r="AG17" s="478">
        <f>'1.1 Control Panel'!AG759</f>
        <v>0</v>
      </c>
      <c r="AH17" s="478">
        <f>'1.1 Control Panel'!AH759</f>
        <v>0</v>
      </c>
      <c r="AI17" s="478">
        <f>'1.1 Control Panel'!AI759</f>
        <v>0</v>
      </c>
      <c r="AJ17" s="478">
        <f>'1.1 Control Panel'!AJ759</f>
        <v>0</v>
      </c>
      <c r="AK17" s="478">
        <f>'1.1 Control Panel'!AK759</f>
        <v>0</v>
      </c>
      <c r="AL17" s="478">
        <f>'1.1 Control Panel'!AL759</f>
        <v>0</v>
      </c>
      <c r="AM17" s="478">
        <f>'1.1 Control Panel'!AM759</f>
        <v>0</v>
      </c>
      <c r="AN17" s="478">
        <f>'1.1 Control Panel'!AN759</f>
        <v>0</v>
      </c>
      <c r="AO17" s="428"/>
      <c r="AP17" s="432"/>
    </row>
    <row r="18" spans="2:42" ht="11.5" customHeight="1" x14ac:dyDescent="0.25">
      <c r="C18" s="459" t="s">
        <v>659</v>
      </c>
      <c r="D18" s="460" t="s">
        <v>46</v>
      </c>
      <c r="E18" s="473">
        <f>E19+E26</f>
        <v>81261</v>
      </c>
      <c r="F18" s="473">
        <f t="shared" ref="F18:AN18" si="33">F19+F26</f>
        <v>79613</v>
      </c>
      <c r="G18" s="473">
        <f t="shared" si="33"/>
        <v>76408</v>
      </c>
      <c r="H18" s="473">
        <f t="shared" si="33"/>
        <v>71076</v>
      </c>
      <c r="I18" s="473">
        <f t="shared" si="33"/>
        <v>113244</v>
      </c>
      <c r="J18" s="473">
        <f t="shared" si="33"/>
        <v>161633</v>
      </c>
      <c r="K18" s="473">
        <f t="shared" si="33"/>
        <v>138986</v>
      </c>
      <c r="L18" s="473">
        <f t="shared" si="33"/>
        <v>118556</v>
      </c>
      <c r="M18" s="473">
        <f t="shared" si="33"/>
        <v>153753</v>
      </c>
      <c r="N18" s="473">
        <f t="shared" si="33"/>
        <v>144694</v>
      </c>
      <c r="O18" s="473">
        <f t="shared" si="33"/>
        <v>136325</v>
      </c>
      <c r="P18" s="473">
        <f t="shared" si="33"/>
        <v>128895</v>
      </c>
      <c r="Q18" s="473">
        <f t="shared" si="33"/>
        <v>329660</v>
      </c>
      <c r="R18" s="473">
        <f t="shared" si="33"/>
        <v>283389</v>
      </c>
      <c r="S18" s="473">
        <f t="shared" si="33"/>
        <v>245446</v>
      </c>
      <c r="T18" s="473">
        <f t="shared" si="33"/>
        <v>212724</v>
      </c>
      <c r="U18" s="473">
        <f t="shared" si="33"/>
        <v>453183</v>
      </c>
      <c r="V18" s="473">
        <f t="shared" si="33"/>
        <v>397817</v>
      </c>
      <c r="W18" s="473">
        <f t="shared" si="33"/>
        <v>347882</v>
      </c>
      <c r="X18" s="473">
        <f t="shared" si="33"/>
        <v>302610</v>
      </c>
      <c r="Y18" s="473">
        <f t="shared" si="33"/>
        <v>336794</v>
      </c>
      <c r="Z18" s="473">
        <f t="shared" si="33"/>
        <v>299430</v>
      </c>
      <c r="AA18" s="473">
        <f t="shared" si="33"/>
        <v>268167</v>
      </c>
      <c r="AB18" s="473">
        <f t="shared" si="33"/>
        <v>240288</v>
      </c>
      <c r="AC18" s="473">
        <f t="shared" si="33"/>
        <v>860581</v>
      </c>
      <c r="AD18" s="473">
        <f t="shared" si="33"/>
        <v>745318</v>
      </c>
      <c r="AE18" s="473">
        <f t="shared" si="33"/>
        <v>646390</v>
      </c>
      <c r="AF18" s="473">
        <f t="shared" si="33"/>
        <v>559453</v>
      </c>
      <c r="AG18" s="473">
        <f t="shared" si="33"/>
        <v>1184120</v>
      </c>
      <c r="AH18" s="473">
        <f t="shared" si="33"/>
        <v>1027532</v>
      </c>
      <c r="AI18" s="473">
        <f t="shared" si="33"/>
        <v>892001</v>
      </c>
      <c r="AJ18" s="473">
        <f t="shared" si="33"/>
        <v>773953</v>
      </c>
      <c r="AK18" s="473">
        <f t="shared" si="33"/>
        <v>1177061</v>
      </c>
      <c r="AL18" s="473">
        <f t="shared" si="33"/>
        <v>1001263</v>
      </c>
      <c r="AM18" s="473">
        <f t="shared" si="33"/>
        <v>854959</v>
      </c>
      <c r="AN18" s="473">
        <f t="shared" si="33"/>
        <v>732239</v>
      </c>
      <c r="AO18" s="462"/>
      <c r="AP18" s="461"/>
    </row>
    <row r="19" spans="2:42" ht="11.5" customHeight="1" x14ac:dyDescent="0.25">
      <c r="B19" s="19" t="s">
        <v>9</v>
      </c>
      <c r="C19" s="438" t="s">
        <v>729</v>
      </c>
      <c r="D19" s="475" t="s">
        <v>46</v>
      </c>
      <c r="E19" s="476">
        <f>E20+E23</f>
        <v>28581</v>
      </c>
      <c r="F19" s="476">
        <f t="shared" ref="F19:AN19" si="34">F20+F23</f>
        <v>27683</v>
      </c>
      <c r="G19" s="476">
        <f t="shared" si="34"/>
        <v>26488</v>
      </c>
      <c r="H19" s="476">
        <f t="shared" si="34"/>
        <v>24996</v>
      </c>
      <c r="I19" s="476">
        <f t="shared" si="34"/>
        <v>39534</v>
      </c>
      <c r="J19" s="476">
        <f t="shared" si="34"/>
        <v>56363</v>
      </c>
      <c r="K19" s="476">
        <f t="shared" si="34"/>
        <v>48896</v>
      </c>
      <c r="L19" s="476">
        <f t="shared" si="34"/>
        <v>41726</v>
      </c>
      <c r="M19" s="476">
        <f t="shared" si="34"/>
        <v>53973</v>
      </c>
      <c r="N19" s="476">
        <f t="shared" si="34"/>
        <v>51484</v>
      </c>
      <c r="O19" s="476">
        <f t="shared" si="34"/>
        <v>48995</v>
      </c>
      <c r="P19" s="476">
        <f t="shared" si="34"/>
        <v>46605</v>
      </c>
      <c r="Q19" s="476">
        <f t="shared" si="34"/>
        <v>117110</v>
      </c>
      <c r="R19" s="476">
        <f t="shared" si="34"/>
        <v>100479</v>
      </c>
      <c r="S19" s="476">
        <f t="shared" si="34"/>
        <v>87136</v>
      </c>
      <c r="T19" s="476">
        <f t="shared" si="34"/>
        <v>75384</v>
      </c>
      <c r="U19" s="476">
        <f t="shared" si="34"/>
        <v>161523</v>
      </c>
      <c r="V19" s="476">
        <f t="shared" si="34"/>
        <v>142007</v>
      </c>
      <c r="W19" s="476">
        <f t="shared" si="34"/>
        <v>124082</v>
      </c>
      <c r="X19" s="476">
        <f t="shared" si="34"/>
        <v>107550</v>
      </c>
      <c r="Y19" s="476">
        <f t="shared" si="34"/>
        <v>120794</v>
      </c>
      <c r="Z19" s="476">
        <f t="shared" si="34"/>
        <v>107550</v>
      </c>
      <c r="AA19" s="476">
        <f t="shared" si="34"/>
        <v>96597</v>
      </c>
      <c r="AB19" s="476">
        <f t="shared" si="34"/>
        <v>86238</v>
      </c>
      <c r="AC19" s="476">
        <f t="shared" si="34"/>
        <v>312991</v>
      </c>
      <c r="AD19" s="476">
        <f t="shared" si="34"/>
        <v>270268</v>
      </c>
      <c r="AE19" s="476">
        <f t="shared" si="34"/>
        <v>234220</v>
      </c>
      <c r="AF19" s="476">
        <f t="shared" si="34"/>
        <v>202153</v>
      </c>
      <c r="AG19" s="476">
        <f t="shared" si="34"/>
        <v>432590</v>
      </c>
      <c r="AH19" s="476">
        <f t="shared" si="34"/>
        <v>375032</v>
      </c>
      <c r="AI19" s="476">
        <f t="shared" si="34"/>
        <v>324941</v>
      </c>
      <c r="AJ19" s="476">
        <f t="shared" si="34"/>
        <v>281023</v>
      </c>
      <c r="AK19" s="476">
        <f t="shared" si="34"/>
        <v>432491</v>
      </c>
      <c r="AL19" s="476">
        <f t="shared" si="34"/>
        <v>367063</v>
      </c>
      <c r="AM19" s="476">
        <f t="shared" si="34"/>
        <v>313189</v>
      </c>
      <c r="AN19" s="476">
        <f t="shared" si="34"/>
        <v>267779</v>
      </c>
      <c r="AO19" s="428"/>
      <c r="AP19" s="441"/>
    </row>
    <row r="20" spans="2:42" s="16" customFormat="1" ht="11.5" customHeight="1" x14ac:dyDescent="0.25">
      <c r="B20" s="19"/>
      <c r="C20" s="427" t="s">
        <v>711</v>
      </c>
      <c r="D20" s="426" t="s">
        <v>46</v>
      </c>
      <c r="E20" s="470">
        <f>E21*E22</f>
        <v>9405</v>
      </c>
      <c r="F20" s="470">
        <f t="shared" ref="F20:AN20" si="35">F21*F22</f>
        <v>9306</v>
      </c>
      <c r="G20" s="470">
        <f t="shared" si="35"/>
        <v>8910</v>
      </c>
      <c r="H20" s="470">
        <f t="shared" si="35"/>
        <v>8217</v>
      </c>
      <c r="I20" s="470">
        <f t="shared" si="35"/>
        <v>13167</v>
      </c>
      <c r="J20" s="470">
        <f t="shared" si="35"/>
        <v>18810</v>
      </c>
      <c r="K20" s="470">
        <f t="shared" si="35"/>
        <v>16137</v>
      </c>
      <c r="L20" s="470">
        <f t="shared" si="35"/>
        <v>13761</v>
      </c>
      <c r="M20" s="470">
        <f t="shared" si="35"/>
        <v>18018</v>
      </c>
      <c r="N20" s="470">
        <f t="shared" si="35"/>
        <v>17127</v>
      </c>
      <c r="O20" s="470">
        <f t="shared" si="35"/>
        <v>16236</v>
      </c>
      <c r="P20" s="470">
        <f t="shared" si="35"/>
        <v>15444</v>
      </c>
      <c r="Q20" s="470">
        <f t="shared" si="35"/>
        <v>38808</v>
      </c>
      <c r="R20" s="470">
        <f t="shared" si="35"/>
        <v>33363</v>
      </c>
      <c r="S20" s="470">
        <f t="shared" si="35"/>
        <v>28809</v>
      </c>
      <c r="T20" s="470">
        <f t="shared" si="35"/>
        <v>25047</v>
      </c>
      <c r="U20" s="470">
        <f t="shared" si="35"/>
        <v>53658</v>
      </c>
      <c r="V20" s="470">
        <f t="shared" si="35"/>
        <v>46926</v>
      </c>
      <c r="W20" s="470">
        <f t="shared" si="35"/>
        <v>40986</v>
      </c>
      <c r="X20" s="470">
        <f t="shared" si="35"/>
        <v>35640</v>
      </c>
      <c r="Y20" s="470">
        <f t="shared" si="35"/>
        <v>40095</v>
      </c>
      <c r="Z20" s="470">
        <f t="shared" si="35"/>
        <v>35640</v>
      </c>
      <c r="AA20" s="470">
        <f t="shared" si="35"/>
        <v>31878</v>
      </c>
      <c r="AB20" s="470">
        <f t="shared" si="35"/>
        <v>28710</v>
      </c>
      <c r="AC20" s="470">
        <f t="shared" si="35"/>
        <v>103653</v>
      </c>
      <c r="AD20" s="470">
        <f t="shared" si="35"/>
        <v>89694</v>
      </c>
      <c r="AE20" s="470">
        <f t="shared" si="35"/>
        <v>77616</v>
      </c>
      <c r="AF20" s="470">
        <f t="shared" si="35"/>
        <v>67122</v>
      </c>
      <c r="AG20" s="470">
        <f t="shared" si="35"/>
        <v>143352</v>
      </c>
      <c r="AH20" s="470">
        <f t="shared" si="35"/>
        <v>124146</v>
      </c>
      <c r="AI20" s="470">
        <f t="shared" si="35"/>
        <v>107613</v>
      </c>
      <c r="AJ20" s="470">
        <f t="shared" si="35"/>
        <v>93258</v>
      </c>
      <c r="AK20" s="470">
        <f t="shared" si="35"/>
        <v>143253</v>
      </c>
      <c r="AL20" s="470">
        <f t="shared" si="35"/>
        <v>121770</v>
      </c>
      <c r="AM20" s="470">
        <f t="shared" si="35"/>
        <v>103851</v>
      </c>
      <c r="AN20" s="470">
        <f t="shared" si="35"/>
        <v>88803</v>
      </c>
      <c r="AO20" s="450"/>
      <c r="AP20" s="427"/>
    </row>
    <row r="21" spans="2:42" ht="11.5" customHeight="1" x14ac:dyDescent="0.25">
      <c r="C21" s="428" t="s">
        <v>713</v>
      </c>
      <c r="D21" s="437" t="s">
        <v>162</v>
      </c>
      <c r="E21" s="414">
        <f>E71</f>
        <v>95</v>
      </c>
      <c r="F21" s="414">
        <f t="shared" ref="F21:AN21" si="36">F71</f>
        <v>94</v>
      </c>
      <c r="G21" s="414">
        <f t="shared" si="36"/>
        <v>90</v>
      </c>
      <c r="H21" s="414">
        <f t="shared" si="36"/>
        <v>83</v>
      </c>
      <c r="I21" s="414">
        <f t="shared" si="36"/>
        <v>133</v>
      </c>
      <c r="J21" s="414">
        <f t="shared" si="36"/>
        <v>190</v>
      </c>
      <c r="K21" s="414">
        <f t="shared" si="36"/>
        <v>163</v>
      </c>
      <c r="L21" s="414">
        <f t="shared" si="36"/>
        <v>139</v>
      </c>
      <c r="M21" s="414">
        <f t="shared" si="36"/>
        <v>182</v>
      </c>
      <c r="N21" s="414">
        <f t="shared" si="36"/>
        <v>173</v>
      </c>
      <c r="O21" s="414">
        <f t="shared" si="36"/>
        <v>164</v>
      </c>
      <c r="P21" s="414">
        <f t="shared" si="36"/>
        <v>156</v>
      </c>
      <c r="Q21" s="414">
        <f t="shared" si="36"/>
        <v>392</v>
      </c>
      <c r="R21" s="414">
        <f t="shared" si="36"/>
        <v>337</v>
      </c>
      <c r="S21" s="414">
        <f t="shared" si="36"/>
        <v>291</v>
      </c>
      <c r="T21" s="414">
        <f t="shared" si="36"/>
        <v>253</v>
      </c>
      <c r="U21" s="414">
        <f t="shared" si="36"/>
        <v>542</v>
      </c>
      <c r="V21" s="414">
        <f t="shared" si="36"/>
        <v>474</v>
      </c>
      <c r="W21" s="414">
        <f t="shared" si="36"/>
        <v>414</v>
      </c>
      <c r="X21" s="414">
        <f t="shared" si="36"/>
        <v>360</v>
      </c>
      <c r="Y21" s="414">
        <f t="shared" si="36"/>
        <v>405</v>
      </c>
      <c r="Z21" s="414">
        <f t="shared" si="36"/>
        <v>360</v>
      </c>
      <c r="AA21" s="414">
        <f t="shared" si="36"/>
        <v>322</v>
      </c>
      <c r="AB21" s="414">
        <f t="shared" si="36"/>
        <v>290</v>
      </c>
      <c r="AC21" s="414">
        <f t="shared" si="36"/>
        <v>1047</v>
      </c>
      <c r="AD21" s="414">
        <f t="shared" si="36"/>
        <v>906</v>
      </c>
      <c r="AE21" s="414">
        <f t="shared" si="36"/>
        <v>784</v>
      </c>
      <c r="AF21" s="414">
        <f t="shared" si="36"/>
        <v>678</v>
      </c>
      <c r="AG21" s="414">
        <f t="shared" si="36"/>
        <v>1448</v>
      </c>
      <c r="AH21" s="414">
        <f t="shared" si="36"/>
        <v>1254</v>
      </c>
      <c r="AI21" s="414">
        <f t="shared" si="36"/>
        <v>1087</v>
      </c>
      <c r="AJ21" s="414">
        <f t="shared" si="36"/>
        <v>942</v>
      </c>
      <c r="AK21" s="414">
        <f t="shared" si="36"/>
        <v>1447</v>
      </c>
      <c r="AL21" s="414">
        <f t="shared" si="36"/>
        <v>1230</v>
      </c>
      <c r="AM21" s="414">
        <f t="shared" si="36"/>
        <v>1049</v>
      </c>
      <c r="AN21" s="414">
        <f t="shared" si="36"/>
        <v>897</v>
      </c>
      <c r="AO21" s="428"/>
      <c r="AP21" s="429"/>
    </row>
    <row r="22" spans="2:42" ht="11.5" customHeight="1" x14ac:dyDescent="0.25">
      <c r="C22" s="416" t="s">
        <v>714</v>
      </c>
      <c r="D22" s="434" t="s">
        <v>46</v>
      </c>
      <c r="E22" s="477">
        <f>'1.1 Control Panel'!E712</f>
        <v>99</v>
      </c>
      <c r="F22" s="477">
        <f>'1.1 Control Panel'!F712</f>
        <v>99</v>
      </c>
      <c r="G22" s="477">
        <f>'1.1 Control Panel'!G712</f>
        <v>99</v>
      </c>
      <c r="H22" s="477">
        <f>'1.1 Control Panel'!H712</f>
        <v>99</v>
      </c>
      <c r="I22" s="477">
        <f>'1.1 Control Panel'!I712</f>
        <v>99</v>
      </c>
      <c r="J22" s="477">
        <f>'1.1 Control Panel'!J712</f>
        <v>99</v>
      </c>
      <c r="K22" s="477">
        <f>'1.1 Control Panel'!K712</f>
        <v>99</v>
      </c>
      <c r="L22" s="477">
        <f>'1.1 Control Panel'!L712</f>
        <v>99</v>
      </c>
      <c r="M22" s="477">
        <f>'1.1 Control Panel'!M712</f>
        <v>99</v>
      </c>
      <c r="N22" s="477">
        <f>'1.1 Control Panel'!N712</f>
        <v>99</v>
      </c>
      <c r="O22" s="477">
        <f>'1.1 Control Panel'!O712</f>
        <v>99</v>
      </c>
      <c r="P22" s="477">
        <f>'1.1 Control Panel'!P712</f>
        <v>99</v>
      </c>
      <c r="Q22" s="477">
        <f>'1.1 Control Panel'!Q712</f>
        <v>99</v>
      </c>
      <c r="R22" s="477">
        <f>'1.1 Control Panel'!R712</f>
        <v>99</v>
      </c>
      <c r="S22" s="477">
        <f>'1.1 Control Panel'!S712</f>
        <v>99</v>
      </c>
      <c r="T22" s="477">
        <f>'1.1 Control Panel'!T712</f>
        <v>99</v>
      </c>
      <c r="U22" s="477">
        <f>'1.1 Control Panel'!U712</f>
        <v>99</v>
      </c>
      <c r="V22" s="477">
        <f>'1.1 Control Panel'!V712</f>
        <v>99</v>
      </c>
      <c r="W22" s="477">
        <f>'1.1 Control Panel'!W712</f>
        <v>99</v>
      </c>
      <c r="X22" s="477">
        <f>'1.1 Control Panel'!X712</f>
        <v>99</v>
      </c>
      <c r="Y22" s="477">
        <f>'1.1 Control Panel'!Y712</f>
        <v>99</v>
      </c>
      <c r="Z22" s="477">
        <f>'1.1 Control Panel'!Z712</f>
        <v>99</v>
      </c>
      <c r="AA22" s="477">
        <f>'1.1 Control Panel'!AA712</f>
        <v>99</v>
      </c>
      <c r="AB22" s="477">
        <f>'1.1 Control Panel'!AB712</f>
        <v>99</v>
      </c>
      <c r="AC22" s="477">
        <f>'1.1 Control Panel'!AC712</f>
        <v>99</v>
      </c>
      <c r="AD22" s="477">
        <f>'1.1 Control Panel'!AD712</f>
        <v>99</v>
      </c>
      <c r="AE22" s="477">
        <f>'1.1 Control Panel'!AE712</f>
        <v>99</v>
      </c>
      <c r="AF22" s="477">
        <f>'1.1 Control Panel'!AF712</f>
        <v>99</v>
      </c>
      <c r="AG22" s="477">
        <f>'1.1 Control Panel'!AG712</f>
        <v>99</v>
      </c>
      <c r="AH22" s="477">
        <f>'1.1 Control Panel'!AH712</f>
        <v>99</v>
      </c>
      <c r="AI22" s="477">
        <f>'1.1 Control Panel'!AI712</f>
        <v>99</v>
      </c>
      <c r="AJ22" s="477">
        <f>'1.1 Control Panel'!AJ712</f>
        <v>99</v>
      </c>
      <c r="AK22" s="477">
        <f>'1.1 Control Panel'!AK712</f>
        <v>99</v>
      </c>
      <c r="AL22" s="477">
        <f>'1.1 Control Panel'!AL712</f>
        <v>99</v>
      </c>
      <c r="AM22" s="477">
        <f>'1.1 Control Panel'!AM712</f>
        <v>99</v>
      </c>
      <c r="AN22" s="477">
        <f>'1.1 Control Panel'!AN712</f>
        <v>99</v>
      </c>
      <c r="AO22" s="428"/>
      <c r="AP22" s="416"/>
    </row>
    <row r="23" spans="2:42" ht="11.5" customHeight="1" x14ac:dyDescent="0.25">
      <c r="B23" s="19" t="s">
        <v>9</v>
      </c>
      <c r="C23" s="436" t="s">
        <v>712</v>
      </c>
      <c r="D23" s="435" t="s">
        <v>46</v>
      </c>
      <c r="E23" s="472">
        <f>E24*E25</f>
        <v>19176</v>
      </c>
      <c r="F23" s="472">
        <f t="shared" ref="F23:AN23" si="37">F24*F25</f>
        <v>18377</v>
      </c>
      <c r="G23" s="472">
        <f t="shared" si="37"/>
        <v>17578</v>
      </c>
      <c r="H23" s="472">
        <f t="shared" si="37"/>
        <v>16779</v>
      </c>
      <c r="I23" s="472">
        <f t="shared" si="37"/>
        <v>26367</v>
      </c>
      <c r="J23" s="472">
        <f t="shared" si="37"/>
        <v>37553</v>
      </c>
      <c r="K23" s="472">
        <f t="shared" si="37"/>
        <v>32759</v>
      </c>
      <c r="L23" s="472">
        <f t="shared" si="37"/>
        <v>27965</v>
      </c>
      <c r="M23" s="472">
        <f t="shared" si="37"/>
        <v>35955</v>
      </c>
      <c r="N23" s="472">
        <f t="shared" si="37"/>
        <v>34357</v>
      </c>
      <c r="O23" s="472">
        <f t="shared" si="37"/>
        <v>32759</v>
      </c>
      <c r="P23" s="472">
        <f t="shared" si="37"/>
        <v>31161</v>
      </c>
      <c r="Q23" s="472">
        <f t="shared" si="37"/>
        <v>78302</v>
      </c>
      <c r="R23" s="472">
        <f t="shared" si="37"/>
        <v>67116</v>
      </c>
      <c r="S23" s="472">
        <f t="shared" si="37"/>
        <v>58327</v>
      </c>
      <c r="T23" s="472">
        <f t="shared" si="37"/>
        <v>50337</v>
      </c>
      <c r="U23" s="472">
        <f t="shared" si="37"/>
        <v>107865</v>
      </c>
      <c r="V23" s="472">
        <f t="shared" si="37"/>
        <v>95081</v>
      </c>
      <c r="W23" s="472">
        <f t="shared" si="37"/>
        <v>83096</v>
      </c>
      <c r="X23" s="472">
        <f t="shared" si="37"/>
        <v>71910</v>
      </c>
      <c r="Y23" s="472">
        <f t="shared" si="37"/>
        <v>80699</v>
      </c>
      <c r="Z23" s="472">
        <f t="shared" si="37"/>
        <v>71910</v>
      </c>
      <c r="AA23" s="472">
        <f t="shared" si="37"/>
        <v>64719</v>
      </c>
      <c r="AB23" s="472">
        <f t="shared" si="37"/>
        <v>57528</v>
      </c>
      <c r="AC23" s="472">
        <f t="shared" si="37"/>
        <v>209338</v>
      </c>
      <c r="AD23" s="472">
        <f t="shared" si="37"/>
        <v>180574</v>
      </c>
      <c r="AE23" s="472">
        <f t="shared" si="37"/>
        <v>156604</v>
      </c>
      <c r="AF23" s="472">
        <f t="shared" si="37"/>
        <v>135031</v>
      </c>
      <c r="AG23" s="472">
        <f t="shared" si="37"/>
        <v>289238</v>
      </c>
      <c r="AH23" s="472">
        <f t="shared" si="37"/>
        <v>250886</v>
      </c>
      <c r="AI23" s="472">
        <f t="shared" si="37"/>
        <v>217328</v>
      </c>
      <c r="AJ23" s="472">
        <f t="shared" si="37"/>
        <v>187765</v>
      </c>
      <c r="AK23" s="472">
        <f t="shared" si="37"/>
        <v>289238</v>
      </c>
      <c r="AL23" s="472">
        <f t="shared" si="37"/>
        <v>245293</v>
      </c>
      <c r="AM23" s="472">
        <f t="shared" si="37"/>
        <v>209338</v>
      </c>
      <c r="AN23" s="472">
        <f t="shared" si="37"/>
        <v>178976</v>
      </c>
      <c r="AO23" s="428"/>
      <c r="AP23" s="436"/>
    </row>
    <row r="24" spans="2:42" ht="11.5" customHeight="1" x14ac:dyDescent="0.25">
      <c r="C24" s="428" t="s">
        <v>713</v>
      </c>
      <c r="D24" s="437" t="s">
        <v>162</v>
      </c>
      <c r="E24" s="471">
        <f>E72</f>
        <v>24</v>
      </c>
      <c r="F24" s="471">
        <f t="shared" ref="F24:AN24" si="38">F72</f>
        <v>23</v>
      </c>
      <c r="G24" s="471">
        <f t="shared" si="38"/>
        <v>22</v>
      </c>
      <c r="H24" s="471">
        <f t="shared" si="38"/>
        <v>21</v>
      </c>
      <c r="I24" s="471">
        <f t="shared" si="38"/>
        <v>33</v>
      </c>
      <c r="J24" s="471">
        <f t="shared" si="38"/>
        <v>47</v>
      </c>
      <c r="K24" s="471">
        <f t="shared" si="38"/>
        <v>41</v>
      </c>
      <c r="L24" s="471">
        <f t="shared" si="38"/>
        <v>35</v>
      </c>
      <c r="M24" s="471">
        <f t="shared" si="38"/>
        <v>45</v>
      </c>
      <c r="N24" s="471">
        <f t="shared" si="38"/>
        <v>43</v>
      </c>
      <c r="O24" s="471">
        <f t="shared" si="38"/>
        <v>41</v>
      </c>
      <c r="P24" s="471">
        <f t="shared" si="38"/>
        <v>39</v>
      </c>
      <c r="Q24" s="471">
        <f t="shared" si="38"/>
        <v>98</v>
      </c>
      <c r="R24" s="471">
        <f t="shared" si="38"/>
        <v>84</v>
      </c>
      <c r="S24" s="471">
        <f t="shared" si="38"/>
        <v>73</v>
      </c>
      <c r="T24" s="471">
        <f t="shared" si="38"/>
        <v>63</v>
      </c>
      <c r="U24" s="471">
        <f t="shared" si="38"/>
        <v>135</v>
      </c>
      <c r="V24" s="471">
        <f t="shared" si="38"/>
        <v>119</v>
      </c>
      <c r="W24" s="471">
        <f t="shared" si="38"/>
        <v>104</v>
      </c>
      <c r="X24" s="471">
        <f t="shared" si="38"/>
        <v>90</v>
      </c>
      <c r="Y24" s="471">
        <f t="shared" si="38"/>
        <v>101</v>
      </c>
      <c r="Z24" s="471">
        <f t="shared" si="38"/>
        <v>90</v>
      </c>
      <c r="AA24" s="471">
        <f t="shared" si="38"/>
        <v>81</v>
      </c>
      <c r="AB24" s="471">
        <f t="shared" si="38"/>
        <v>72</v>
      </c>
      <c r="AC24" s="471">
        <f t="shared" si="38"/>
        <v>262</v>
      </c>
      <c r="AD24" s="471">
        <f t="shared" si="38"/>
        <v>226</v>
      </c>
      <c r="AE24" s="471">
        <f t="shared" si="38"/>
        <v>196</v>
      </c>
      <c r="AF24" s="471">
        <f t="shared" si="38"/>
        <v>169</v>
      </c>
      <c r="AG24" s="471">
        <f t="shared" si="38"/>
        <v>362</v>
      </c>
      <c r="AH24" s="471">
        <f t="shared" si="38"/>
        <v>314</v>
      </c>
      <c r="AI24" s="471">
        <f t="shared" si="38"/>
        <v>272</v>
      </c>
      <c r="AJ24" s="471">
        <f t="shared" si="38"/>
        <v>235</v>
      </c>
      <c r="AK24" s="471">
        <f t="shared" si="38"/>
        <v>362</v>
      </c>
      <c r="AL24" s="471">
        <f t="shared" si="38"/>
        <v>307</v>
      </c>
      <c r="AM24" s="471">
        <f t="shared" si="38"/>
        <v>262</v>
      </c>
      <c r="AN24" s="471">
        <f t="shared" si="38"/>
        <v>224</v>
      </c>
      <c r="AO24" s="428"/>
      <c r="AP24" s="428"/>
    </row>
    <row r="25" spans="2:42" ht="11.5" customHeight="1" x14ac:dyDescent="0.25">
      <c r="C25" s="432" t="s">
        <v>708</v>
      </c>
      <c r="D25" s="433" t="s">
        <v>46</v>
      </c>
      <c r="E25" s="478">
        <f>'1.1 Control Panel'!E714</f>
        <v>799</v>
      </c>
      <c r="F25" s="478">
        <f>'1.1 Control Panel'!F714</f>
        <v>799</v>
      </c>
      <c r="G25" s="478">
        <f>'1.1 Control Panel'!G714</f>
        <v>799</v>
      </c>
      <c r="H25" s="478">
        <f>'1.1 Control Panel'!H714</f>
        <v>799</v>
      </c>
      <c r="I25" s="478">
        <f>'1.1 Control Panel'!I714</f>
        <v>799</v>
      </c>
      <c r="J25" s="478">
        <f>'1.1 Control Panel'!J714</f>
        <v>799</v>
      </c>
      <c r="K25" s="478">
        <f>'1.1 Control Panel'!K714</f>
        <v>799</v>
      </c>
      <c r="L25" s="478">
        <f>'1.1 Control Panel'!L714</f>
        <v>799</v>
      </c>
      <c r="M25" s="478">
        <f>'1.1 Control Panel'!M714</f>
        <v>799</v>
      </c>
      <c r="N25" s="478">
        <f>'1.1 Control Panel'!N714</f>
        <v>799</v>
      </c>
      <c r="O25" s="478">
        <f>'1.1 Control Panel'!O714</f>
        <v>799</v>
      </c>
      <c r="P25" s="478">
        <f>'1.1 Control Panel'!P714</f>
        <v>799</v>
      </c>
      <c r="Q25" s="478">
        <f>'1.1 Control Panel'!Q714</f>
        <v>799</v>
      </c>
      <c r="R25" s="478">
        <f>'1.1 Control Panel'!R714</f>
        <v>799</v>
      </c>
      <c r="S25" s="478">
        <f>'1.1 Control Panel'!S714</f>
        <v>799</v>
      </c>
      <c r="T25" s="478">
        <f>'1.1 Control Panel'!T714</f>
        <v>799</v>
      </c>
      <c r="U25" s="478">
        <f>'1.1 Control Panel'!U714</f>
        <v>799</v>
      </c>
      <c r="V25" s="478">
        <f>'1.1 Control Panel'!V714</f>
        <v>799</v>
      </c>
      <c r="W25" s="478">
        <f>'1.1 Control Panel'!W714</f>
        <v>799</v>
      </c>
      <c r="X25" s="478">
        <f>'1.1 Control Panel'!X714</f>
        <v>799</v>
      </c>
      <c r="Y25" s="478">
        <f>'1.1 Control Panel'!Y714</f>
        <v>799</v>
      </c>
      <c r="Z25" s="478">
        <f>'1.1 Control Panel'!Z714</f>
        <v>799</v>
      </c>
      <c r="AA25" s="478">
        <f>'1.1 Control Panel'!AA714</f>
        <v>799</v>
      </c>
      <c r="AB25" s="478">
        <f>'1.1 Control Panel'!AB714</f>
        <v>799</v>
      </c>
      <c r="AC25" s="478">
        <f>'1.1 Control Panel'!AC714</f>
        <v>799</v>
      </c>
      <c r="AD25" s="478">
        <f>'1.1 Control Panel'!AD714</f>
        <v>799</v>
      </c>
      <c r="AE25" s="478">
        <f>'1.1 Control Panel'!AE714</f>
        <v>799</v>
      </c>
      <c r="AF25" s="478">
        <f>'1.1 Control Panel'!AF714</f>
        <v>799</v>
      </c>
      <c r="AG25" s="478">
        <f>'1.1 Control Panel'!AG714</f>
        <v>799</v>
      </c>
      <c r="AH25" s="478">
        <f>'1.1 Control Panel'!AH714</f>
        <v>799</v>
      </c>
      <c r="AI25" s="478">
        <f>'1.1 Control Panel'!AI714</f>
        <v>799</v>
      </c>
      <c r="AJ25" s="478">
        <f>'1.1 Control Panel'!AJ714</f>
        <v>799</v>
      </c>
      <c r="AK25" s="478">
        <f>'1.1 Control Panel'!AK714</f>
        <v>799</v>
      </c>
      <c r="AL25" s="478">
        <f>'1.1 Control Panel'!AL714</f>
        <v>799</v>
      </c>
      <c r="AM25" s="478">
        <f>'1.1 Control Panel'!AM714</f>
        <v>799</v>
      </c>
      <c r="AN25" s="478">
        <f>'1.1 Control Panel'!AN714</f>
        <v>799</v>
      </c>
      <c r="AO25" s="428"/>
      <c r="AP25" s="432"/>
    </row>
    <row r="26" spans="2:42" ht="11.5" customHeight="1" x14ac:dyDescent="0.25">
      <c r="B26" s="19" t="s">
        <v>9</v>
      </c>
      <c r="C26" s="438" t="s">
        <v>730</v>
      </c>
      <c r="D26" s="475" t="s">
        <v>46</v>
      </c>
      <c r="E26" s="476">
        <f>E27+E30</f>
        <v>52680</v>
      </c>
      <c r="F26" s="476">
        <f t="shared" ref="F26:AN26" si="39">F27+F30</f>
        <v>51930</v>
      </c>
      <c r="G26" s="476">
        <f t="shared" si="39"/>
        <v>49920</v>
      </c>
      <c r="H26" s="476">
        <f t="shared" si="39"/>
        <v>46080</v>
      </c>
      <c r="I26" s="476">
        <f t="shared" si="39"/>
        <v>73710</v>
      </c>
      <c r="J26" s="476">
        <f t="shared" si="39"/>
        <v>105270</v>
      </c>
      <c r="K26" s="476">
        <f t="shared" si="39"/>
        <v>90090</v>
      </c>
      <c r="L26" s="476">
        <f t="shared" si="39"/>
        <v>76830</v>
      </c>
      <c r="M26" s="476">
        <f t="shared" si="39"/>
        <v>99780</v>
      </c>
      <c r="N26" s="476">
        <f t="shared" si="39"/>
        <v>93210</v>
      </c>
      <c r="O26" s="476">
        <f t="shared" si="39"/>
        <v>87330</v>
      </c>
      <c r="P26" s="476">
        <f t="shared" si="39"/>
        <v>82290</v>
      </c>
      <c r="Q26" s="476">
        <f t="shared" si="39"/>
        <v>212550</v>
      </c>
      <c r="R26" s="476">
        <f t="shared" si="39"/>
        <v>182910</v>
      </c>
      <c r="S26" s="476">
        <f t="shared" si="39"/>
        <v>158310</v>
      </c>
      <c r="T26" s="476">
        <f t="shared" si="39"/>
        <v>137340</v>
      </c>
      <c r="U26" s="476">
        <f t="shared" si="39"/>
        <v>291660</v>
      </c>
      <c r="V26" s="476">
        <f t="shared" si="39"/>
        <v>255810</v>
      </c>
      <c r="W26" s="476">
        <f t="shared" si="39"/>
        <v>223800</v>
      </c>
      <c r="X26" s="476">
        <f t="shared" si="39"/>
        <v>195060</v>
      </c>
      <c r="Y26" s="476">
        <f t="shared" si="39"/>
        <v>216000</v>
      </c>
      <c r="Z26" s="476">
        <f t="shared" si="39"/>
        <v>191880</v>
      </c>
      <c r="AA26" s="476">
        <f t="shared" si="39"/>
        <v>171570</v>
      </c>
      <c r="AB26" s="476">
        <f t="shared" si="39"/>
        <v>154050</v>
      </c>
      <c r="AC26" s="476">
        <f t="shared" si="39"/>
        <v>547590</v>
      </c>
      <c r="AD26" s="476">
        <f t="shared" si="39"/>
        <v>475050</v>
      </c>
      <c r="AE26" s="476">
        <f t="shared" si="39"/>
        <v>412170</v>
      </c>
      <c r="AF26" s="476">
        <f t="shared" si="39"/>
        <v>357300</v>
      </c>
      <c r="AG26" s="476">
        <f t="shared" si="39"/>
        <v>751530</v>
      </c>
      <c r="AH26" s="476">
        <f t="shared" si="39"/>
        <v>652500</v>
      </c>
      <c r="AI26" s="476">
        <f t="shared" si="39"/>
        <v>567060</v>
      </c>
      <c r="AJ26" s="476">
        <f t="shared" si="39"/>
        <v>492930</v>
      </c>
      <c r="AK26" s="476">
        <f t="shared" si="39"/>
        <v>744570</v>
      </c>
      <c r="AL26" s="476">
        <f t="shared" si="39"/>
        <v>634200</v>
      </c>
      <c r="AM26" s="476">
        <f t="shared" si="39"/>
        <v>541770</v>
      </c>
      <c r="AN26" s="476">
        <f t="shared" si="39"/>
        <v>464460</v>
      </c>
      <c r="AO26" s="428"/>
      <c r="AP26" s="441"/>
    </row>
    <row r="27" spans="2:42" s="16" customFormat="1" ht="11.5" customHeight="1" x14ac:dyDescent="0.25">
      <c r="B27" s="19"/>
      <c r="C27" s="427" t="s">
        <v>711</v>
      </c>
      <c r="D27" s="426" t="s">
        <v>46</v>
      </c>
      <c r="E27" s="470">
        <f>E28*E29</f>
        <v>16230</v>
      </c>
      <c r="F27" s="470">
        <f t="shared" ref="F27" si="40">F28*F29</f>
        <v>16020</v>
      </c>
      <c r="G27" s="470">
        <f t="shared" ref="G27" si="41">G28*G29</f>
        <v>15360</v>
      </c>
      <c r="H27" s="470">
        <f t="shared" ref="H27" si="42">H28*H29</f>
        <v>14220</v>
      </c>
      <c r="I27" s="470">
        <f t="shared" ref="I27" si="43">I28*I29</f>
        <v>22680</v>
      </c>
      <c r="J27" s="470">
        <f t="shared" ref="J27" si="44">J28*J29</f>
        <v>32370</v>
      </c>
      <c r="K27" s="470">
        <f t="shared" ref="K27" si="45">K28*K29</f>
        <v>27720</v>
      </c>
      <c r="L27" s="470">
        <f t="shared" ref="L27" si="46">L28*L29</f>
        <v>23640</v>
      </c>
      <c r="M27" s="470">
        <f t="shared" ref="M27" si="47">M28*M29</f>
        <v>30660</v>
      </c>
      <c r="N27" s="470">
        <f t="shared" ref="N27" si="48">N28*N29</f>
        <v>28680</v>
      </c>
      <c r="O27" s="470">
        <f t="shared" ref="O27" si="49">O28*O29</f>
        <v>26850</v>
      </c>
      <c r="P27" s="470">
        <f t="shared" ref="P27" si="50">P28*P29</f>
        <v>25320</v>
      </c>
      <c r="Q27" s="470">
        <f t="shared" ref="Q27" si="51">Q28*Q29</f>
        <v>65400</v>
      </c>
      <c r="R27" s="470">
        <f t="shared" ref="R27" si="52">R28*R29</f>
        <v>56280</v>
      </c>
      <c r="S27" s="470">
        <f t="shared" ref="S27" si="53">S28*S29</f>
        <v>48690</v>
      </c>
      <c r="T27" s="470">
        <f t="shared" ref="T27" si="54">T28*T29</f>
        <v>42300</v>
      </c>
      <c r="U27" s="470">
        <f t="shared" ref="U27" si="55">U28*U29</f>
        <v>89700</v>
      </c>
      <c r="V27" s="470">
        <f t="shared" ref="V27" si="56">V28*V29</f>
        <v>78690</v>
      </c>
      <c r="W27" s="470">
        <f t="shared" ref="W27" si="57">W28*W29</f>
        <v>68820</v>
      </c>
      <c r="X27" s="470">
        <f t="shared" ref="X27" si="58">X28*X29</f>
        <v>60060</v>
      </c>
      <c r="Y27" s="470">
        <f t="shared" ref="Y27" si="59">Y28*Y29</f>
        <v>66420</v>
      </c>
      <c r="Z27" s="470">
        <f t="shared" ref="Z27" si="60">Z28*Z29</f>
        <v>59040</v>
      </c>
      <c r="AA27" s="470">
        <f t="shared" ref="AA27" si="61">AA28*AA29</f>
        <v>52770</v>
      </c>
      <c r="AB27" s="470">
        <f t="shared" ref="AB27" si="62">AB28*AB29</f>
        <v>47400</v>
      </c>
      <c r="AC27" s="470">
        <f t="shared" ref="AC27" si="63">AC28*AC29</f>
        <v>168510</v>
      </c>
      <c r="AD27" s="470">
        <f t="shared" ref="AD27" si="64">AD28*AD29</f>
        <v>146190</v>
      </c>
      <c r="AE27" s="470">
        <f t="shared" ref="AE27" si="65">AE28*AE29</f>
        <v>126780</v>
      </c>
      <c r="AF27" s="470">
        <f t="shared" ref="AF27" si="66">AF28*AF29</f>
        <v>109980</v>
      </c>
      <c r="AG27" s="470">
        <f t="shared" ref="AG27" si="67">AG28*AG29</f>
        <v>231240</v>
      </c>
      <c r="AH27" s="470">
        <f t="shared" ref="AH27" si="68">AH28*AH29</f>
        <v>200790</v>
      </c>
      <c r="AI27" s="470">
        <f t="shared" ref="AI27" si="69">AI28*AI29</f>
        <v>174480</v>
      </c>
      <c r="AJ27" s="470">
        <f t="shared" ref="AJ27" si="70">AJ28*AJ29</f>
        <v>151650</v>
      </c>
      <c r="AK27" s="470">
        <f t="shared" ref="AK27" si="71">AK28*AK29</f>
        <v>229140</v>
      </c>
      <c r="AL27" s="470">
        <f t="shared" ref="AL27" si="72">AL28*AL29</f>
        <v>195180</v>
      </c>
      <c r="AM27" s="470">
        <f t="shared" ref="AM27" si="73">AM28*AM29</f>
        <v>166740</v>
      </c>
      <c r="AN27" s="470">
        <f t="shared" ref="AN27" si="74">AN28*AN29</f>
        <v>142890</v>
      </c>
      <c r="AO27" s="450"/>
      <c r="AP27" s="427"/>
    </row>
    <row r="28" spans="2:42" ht="11.5" customHeight="1" x14ac:dyDescent="0.25">
      <c r="C28" s="428" t="s">
        <v>713</v>
      </c>
      <c r="D28" s="437" t="s">
        <v>162</v>
      </c>
      <c r="E28" s="414">
        <f>E94</f>
        <v>541</v>
      </c>
      <c r="F28" s="414">
        <f t="shared" ref="F28:AN28" si="75">F94</f>
        <v>534</v>
      </c>
      <c r="G28" s="414">
        <f t="shared" si="75"/>
        <v>512</v>
      </c>
      <c r="H28" s="414">
        <f t="shared" si="75"/>
        <v>474</v>
      </c>
      <c r="I28" s="414">
        <f t="shared" si="75"/>
        <v>756</v>
      </c>
      <c r="J28" s="414">
        <f t="shared" si="75"/>
        <v>1079</v>
      </c>
      <c r="K28" s="414">
        <f t="shared" si="75"/>
        <v>924</v>
      </c>
      <c r="L28" s="414">
        <f t="shared" si="75"/>
        <v>788</v>
      </c>
      <c r="M28" s="414">
        <f t="shared" si="75"/>
        <v>1022</v>
      </c>
      <c r="N28" s="414">
        <f t="shared" si="75"/>
        <v>956</v>
      </c>
      <c r="O28" s="414">
        <f t="shared" si="75"/>
        <v>895</v>
      </c>
      <c r="P28" s="414">
        <f t="shared" si="75"/>
        <v>844</v>
      </c>
      <c r="Q28" s="414">
        <f t="shared" si="75"/>
        <v>2180</v>
      </c>
      <c r="R28" s="414">
        <f t="shared" si="75"/>
        <v>1876</v>
      </c>
      <c r="S28" s="414">
        <f t="shared" si="75"/>
        <v>1623</v>
      </c>
      <c r="T28" s="414">
        <f t="shared" si="75"/>
        <v>1410</v>
      </c>
      <c r="U28" s="414">
        <f t="shared" si="75"/>
        <v>2990</v>
      </c>
      <c r="V28" s="414">
        <f t="shared" si="75"/>
        <v>2623</v>
      </c>
      <c r="W28" s="414">
        <f t="shared" si="75"/>
        <v>2294</v>
      </c>
      <c r="X28" s="414">
        <f t="shared" si="75"/>
        <v>2002</v>
      </c>
      <c r="Y28" s="414">
        <f t="shared" si="75"/>
        <v>2214</v>
      </c>
      <c r="Z28" s="414">
        <f t="shared" si="75"/>
        <v>1968</v>
      </c>
      <c r="AA28" s="414">
        <f t="shared" si="75"/>
        <v>1759</v>
      </c>
      <c r="AB28" s="414">
        <f t="shared" si="75"/>
        <v>1580</v>
      </c>
      <c r="AC28" s="414">
        <f t="shared" si="75"/>
        <v>5617</v>
      </c>
      <c r="AD28" s="414">
        <f t="shared" si="75"/>
        <v>4873</v>
      </c>
      <c r="AE28" s="414">
        <f t="shared" si="75"/>
        <v>4226</v>
      </c>
      <c r="AF28" s="414">
        <f t="shared" si="75"/>
        <v>3666</v>
      </c>
      <c r="AG28" s="414">
        <f t="shared" si="75"/>
        <v>7708</v>
      </c>
      <c r="AH28" s="414">
        <f t="shared" si="75"/>
        <v>6693</v>
      </c>
      <c r="AI28" s="414">
        <f t="shared" si="75"/>
        <v>5816</v>
      </c>
      <c r="AJ28" s="414">
        <f t="shared" si="75"/>
        <v>5055</v>
      </c>
      <c r="AK28" s="414">
        <f t="shared" si="75"/>
        <v>7638</v>
      </c>
      <c r="AL28" s="414">
        <f t="shared" si="75"/>
        <v>6506</v>
      </c>
      <c r="AM28" s="414">
        <f t="shared" si="75"/>
        <v>5558</v>
      </c>
      <c r="AN28" s="414">
        <f t="shared" si="75"/>
        <v>4763</v>
      </c>
      <c r="AO28" s="428"/>
      <c r="AP28" s="429"/>
    </row>
    <row r="29" spans="2:42" ht="11.5" customHeight="1" x14ac:dyDescent="0.25">
      <c r="C29" s="416" t="s">
        <v>714</v>
      </c>
      <c r="D29" s="434" t="s">
        <v>46</v>
      </c>
      <c r="E29" s="477">
        <f>'1.1 Control Panel'!E762</f>
        <v>30</v>
      </c>
      <c r="F29" s="477">
        <f>'1.1 Control Panel'!F762</f>
        <v>30</v>
      </c>
      <c r="G29" s="477">
        <f>'1.1 Control Panel'!G762</f>
        <v>30</v>
      </c>
      <c r="H29" s="477">
        <f>'1.1 Control Panel'!H762</f>
        <v>30</v>
      </c>
      <c r="I29" s="477">
        <f>'1.1 Control Panel'!I762</f>
        <v>30</v>
      </c>
      <c r="J29" s="477">
        <f>'1.1 Control Panel'!J762</f>
        <v>30</v>
      </c>
      <c r="K29" s="477">
        <f>'1.1 Control Panel'!K762</f>
        <v>30</v>
      </c>
      <c r="L29" s="477">
        <f>'1.1 Control Panel'!L762</f>
        <v>30</v>
      </c>
      <c r="M29" s="477">
        <f>'1.1 Control Panel'!M762</f>
        <v>30</v>
      </c>
      <c r="N29" s="477">
        <f>'1.1 Control Panel'!N762</f>
        <v>30</v>
      </c>
      <c r="O29" s="477">
        <f>'1.1 Control Panel'!O762</f>
        <v>30</v>
      </c>
      <c r="P29" s="477">
        <f>'1.1 Control Panel'!P762</f>
        <v>30</v>
      </c>
      <c r="Q29" s="477">
        <f>'1.1 Control Panel'!Q762</f>
        <v>30</v>
      </c>
      <c r="R29" s="477">
        <f>'1.1 Control Panel'!R762</f>
        <v>30</v>
      </c>
      <c r="S29" s="477">
        <f>'1.1 Control Panel'!S762</f>
        <v>30</v>
      </c>
      <c r="T29" s="477">
        <f>'1.1 Control Panel'!T762</f>
        <v>30</v>
      </c>
      <c r="U29" s="477">
        <f>'1.1 Control Panel'!U762</f>
        <v>30</v>
      </c>
      <c r="V29" s="477">
        <f>'1.1 Control Panel'!V762</f>
        <v>30</v>
      </c>
      <c r="W29" s="477">
        <f>'1.1 Control Panel'!W762</f>
        <v>30</v>
      </c>
      <c r="X29" s="477">
        <f>'1.1 Control Panel'!X762</f>
        <v>30</v>
      </c>
      <c r="Y29" s="477">
        <f>'1.1 Control Panel'!Y762</f>
        <v>30</v>
      </c>
      <c r="Z29" s="477">
        <f>'1.1 Control Panel'!Z762</f>
        <v>30</v>
      </c>
      <c r="AA29" s="477">
        <f>'1.1 Control Panel'!AA762</f>
        <v>30</v>
      </c>
      <c r="AB29" s="477">
        <f>'1.1 Control Panel'!AB762</f>
        <v>30</v>
      </c>
      <c r="AC29" s="477">
        <f>'1.1 Control Panel'!AC762</f>
        <v>30</v>
      </c>
      <c r="AD29" s="477">
        <f>'1.1 Control Panel'!AD762</f>
        <v>30</v>
      </c>
      <c r="AE29" s="477">
        <f>'1.1 Control Panel'!AE762</f>
        <v>30</v>
      </c>
      <c r="AF29" s="477">
        <f>'1.1 Control Panel'!AF762</f>
        <v>30</v>
      </c>
      <c r="AG29" s="477">
        <f>'1.1 Control Panel'!AG762</f>
        <v>30</v>
      </c>
      <c r="AH29" s="477">
        <f>'1.1 Control Panel'!AH762</f>
        <v>30</v>
      </c>
      <c r="AI29" s="477">
        <f>'1.1 Control Panel'!AI762</f>
        <v>30</v>
      </c>
      <c r="AJ29" s="477">
        <f>'1.1 Control Panel'!AJ762</f>
        <v>30</v>
      </c>
      <c r="AK29" s="477">
        <f>'1.1 Control Panel'!AK762</f>
        <v>30</v>
      </c>
      <c r="AL29" s="477">
        <f>'1.1 Control Panel'!AL762</f>
        <v>30</v>
      </c>
      <c r="AM29" s="477">
        <f>'1.1 Control Panel'!AM762</f>
        <v>30</v>
      </c>
      <c r="AN29" s="477">
        <f>'1.1 Control Panel'!AN762</f>
        <v>30</v>
      </c>
      <c r="AO29" s="428"/>
      <c r="AP29" s="416"/>
    </row>
    <row r="30" spans="2:42" ht="11.5" customHeight="1" x14ac:dyDescent="0.25">
      <c r="B30" s="19" t="s">
        <v>9</v>
      </c>
      <c r="C30" s="436" t="s">
        <v>712</v>
      </c>
      <c r="D30" s="435" t="s">
        <v>46</v>
      </c>
      <c r="E30" s="472">
        <f>E31*E32</f>
        <v>36450</v>
      </c>
      <c r="F30" s="472">
        <f t="shared" ref="F30" si="76">F31*F32</f>
        <v>35910</v>
      </c>
      <c r="G30" s="472">
        <f t="shared" ref="G30" si="77">G31*G32</f>
        <v>34560</v>
      </c>
      <c r="H30" s="472">
        <f t="shared" ref="H30" si="78">H31*H32</f>
        <v>31860</v>
      </c>
      <c r="I30" s="472">
        <f t="shared" ref="I30" si="79">I31*I32</f>
        <v>51030</v>
      </c>
      <c r="J30" s="472">
        <f t="shared" ref="J30" si="80">J31*J32</f>
        <v>72900</v>
      </c>
      <c r="K30" s="472">
        <f t="shared" ref="K30" si="81">K31*K32</f>
        <v>62370</v>
      </c>
      <c r="L30" s="472">
        <f t="shared" ref="L30" si="82">L31*L32</f>
        <v>53190</v>
      </c>
      <c r="M30" s="472">
        <f t="shared" ref="M30" si="83">M31*M32</f>
        <v>69120</v>
      </c>
      <c r="N30" s="472">
        <f t="shared" ref="N30" si="84">N31*N32</f>
        <v>64530</v>
      </c>
      <c r="O30" s="472">
        <f t="shared" ref="O30" si="85">O31*O32</f>
        <v>60480</v>
      </c>
      <c r="P30" s="472">
        <f t="shared" ref="P30" si="86">P31*P32</f>
        <v>56970</v>
      </c>
      <c r="Q30" s="472">
        <f t="shared" ref="Q30" si="87">Q31*Q32</f>
        <v>147150</v>
      </c>
      <c r="R30" s="472">
        <f t="shared" ref="R30" si="88">R31*R32</f>
        <v>126630</v>
      </c>
      <c r="S30" s="472">
        <f t="shared" ref="S30" si="89">S31*S32</f>
        <v>109620</v>
      </c>
      <c r="T30" s="472">
        <f t="shared" ref="T30" si="90">T31*T32</f>
        <v>95040</v>
      </c>
      <c r="U30" s="472">
        <f t="shared" ref="U30" si="91">U31*U32</f>
        <v>201960</v>
      </c>
      <c r="V30" s="472">
        <f t="shared" ref="V30" si="92">V31*V32</f>
        <v>177120</v>
      </c>
      <c r="W30" s="472">
        <f t="shared" ref="W30" si="93">W31*W32</f>
        <v>154980</v>
      </c>
      <c r="X30" s="472">
        <f t="shared" ref="X30" si="94">X31*X32</f>
        <v>135000</v>
      </c>
      <c r="Y30" s="472">
        <f t="shared" ref="Y30" si="95">Y31*Y32</f>
        <v>149580</v>
      </c>
      <c r="Z30" s="472">
        <f t="shared" ref="Z30" si="96">Z31*Z32</f>
        <v>132840</v>
      </c>
      <c r="AA30" s="472">
        <f t="shared" ref="AA30" si="97">AA31*AA32</f>
        <v>118800</v>
      </c>
      <c r="AB30" s="472">
        <f t="shared" ref="AB30" si="98">AB31*AB32</f>
        <v>106650</v>
      </c>
      <c r="AC30" s="472">
        <f t="shared" ref="AC30" si="99">AC31*AC32</f>
        <v>379080</v>
      </c>
      <c r="AD30" s="472">
        <f t="shared" ref="AD30" si="100">AD31*AD32</f>
        <v>328860</v>
      </c>
      <c r="AE30" s="472">
        <f t="shared" ref="AE30" si="101">AE31*AE32</f>
        <v>285390</v>
      </c>
      <c r="AF30" s="472">
        <f t="shared" ref="AF30" si="102">AF31*AF32</f>
        <v>247320</v>
      </c>
      <c r="AG30" s="472">
        <f t="shared" ref="AG30" si="103">AG31*AG32</f>
        <v>520290</v>
      </c>
      <c r="AH30" s="472">
        <f t="shared" ref="AH30" si="104">AH31*AH32</f>
        <v>451710</v>
      </c>
      <c r="AI30" s="472">
        <f t="shared" ref="AI30" si="105">AI31*AI32</f>
        <v>392580</v>
      </c>
      <c r="AJ30" s="472">
        <f t="shared" ref="AJ30" si="106">AJ31*AJ32</f>
        <v>341280</v>
      </c>
      <c r="AK30" s="472">
        <f t="shared" ref="AK30" si="107">AK31*AK32</f>
        <v>515430</v>
      </c>
      <c r="AL30" s="472">
        <f t="shared" ref="AL30" si="108">AL31*AL32</f>
        <v>439020</v>
      </c>
      <c r="AM30" s="472">
        <f t="shared" ref="AM30" si="109">AM31*AM32</f>
        <v>375030</v>
      </c>
      <c r="AN30" s="472">
        <f t="shared" ref="AN30" si="110">AN31*AN32</f>
        <v>321570</v>
      </c>
      <c r="AO30" s="428"/>
      <c r="AP30" s="436"/>
    </row>
    <row r="31" spans="2:42" ht="11.5" customHeight="1" x14ac:dyDescent="0.25">
      <c r="C31" s="428" t="s">
        <v>713</v>
      </c>
      <c r="D31" s="437" t="s">
        <v>162</v>
      </c>
      <c r="E31" s="471">
        <f>E95</f>
        <v>135</v>
      </c>
      <c r="F31" s="471">
        <f t="shared" ref="F31:AN31" si="111">F95</f>
        <v>133</v>
      </c>
      <c r="G31" s="471">
        <f t="shared" si="111"/>
        <v>128</v>
      </c>
      <c r="H31" s="471">
        <f t="shared" si="111"/>
        <v>118</v>
      </c>
      <c r="I31" s="471">
        <f t="shared" si="111"/>
        <v>189</v>
      </c>
      <c r="J31" s="471">
        <f t="shared" si="111"/>
        <v>270</v>
      </c>
      <c r="K31" s="471">
        <f t="shared" si="111"/>
        <v>231</v>
      </c>
      <c r="L31" s="471">
        <f t="shared" si="111"/>
        <v>197</v>
      </c>
      <c r="M31" s="471">
        <f t="shared" si="111"/>
        <v>256</v>
      </c>
      <c r="N31" s="471">
        <f t="shared" si="111"/>
        <v>239</v>
      </c>
      <c r="O31" s="471">
        <f t="shared" si="111"/>
        <v>224</v>
      </c>
      <c r="P31" s="471">
        <f t="shared" si="111"/>
        <v>211</v>
      </c>
      <c r="Q31" s="471">
        <f t="shared" si="111"/>
        <v>545</v>
      </c>
      <c r="R31" s="471">
        <f t="shared" si="111"/>
        <v>469</v>
      </c>
      <c r="S31" s="471">
        <f t="shared" si="111"/>
        <v>406</v>
      </c>
      <c r="T31" s="471">
        <f t="shared" si="111"/>
        <v>352</v>
      </c>
      <c r="U31" s="471">
        <f t="shared" si="111"/>
        <v>748</v>
      </c>
      <c r="V31" s="471">
        <f t="shared" si="111"/>
        <v>656</v>
      </c>
      <c r="W31" s="471">
        <f t="shared" si="111"/>
        <v>574</v>
      </c>
      <c r="X31" s="471">
        <f t="shared" si="111"/>
        <v>500</v>
      </c>
      <c r="Y31" s="471">
        <f t="shared" si="111"/>
        <v>554</v>
      </c>
      <c r="Z31" s="471">
        <f t="shared" si="111"/>
        <v>492</v>
      </c>
      <c r="AA31" s="471">
        <f t="shared" si="111"/>
        <v>440</v>
      </c>
      <c r="AB31" s="471">
        <f t="shared" si="111"/>
        <v>395</v>
      </c>
      <c r="AC31" s="471">
        <f t="shared" si="111"/>
        <v>1404</v>
      </c>
      <c r="AD31" s="471">
        <f t="shared" si="111"/>
        <v>1218</v>
      </c>
      <c r="AE31" s="471">
        <f t="shared" si="111"/>
        <v>1057</v>
      </c>
      <c r="AF31" s="471">
        <f t="shared" si="111"/>
        <v>916</v>
      </c>
      <c r="AG31" s="471">
        <f t="shared" si="111"/>
        <v>1927</v>
      </c>
      <c r="AH31" s="471">
        <f t="shared" si="111"/>
        <v>1673</v>
      </c>
      <c r="AI31" s="471">
        <f t="shared" si="111"/>
        <v>1454</v>
      </c>
      <c r="AJ31" s="471">
        <f t="shared" si="111"/>
        <v>1264</v>
      </c>
      <c r="AK31" s="471">
        <f t="shared" si="111"/>
        <v>1909</v>
      </c>
      <c r="AL31" s="471">
        <f t="shared" si="111"/>
        <v>1626</v>
      </c>
      <c r="AM31" s="471">
        <f t="shared" si="111"/>
        <v>1389</v>
      </c>
      <c r="AN31" s="471">
        <f t="shared" si="111"/>
        <v>1191</v>
      </c>
      <c r="AO31" s="428"/>
      <c r="AP31" s="428"/>
    </row>
    <row r="32" spans="2:42" ht="11.5" customHeight="1" x14ac:dyDescent="0.25">
      <c r="C32" s="432" t="s">
        <v>708</v>
      </c>
      <c r="D32" s="433" t="s">
        <v>46</v>
      </c>
      <c r="E32" s="478">
        <f>'1.1 Control Panel'!E763</f>
        <v>270</v>
      </c>
      <c r="F32" s="478">
        <f>'1.1 Control Panel'!F763</f>
        <v>270</v>
      </c>
      <c r="G32" s="478">
        <f>'1.1 Control Panel'!G763</f>
        <v>270</v>
      </c>
      <c r="H32" s="478">
        <f>'1.1 Control Panel'!H763</f>
        <v>270</v>
      </c>
      <c r="I32" s="478">
        <f>'1.1 Control Panel'!I763</f>
        <v>270</v>
      </c>
      <c r="J32" s="478">
        <f>'1.1 Control Panel'!J763</f>
        <v>270</v>
      </c>
      <c r="K32" s="478">
        <f>'1.1 Control Panel'!K763</f>
        <v>270</v>
      </c>
      <c r="L32" s="478">
        <f>'1.1 Control Panel'!L763</f>
        <v>270</v>
      </c>
      <c r="M32" s="478">
        <f>'1.1 Control Panel'!M763</f>
        <v>270</v>
      </c>
      <c r="N32" s="478">
        <f>'1.1 Control Panel'!N763</f>
        <v>270</v>
      </c>
      <c r="O32" s="478">
        <f>'1.1 Control Panel'!O763</f>
        <v>270</v>
      </c>
      <c r="P32" s="478">
        <f>'1.1 Control Panel'!P763</f>
        <v>270</v>
      </c>
      <c r="Q32" s="478">
        <f>'1.1 Control Panel'!Q763</f>
        <v>270</v>
      </c>
      <c r="R32" s="478">
        <f>'1.1 Control Panel'!R763</f>
        <v>270</v>
      </c>
      <c r="S32" s="478">
        <f>'1.1 Control Panel'!S763</f>
        <v>270</v>
      </c>
      <c r="T32" s="478">
        <f>'1.1 Control Panel'!T763</f>
        <v>270</v>
      </c>
      <c r="U32" s="478">
        <f>'1.1 Control Panel'!U763</f>
        <v>270</v>
      </c>
      <c r="V32" s="478">
        <f>'1.1 Control Panel'!V763</f>
        <v>270</v>
      </c>
      <c r="W32" s="478">
        <f>'1.1 Control Panel'!W763</f>
        <v>270</v>
      </c>
      <c r="X32" s="478">
        <f>'1.1 Control Panel'!X763</f>
        <v>270</v>
      </c>
      <c r="Y32" s="478">
        <f>'1.1 Control Panel'!Y763</f>
        <v>270</v>
      </c>
      <c r="Z32" s="478">
        <f>'1.1 Control Panel'!Z763</f>
        <v>270</v>
      </c>
      <c r="AA32" s="478">
        <f>'1.1 Control Panel'!AA763</f>
        <v>270</v>
      </c>
      <c r="AB32" s="478">
        <f>'1.1 Control Panel'!AB763</f>
        <v>270</v>
      </c>
      <c r="AC32" s="478">
        <f>'1.1 Control Panel'!AC763</f>
        <v>270</v>
      </c>
      <c r="AD32" s="478">
        <f>'1.1 Control Panel'!AD763</f>
        <v>270</v>
      </c>
      <c r="AE32" s="478">
        <f>'1.1 Control Panel'!AE763</f>
        <v>270</v>
      </c>
      <c r="AF32" s="478">
        <f>'1.1 Control Panel'!AF763</f>
        <v>270</v>
      </c>
      <c r="AG32" s="478">
        <f>'1.1 Control Panel'!AG763</f>
        <v>270</v>
      </c>
      <c r="AH32" s="478">
        <f>'1.1 Control Panel'!AH763</f>
        <v>270</v>
      </c>
      <c r="AI32" s="478">
        <f>'1.1 Control Panel'!AI763</f>
        <v>270</v>
      </c>
      <c r="AJ32" s="478">
        <f>'1.1 Control Panel'!AJ763</f>
        <v>270</v>
      </c>
      <c r="AK32" s="478">
        <f>'1.1 Control Panel'!AK763</f>
        <v>270</v>
      </c>
      <c r="AL32" s="478">
        <f>'1.1 Control Panel'!AL763</f>
        <v>270</v>
      </c>
      <c r="AM32" s="478">
        <f>'1.1 Control Panel'!AM763</f>
        <v>270</v>
      </c>
      <c r="AN32" s="478">
        <f>'1.1 Control Panel'!AN763</f>
        <v>270</v>
      </c>
      <c r="AO32" s="428"/>
      <c r="AP32" s="432"/>
    </row>
    <row r="33" spans="2:42" ht="11.5" customHeight="1" x14ac:dyDescent="0.25">
      <c r="C33" s="459" t="s">
        <v>681</v>
      </c>
      <c r="D33" s="460" t="s">
        <v>46</v>
      </c>
      <c r="E33" s="473">
        <f>E34+E41</f>
        <v>109378</v>
      </c>
      <c r="F33" s="473">
        <f t="shared" ref="F33:AN33" si="112">F34+F41</f>
        <v>106409</v>
      </c>
      <c r="G33" s="473">
        <f t="shared" si="112"/>
        <v>103371</v>
      </c>
      <c r="H33" s="473">
        <f t="shared" si="112"/>
        <v>95726</v>
      </c>
      <c r="I33" s="473">
        <f t="shared" si="112"/>
        <v>151984</v>
      </c>
      <c r="J33" s="473">
        <f t="shared" si="112"/>
        <v>216556</v>
      </c>
      <c r="K33" s="473">
        <f t="shared" si="112"/>
        <v>184414</v>
      </c>
      <c r="L33" s="473">
        <f t="shared" si="112"/>
        <v>158710</v>
      </c>
      <c r="M33" s="473">
        <f t="shared" si="112"/>
        <v>206411</v>
      </c>
      <c r="N33" s="473">
        <f t="shared" si="112"/>
        <v>193028</v>
      </c>
      <c r="O33" s="473">
        <f t="shared" si="112"/>
        <v>182683</v>
      </c>
      <c r="P33" s="473">
        <f t="shared" si="112"/>
        <v>171638</v>
      </c>
      <c r="Q33" s="473">
        <f t="shared" si="112"/>
        <v>441152</v>
      </c>
      <c r="R33" s="473">
        <f t="shared" si="112"/>
        <v>379349</v>
      </c>
      <c r="S33" s="473">
        <f t="shared" si="112"/>
        <v>329098</v>
      </c>
      <c r="T33" s="473">
        <f t="shared" si="112"/>
        <v>286204</v>
      </c>
      <c r="U33" s="473">
        <f t="shared" si="112"/>
        <v>607514</v>
      </c>
      <c r="V33" s="473">
        <f t="shared" si="112"/>
        <v>532478</v>
      </c>
      <c r="W33" s="473">
        <f t="shared" si="112"/>
        <v>465149</v>
      </c>
      <c r="X33" s="473">
        <f t="shared" si="112"/>
        <v>405253</v>
      </c>
      <c r="Y33" s="473">
        <f t="shared" si="112"/>
        <v>451704</v>
      </c>
      <c r="Z33" s="473">
        <f t="shared" si="112"/>
        <v>400484</v>
      </c>
      <c r="AA33" s="473">
        <f t="shared" si="112"/>
        <v>358409</v>
      </c>
      <c r="AB33" s="473">
        <f t="shared" si="112"/>
        <v>321191</v>
      </c>
      <c r="AC33" s="473">
        <f t="shared" si="112"/>
        <v>1151384</v>
      </c>
      <c r="AD33" s="473">
        <f t="shared" si="112"/>
        <v>996686</v>
      </c>
      <c r="AE33" s="473">
        <f t="shared" si="112"/>
        <v>865266</v>
      </c>
      <c r="AF33" s="473">
        <f t="shared" si="112"/>
        <v>749005</v>
      </c>
      <c r="AG33" s="473">
        <f t="shared" si="112"/>
        <v>1584519</v>
      </c>
      <c r="AH33" s="473">
        <f t="shared" si="112"/>
        <v>1374237</v>
      </c>
      <c r="AI33" s="473">
        <f t="shared" si="112"/>
        <v>1192097</v>
      </c>
      <c r="AJ33" s="473">
        <f t="shared" si="112"/>
        <v>1034742</v>
      </c>
      <c r="AK33" s="473">
        <f t="shared" si="112"/>
        <v>1573050</v>
      </c>
      <c r="AL33" s="473">
        <f t="shared" si="112"/>
        <v>1339433</v>
      </c>
      <c r="AM33" s="473">
        <f t="shared" si="112"/>
        <v>1143441</v>
      </c>
      <c r="AN33" s="473">
        <f t="shared" si="112"/>
        <v>978791</v>
      </c>
      <c r="AO33" s="462"/>
      <c r="AP33" s="461"/>
    </row>
    <row r="34" spans="2:42" ht="11.5" customHeight="1" x14ac:dyDescent="0.25">
      <c r="B34" s="19" t="s">
        <v>9</v>
      </c>
      <c r="C34" s="438" t="s">
        <v>731</v>
      </c>
      <c r="D34" s="475" t="s">
        <v>46</v>
      </c>
      <c r="E34" s="476">
        <f>E35+E38</f>
        <v>35278</v>
      </c>
      <c r="F34" s="476">
        <f t="shared" ref="F34" si="113">F35+F38</f>
        <v>33559</v>
      </c>
      <c r="G34" s="476">
        <f t="shared" ref="G34" si="114">G35+G38</f>
        <v>33221</v>
      </c>
      <c r="H34" s="476">
        <f t="shared" ref="H34" si="115">H35+H38</f>
        <v>30826</v>
      </c>
      <c r="I34" s="476">
        <f t="shared" ref="I34" si="116">I35+I38</f>
        <v>48634</v>
      </c>
      <c r="J34" s="476">
        <f t="shared" ref="J34" si="117">J35+J38</f>
        <v>69006</v>
      </c>
      <c r="K34" s="476">
        <f t="shared" ref="K34" si="118">K35+K38</f>
        <v>58214</v>
      </c>
      <c r="L34" s="476">
        <f t="shared" ref="L34" si="119">L35+L38</f>
        <v>50860</v>
      </c>
      <c r="M34" s="476">
        <f t="shared" ref="M34" si="120">M35+M38</f>
        <v>66611</v>
      </c>
      <c r="N34" s="476">
        <f t="shared" ref="N34" si="121">N35+N38</f>
        <v>62328</v>
      </c>
      <c r="O34" s="476">
        <f t="shared" ref="O34" si="122">O35+O38</f>
        <v>59933</v>
      </c>
      <c r="P34" s="476">
        <f t="shared" ref="P34" si="123">P35+P38</f>
        <v>55988</v>
      </c>
      <c r="Q34" s="476">
        <f t="shared" ref="Q34" si="124">Q35+Q38</f>
        <v>142802</v>
      </c>
      <c r="R34" s="476">
        <f t="shared" ref="R34" si="125">R35+R38</f>
        <v>122599</v>
      </c>
      <c r="S34" s="476">
        <f t="shared" ref="S34" si="126">S35+S38</f>
        <v>106848</v>
      </c>
      <c r="T34" s="476">
        <f t="shared" ref="T34" si="127">T35+T38</f>
        <v>93154</v>
      </c>
      <c r="U34" s="476">
        <f t="shared" ref="U34" si="128">U35+U38</f>
        <v>198114</v>
      </c>
      <c r="V34" s="476">
        <f t="shared" ref="V34" si="129">V35+V38</f>
        <v>173628</v>
      </c>
      <c r="W34" s="476">
        <f t="shared" ref="W34" si="130">W35+W38</f>
        <v>151199</v>
      </c>
      <c r="X34" s="476">
        <f t="shared" ref="X34" si="131">X35+X38</f>
        <v>131503</v>
      </c>
      <c r="Y34" s="476">
        <f t="shared" ref="Y34" si="132">Y35+Y38</f>
        <v>148804</v>
      </c>
      <c r="Z34" s="476">
        <f t="shared" ref="Z34" si="133">Z35+Z38</f>
        <v>131334</v>
      </c>
      <c r="AA34" s="476">
        <f t="shared" ref="AA34" si="134">AA35+AA38</f>
        <v>117809</v>
      </c>
      <c r="AB34" s="476">
        <f t="shared" ref="AB34" si="135">AB35+AB38</f>
        <v>104791</v>
      </c>
      <c r="AC34" s="476">
        <f t="shared" ref="AC34" si="136">AC35+AC38</f>
        <v>382534</v>
      </c>
      <c r="AD34" s="476">
        <f t="shared" ref="AD34" si="137">AD35+AD38</f>
        <v>329786</v>
      </c>
      <c r="AE34" s="476">
        <f t="shared" ref="AE34" si="138">AE35+AE38</f>
        <v>286816</v>
      </c>
      <c r="AF34" s="476">
        <f t="shared" ref="AF34" si="139">AF35+AF38</f>
        <v>247255</v>
      </c>
      <c r="AG34" s="476">
        <f t="shared" ref="AG34" si="140">AG35+AG38</f>
        <v>529619</v>
      </c>
      <c r="AH34" s="476">
        <f t="shared" ref="AH34" si="141">AH35+AH38</f>
        <v>458387</v>
      </c>
      <c r="AI34" s="476">
        <f t="shared" ref="AI34" si="142">AI35+AI38</f>
        <v>396397</v>
      </c>
      <c r="AJ34" s="476">
        <f t="shared" ref="AJ34" si="143">AJ35+AJ38</f>
        <v>343142</v>
      </c>
      <c r="AK34" s="476">
        <f t="shared" ref="AK34" si="144">AK35+AK38</f>
        <v>527900</v>
      </c>
      <c r="AL34" s="476">
        <f t="shared" ref="AL34" si="145">AL35+AL38</f>
        <v>449483</v>
      </c>
      <c r="AM34" s="476">
        <f t="shared" ref="AM34" si="146">AM35+AM38</f>
        <v>383041</v>
      </c>
      <c r="AN34" s="476">
        <f t="shared" ref="AN34" si="147">AN35+AN38</f>
        <v>327391</v>
      </c>
      <c r="AO34" s="428"/>
      <c r="AP34" s="441"/>
    </row>
    <row r="35" spans="2:42" s="16" customFormat="1" ht="11.5" customHeight="1" x14ac:dyDescent="0.25">
      <c r="B35" s="19"/>
      <c r="C35" s="427" t="s">
        <v>711</v>
      </c>
      <c r="D35" s="426" t="s">
        <v>46</v>
      </c>
      <c r="E35" s="470">
        <f>E36*E37</f>
        <v>10478</v>
      </c>
      <c r="F35" s="470">
        <f t="shared" ref="F35:AN35" si="148">F36*F37</f>
        <v>10309</v>
      </c>
      <c r="G35" s="470">
        <f t="shared" si="148"/>
        <v>9971</v>
      </c>
      <c r="H35" s="470">
        <f t="shared" si="148"/>
        <v>9126</v>
      </c>
      <c r="I35" s="470">
        <f t="shared" si="148"/>
        <v>14534</v>
      </c>
      <c r="J35" s="470">
        <f t="shared" si="148"/>
        <v>20956</v>
      </c>
      <c r="K35" s="470">
        <f t="shared" si="148"/>
        <v>17914</v>
      </c>
      <c r="L35" s="470">
        <f t="shared" si="148"/>
        <v>15210</v>
      </c>
      <c r="M35" s="470">
        <f t="shared" si="148"/>
        <v>20111</v>
      </c>
      <c r="N35" s="470">
        <f t="shared" si="148"/>
        <v>18928</v>
      </c>
      <c r="O35" s="470">
        <f t="shared" si="148"/>
        <v>18083</v>
      </c>
      <c r="P35" s="470">
        <f t="shared" si="148"/>
        <v>17238</v>
      </c>
      <c r="Q35" s="470">
        <f t="shared" si="148"/>
        <v>43602</v>
      </c>
      <c r="R35" s="470">
        <f t="shared" si="148"/>
        <v>37349</v>
      </c>
      <c r="S35" s="470">
        <f t="shared" si="148"/>
        <v>32448</v>
      </c>
      <c r="T35" s="470">
        <f t="shared" si="148"/>
        <v>28054</v>
      </c>
      <c r="U35" s="470">
        <f t="shared" si="148"/>
        <v>60164</v>
      </c>
      <c r="V35" s="470">
        <f t="shared" si="148"/>
        <v>52728</v>
      </c>
      <c r="W35" s="470">
        <f t="shared" si="148"/>
        <v>45799</v>
      </c>
      <c r="X35" s="470">
        <f t="shared" si="148"/>
        <v>40053</v>
      </c>
      <c r="Y35" s="470">
        <f t="shared" si="148"/>
        <v>44954</v>
      </c>
      <c r="Z35" s="470">
        <f t="shared" si="148"/>
        <v>39884</v>
      </c>
      <c r="AA35" s="470">
        <f t="shared" si="148"/>
        <v>35659</v>
      </c>
      <c r="AB35" s="470">
        <f t="shared" si="148"/>
        <v>31941</v>
      </c>
      <c r="AC35" s="470">
        <f t="shared" si="148"/>
        <v>115934</v>
      </c>
      <c r="AD35" s="470">
        <f t="shared" si="148"/>
        <v>100386</v>
      </c>
      <c r="AE35" s="470">
        <f t="shared" si="148"/>
        <v>86866</v>
      </c>
      <c r="AF35" s="470">
        <f t="shared" si="148"/>
        <v>75205</v>
      </c>
      <c r="AG35" s="470">
        <f t="shared" si="148"/>
        <v>160719</v>
      </c>
      <c r="AH35" s="470">
        <f t="shared" si="148"/>
        <v>139087</v>
      </c>
      <c r="AI35" s="470">
        <f t="shared" si="148"/>
        <v>120497</v>
      </c>
      <c r="AJ35" s="470">
        <f t="shared" si="148"/>
        <v>104442</v>
      </c>
      <c r="AK35" s="470">
        <f t="shared" si="148"/>
        <v>160550</v>
      </c>
      <c r="AL35" s="470">
        <f t="shared" si="148"/>
        <v>136383</v>
      </c>
      <c r="AM35" s="470">
        <f t="shared" si="148"/>
        <v>116441</v>
      </c>
      <c r="AN35" s="470">
        <f t="shared" si="148"/>
        <v>99541</v>
      </c>
      <c r="AO35" s="450"/>
      <c r="AP35" s="427"/>
    </row>
    <row r="36" spans="2:42" ht="11.5" customHeight="1" x14ac:dyDescent="0.25">
      <c r="C36" s="428" t="s">
        <v>713</v>
      </c>
      <c r="D36" s="437" t="s">
        <v>162</v>
      </c>
      <c r="E36" s="414">
        <f>E75</f>
        <v>62</v>
      </c>
      <c r="F36" s="414">
        <f t="shared" ref="F36:AN36" si="149">F75</f>
        <v>61</v>
      </c>
      <c r="G36" s="414">
        <f t="shared" si="149"/>
        <v>59</v>
      </c>
      <c r="H36" s="414">
        <f t="shared" si="149"/>
        <v>54</v>
      </c>
      <c r="I36" s="414">
        <f t="shared" si="149"/>
        <v>86</v>
      </c>
      <c r="J36" s="414">
        <f t="shared" si="149"/>
        <v>124</v>
      </c>
      <c r="K36" s="414">
        <f t="shared" si="149"/>
        <v>106</v>
      </c>
      <c r="L36" s="414">
        <f t="shared" si="149"/>
        <v>90</v>
      </c>
      <c r="M36" s="414">
        <f t="shared" si="149"/>
        <v>119</v>
      </c>
      <c r="N36" s="414">
        <f t="shared" si="149"/>
        <v>112</v>
      </c>
      <c r="O36" s="414">
        <f t="shared" si="149"/>
        <v>107</v>
      </c>
      <c r="P36" s="414">
        <f t="shared" si="149"/>
        <v>102</v>
      </c>
      <c r="Q36" s="414">
        <f t="shared" si="149"/>
        <v>258</v>
      </c>
      <c r="R36" s="414">
        <f t="shared" si="149"/>
        <v>221</v>
      </c>
      <c r="S36" s="414">
        <f t="shared" si="149"/>
        <v>192</v>
      </c>
      <c r="T36" s="414">
        <f t="shared" si="149"/>
        <v>166</v>
      </c>
      <c r="U36" s="414">
        <f t="shared" si="149"/>
        <v>356</v>
      </c>
      <c r="V36" s="414">
        <f t="shared" si="149"/>
        <v>312</v>
      </c>
      <c r="W36" s="414">
        <f t="shared" si="149"/>
        <v>271</v>
      </c>
      <c r="X36" s="414">
        <f t="shared" si="149"/>
        <v>237</v>
      </c>
      <c r="Y36" s="414">
        <f t="shared" si="149"/>
        <v>266</v>
      </c>
      <c r="Z36" s="414">
        <f t="shared" si="149"/>
        <v>236</v>
      </c>
      <c r="AA36" s="414">
        <f t="shared" si="149"/>
        <v>211</v>
      </c>
      <c r="AB36" s="414">
        <f t="shared" si="149"/>
        <v>189</v>
      </c>
      <c r="AC36" s="414">
        <f t="shared" si="149"/>
        <v>686</v>
      </c>
      <c r="AD36" s="414">
        <f t="shared" si="149"/>
        <v>594</v>
      </c>
      <c r="AE36" s="414">
        <f t="shared" si="149"/>
        <v>514</v>
      </c>
      <c r="AF36" s="414">
        <f t="shared" si="149"/>
        <v>445</v>
      </c>
      <c r="AG36" s="414">
        <f t="shared" si="149"/>
        <v>951</v>
      </c>
      <c r="AH36" s="414">
        <f t="shared" si="149"/>
        <v>823</v>
      </c>
      <c r="AI36" s="414">
        <f t="shared" si="149"/>
        <v>713</v>
      </c>
      <c r="AJ36" s="414">
        <f t="shared" si="149"/>
        <v>618</v>
      </c>
      <c r="AK36" s="414">
        <f t="shared" si="149"/>
        <v>950</v>
      </c>
      <c r="AL36" s="414">
        <f t="shared" si="149"/>
        <v>807</v>
      </c>
      <c r="AM36" s="414">
        <f t="shared" si="149"/>
        <v>689</v>
      </c>
      <c r="AN36" s="414">
        <f t="shared" si="149"/>
        <v>589</v>
      </c>
      <c r="AO36" s="428"/>
      <c r="AP36" s="429"/>
    </row>
    <row r="37" spans="2:42" ht="11.5" customHeight="1" x14ac:dyDescent="0.25">
      <c r="C37" s="416" t="s">
        <v>714</v>
      </c>
      <c r="D37" s="434" t="s">
        <v>46</v>
      </c>
      <c r="E37" s="477">
        <f>'1.1 Control Panel'!E720</f>
        <v>169</v>
      </c>
      <c r="F37" s="477">
        <f>'1.1 Control Panel'!F720</f>
        <v>169</v>
      </c>
      <c r="G37" s="477">
        <f>'1.1 Control Panel'!G720</f>
        <v>169</v>
      </c>
      <c r="H37" s="477">
        <f>'1.1 Control Panel'!H720</f>
        <v>169</v>
      </c>
      <c r="I37" s="477">
        <f>'1.1 Control Panel'!I720</f>
        <v>169</v>
      </c>
      <c r="J37" s="477">
        <f>'1.1 Control Panel'!J720</f>
        <v>169</v>
      </c>
      <c r="K37" s="477">
        <f>'1.1 Control Panel'!K720</f>
        <v>169</v>
      </c>
      <c r="L37" s="477">
        <f>'1.1 Control Panel'!L720</f>
        <v>169</v>
      </c>
      <c r="M37" s="477">
        <f>'1.1 Control Panel'!M720</f>
        <v>169</v>
      </c>
      <c r="N37" s="477">
        <f>'1.1 Control Panel'!N720</f>
        <v>169</v>
      </c>
      <c r="O37" s="477">
        <f>'1.1 Control Panel'!O720</f>
        <v>169</v>
      </c>
      <c r="P37" s="477">
        <f>'1.1 Control Panel'!P720</f>
        <v>169</v>
      </c>
      <c r="Q37" s="477">
        <f>'1.1 Control Panel'!Q720</f>
        <v>169</v>
      </c>
      <c r="R37" s="477">
        <f>'1.1 Control Panel'!R720</f>
        <v>169</v>
      </c>
      <c r="S37" s="477">
        <f>'1.1 Control Panel'!S720</f>
        <v>169</v>
      </c>
      <c r="T37" s="477">
        <f>'1.1 Control Panel'!T720</f>
        <v>169</v>
      </c>
      <c r="U37" s="477">
        <f>'1.1 Control Panel'!U720</f>
        <v>169</v>
      </c>
      <c r="V37" s="477">
        <f>'1.1 Control Panel'!V720</f>
        <v>169</v>
      </c>
      <c r="W37" s="477">
        <f>'1.1 Control Panel'!W720</f>
        <v>169</v>
      </c>
      <c r="X37" s="477">
        <f>'1.1 Control Panel'!X720</f>
        <v>169</v>
      </c>
      <c r="Y37" s="477">
        <f>'1.1 Control Panel'!Y720</f>
        <v>169</v>
      </c>
      <c r="Z37" s="477">
        <f>'1.1 Control Panel'!Z720</f>
        <v>169</v>
      </c>
      <c r="AA37" s="477">
        <f>'1.1 Control Panel'!AA720</f>
        <v>169</v>
      </c>
      <c r="AB37" s="477">
        <f>'1.1 Control Panel'!AB720</f>
        <v>169</v>
      </c>
      <c r="AC37" s="477">
        <f>'1.1 Control Panel'!AC720</f>
        <v>169</v>
      </c>
      <c r="AD37" s="477">
        <f>'1.1 Control Panel'!AD720</f>
        <v>169</v>
      </c>
      <c r="AE37" s="477">
        <f>'1.1 Control Panel'!AE720</f>
        <v>169</v>
      </c>
      <c r="AF37" s="477">
        <f>'1.1 Control Panel'!AF720</f>
        <v>169</v>
      </c>
      <c r="AG37" s="477">
        <f>'1.1 Control Panel'!AG720</f>
        <v>169</v>
      </c>
      <c r="AH37" s="477">
        <f>'1.1 Control Panel'!AH720</f>
        <v>169</v>
      </c>
      <c r="AI37" s="477">
        <f>'1.1 Control Panel'!AI720</f>
        <v>169</v>
      </c>
      <c r="AJ37" s="477">
        <f>'1.1 Control Panel'!AJ720</f>
        <v>169</v>
      </c>
      <c r="AK37" s="477">
        <f>'1.1 Control Panel'!AK720</f>
        <v>169</v>
      </c>
      <c r="AL37" s="477">
        <f>'1.1 Control Panel'!AL720</f>
        <v>169</v>
      </c>
      <c r="AM37" s="477">
        <f>'1.1 Control Panel'!AM720</f>
        <v>169</v>
      </c>
      <c r="AN37" s="477">
        <f>'1.1 Control Panel'!AN720</f>
        <v>169</v>
      </c>
      <c r="AO37" s="428"/>
      <c r="AP37" s="416"/>
    </row>
    <row r="38" spans="2:42" ht="11.5" customHeight="1" x14ac:dyDescent="0.25">
      <c r="B38" s="19" t="s">
        <v>9</v>
      </c>
      <c r="C38" s="436" t="s">
        <v>712</v>
      </c>
      <c r="D38" s="435" t="s">
        <v>46</v>
      </c>
      <c r="E38" s="472">
        <f>E39*E40</f>
        <v>24800</v>
      </c>
      <c r="F38" s="472">
        <f t="shared" ref="F38:AN38" si="150">F39*F40</f>
        <v>23250</v>
      </c>
      <c r="G38" s="472">
        <f t="shared" si="150"/>
        <v>23250</v>
      </c>
      <c r="H38" s="472">
        <f t="shared" si="150"/>
        <v>21700</v>
      </c>
      <c r="I38" s="472">
        <f t="shared" si="150"/>
        <v>34100</v>
      </c>
      <c r="J38" s="472">
        <f t="shared" si="150"/>
        <v>48050</v>
      </c>
      <c r="K38" s="472">
        <f t="shared" si="150"/>
        <v>40300</v>
      </c>
      <c r="L38" s="472">
        <f t="shared" si="150"/>
        <v>35650</v>
      </c>
      <c r="M38" s="472">
        <f t="shared" si="150"/>
        <v>46500</v>
      </c>
      <c r="N38" s="472">
        <f t="shared" si="150"/>
        <v>43400</v>
      </c>
      <c r="O38" s="472">
        <f t="shared" si="150"/>
        <v>41850</v>
      </c>
      <c r="P38" s="472">
        <f t="shared" si="150"/>
        <v>38750</v>
      </c>
      <c r="Q38" s="472">
        <f t="shared" si="150"/>
        <v>99200</v>
      </c>
      <c r="R38" s="472">
        <f t="shared" si="150"/>
        <v>85250</v>
      </c>
      <c r="S38" s="472">
        <f t="shared" si="150"/>
        <v>74400</v>
      </c>
      <c r="T38" s="472">
        <f t="shared" si="150"/>
        <v>65100</v>
      </c>
      <c r="U38" s="472">
        <f t="shared" si="150"/>
        <v>137950</v>
      </c>
      <c r="V38" s="472">
        <f t="shared" si="150"/>
        <v>120900</v>
      </c>
      <c r="W38" s="472">
        <f t="shared" si="150"/>
        <v>105400</v>
      </c>
      <c r="X38" s="472">
        <f t="shared" si="150"/>
        <v>91450</v>
      </c>
      <c r="Y38" s="472">
        <f t="shared" si="150"/>
        <v>103850</v>
      </c>
      <c r="Z38" s="472">
        <f t="shared" si="150"/>
        <v>91450</v>
      </c>
      <c r="AA38" s="472">
        <f t="shared" si="150"/>
        <v>82150</v>
      </c>
      <c r="AB38" s="472">
        <f t="shared" si="150"/>
        <v>72850</v>
      </c>
      <c r="AC38" s="472">
        <f t="shared" si="150"/>
        <v>266600</v>
      </c>
      <c r="AD38" s="472">
        <f t="shared" si="150"/>
        <v>229400</v>
      </c>
      <c r="AE38" s="472">
        <f t="shared" si="150"/>
        <v>199950</v>
      </c>
      <c r="AF38" s="472">
        <f t="shared" si="150"/>
        <v>172050</v>
      </c>
      <c r="AG38" s="472">
        <f t="shared" si="150"/>
        <v>368900</v>
      </c>
      <c r="AH38" s="472">
        <f t="shared" si="150"/>
        <v>319300</v>
      </c>
      <c r="AI38" s="472">
        <f t="shared" si="150"/>
        <v>275900</v>
      </c>
      <c r="AJ38" s="472">
        <f t="shared" si="150"/>
        <v>238700</v>
      </c>
      <c r="AK38" s="472">
        <f t="shared" si="150"/>
        <v>367350</v>
      </c>
      <c r="AL38" s="472">
        <f t="shared" si="150"/>
        <v>313100</v>
      </c>
      <c r="AM38" s="472">
        <f t="shared" si="150"/>
        <v>266600</v>
      </c>
      <c r="AN38" s="472">
        <f t="shared" si="150"/>
        <v>227850</v>
      </c>
      <c r="AO38" s="428"/>
      <c r="AP38" s="436"/>
    </row>
    <row r="39" spans="2:42" ht="11.5" customHeight="1" x14ac:dyDescent="0.25">
      <c r="C39" s="428" t="s">
        <v>713</v>
      </c>
      <c r="D39" s="437" t="s">
        <v>162</v>
      </c>
      <c r="E39" s="471">
        <f>E76</f>
        <v>16</v>
      </c>
      <c r="F39" s="471">
        <f t="shared" ref="F39:AN39" si="151">F76</f>
        <v>15</v>
      </c>
      <c r="G39" s="471">
        <f t="shared" si="151"/>
        <v>15</v>
      </c>
      <c r="H39" s="471">
        <f t="shared" si="151"/>
        <v>14</v>
      </c>
      <c r="I39" s="471">
        <f t="shared" si="151"/>
        <v>22</v>
      </c>
      <c r="J39" s="471">
        <f t="shared" si="151"/>
        <v>31</v>
      </c>
      <c r="K39" s="471">
        <f t="shared" si="151"/>
        <v>26</v>
      </c>
      <c r="L39" s="471">
        <f t="shared" si="151"/>
        <v>23</v>
      </c>
      <c r="M39" s="471">
        <f t="shared" si="151"/>
        <v>30</v>
      </c>
      <c r="N39" s="471">
        <f t="shared" si="151"/>
        <v>28</v>
      </c>
      <c r="O39" s="471">
        <f t="shared" si="151"/>
        <v>27</v>
      </c>
      <c r="P39" s="471">
        <f t="shared" si="151"/>
        <v>25</v>
      </c>
      <c r="Q39" s="471">
        <f t="shared" si="151"/>
        <v>64</v>
      </c>
      <c r="R39" s="471">
        <f t="shared" si="151"/>
        <v>55</v>
      </c>
      <c r="S39" s="471">
        <f t="shared" si="151"/>
        <v>48</v>
      </c>
      <c r="T39" s="471">
        <f t="shared" si="151"/>
        <v>42</v>
      </c>
      <c r="U39" s="471">
        <f t="shared" si="151"/>
        <v>89</v>
      </c>
      <c r="V39" s="471">
        <f t="shared" si="151"/>
        <v>78</v>
      </c>
      <c r="W39" s="471">
        <f t="shared" si="151"/>
        <v>68</v>
      </c>
      <c r="X39" s="471">
        <f t="shared" si="151"/>
        <v>59</v>
      </c>
      <c r="Y39" s="471">
        <f t="shared" si="151"/>
        <v>67</v>
      </c>
      <c r="Z39" s="471">
        <f t="shared" si="151"/>
        <v>59</v>
      </c>
      <c r="AA39" s="471">
        <f t="shared" si="151"/>
        <v>53</v>
      </c>
      <c r="AB39" s="471">
        <f t="shared" si="151"/>
        <v>47</v>
      </c>
      <c r="AC39" s="471">
        <f t="shared" si="151"/>
        <v>172</v>
      </c>
      <c r="AD39" s="471">
        <f t="shared" si="151"/>
        <v>148</v>
      </c>
      <c r="AE39" s="471">
        <f t="shared" si="151"/>
        <v>129</v>
      </c>
      <c r="AF39" s="471">
        <f t="shared" si="151"/>
        <v>111</v>
      </c>
      <c r="AG39" s="471">
        <f t="shared" si="151"/>
        <v>238</v>
      </c>
      <c r="AH39" s="471">
        <f t="shared" si="151"/>
        <v>206</v>
      </c>
      <c r="AI39" s="471">
        <f t="shared" si="151"/>
        <v>178</v>
      </c>
      <c r="AJ39" s="471">
        <f t="shared" si="151"/>
        <v>154</v>
      </c>
      <c r="AK39" s="471">
        <f t="shared" si="151"/>
        <v>237</v>
      </c>
      <c r="AL39" s="471">
        <f t="shared" si="151"/>
        <v>202</v>
      </c>
      <c r="AM39" s="471">
        <f t="shared" si="151"/>
        <v>172</v>
      </c>
      <c r="AN39" s="471">
        <f t="shared" si="151"/>
        <v>147</v>
      </c>
      <c r="AO39" s="428"/>
      <c r="AP39" s="428"/>
    </row>
    <row r="40" spans="2:42" ht="11.5" customHeight="1" x14ac:dyDescent="0.25">
      <c r="C40" s="432" t="s">
        <v>708</v>
      </c>
      <c r="D40" s="433" t="s">
        <v>46</v>
      </c>
      <c r="E40" s="478">
        <f>'1.1 Control Panel'!E722</f>
        <v>1550</v>
      </c>
      <c r="F40" s="478">
        <f>'1.1 Control Panel'!F722</f>
        <v>1550</v>
      </c>
      <c r="G40" s="478">
        <f>'1.1 Control Panel'!G722</f>
        <v>1550</v>
      </c>
      <c r="H40" s="478">
        <f>'1.1 Control Panel'!H722</f>
        <v>1550</v>
      </c>
      <c r="I40" s="478">
        <f>'1.1 Control Panel'!I722</f>
        <v>1550</v>
      </c>
      <c r="J40" s="478">
        <f>'1.1 Control Panel'!J722</f>
        <v>1550</v>
      </c>
      <c r="K40" s="478">
        <f>'1.1 Control Panel'!K722</f>
        <v>1550</v>
      </c>
      <c r="L40" s="478">
        <f>'1.1 Control Panel'!L722</f>
        <v>1550</v>
      </c>
      <c r="M40" s="478">
        <f>'1.1 Control Panel'!M722</f>
        <v>1550</v>
      </c>
      <c r="N40" s="478">
        <f>'1.1 Control Panel'!N722</f>
        <v>1550</v>
      </c>
      <c r="O40" s="478">
        <f>'1.1 Control Panel'!O722</f>
        <v>1550</v>
      </c>
      <c r="P40" s="478">
        <f>'1.1 Control Panel'!P722</f>
        <v>1550</v>
      </c>
      <c r="Q40" s="478">
        <f>'1.1 Control Panel'!Q722</f>
        <v>1550</v>
      </c>
      <c r="R40" s="478">
        <f>'1.1 Control Panel'!R722</f>
        <v>1550</v>
      </c>
      <c r="S40" s="478">
        <f>'1.1 Control Panel'!S722</f>
        <v>1550</v>
      </c>
      <c r="T40" s="478">
        <f>'1.1 Control Panel'!T722</f>
        <v>1550</v>
      </c>
      <c r="U40" s="478">
        <f>'1.1 Control Panel'!U722</f>
        <v>1550</v>
      </c>
      <c r="V40" s="478">
        <f>'1.1 Control Panel'!V722</f>
        <v>1550</v>
      </c>
      <c r="W40" s="478">
        <f>'1.1 Control Panel'!W722</f>
        <v>1550</v>
      </c>
      <c r="X40" s="478">
        <f>'1.1 Control Panel'!X722</f>
        <v>1550</v>
      </c>
      <c r="Y40" s="478">
        <f>'1.1 Control Panel'!Y722</f>
        <v>1550</v>
      </c>
      <c r="Z40" s="478">
        <f>'1.1 Control Panel'!Z722</f>
        <v>1550</v>
      </c>
      <c r="AA40" s="478">
        <f>'1.1 Control Panel'!AA722</f>
        <v>1550</v>
      </c>
      <c r="AB40" s="478">
        <f>'1.1 Control Panel'!AB722</f>
        <v>1550</v>
      </c>
      <c r="AC40" s="478">
        <f>'1.1 Control Panel'!AC722</f>
        <v>1550</v>
      </c>
      <c r="AD40" s="478">
        <f>'1.1 Control Panel'!AD722</f>
        <v>1550</v>
      </c>
      <c r="AE40" s="478">
        <f>'1.1 Control Panel'!AE722</f>
        <v>1550</v>
      </c>
      <c r="AF40" s="478">
        <f>'1.1 Control Panel'!AF722</f>
        <v>1550</v>
      </c>
      <c r="AG40" s="478">
        <f>'1.1 Control Panel'!AG722</f>
        <v>1550</v>
      </c>
      <c r="AH40" s="478">
        <f>'1.1 Control Panel'!AH722</f>
        <v>1550</v>
      </c>
      <c r="AI40" s="478">
        <f>'1.1 Control Panel'!AI722</f>
        <v>1550</v>
      </c>
      <c r="AJ40" s="478">
        <f>'1.1 Control Panel'!AJ722</f>
        <v>1550</v>
      </c>
      <c r="AK40" s="478">
        <f>'1.1 Control Panel'!AK722</f>
        <v>1550</v>
      </c>
      <c r="AL40" s="478">
        <f>'1.1 Control Panel'!AL722</f>
        <v>1550</v>
      </c>
      <c r="AM40" s="478">
        <f>'1.1 Control Panel'!AM722</f>
        <v>1550</v>
      </c>
      <c r="AN40" s="478">
        <f>'1.1 Control Panel'!AN722</f>
        <v>1550</v>
      </c>
      <c r="AO40" s="428"/>
      <c r="AP40" s="432"/>
    </row>
    <row r="41" spans="2:42" ht="11.5" customHeight="1" x14ac:dyDescent="0.25">
      <c r="B41" s="19" t="s">
        <v>9</v>
      </c>
      <c r="C41" s="438" t="s">
        <v>736</v>
      </c>
      <c r="D41" s="475" t="s">
        <v>46</v>
      </c>
      <c r="E41" s="476">
        <f>E42+E45</f>
        <v>74100</v>
      </c>
      <c r="F41" s="476">
        <f t="shared" ref="F41:AN41" si="152">F42+F45</f>
        <v>72850</v>
      </c>
      <c r="G41" s="476">
        <f t="shared" si="152"/>
        <v>70150</v>
      </c>
      <c r="H41" s="476">
        <f t="shared" si="152"/>
        <v>64900</v>
      </c>
      <c r="I41" s="476">
        <f t="shared" si="152"/>
        <v>103350</v>
      </c>
      <c r="J41" s="476">
        <f t="shared" si="152"/>
        <v>147550</v>
      </c>
      <c r="K41" s="476">
        <f t="shared" si="152"/>
        <v>126200</v>
      </c>
      <c r="L41" s="476">
        <f t="shared" si="152"/>
        <v>107850</v>
      </c>
      <c r="M41" s="476">
        <f t="shared" si="152"/>
        <v>139800</v>
      </c>
      <c r="N41" s="476">
        <f t="shared" si="152"/>
        <v>130700</v>
      </c>
      <c r="O41" s="476">
        <f t="shared" si="152"/>
        <v>122750</v>
      </c>
      <c r="P41" s="476">
        <f t="shared" si="152"/>
        <v>115650</v>
      </c>
      <c r="Q41" s="476">
        <f t="shared" si="152"/>
        <v>298350</v>
      </c>
      <c r="R41" s="476">
        <f t="shared" si="152"/>
        <v>256750</v>
      </c>
      <c r="S41" s="476">
        <f t="shared" si="152"/>
        <v>222250</v>
      </c>
      <c r="T41" s="476">
        <f t="shared" si="152"/>
        <v>193050</v>
      </c>
      <c r="U41" s="476">
        <f t="shared" si="152"/>
        <v>409400</v>
      </c>
      <c r="V41" s="476">
        <f t="shared" si="152"/>
        <v>358850</v>
      </c>
      <c r="W41" s="476">
        <f t="shared" si="152"/>
        <v>313950</v>
      </c>
      <c r="X41" s="476">
        <f t="shared" si="152"/>
        <v>273750</v>
      </c>
      <c r="Y41" s="476">
        <f t="shared" si="152"/>
        <v>302900</v>
      </c>
      <c r="Z41" s="476">
        <f t="shared" si="152"/>
        <v>269150</v>
      </c>
      <c r="AA41" s="476">
        <f t="shared" si="152"/>
        <v>240600</v>
      </c>
      <c r="AB41" s="476">
        <f t="shared" si="152"/>
        <v>216400</v>
      </c>
      <c r="AC41" s="476">
        <f t="shared" si="152"/>
        <v>768850</v>
      </c>
      <c r="AD41" s="476">
        <f t="shared" si="152"/>
        <v>666900</v>
      </c>
      <c r="AE41" s="476">
        <f t="shared" si="152"/>
        <v>578450</v>
      </c>
      <c r="AF41" s="476">
        <f t="shared" si="152"/>
        <v>501750</v>
      </c>
      <c r="AG41" s="476">
        <f t="shared" si="152"/>
        <v>1054900</v>
      </c>
      <c r="AH41" s="476">
        <f t="shared" si="152"/>
        <v>915850</v>
      </c>
      <c r="AI41" s="476">
        <f t="shared" si="152"/>
        <v>795700</v>
      </c>
      <c r="AJ41" s="476">
        <f t="shared" si="152"/>
        <v>691600</v>
      </c>
      <c r="AK41" s="476">
        <f t="shared" si="152"/>
        <v>1045150</v>
      </c>
      <c r="AL41" s="476">
        <f t="shared" si="152"/>
        <v>889950</v>
      </c>
      <c r="AM41" s="476">
        <f t="shared" si="152"/>
        <v>760400</v>
      </c>
      <c r="AN41" s="476">
        <f t="shared" si="152"/>
        <v>651400</v>
      </c>
      <c r="AO41" s="428"/>
      <c r="AP41" s="441"/>
    </row>
    <row r="42" spans="2:42" s="16" customFormat="1" ht="11.5" customHeight="1" x14ac:dyDescent="0.25">
      <c r="B42" s="19" t="s">
        <v>9</v>
      </c>
      <c r="C42" s="427" t="s">
        <v>711</v>
      </c>
      <c r="D42" s="426" t="s">
        <v>46</v>
      </c>
      <c r="E42" s="470">
        <f>E43*E44</f>
        <v>22800</v>
      </c>
      <c r="F42" s="470">
        <f t="shared" ref="F42" si="153">F43*F44</f>
        <v>22450</v>
      </c>
      <c r="G42" s="470">
        <f t="shared" ref="G42" si="154">G43*G44</f>
        <v>21550</v>
      </c>
      <c r="H42" s="470">
        <f t="shared" ref="H42" si="155">H43*H44</f>
        <v>19900</v>
      </c>
      <c r="I42" s="470">
        <f t="shared" ref="I42" si="156">I43*I44</f>
        <v>31800</v>
      </c>
      <c r="J42" s="470">
        <f t="shared" ref="J42" si="157">J43*J44</f>
        <v>45400</v>
      </c>
      <c r="K42" s="470">
        <f t="shared" ref="K42" si="158">K43*K44</f>
        <v>38900</v>
      </c>
      <c r="L42" s="470">
        <f t="shared" ref="L42" si="159">L43*L44</f>
        <v>33150</v>
      </c>
      <c r="M42" s="470">
        <f t="shared" ref="M42" si="160">M43*M44</f>
        <v>43050</v>
      </c>
      <c r="N42" s="470">
        <f t="shared" ref="N42" si="161">N43*N44</f>
        <v>40250</v>
      </c>
      <c r="O42" s="470">
        <f t="shared" ref="O42" si="162">O43*O44</f>
        <v>37700</v>
      </c>
      <c r="P42" s="470">
        <f t="shared" ref="P42" si="163">P43*P44</f>
        <v>35550</v>
      </c>
      <c r="Q42" s="470">
        <f t="shared" ref="Q42" si="164">Q43*Q44</f>
        <v>91800</v>
      </c>
      <c r="R42" s="470">
        <f t="shared" ref="R42" si="165">R43*R44</f>
        <v>79000</v>
      </c>
      <c r="S42" s="470">
        <f t="shared" ref="S42" si="166">S43*S44</f>
        <v>68350</v>
      </c>
      <c r="T42" s="470">
        <f t="shared" ref="T42" si="167">T43*T44</f>
        <v>59400</v>
      </c>
      <c r="U42" s="470">
        <f t="shared" ref="U42" si="168">U43*U44</f>
        <v>125900</v>
      </c>
      <c r="V42" s="470">
        <f t="shared" ref="V42" si="169">V43*V44</f>
        <v>110450</v>
      </c>
      <c r="W42" s="470">
        <f t="shared" ref="W42" si="170">W43*W44</f>
        <v>96600</v>
      </c>
      <c r="X42" s="470">
        <f t="shared" ref="X42" si="171">X43*X44</f>
        <v>84300</v>
      </c>
      <c r="Y42" s="470">
        <f t="shared" ref="Y42" si="172">Y43*Y44</f>
        <v>93200</v>
      </c>
      <c r="Z42" s="470">
        <f t="shared" ref="Z42" si="173">Z43*Z44</f>
        <v>82850</v>
      </c>
      <c r="AA42" s="470">
        <f t="shared" ref="AA42" si="174">AA43*AA44</f>
        <v>74100</v>
      </c>
      <c r="AB42" s="470">
        <f t="shared" ref="AB42" si="175">AB43*AB44</f>
        <v>66550</v>
      </c>
      <c r="AC42" s="470">
        <f t="shared" ref="AC42" si="176">AC43*AC44</f>
        <v>236500</v>
      </c>
      <c r="AD42" s="470">
        <f t="shared" ref="AD42" si="177">AD43*AD44</f>
        <v>205200</v>
      </c>
      <c r="AE42" s="470">
        <f t="shared" ref="AE42" si="178">AE43*AE44</f>
        <v>177950</v>
      </c>
      <c r="AF42" s="470">
        <f t="shared" ref="AF42" si="179">AF43*AF44</f>
        <v>154350</v>
      </c>
      <c r="AG42" s="470">
        <f t="shared" ref="AG42" si="180">AG43*AG44</f>
        <v>324550</v>
      </c>
      <c r="AH42" s="470">
        <f t="shared" ref="AH42" si="181">AH43*AH44</f>
        <v>281800</v>
      </c>
      <c r="AI42" s="470">
        <f t="shared" ref="AI42" si="182">AI43*AI44</f>
        <v>244900</v>
      </c>
      <c r="AJ42" s="470">
        <f t="shared" ref="AJ42" si="183">AJ43*AJ44</f>
        <v>212800</v>
      </c>
      <c r="AK42" s="470">
        <f t="shared" ref="AK42" si="184">AK43*AK44</f>
        <v>321550</v>
      </c>
      <c r="AL42" s="470">
        <f t="shared" ref="AL42" si="185">AL43*AL44</f>
        <v>273900</v>
      </c>
      <c r="AM42" s="470">
        <f t="shared" ref="AM42" si="186">AM43*AM44</f>
        <v>233900</v>
      </c>
      <c r="AN42" s="470">
        <f t="shared" ref="AN42" si="187">AN43*AN44</f>
        <v>200500</v>
      </c>
      <c r="AO42" s="450"/>
      <c r="AP42" s="427"/>
    </row>
    <row r="43" spans="2:42" ht="11.5" customHeight="1" x14ac:dyDescent="0.25">
      <c r="C43" s="428" t="s">
        <v>713</v>
      </c>
      <c r="D43" s="437" t="s">
        <v>162</v>
      </c>
      <c r="E43" s="414">
        <f>E98</f>
        <v>456</v>
      </c>
      <c r="F43" s="414">
        <f t="shared" ref="F43:AN43" si="188">F98</f>
        <v>449</v>
      </c>
      <c r="G43" s="414">
        <f t="shared" si="188"/>
        <v>431</v>
      </c>
      <c r="H43" s="414">
        <f t="shared" si="188"/>
        <v>398</v>
      </c>
      <c r="I43" s="414">
        <f t="shared" si="188"/>
        <v>636</v>
      </c>
      <c r="J43" s="414">
        <f t="shared" si="188"/>
        <v>908</v>
      </c>
      <c r="K43" s="414">
        <f t="shared" si="188"/>
        <v>778</v>
      </c>
      <c r="L43" s="414">
        <f t="shared" si="188"/>
        <v>663</v>
      </c>
      <c r="M43" s="414">
        <f t="shared" si="188"/>
        <v>861</v>
      </c>
      <c r="N43" s="414">
        <f t="shared" si="188"/>
        <v>805</v>
      </c>
      <c r="O43" s="414">
        <f t="shared" si="188"/>
        <v>754</v>
      </c>
      <c r="P43" s="414">
        <f t="shared" si="188"/>
        <v>711</v>
      </c>
      <c r="Q43" s="414">
        <f t="shared" si="188"/>
        <v>1836</v>
      </c>
      <c r="R43" s="414">
        <f t="shared" si="188"/>
        <v>1580</v>
      </c>
      <c r="S43" s="414">
        <f t="shared" si="188"/>
        <v>1367</v>
      </c>
      <c r="T43" s="414">
        <f t="shared" si="188"/>
        <v>1188</v>
      </c>
      <c r="U43" s="414">
        <f t="shared" si="188"/>
        <v>2518</v>
      </c>
      <c r="V43" s="414">
        <f t="shared" si="188"/>
        <v>2209</v>
      </c>
      <c r="W43" s="414">
        <f t="shared" si="188"/>
        <v>1932</v>
      </c>
      <c r="X43" s="414">
        <f t="shared" si="188"/>
        <v>1686</v>
      </c>
      <c r="Y43" s="414">
        <f t="shared" si="188"/>
        <v>1864</v>
      </c>
      <c r="Z43" s="414">
        <f t="shared" si="188"/>
        <v>1657</v>
      </c>
      <c r="AA43" s="414">
        <f t="shared" si="188"/>
        <v>1482</v>
      </c>
      <c r="AB43" s="414">
        <f t="shared" si="188"/>
        <v>1331</v>
      </c>
      <c r="AC43" s="414">
        <f t="shared" si="188"/>
        <v>4730</v>
      </c>
      <c r="AD43" s="414">
        <f t="shared" si="188"/>
        <v>4104</v>
      </c>
      <c r="AE43" s="414">
        <f t="shared" si="188"/>
        <v>3559</v>
      </c>
      <c r="AF43" s="414">
        <f t="shared" si="188"/>
        <v>3087</v>
      </c>
      <c r="AG43" s="414">
        <f t="shared" si="188"/>
        <v>6491</v>
      </c>
      <c r="AH43" s="414">
        <f t="shared" si="188"/>
        <v>5636</v>
      </c>
      <c r="AI43" s="414">
        <f t="shared" si="188"/>
        <v>4898</v>
      </c>
      <c r="AJ43" s="414">
        <f t="shared" si="188"/>
        <v>4256</v>
      </c>
      <c r="AK43" s="414">
        <f t="shared" si="188"/>
        <v>6431</v>
      </c>
      <c r="AL43" s="414">
        <f t="shared" si="188"/>
        <v>5478</v>
      </c>
      <c r="AM43" s="414">
        <f t="shared" si="188"/>
        <v>4678</v>
      </c>
      <c r="AN43" s="414">
        <f t="shared" si="188"/>
        <v>4010</v>
      </c>
      <c r="AO43" s="428"/>
      <c r="AP43" s="429"/>
    </row>
    <row r="44" spans="2:42" ht="11.5" customHeight="1" x14ac:dyDescent="0.25">
      <c r="C44" s="416" t="s">
        <v>714</v>
      </c>
      <c r="D44" s="434" t="s">
        <v>46</v>
      </c>
      <c r="E44" s="477">
        <f>'1.1 Control Panel'!E766</f>
        <v>50</v>
      </c>
      <c r="F44" s="477">
        <f>'1.1 Control Panel'!F766</f>
        <v>50</v>
      </c>
      <c r="G44" s="477">
        <f>'1.1 Control Panel'!G766</f>
        <v>50</v>
      </c>
      <c r="H44" s="477">
        <f>'1.1 Control Panel'!H766</f>
        <v>50</v>
      </c>
      <c r="I44" s="477">
        <f>'1.1 Control Panel'!I766</f>
        <v>50</v>
      </c>
      <c r="J44" s="477">
        <f>'1.1 Control Panel'!J766</f>
        <v>50</v>
      </c>
      <c r="K44" s="477">
        <f>'1.1 Control Panel'!K766</f>
        <v>50</v>
      </c>
      <c r="L44" s="477">
        <f>'1.1 Control Panel'!L766</f>
        <v>50</v>
      </c>
      <c r="M44" s="477">
        <f>'1.1 Control Panel'!M766</f>
        <v>50</v>
      </c>
      <c r="N44" s="477">
        <f>'1.1 Control Panel'!N766</f>
        <v>50</v>
      </c>
      <c r="O44" s="477">
        <f>'1.1 Control Panel'!O766</f>
        <v>50</v>
      </c>
      <c r="P44" s="477">
        <f>'1.1 Control Panel'!P766</f>
        <v>50</v>
      </c>
      <c r="Q44" s="477">
        <f>'1.1 Control Panel'!Q766</f>
        <v>50</v>
      </c>
      <c r="R44" s="477">
        <f>'1.1 Control Panel'!R766</f>
        <v>50</v>
      </c>
      <c r="S44" s="477">
        <f>'1.1 Control Panel'!S766</f>
        <v>50</v>
      </c>
      <c r="T44" s="477">
        <f>'1.1 Control Panel'!T766</f>
        <v>50</v>
      </c>
      <c r="U44" s="477">
        <f>'1.1 Control Panel'!U766</f>
        <v>50</v>
      </c>
      <c r="V44" s="477">
        <f>'1.1 Control Panel'!V766</f>
        <v>50</v>
      </c>
      <c r="W44" s="477">
        <f>'1.1 Control Panel'!W766</f>
        <v>50</v>
      </c>
      <c r="X44" s="477">
        <f>'1.1 Control Panel'!X766</f>
        <v>50</v>
      </c>
      <c r="Y44" s="477">
        <f>'1.1 Control Panel'!Y766</f>
        <v>50</v>
      </c>
      <c r="Z44" s="477">
        <f>'1.1 Control Panel'!Z766</f>
        <v>50</v>
      </c>
      <c r="AA44" s="477">
        <f>'1.1 Control Panel'!AA766</f>
        <v>50</v>
      </c>
      <c r="AB44" s="477">
        <f>'1.1 Control Panel'!AB766</f>
        <v>50</v>
      </c>
      <c r="AC44" s="477">
        <f>'1.1 Control Panel'!AC766</f>
        <v>50</v>
      </c>
      <c r="AD44" s="477">
        <f>'1.1 Control Panel'!AD766</f>
        <v>50</v>
      </c>
      <c r="AE44" s="477">
        <f>'1.1 Control Panel'!AE766</f>
        <v>50</v>
      </c>
      <c r="AF44" s="477">
        <f>'1.1 Control Panel'!AF766</f>
        <v>50</v>
      </c>
      <c r="AG44" s="477">
        <f>'1.1 Control Panel'!AG766</f>
        <v>50</v>
      </c>
      <c r="AH44" s="477">
        <f>'1.1 Control Panel'!AH766</f>
        <v>50</v>
      </c>
      <c r="AI44" s="477">
        <f>'1.1 Control Panel'!AI766</f>
        <v>50</v>
      </c>
      <c r="AJ44" s="477">
        <f>'1.1 Control Panel'!AJ766</f>
        <v>50</v>
      </c>
      <c r="AK44" s="477">
        <f>'1.1 Control Panel'!AK766</f>
        <v>50</v>
      </c>
      <c r="AL44" s="477">
        <f>'1.1 Control Panel'!AL766</f>
        <v>50</v>
      </c>
      <c r="AM44" s="477">
        <f>'1.1 Control Panel'!AM766</f>
        <v>50</v>
      </c>
      <c r="AN44" s="477">
        <f>'1.1 Control Panel'!AN766</f>
        <v>50</v>
      </c>
      <c r="AO44" s="428"/>
      <c r="AP44" s="416"/>
    </row>
    <row r="45" spans="2:42" ht="11.5" customHeight="1" x14ac:dyDescent="0.25">
      <c r="B45" s="19" t="s">
        <v>9</v>
      </c>
      <c r="C45" s="436" t="s">
        <v>712</v>
      </c>
      <c r="D45" s="435" t="s">
        <v>46</v>
      </c>
      <c r="E45" s="472">
        <f>E46*E47</f>
        <v>51300</v>
      </c>
      <c r="F45" s="472">
        <f t="shared" ref="F45" si="189">F46*F47</f>
        <v>50400</v>
      </c>
      <c r="G45" s="472">
        <f t="shared" ref="G45" si="190">G46*G47</f>
        <v>48600</v>
      </c>
      <c r="H45" s="472">
        <f t="shared" ref="H45" si="191">H46*H47</f>
        <v>45000</v>
      </c>
      <c r="I45" s="472">
        <f t="shared" ref="I45" si="192">I46*I47</f>
        <v>71550</v>
      </c>
      <c r="J45" s="472">
        <f t="shared" ref="J45" si="193">J46*J47</f>
        <v>102150</v>
      </c>
      <c r="K45" s="472">
        <f t="shared" ref="K45" si="194">K46*K47</f>
        <v>87300</v>
      </c>
      <c r="L45" s="472">
        <f t="shared" ref="L45" si="195">L46*L47</f>
        <v>74700</v>
      </c>
      <c r="M45" s="472">
        <f t="shared" ref="M45" si="196">M46*M47</f>
        <v>96750</v>
      </c>
      <c r="N45" s="472">
        <f t="shared" ref="N45" si="197">N46*N47</f>
        <v>90450</v>
      </c>
      <c r="O45" s="472">
        <f t="shared" ref="O45" si="198">O46*O47</f>
        <v>85050</v>
      </c>
      <c r="P45" s="472">
        <f t="shared" ref="P45" si="199">P46*P47</f>
        <v>80100</v>
      </c>
      <c r="Q45" s="472">
        <f t="shared" ref="Q45" si="200">Q46*Q47</f>
        <v>206550</v>
      </c>
      <c r="R45" s="472">
        <f t="shared" ref="R45" si="201">R46*R47</f>
        <v>177750</v>
      </c>
      <c r="S45" s="472">
        <f t="shared" ref="S45" si="202">S46*S47</f>
        <v>153900</v>
      </c>
      <c r="T45" s="472">
        <f t="shared" ref="T45" si="203">T46*T47</f>
        <v>133650</v>
      </c>
      <c r="U45" s="472">
        <f t="shared" ref="U45" si="204">U46*U47</f>
        <v>283500</v>
      </c>
      <c r="V45" s="472">
        <f t="shared" ref="V45" si="205">V46*V47</f>
        <v>248400</v>
      </c>
      <c r="W45" s="472">
        <f t="shared" ref="W45" si="206">W46*W47</f>
        <v>217350</v>
      </c>
      <c r="X45" s="472">
        <f t="shared" ref="X45" si="207">X46*X47</f>
        <v>189450</v>
      </c>
      <c r="Y45" s="472">
        <f t="shared" ref="Y45" si="208">Y46*Y47</f>
        <v>209700</v>
      </c>
      <c r="Z45" s="472">
        <f t="shared" ref="Z45" si="209">Z46*Z47</f>
        <v>186300</v>
      </c>
      <c r="AA45" s="472">
        <f t="shared" ref="AA45" si="210">AA46*AA47</f>
        <v>166500</v>
      </c>
      <c r="AB45" s="472">
        <f t="shared" ref="AB45" si="211">AB46*AB47</f>
        <v>149850</v>
      </c>
      <c r="AC45" s="472">
        <f t="shared" ref="AC45" si="212">AC46*AC47</f>
        <v>532350</v>
      </c>
      <c r="AD45" s="472">
        <f t="shared" ref="AD45" si="213">AD46*AD47</f>
        <v>461700</v>
      </c>
      <c r="AE45" s="472">
        <f t="shared" ref="AE45" si="214">AE46*AE47</f>
        <v>400500</v>
      </c>
      <c r="AF45" s="472">
        <f t="shared" ref="AF45" si="215">AF46*AF47</f>
        <v>347400</v>
      </c>
      <c r="AG45" s="472">
        <f t="shared" ref="AG45" si="216">AG46*AG47</f>
        <v>730350</v>
      </c>
      <c r="AH45" s="472">
        <f t="shared" ref="AH45" si="217">AH46*AH47</f>
        <v>634050</v>
      </c>
      <c r="AI45" s="472">
        <f t="shared" ref="AI45" si="218">AI46*AI47</f>
        <v>550800</v>
      </c>
      <c r="AJ45" s="472">
        <f t="shared" ref="AJ45" si="219">AJ46*AJ47</f>
        <v>478800</v>
      </c>
      <c r="AK45" s="472">
        <f t="shared" ref="AK45" si="220">AK46*AK47</f>
        <v>723600</v>
      </c>
      <c r="AL45" s="472">
        <f t="shared" ref="AL45" si="221">AL46*AL47</f>
        <v>616050</v>
      </c>
      <c r="AM45" s="472">
        <f t="shared" ref="AM45" si="222">AM46*AM47</f>
        <v>526500</v>
      </c>
      <c r="AN45" s="472">
        <f t="shared" ref="AN45" si="223">AN46*AN47</f>
        <v>450900</v>
      </c>
      <c r="AO45" s="428"/>
      <c r="AP45" s="436"/>
    </row>
    <row r="46" spans="2:42" ht="11.5" customHeight="1" x14ac:dyDescent="0.25">
      <c r="C46" s="428" t="s">
        <v>713</v>
      </c>
      <c r="D46" s="437" t="s">
        <v>162</v>
      </c>
      <c r="E46" s="471">
        <f>E99</f>
        <v>114</v>
      </c>
      <c r="F46" s="471">
        <f t="shared" ref="F46:AN46" si="224">F99</f>
        <v>112</v>
      </c>
      <c r="G46" s="471">
        <f t="shared" si="224"/>
        <v>108</v>
      </c>
      <c r="H46" s="471">
        <f t="shared" si="224"/>
        <v>100</v>
      </c>
      <c r="I46" s="471">
        <f t="shared" si="224"/>
        <v>159</v>
      </c>
      <c r="J46" s="471">
        <f t="shared" si="224"/>
        <v>227</v>
      </c>
      <c r="K46" s="471">
        <f t="shared" si="224"/>
        <v>194</v>
      </c>
      <c r="L46" s="471">
        <f t="shared" si="224"/>
        <v>166</v>
      </c>
      <c r="M46" s="471">
        <f t="shared" si="224"/>
        <v>215</v>
      </c>
      <c r="N46" s="471">
        <f t="shared" si="224"/>
        <v>201</v>
      </c>
      <c r="O46" s="471">
        <f t="shared" si="224"/>
        <v>189</v>
      </c>
      <c r="P46" s="471">
        <f t="shared" si="224"/>
        <v>178</v>
      </c>
      <c r="Q46" s="471">
        <f t="shared" si="224"/>
        <v>459</v>
      </c>
      <c r="R46" s="471">
        <f t="shared" si="224"/>
        <v>395</v>
      </c>
      <c r="S46" s="471">
        <f t="shared" si="224"/>
        <v>342</v>
      </c>
      <c r="T46" s="471">
        <f t="shared" si="224"/>
        <v>297</v>
      </c>
      <c r="U46" s="471">
        <f t="shared" si="224"/>
        <v>630</v>
      </c>
      <c r="V46" s="471">
        <f t="shared" si="224"/>
        <v>552</v>
      </c>
      <c r="W46" s="471">
        <f t="shared" si="224"/>
        <v>483</v>
      </c>
      <c r="X46" s="471">
        <f t="shared" si="224"/>
        <v>421</v>
      </c>
      <c r="Y46" s="471">
        <f t="shared" si="224"/>
        <v>466</v>
      </c>
      <c r="Z46" s="471">
        <f t="shared" si="224"/>
        <v>414</v>
      </c>
      <c r="AA46" s="471">
        <f t="shared" si="224"/>
        <v>370</v>
      </c>
      <c r="AB46" s="471">
        <f t="shared" si="224"/>
        <v>333</v>
      </c>
      <c r="AC46" s="471">
        <f t="shared" si="224"/>
        <v>1183</v>
      </c>
      <c r="AD46" s="471">
        <f t="shared" si="224"/>
        <v>1026</v>
      </c>
      <c r="AE46" s="471">
        <f t="shared" si="224"/>
        <v>890</v>
      </c>
      <c r="AF46" s="471">
        <f t="shared" si="224"/>
        <v>772</v>
      </c>
      <c r="AG46" s="471">
        <f t="shared" si="224"/>
        <v>1623</v>
      </c>
      <c r="AH46" s="471">
        <f t="shared" si="224"/>
        <v>1409</v>
      </c>
      <c r="AI46" s="471">
        <f t="shared" si="224"/>
        <v>1224</v>
      </c>
      <c r="AJ46" s="471">
        <f t="shared" si="224"/>
        <v>1064</v>
      </c>
      <c r="AK46" s="471">
        <f t="shared" si="224"/>
        <v>1608</v>
      </c>
      <c r="AL46" s="471">
        <f t="shared" si="224"/>
        <v>1369</v>
      </c>
      <c r="AM46" s="471">
        <f t="shared" si="224"/>
        <v>1170</v>
      </c>
      <c r="AN46" s="471">
        <f t="shared" si="224"/>
        <v>1002</v>
      </c>
      <c r="AO46" s="428"/>
      <c r="AP46" s="428"/>
    </row>
    <row r="47" spans="2:42" ht="11.5" customHeight="1" x14ac:dyDescent="0.25">
      <c r="C47" s="432" t="s">
        <v>708</v>
      </c>
      <c r="D47" s="433" t="s">
        <v>46</v>
      </c>
      <c r="E47" s="478">
        <f>'1.1 Control Panel'!E767</f>
        <v>450</v>
      </c>
      <c r="F47" s="478">
        <f>'1.1 Control Panel'!F767</f>
        <v>450</v>
      </c>
      <c r="G47" s="478">
        <f>'1.1 Control Panel'!G767</f>
        <v>450</v>
      </c>
      <c r="H47" s="478">
        <f>'1.1 Control Panel'!H767</f>
        <v>450</v>
      </c>
      <c r="I47" s="478">
        <f>'1.1 Control Panel'!I767</f>
        <v>450</v>
      </c>
      <c r="J47" s="478">
        <f>'1.1 Control Panel'!J767</f>
        <v>450</v>
      </c>
      <c r="K47" s="478">
        <f>'1.1 Control Panel'!K767</f>
        <v>450</v>
      </c>
      <c r="L47" s="478">
        <f>'1.1 Control Panel'!L767</f>
        <v>450</v>
      </c>
      <c r="M47" s="478">
        <f>'1.1 Control Panel'!M767</f>
        <v>450</v>
      </c>
      <c r="N47" s="478">
        <f>'1.1 Control Panel'!N767</f>
        <v>450</v>
      </c>
      <c r="O47" s="478">
        <f>'1.1 Control Panel'!O767</f>
        <v>450</v>
      </c>
      <c r="P47" s="478">
        <f>'1.1 Control Panel'!P767</f>
        <v>450</v>
      </c>
      <c r="Q47" s="478">
        <f>'1.1 Control Panel'!Q767</f>
        <v>450</v>
      </c>
      <c r="R47" s="478">
        <f>'1.1 Control Panel'!R767</f>
        <v>450</v>
      </c>
      <c r="S47" s="478">
        <f>'1.1 Control Panel'!S767</f>
        <v>450</v>
      </c>
      <c r="T47" s="478">
        <f>'1.1 Control Panel'!T767</f>
        <v>450</v>
      </c>
      <c r="U47" s="478">
        <f>'1.1 Control Panel'!U767</f>
        <v>450</v>
      </c>
      <c r="V47" s="478">
        <f>'1.1 Control Panel'!V767</f>
        <v>450</v>
      </c>
      <c r="W47" s="478">
        <f>'1.1 Control Panel'!W767</f>
        <v>450</v>
      </c>
      <c r="X47" s="478">
        <f>'1.1 Control Panel'!X767</f>
        <v>450</v>
      </c>
      <c r="Y47" s="478">
        <f>'1.1 Control Panel'!Y767</f>
        <v>450</v>
      </c>
      <c r="Z47" s="478">
        <f>'1.1 Control Panel'!Z767</f>
        <v>450</v>
      </c>
      <c r="AA47" s="478">
        <f>'1.1 Control Panel'!AA767</f>
        <v>450</v>
      </c>
      <c r="AB47" s="478">
        <f>'1.1 Control Panel'!AB767</f>
        <v>450</v>
      </c>
      <c r="AC47" s="478">
        <f>'1.1 Control Panel'!AC767</f>
        <v>450</v>
      </c>
      <c r="AD47" s="478">
        <f>'1.1 Control Panel'!AD767</f>
        <v>450</v>
      </c>
      <c r="AE47" s="478">
        <f>'1.1 Control Panel'!AE767</f>
        <v>450</v>
      </c>
      <c r="AF47" s="478">
        <f>'1.1 Control Panel'!AF767</f>
        <v>450</v>
      </c>
      <c r="AG47" s="478">
        <f>'1.1 Control Panel'!AG767</f>
        <v>450</v>
      </c>
      <c r="AH47" s="478">
        <f>'1.1 Control Panel'!AH767</f>
        <v>450</v>
      </c>
      <c r="AI47" s="478">
        <f>'1.1 Control Panel'!AI767</f>
        <v>450</v>
      </c>
      <c r="AJ47" s="478">
        <f>'1.1 Control Panel'!AJ767</f>
        <v>450</v>
      </c>
      <c r="AK47" s="478">
        <f>'1.1 Control Panel'!AK767</f>
        <v>450</v>
      </c>
      <c r="AL47" s="478">
        <f>'1.1 Control Panel'!AL767</f>
        <v>450</v>
      </c>
      <c r="AM47" s="478">
        <f>'1.1 Control Panel'!AM767</f>
        <v>450</v>
      </c>
      <c r="AN47" s="478">
        <f>'1.1 Control Panel'!AN767</f>
        <v>450</v>
      </c>
      <c r="AO47" s="428"/>
      <c r="AP47" s="432"/>
    </row>
    <row r="48" spans="2:42" s="74" customFormat="1" ht="11.5" customHeight="1" x14ac:dyDescent="0.25">
      <c r="B48" s="99" t="s">
        <v>9</v>
      </c>
      <c r="C48" s="463" t="s">
        <v>680</v>
      </c>
      <c r="D48" s="499" t="s">
        <v>46</v>
      </c>
      <c r="E48" s="500">
        <f>E49+E52</f>
        <v>181250</v>
      </c>
      <c r="F48" s="500">
        <f t="shared" ref="F48:AN48" si="225">F49+F52</f>
        <v>468750</v>
      </c>
      <c r="G48" s="500">
        <f t="shared" si="225"/>
        <v>737500</v>
      </c>
      <c r="H48" s="500">
        <f t="shared" si="225"/>
        <v>987500</v>
      </c>
      <c r="I48" s="500">
        <f t="shared" si="225"/>
        <v>1331250</v>
      </c>
      <c r="J48" s="500">
        <f t="shared" si="225"/>
        <v>2393750</v>
      </c>
      <c r="K48" s="500">
        <f t="shared" si="225"/>
        <v>3762500</v>
      </c>
      <c r="L48" s="500">
        <f t="shared" si="225"/>
        <v>5000000</v>
      </c>
      <c r="M48" s="500">
        <f t="shared" si="225"/>
        <v>6250000</v>
      </c>
      <c r="N48" s="500">
        <f t="shared" si="225"/>
        <v>7806250</v>
      </c>
      <c r="O48" s="500">
        <f t="shared" si="225"/>
        <v>9856250</v>
      </c>
      <c r="P48" s="500">
        <f t="shared" si="225"/>
        <v>11850000</v>
      </c>
      <c r="Q48" s="500">
        <f t="shared" si="225"/>
        <v>14463750</v>
      </c>
      <c r="R48" s="500">
        <f t="shared" si="225"/>
        <v>16865625</v>
      </c>
      <c r="S48" s="500">
        <f t="shared" si="225"/>
        <v>19195312.5</v>
      </c>
      <c r="T48" s="500">
        <f t="shared" si="225"/>
        <v>21321562.5</v>
      </c>
      <c r="U48" s="500">
        <f t="shared" si="225"/>
        <v>23789062.5</v>
      </c>
      <c r="V48" s="500">
        <f t="shared" si="225"/>
        <v>26735625</v>
      </c>
      <c r="W48" s="500">
        <f t="shared" si="225"/>
        <v>30069375</v>
      </c>
      <c r="X48" s="500">
        <f t="shared" si="225"/>
        <v>32851875</v>
      </c>
      <c r="Y48" s="500">
        <f t="shared" si="225"/>
        <v>35227500</v>
      </c>
      <c r="Z48" s="500">
        <f t="shared" si="225"/>
        <v>38777812.5</v>
      </c>
      <c r="AA48" s="500">
        <f t="shared" si="225"/>
        <v>42177187.5</v>
      </c>
      <c r="AB48" s="500">
        <f t="shared" si="225"/>
        <v>45202500</v>
      </c>
      <c r="AC48" s="500">
        <f t="shared" si="225"/>
        <v>51135328.125</v>
      </c>
      <c r="AD48" s="500">
        <f t="shared" si="225"/>
        <v>55255921.875</v>
      </c>
      <c r="AE48" s="500">
        <f t="shared" si="225"/>
        <v>59004421.875</v>
      </c>
      <c r="AF48" s="500">
        <f t="shared" si="225"/>
        <v>62181000</v>
      </c>
      <c r="AG48" s="500">
        <f t="shared" si="225"/>
        <v>65743453.125</v>
      </c>
      <c r="AH48" s="500">
        <f t="shared" si="225"/>
        <v>72406687.5</v>
      </c>
      <c r="AI48" s="500">
        <f t="shared" si="225"/>
        <v>80902828.125</v>
      </c>
      <c r="AJ48" s="500">
        <f t="shared" si="225"/>
        <v>88213781.25</v>
      </c>
      <c r="AK48" s="500">
        <f t="shared" si="225"/>
        <v>95614312.5</v>
      </c>
      <c r="AL48" s="500">
        <f t="shared" si="225"/>
        <v>105006234.375</v>
      </c>
      <c r="AM48" s="500">
        <f t="shared" si="225"/>
        <v>115920984.375</v>
      </c>
      <c r="AN48" s="500">
        <f t="shared" si="225"/>
        <v>125285343.75</v>
      </c>
      <c r="AO48" s="449"/>
      <c r="AP48" s="464"/>
    </row>
    <row r="49" spans="2:42" ht="11.5" customHeight="1" x14ac:dyDescent="0.25">
      <c r="C49" s="436" t="s">
        <v>709</v>
      </c>
      <c r="D49" s="435" t="s">
        <v>46</v>
      </c>
      <c r="E49" s="472">
        <f>E50*E51</f>
        <v>181250</v>
      </c>
      <c r="F49" s="472">
        <f t="shared" ref="F49:AN49" si="226">F50*F51</f>
        <v>468750</v>
      </c>
      <c r="G49" s="472">
        <f t="shared" si="226"/>
        <v>737500</v>
      </c>
      <c r="H49" s="472">
        <f t="shared" si="226"/>
        <v>987500</v>
      </c>
      <c r="I49" s="472">
        <f t="shared" si="226"/>
        <v>1331250</v>
      </c>
      <c r="J49" s="472">
        <f t="shared" si="226"/>
        <v>1850000</v>
      </c>
      <c r="K49" s="472">
        <f t="shared" si="226"/>
        <v>2356250</v>
      </c>
      <c r="L49" s="472">
        <f t="shared" si="226"/>
        <v>2787500</v>
      </c>
      <c r="M49" s="472">
        <f t="shared" si="226"/>
        <v>3287500</v>
      </c>
      <c r="N49" s="472">
        <f t="shared" si="226"/>
        <v>3812500</v>
      </c>
      <c r="O49" s="472">
        <f t="shared" si="226"/>
        <v>4306250</v>
      </c>
      <c r="P49" s="472">
        <f t="shared" si="226"/>
        <v>4781250</v>
      </c>
      <c r="Q49" s="472">
        <f t="shared" si="226"/>
        <v>5683125</v>
      </c>
      <c r="R49" s="472">
        <f t="shared" si="226"/>
        <v>6510000</v>
      </c>
      <c r="S49" s="472">
        <f t="shared" si="226"/>
        <v>7185937.5</v>
      </c>
      <c r="T49" s="472">
        <f t="shared" si="226"/>
        <v>7756875</v>
      </c>
      <c r="U49" s="472">
        <f t="shared" si="226"/>
        <v>8728125</v>
      </c>
      <c r="V49" s="472">
        <f t="shared" si="226"/>
        <v>9686250</v>
      </c>
      <c r="W49" s="472">
        <f t="shared" si="226"/>
        <v>10539375</v>
      </c>
      <c r="X49" s="472">
        <f t="shared" si="226"/>
        <v>11294062.5</v>
      </c>
      <c r="Y49" s="472">
        <f t="shared" si="226"/>
        <v>11956875</v>
      </c>
      <c r="Z49" s="472">
        <f t="shared" si="226"/>
        <v>12593437.5</v>
      </c>
      <c r="AA49" s="472">
        <f t="shared" si="226"/>
        <v>13118437.5</v>
      </c>
      <c r="AB49" s="472">
        <f t="shared" si="226"/>
        <v>13584375</v>
      </c>
      <c r="AC49" s="472">
        <f t="shared" si="226"/>
        <v>15559031.25</v>
      </c>
      <c r="AD49" s="472">
        <f t="shared" si="226"/>
        <v>17591765.625</v>
      </c>
      <c r="AE49" s="472">
        <f t="shared" si="226"/>
        <v>19335093.75</v>
      </c>
      <c r="AF49" s="472">
        <f t="shared" si="226"/>
        <v>20857921.875</v>
      </c>
      <c r="AG49" s="472">
        <f t="shared" si="226"/>
        <v>22952671.875</v>
      </c>
      <c r="AH49" s="472">
        <f t="shared" si="226"/>
        <v>25729593.75</v>
      </c>
      <c r="AI49" s="472">
        <f t="shared" si="226"/>
        <v>28127531.25</v>
      </c>
      <c r="AJ49" s="472">
        <f t="shared" si="226"/>
        <v>30208500</v>
      </c>
      <c r="AK49" s="472">
        <f t="shared" si="226"/>
        <v>33040546.875</v>
      </c>
      <c r="AL49" s="472">
        <f t="shared" si="226"/>
        <v>36148218.75</v>
      </c>
      <c r="AM49" s="472">
        <f t="shared" si="226"/>
        <v>38732203.125</v>
      </c>
      <c r="AN49" s="472">
        <f t="shared" si="226"/>
        <v>40902750</v>
      </c>
      <c r="AO49" s="428"/>
      <c r="AP49" s="436"/>
    </row>
    <row r="50" spans="2:42" ht="11.5" customHeight="1" x14ac:dyDescent="0.25">
      <c r="C50" s="428" t="s">
        <v>704</v>
      </c>
      <c r="D50" s="437" t="s">
        <v>162</v>
      </c>
      <c r="E50" s="471">
        <f>E79</f>
        <v>29</v>
      </c>
      <c r="F50" s="471">
        <f t="shared" ref="F50:AN50" si="227">F79</f>
        <v>75</v>
      </c>
      <c r="G50" s="471">
        <f t="shared" si="227"/>
        <v>118</v>
      </c>
      <c r="H50" s="471">
        <f t="shared" si="227"/>
        <v>158</v>
      </c>
      <c r="I50" s="471">
        <f t="shared" si="227"/>
        <v>213</v>
      </c>
      <c r="J50" s="471">
        <f t="shared" si="227"/>
        <v>296</v>
      </c>
      <c r="K50" s="471">
        <f t="shared" si="227"/>
        <v>377</v>
      </c>
      <c r="L50" s="471">
        <f t="shared" si="227"/>
        <v>446</v>
      </c>
      <c r="M50" s="471">
        <f t="shared" si="227"/>
        <v>526</v>
      </c>
      <c r="N50" s="471">
        <f t="shared" si="227"/>
        <v>610</v>
      </c>
      <c r="O50" s="471">
        <f t="shared" si="227"/>
        <v>689</v>
      </c>
      <c r="P50" s="471">
        <f t="shared" si="227"/>
        <v>765</v>
      </c>
      <c r="Q50" s="471">
        <f t="shared" si="227"/>
        <v>866</v>
      </c>
      <c r="R50" s="471">
        <f t="shared" si="227"/>
        <v>992</v>
      </c>
      <c r="S50" s="471">
        <f t="shared" si="227"/>
        <v>1095</v>
      </c>
      <c r="T50" s="471">
        <f t="shared" si="227"/>
        <v>1182</v>
      </c>
      <c r="U50" s="471">
        <f t="shared" si="227"/>
        <v>1330</v>
      </c>
      <c r="V50" s="471">
        <f t="shared" si="227"/>
        <v>1476</v>
      </c>
      <c r="W50" s="471">
        <f t="shared" si="227"/>
        <v>1606</v>
      </c>
      <c r="X50" s="471">
        <f t="shared" si="227"/>
        <v>1721</v>
      </c>
      <c r="Y50" s="471">
        <f t="shared" si="227"/>
        <v>1822</v>
      </c>
      <c r="Z50" s="471">
        <f t="shared" si="227"/>
        <v>1919</v>
      </c>
      <c r="AA50" s="471">
        <f t="shared" si="227"/>
        <v>1999</v>
      </c>
      <c r="AB50" s="471">
        <f t="shared" si="227"/>
        <v>2070</v>
      </c>
      <c r="AC50" s="471">
        <f t="shared" si="227"/>
        <v>2258</v>
      </c>
      <c r="AD50" s="471">
        <f t="shared" si="227"/>
        <v>2553</v>
      </c>
      <c r="AE50" s="471">
        <f t="shared" si="227"/>
        <v>2806</v>
      </c>
      <c r="AF50" s="471">
        <f t="shared" si="227"/>
        <v>3027</v>
      </c>
      <c r="AG50" s="471">
        <f t="shared" si="227"/>
        <v>3331</v>
      </c>
      <c r="AH50" s="471">
        <f t="shared" si="227"/>
        <v>3734</v>
      </c>
      <c r="AI50" s="471">
        <f t="shared" si="227"/>
        <v>4082</v>
      </c>
      <c r="AJ50" s="471">
        <f t="shared" si="227"/>
        <v>4384</v>
      </c>
      <c r="AK50" s="471">
        <f t="shared" si="227"/>
        <v>4795</v>
      </c>
      <c r="AL50" s="471">
        <f t="shared" si="227"/>
        <v>5246</v>
      </c>
      <c r="AM50" s="471">
        <f t="shared" si="227"/>
        <v>5621</v>
      </c>
      <c r="AN50" s="471">
        <f t="shared" si="227"/>
        <v>5936</v>
      </c>
      <c r="AO50" s="428"/>
      <c r="AP50" s="428"/>
    </row>
    <row r="51" spans="2:42" ht="11.5" customHeight="1" x14ac:dyDescent="0.25">
      <c r="C51" s="416" t="s">
        <v>687</v>
      </c>
      <c r="D51" s="434" t="s">
        <v>46</v>
      </c>
      <c r="E51" s="488">
        <f>'1.1 Control Panel'!E728*'1.1 Control Panel'!E726</f>
        <v>6250</v>
      </c>
      <c r="F51" s="488">
        <f>'1.1 Control Panel'!F728*'1.1 Control Panel'!F726</f>
        <v>6250</v>
      </c>
      <c r="G51" s="488">
        <f>'1.1 Control Panel'!G728*'1.1 Control Panel'!G726</f>
        <v>6250</v>
      </c>
      <c r="H51" s="488">
        <f>'1.1 Control Panel'!H728*'1.1 Control Panel'!H726</f>
        <v>6250</v>
      </c>
      <c r="I51" s="488">
        <f>'1.1 Control Panel'!I728*'1.1 Control Panel'!I726</f>
        <v>6250</v>
      </c>
      <c r="J51" s="488">
        <f>'1.1 Control Panel'!J728*'1.1 Control Panel'!J726</f>
        <v>6250</v>
      </c>
      <c r="K51" s="488">
        <f>'1.1 Control Panel'!K728*'1.1 Control Panel'!K726</f>
        <v>6250</v>
      </c>
      <c r="L51" s="488">
        <f>'1.1 Control Panel'!L728*'1.1 Control Panel'!L726</f>
        <v>6250</v>
      </c>
      <c r="M51" s="488">
        <f>'1.1 Control Panel'!M728*'1.1 Control Panel'!M726</f>
        <v>6250</v>
      </c>
      <c r="N51" s="488">
        <f>'1.1 Control Panel'!N728*'1.1 Control Panel'!N726</f>
        <v>6250</v>
      </c>
      <c r="O51" s="488">
        <f>'1.1 Control Panel'!O728*'1.1 Control Panel'!O726</f>
        <v>6250</v>
      </c>
      <c r="P51" s="488">
        <f>'1.1 Control Panel'!P728*'1.1 Control Panel'!P726</f>
        <v>6250</v>
      </c>
      <c r="Q51" s="488">
        <f>'1.1 Control Panel'!Q728*'1.1 Control Panel'!Q726</f>
        <v>6562.5</v>
      </c>
      <c r="R51" s="488">
        <f>'1.1 Control Panel'!R728*'1.1 Control Panel'!R726</f>
        <v>6562.5</v>
      </c>
      <c r="S51" s="488">
        <f>'1.1 Control Panel'!S728*'1.1 Control Panel'!S726</f>
        <v>6562.5</v>
      </c>
      <c r="T51" s="488">
        <f>'1.1 Control Panel'!T728*'1.1 Control Panel'!T726</f>
        <v>6562.5</v>
      </c>
      <c r="U51" s="488">
        <f>'1.1 Control Panel'!U728*'1.1 Control Panel'!U726</f>
        <v>6562.5</v>
      </c>
      <c r="V51" s="488">
        <f>'1.1 Control Panel'!V728*'1.1 Control Panel'!V726</f>
        <v>6562.5</v>
      </c>
      <c r="W51" s="488">
        <f>'1.1 Control Panel'!W728*'1.1 Control Panel'!W726</f>
        <v>6562.5</v>
      </c>
      <c r="X51" s="488">
        <f>'1.1 Control Panel'!X728*'1.1 Control Panel'!X726</f>
        <v>6562.5</v>
      </c>
      <c r="Y51" s="488">
        <f>'1.1 Control Panel'!Y728*'1.1 Control Panel'!Y726</f>
        <v>6562.5</v>
      </c>
      <c r="Z51" s="488">
        <f>'1.1 Control Panel'!Z728*'1.1 Control Panel'!Z726</f>
        <v>6562.5</v>
      </c>
      <c r="AA51" s="488">
        <f>'1.1 Control Panel'!AA728*'1.1 Control Panel'!AA726</f>
        <v>6562.5</v>
      </c>
      <c r="AB51" s="488">
        <f>'1.1 Control Panel'!AB728*'1.1 Control Panel'!AB726</f>
        <v>6562.5</v>
      </c>
      <c r="AC51" s="488">
        <f>'1.1 Control Panel'!AC728*'1.1 Control Panel'!AC726</f>
        <v>6890.625</v>
      </c>
      <c r="AD51" s="488">
        <f>'1.1 Control Panel'!AD728*'1.1 Control Panel'!AD726</f>
        <v>6890.625</v>
      </c>
      <c r="AE51" s="488">
        <f>'1.1 Control Panel'!AE728*'1.1 Control Panel'!AE726</f>
        <v>6890.625</v>
      </c>
      <c r="AF51" s="488">
        <f>'1.1 Control Panel'!AF728*'1.1 Control Panel'!AF726</f>
        <v>6890.625</v>
      </c>
      <c r="AG51" s="488">
        <f>'1.1 Control Panel'!AG728*'1.1 Control Panel'!AG726</f>
        <v>6890.625</v>
      </c>
      <c r="AH51" s="488">
        <f>'1.1 Control Panel'!AH728*'1.1 Control Panel'!AH726</f>
        <v>6890.625</v>
      </c>
      <c r="AI51" s="488">
        <f>'1.1 Control Panel'!AI728*'1.1 Control Panel'!AI726</f>
        <v>6890.625</v>
      </c>
      <c r="AJ51" s="488">
        <f>'1.1 Control Panel'!AJ728*'1.1 Control Panel'!AJ726</f>
        <v>6890.625</v>
      </c>
      <c r="AK51" s="488">
        <f>'1.1 Control Panel'!AK728*'1.1 Control Panel'!AK726</f>
        <v>6890.625</v>
      </c>
      <c r="AL51" s="488">
        <f>'1.1 Control Panel'!AL728*'1.1 Control Panel'!AL726</f>
        <v>6890.625</v>
      </c>
      <c r="AM51" s="488">
        <f>'1.1 Control Panel'!AM728*'1.1 Control Panel'!AM726</f>
        <v>6890.625</v>
      </c>
      <c r="AN51" s="488">
        <f>'1.1 Control Panel'!AN728*'1.1 Control Panel'!AN726</f>
        <v>6890.625</v>
      </c>
      <c r="AO51" s="428"/>
      <c r="AP51" s="416"/>
    </row>
    <row r="52" spans="2:42" ht="11.5" customHeight="1" x14ac:dyDescent="0.25">
      <c r="C52" s="436" t="s">
        <v>710</v>
      </c>
      <c r="D52" s="435" t="s">
        <v>46</v>
      </c>
      <c r="E52" s="472">
        <f>E53*E54</f>
        <v>0</v>
      </c>
      <c r="F52" s="472">
        <f t="shared" ref="F52:AN52" si="228">F53*F54</f>
        <v>0</v>
      </c>
      <c r="G52" s="472">
        <f t="shared" si="228"/>
        <v>0</v>
      </c>
      <c r="H52" s="472">
        <f t="shared" si="228"/>
        <v>0</v>
      </c>
      <c r="I52" s="472">
        <f t="shared" si="228"/>
        <v>0</v>
      </c>
      <c r="J52" s="472">
        <f t="shared" si="228"/>
        <v>543750</v>
      </c>
      <c r="K52" s="472">
        <f t="shared" si="228"/>
        <v>1406250</v>
      </c>
      <c r="L52" s="472">
        <f t="shared" si="228"/>
        <v>2212500</v>
      </c>
      <c r="M52" s="472">
        <f t="shared" si="228"/>
        <v>2962500</v>
      </c>
      <c r="N52" s="472">
        <f t="shared" si="228"/>
        <v>3993750</v>
      </c>
      <c r="O52" s="472">
        <f t="shared" si="228"/>
        <v>5550000</v>
      </c>
      <c r="P52" s="472">
        <f t="shared" si="228"/>
        <v>7068750</v>
      </c>
      <c r="Q52" s="472">
        <f t="shared" si="228"/>
        <v>8780625</v>
      </c>
      <c r="R52" s="472">
        <f t="shared" si="228"/>
        <v>10355625</v>
      </c>
      <c r="S52" s="472">
        <f t="shared" si="228"/>
        <v>12009375</v>
      </c>
      <c r="T52" s="472">
        <f t="shared" si="228"/>
        <v>13564687.5</v>
      </c>
      <c r="U52" s="472">
        <f t="shared" si="228"/>
        <v>15060937.5</v>
      </c>
      <c r="V52" s="472">
        <f t="shared" si="228"/>
        <v>17049375</v>
      </c>
      <c r="W52" s="472">
        <f t="shared" si="228"/>
        <v>19530000</v>
      </c>
      <c r="X52" s="472">
        <f t="shared" si="228"/>
        <v>21557812.5</v>
      </c>
      <c r="Y52" s="472">
        <f t="shared" si="228"/>
        <v>23270625</v>
      </c>
      <c r="Z52" s="472">
        <f t="shared" si="228"/>
        <v>26184375</v>
      </c>
      <c r="AA52" s="472">
        <f t="shared" si="228"/>
        <v>29058750</v>
      </c>
      <c r="AB52" s="472">
        <f t="shared" si="228"/>
        <v>31618125</v>
      </c>
      <c r="AC52" s="472">
        <f t="shared" si="228"/>
        <v>35576296.875</v>
      </c>
      <c r="AD52" s="472">
        <f t="shared" si="228"/>
        <v>37664156.25</v>
      </c>
      <c r="AE52" s="472">
        <f t="shared" si="228"/>
        <v>39669328.125</v>
      </c>
      <c r="AF52" s="472">
        <f t="shared" si="228"/>
        <v>41323078.125</v>
      </c>
      <c r="AG52" s="472">
        <f t="shared" si="228"/>
        <v>42790781.25</v>
      </c>
      <c r="AH52" s="472">
        <f t="shared" si="228"/>
        <v>46677093.75</v>
      </c>
      <c r="AI52" s="472">
        <f t="shared" si="228"/>
        <v>52775296.875</v>
      </c>
      <c r="AJ52" s="472">
        <f t="shared" si="228"/>
        <v>58005281.25</v>
      </c>
      <c r="AK52" s="472">
        <f t="shared" si="228"/>
        <v>62573765.625</v>
      </c>
      <c r="AL52" s="472">
        <f t="shared" si="228"/>
        <v>68858015.625</v>
      </c>
      <c r="AM52" s="472">
        <f t="shared" si="228"/>
        <v>77188781.25</v>
      </c>
      <c r="AN52" s="472">
        <f t="shared" si="228"/>
        <v>84382593.75</v>
      </c>
      <c r="AO52" s="428"/>
      <c r="AP52" s="436"/>
    </row>
    <row r="53" spans="2:42" ht="11.5" customHeight="1" x14ac:dyDescent="0.25">
      <c r="C53" s="428" t="s">
        <v>704</v>
      </c>
      <c r="D53" s="437" t="s">
        <v>162</v>
      </c>
      <c r="E53" s="471">
        <f>E80</f>
        <v>0</v>
      </c>
      <c r="F53" s="471">
        <f t="shared" ref="F53:AN53" si="229">F80</f>
        <v>0</v>
      </c>
      <c r="G53" s="471">
        <f t="shared" si="229"/>
        <v>0</v>
      </c>
      <c r="H53" s="471">
        <f t="shared" si="229"/>
        <v>0</v>
      </c>
      <c r="I53" s="471">
        <f t="shared" si="229"/>
        <v>0</v>
      </c>
      <c r="J53" s="471">
        <f t="shared" si="229"/>
        <v>29</v>
      </c>
      <c r="K53" s="471">
        <f t="shared" si="229"/>
        <v>75</v>
      </c>
      <c r="L53" s="471">
        <f t="shared" si="229"/>
        <v>118</v>
      </c>
      <c r="M53" s="471">
        <f t="shared" si="229"/>
        <v>158</v>
      </c>
      <c r="N53" s="471">
        <f t="shared" si="229"/>
        <v>213</v>
      </c>
      <c r="O53" s="471">
        <f t="shared" si="229"/>
        <v>296</v>
      </c>
      <c r="P53" s="471">
        <f t="shared" si="229"/>
        <v>377</v>
      </c>
      <c r="Q53" s="471">
        <f t="shared" si="229"/>
        <v>446</v>
      </c>
      <c r="R53" s="471">
        <f t="shared" si="229"/>
        <v>526</v>
      </c>
      <c r="S53" s="471">
        <f t="shared" si="229"/>
        <v>610</v>
      </c>
      <c r="T53" s="471">
        <f t="shared" si="229"/>
        <v>689</v>
      </c>
      <c r="U53" s="471">
        <f t="shared" si="229"/>
        <v>765</v>
      </c>
      <c r="V53" s="471">
        <f t="shared" si="229"/>
        <v>866</v>
      </c>
      <c r="W53" s="471">
        <f t="shared" si="229"/>
        <v>992</v>
      </c>
      <c r="X53" s="471">
        <f t="shared" si="229"/>
        <v>1095</v>
      </c>
      <c r="Y53" s="471">
        <f t="shared" si="229"/>
        <v>1182</v>
      </c>
      <c r="Z53" s="471">
        <f t="shared" si="229"/>
        <v>1330</v>
      </c>
      <c r="AA53" s="471">
        <f t="shared" si="229"/>
        <v>1476</v>
      </c>
      <c r="AB53" s="471">
        <f t="shared" si="229"/>
        <v>1606</v>
      </c>
      <c r="AC53" s="471">
        <f t="shared" si="229"/>
        <v>1721</v>
      </c>
      <c r="AD53" s="471">
        <f t="shared" si="229"/>
        <v>1822</v>
      </c>
      <c r="AE53" s="471">
        <f t="shared" si="229"/>
        <v>1919</v>
      </c>
      <c r="AF53" s="471">
        <f t="shared" si="229"/>
        <v>1999</v>
      </c>
      <c r="AG53" s="471">
        <f t="shared" si="229"/>
        <v>2070</v>
      </c>
      <c r="AH53" s="471">
        <f t="shared" si="229"/>
        <v>2258</v>
      </c>
      <c r="AI53" s="471">
        <f t="shared" si="229"/>
        <v>2553</v>
      </c>
      <c r="AJ53" s="471">
        <f t="shared" si="229"/>
        <v>2806</v>
      </c>
      <c r="AK53" s="471">
        <f t="shared" si="229"/>
        <v>3027</v>
      </c>
      <c r="AL53" s="471">
        <f t="shared" si="229"/>
        <v>3331</v>
      </c>
      <c r="AM53" s="471">
        <f t="shared" si="229"/>
        <v>3734</v>
      </c>
      <c r="AN53" s="471">
        <f t="shared" si="229"/>
        <v>4082</v>
      </c>
      <c r="AO53" s="428"/>
      <c r="AP53" s="428"/>
    </row>
    <row r="54" spans="2:42" ht="11.5" customHeight="1" x14ac:dyDescent="0.25">
      <c r="C54" s="432" t="s">
        <v>687</v>
      </c>
      <c r="D54" s="433" t="s">
        <v>46</v>
      </c>
      <c r="E54" s="498">
        <f>'1.1 Control Panel'!E728*(1-'1.1 Control Panel'!E726)</f>
        <v>18750</v>
      </c>
      <c r="F54" s="498">
        <f>'1.1 Control Panel'!F728*(1-'1.1 Control Panel'!F726)</f>
        <v>18750</v>
      </c>
      <c r="G54" s="498">
        <f>'1.1 Control Panel'!G728*(1-'1.1 Control Panel'!G726)</f>
        <v>18750</v>
      </c>
      <c r="H54" s="498">
        <f>'1.1 Control Panel'!H728*(1-'1.1 Control Panel'!H726)</f>
        <v>18750</v>
      </c>
      <c r="I54" s="498">
        <f>'1.1 Control Panel'!I728*(1-'1.1 Control Panel'!I726)</f>
        <v>18750</v>
      </c>
      <c r="J54" s="498">
        <f>'1.1 Control Panel'!J728*(1-'1.1 Control Panel'!J726)</f>
        <v>18750</v>
      </c>
      <c r="K54" s="498">
        <f>'1.1 Control Panel'!K728*(1-'1.1 Control Panel'!K726)</f>
        <v>18750</v>
      </c>
      <c r="L54" s="498">
        <f>'1.1 Control Panel'!L728*(1-'1.1 Control Panel'!L726)</f>
        <v>18750</v>
      </c>
      <c r="M54" s="498">
        <f>'1.1 Control Panel'!M728*(1-'1.1 Control Panel'!M726)</f>
        <v>18750</v>
      </c>
      <c r="N54" s="498">
        <f>'1.1 Control Panel'!N728*(1-'1.1 Control Panel'!N726)</f>
        <v>18750</v>
      </c>
      <c r="O54" s="498">
        <f>'1.1 Control Panel'!O728*(1-'1.1 Control Panel'!O726)</f>
        <v>18750</v>
      </c>
      <c r="P54" s="498">
        <f>'1.1 Control Panel'!P728*(1-'1.1 Control Panel'!P726)</f>
        <v>18750</v>
      </c>
      <c r="Q54" s="498">
        <f>'1.1 Control Panel'!Q728*(1-'1.1 Control Panel'!Q726)</f>
        <v>19687.5</v>
      </c>
      <c r="R54" s="498">
        <f>'1.1 Control Panel'!R728*(1-'1.1 Control Panel'!R726)</f>
        <v>19687.5</v>
      </c>
      <c r="S54" s="498">
        <f>'1.1 Control Panel'!S728*(1-'1.1 Control Panel'!S726)</f>
        <v>19687.5</v>
      </c>
      <c r="T54" s="498">
        <f>'1.1 Control Panel'!T728*(1-'1.1 Control Panel'!T726)</f>
        <v>19687.5</v>
      </c>
      <c r="U54" s="498">
        <f>'1.1 Control Panel'!U728*(1-'1.1 Control Panel'!U726)</f>
        <v>19687.5</v>
      </c>
      <c r="V54" s="498">
        <f>'1.1 Control Panel'!V728*(1-'1.1 Control Panel'!V726)</f>
        <v>19687.5</v>
      </c>
      <c r="W54" s="498">
        <f>'1.1 Control Panel'!W728*(1-'1.1 Control Panel'!W726)</f>
        <v>19687.5</v>
      </c>
      <c r="X54" s="498">
        <f>'1.1 Control Panel'!X728*(1-'1.1 Control Panel'!X726)</f>
        <v>19687.5</v>
      </c>
      <c r="Y54" s="498">
        <f>'1.1 Control Panel'!Y728*(1-'1.1 Control Panel'!Y726)</f>
        <v>19687.5</v>
      </c>
      <c r="Z54" s="498">
        <f>'1.1 Control Panel'!Z728*(1-'1.1 Control Panel'!Z726)</f>
        <v>19687.5</v>
      </c>
      <c r="AA54" s="498">
        <f>'1.1 Control Panel'!AA728*(1-'1.1 Control Panel'!AA726)</f>
        <v>19687.5</v>
      </c>
      <c r="AB54" s="498">
        <f>'1.1 Control Panel'!AB728*(1-'1.1 Control Panel'!AB726)</f>
        <v>19687.5</v>
      </c>
      <c r="AC54" s="498">
        <f>'1.1 Control Panel'!AC728*(1-'1.1 Control Panel'!AC726)</f>
        <v>20671.875</v>
      </c>
      <c r="AD54" s="498">
        <f>'1.1 Control Panel'!AD728*(1-'1.1 Control Panel'!AD726)</f>
        <v>20671.875</v>
      </c>
      <c r="AE54" s="498">
        <f>'1.1 Control Panel'!AE728*(1-'1.1 Control Panel'!AE726)</f>
        <v>20671.875</v>
      </c>
      <c r="AF54" s="498">
        <f>'1.1 Control Panel'!AF728*(1-'1.1 Control Panel'!AF726)</f>
        <v>20671.875</v>
      </c>
      <c r="AG54" s="498">
        <f>'1.1 Control Panel'!AG728*(1-'1.1 Control Panel'!AG726)</f>
        <v>20671.875</v>
      </c>
      <c r="AH54" s="498">
        <f>'1.1 Control Panel'!AH728*(1-'1.1 Control Panel'!AH726)</f>
        <v>20671.875</v>
      </c>
      <c r="AI54" s="498">
        <f>'1.1 Control Panel'!AI728*(1-'1.1 Control Panel'!AI726)</f>
        <v>20671.875</v>
      </c>
      <c r="AJ54" s="498">
        <f>'1.1 Control Panel'!AJ728*(1-'1.1 Control Panel'!AJ726)</f>
        <v>20671.875</v>
      </c>
      <c r="AK54" s="498">
        <f>'1.1 Control Panel'!AK728*(1-'1.1 Control Panel'!AK726)</f>
        <v>20671.875</v>
      </c>
      <c r="AL54" s="498">
        <f>'1.1 Control Panel'!AL728*(1-'1.1 Control Panel'!AL726)</f>
        <v>20671.875</v>
      </c>
      <c r="AM54" s="498">
        <f>'1.1 Control Panel'!AM728*(1-'1.1 Control Panel'!AM726)</f>
        <v>20671.875</v>
      </c>
      <c r="AN54" s="498">
        <f>'1.1 Control Panel'!AN728*(1-'1.1 Control Panel'!AN726)</f>
        <v>20671.875</v>
      </c>
      <c r="AO54" s="428"/>
      <c r="AP54" s="432"/>
    </row>
    <row r="55" spans="2:42" ht="11.5" customHeight="1" x14ac:dyDescent="0.25">
      <c r="B55" s="19" t="s">
        <v>9</v>
      </c>
      <c r="C55" s="438" t="s">
        <v>688</v>
      </c>
      <c r="D55" s="475" t="s">
        <v>46</v>
      </c>
      <c r="E55" s="476">
        <f>SUM(E56:E58)</f>
        <v>5625.28</v>
      </c>
      <c r="F55" s="476">
        <f t="shared" ref="F55:AN55" ca="1" si="230">SUM(F56:F58)</f>
        <v>8407.94</v>
      </c>
      <c r="G55" s="476">
        <f t="shared" ca="1" si="230"/>
        <v>10970.580000000002</v>
      </c>
      <c r="H55" s="476">
        <f t="shared" ca="1" si="230"/>
        <v>13211.04</v>
      </c>
      <c r="I55" s="476">
        <f t="shared" ca="1" si="230"/>
        <v>18617.060000000001</v>
      </c>
      <c r="J55" s="476">
        <f t="shared" ca="1" si="230"/>
        <v>31501.279999999999</v>
      </c>
      <c r="K55" s="476">
        <f t="shared" ca="1" si="230"/>
        <v>44093</v>
      </c>
      <c r="L55" s="476">
        <f t="shared" ca="1" si="230"/>
        <v>55545.320000000007</v>
      </c>
      <c r="M55" s="476">
        <f t="shared" ca="1" si="230"/>
        <v>69703.28</v>
      </c>
      <c r="N55" s="476">
        <f t="shared" ca="1" si="230"/>
        <v>84816.94</v>
      </c>
      <c r="O55" s="476">
        <f t="shared" ca="1" si="230"/>
        <v>104942.66</v>
      </c>
      <c r="P55" s="476">
        <f t="shared" ca="1" si="230"/>
        <v>124510.66</v>
      </c>
      <c r="Q55" s="476">
        <f t="shared" ca="1" si="230"/>
        <v>160053.74</v>
      </c>
      <c r="R55" s="476">
        <f t="shared" ca="1" si="230"/>
        <v>181911.01</v>
      </c>
      <c r="S55" s="476">
        <f t="shared" ca="1" si="230"/>
        <v>203444.005</v>
      </c>
      <c r="T55" s="476">
        <f t="shared" ca="1" si="230"/>
        <v>223194.185</v>
      </c>
      <c r="U55" s="476">
        <f t="shared" ca="1" si="230"/>
        <v>259104.565</v>
      </c>
      <c r="V55" s="476">
        <f t="shared" ca="1" si="230"/>
        <v>285962.15000000002</v>
      </c>
      <c r="W55" s="476">
        <f t="shared" ca="1" si="230"/>
        <v>316954.37</v>
      </c>
      <c r="X55" s="476">
        <f t="shared" ca="1" si="230"/>
        <v>342676.01</v>
      </c>
      <c r="Y55" s="476">
        <f t="shared" ca="1" si="230"/>
        <v>368044.95999999996</v>
      </c>
      <c r="Z55" s="476">
        <f t="shared" ca="1" si="230"/>
        <v>401776.40500000003</v>
      </c>
      <c r="AA55" s="476">
        <f t="shared" ca="1" si="230"/>
        <v>434303.39500000002</v>
      </c>
      <c r="AB55" s="476">
        <f t="shared" ca="1" si="230"/>
        <v>463254.58</v>
      </c>
      <c r="AC55" s="476">
        <f t="shared" ca="1" si="230"/>
        <v>551592.58125000005</v>
      </c>
      <c r="AD55" s="476">
        <f t="shared" ca="1" si="230"/>
        <v>587399.29875000007</v>
      </c>
      <c r="AE55" s="476">
        <f t="shared" ca="1" si="230"/>
        <v>620277.33875000011</v>
      </c>
      <c r="AF55" s="476">
        <f t="shared" ca="1" si="230"/>
        <v>647979.15999999992</v>
      </c>
      <c r="AG55" s="476">
        <f t="shared" ca="1" si="230"/>
        <v>712807.31125000003</v>
      </c>
      <c r="AH55" s="750">
        <f t="shared" ca="1" si="230"/>
        <v>772102.255</v>
      </c>
      <c r="AI55" s="476">
        <f t="shared" ca="1" si="230"/>
        <v>850710.24124999996</v>
      </c>
      <c r="AJ55" s="476">
        <f t="shared" ca="1" si="230"/>
        <v>918311.71250000002</v>
      </c>
      <c r="AK55" s="476">
        <f t="shared" ca="1" si="230"/>
        <v>1011145.345</v>
      </c>
      <c r="AL55" s="476">
        <f t="shared" ca="1" si="230"/>
        <v>1096876.2637499999</v>
      </c>
      <c r="AM55" s="476">
        <f t="shared" ca="1" si="230"/>
        <v>1199177.84375</v>
      </c>
      <c r="AN55" s="476">
        <f t="shared" ca="1" si="230"/>
        <v>1287074.0375000001</v>
      </c>
      <c r="AO55" s="428"/>
      <c r="AP55" s="441"/>
    </row>
    <row r="56" spans="2:42" ht="11.5" customHeight="1" x14ac:dyDescent="0.25">
      <c r="C56" s="429" t="s">
        <v>689</v>
      </c>
      <c r="D56" s="430" t="s">
        <v>46</v>
      </c>
      <c r="E56" s="414">
        <f>SUM(E13,E18,E33,E48)*'1.1 Control Panel'!E769</f>
        <v>3718.89</v>
      </c>
      <c r="F56" s="414">
        <f>SUM(F13,F18,F33,F48)*'1.1 Control Panel'!F769</f>
        <v>6547.72</v>
      </c>
      <c r="G56" s="414">
        <f>SUM(G13,G18,G33,G48)*'1.1 Control Panel'!G769</f>
        <v>9172.7900000000009</v>
      </c>
      <c r="H56" s="414">
        <f>SUM(H13,H18,H33,H48)*'1.1 Control Panel'!H769</f>
        <v>11543.02</v>
      </c>
      <c r="I56" s="414">
        <f>SUM(I13,I18,I33,I48)*'1.1 Control Panel'!I769</f>
        <v>15964.78</v>
      </c>
      <c r="J56" s="414">
        <f>SUM(J13,J18,J33,J48)*'1.1 Control Panel'!J769</f>
        <v>27719.39</v>
      </c>
      <c r="K56" s="414">
        <f>SUM(K13,K18,K33,K48)*'1.1 Control Panel'!K769</f>
        <v>40859</v>
      </c>
      <c r="L56" s="414">
        <f>SUM(L13,L18,L33,L48)*'1.1 Control Panel'!L769</f>
        <v>52772.66</v>
      </c>
      <c r="M56" s="414">
        <f>SUM(M13,M18,M33,M48)*'1.1 Control Panel'!M769</f>
        <v>66101.64</v>
      </c>
      <c r="N56" s="414">
        <f>SUM(N13,N18,N33,N48)*'1.1 Control Panel'!N769</f>
        <v>81439.72</v>
      </c>
      <c r="O56" s="414">
        <f>SUM(O13,O18,O33,O48)*'1.1 Control Panel'!O769</f>
        <v>101752.58</v>
      </c>
      <c r="P56" s="414">
        <f>SUM(P13,P18,P33,P48)*'1.1 Control Panel'!P769</f>
        <v>121505.33</v>
      </c>
      <c r="Q56" s="414">
        <f>SUM(Q13,Q18,Q33,Q48)*'1.1 Control Panel'!Q769</f>
        <v>152345.62</v>
      </c>
      <c r="R56" s="414">
        <f>SUM(R13,R18,R33,R48)*'1.1 Control Panel'!R769</f>
        <v>175283.63</v>
      </c>
      <c r="S56" s="414">
        <f>SUM(S13,S18,S33,S48)*'1.1 Control Panel'!S769</f>
        <v>197698.565</v>
      </c>
      <c r="T56" s="414">
        <f>SUM(T13,T18,T33,T48)*'1.1 Control Panel'!T769</f>
        <v>218204.905</v>
      </c>
      <c r="U56" s="414">
        <f>SUM(U13,U18,U33,U48)*'1.1 Control Panel'!U769</f>
        <v>248497.595</v>
      </c>
      <c r="V56" s="414">
        <f>SUM(V13,V18,V33,V48)*'1.1 Control Panel'!V769</f>
        <v>276659.20000000001</v>
      </c>
      <c r="W56" s="414">
        <f>SUM(W13,W18,W33,W48)*'1.1 Control Panel'!W769</f>
        <v>308824.06</v>
      </c>
      <c r="X56" s="414">
        <f>SUM(X13,X18,X33,X48)*'1.1 Control Panel'!X769</f>
        <v>335597.38</v>
      </c>
      <c r="Y56" s="414">
        <f>SUM(Y13,Y18,Y33,Y48)*'1.1 Control Panel'!Y769</f>
        <v>360159.98</v>
      </c>
      <c r="Z56" s="414">
        <f>SUM(Z13,Z18,Z33,Z48)*'1.1 Control Panel'!Z769</f>
        <v>394777.26500000001</v>
      </c>
      <c r="AA56" s="414">
        <f>SUM(AA13,AA18,AA33,AA48)*'1.1 Control Panel'!AA769</f>
        <v>428037.63500000001</v>
      </c>
      <c r="AB56" s="414">
        <f>SUM(AB13,AB18,AB33,AB48)*'1.1 Control Panel'!AB769</f>
        <v>457639.79000000004</v>
      </c>
      <c r="AC56" s="414">
        <f>SUM(AC13,AC18,AC33,AC48)*'1.1 Control Panel'!AC769</f>
        <v>531472.93125000002</v>
      </c>
      <c r="AD56" s="414">
        <f>SUM(AD13,AD18,AD33,AD48)*'1.1 Control Panel'!AD769</f>
        <v>569979.25875000004</v>
      </c>
      <c r="AE56" s="414">
        <f>SUM(AE13,AE18,AE33,AE48)*'1.1 Control Panel'!AE769</f>
        <v>605160.77875000006</v>
      </c>
      <c r="AF56" s="414">
        <f>SUM(AF13,AF18,AF33,AF48)*'1.1 Control Panel'!AF769</f>
        <v>634894.57999999996</v>
      </c>
      <c r="AG56" s="414">
        <f>SUM(AG13,AG18,AG33,AG48)*'1.1 Control Panel'!AG769</f>
        <v>685120.92125000001</v>
      </c>
      <c r="AH56" s="414">
        <f>SUM(AH13,AH18,AH33,AH48)*'1.1 Control Panel'!AH769</f>
        <v>748084.56500000006</v>
      </c>
      <c r="AI56" s="414">
        <f>SUM(AI13,AI18,AI33,AI48)*'1.1 Control Panel'!AI769</f>
        <v>829869.26124999998</v>
      </c>
      <c r="AJ56" s="414">
        <f>SUM(AJ13,AJ18,AJ33,AJ48)*'1.1 Control Panel'!AJ769</f>
        <v>900224.76250000007</v>
      </c>
      <c r="AK56" s="414">
        <f>SUM(AK13,AK18,AK33,AK48)*'1.1 Control Panel'!AK769</f>
        <v>983644.23499999999</v>
      </c>
      <c r="AL56" s="414">
        <f>SUM(AL13,AL18,AL33,AL48)*'1.1 Control Panel'!AL769</f>
        <v>1073469.30375</v>
      </c>
      <c r="AM56" s="414">
        <f>SUM(AM13,AM18,AM33,AM48)*'1.1 Control Panel'!AM769</f>
        <v>1179193.84375</v>
      </c>
      <c r="AN56" s="414">
        <f>SUM(AN13,AN18,AN33,AN48)*'1.1 Control Panel'!AN769</f>
        <v>1269963.7375</v>
      </c>
      <c r="AO56" s="428"/>
      <c r="AP56" s="429"/>
    </row>
    <row r="57" spans="2:42" ht="11.5" customHeight="1" x14ac:dyDescent="0.25">
      <c r="C57" s="428" t="s">
        <v>695</v>
      </c>
      <c r="D57" s="437" t="s">
        <v>46</v>
      </c>
      <c r="E57" s="471">
        <f>SUM(E18,E33)*'1.1 Control Panel'!E770</f>
        <v>1906.39</v>
      </c>
      <c r="F57" s="471">
        <f>SUM(F18,F33)*'1.1 Control Panel'!F770</f>
        <v>1860.22</v>
      </c>
      <c r="G57" s="471">
        <f>SUM(G18,G33)*'1.1 Control Panel'!G770</f>
        <v>1797.79</v>
      </c>
      <c r="H57" s="471">
        <f>SUM(H18,H33)*'1.1 Control Panel'!H770</f>
        <v>1668.02</v>
      </c>
      <c r="I57" s="471">
        <f>SUM(I18,I33)*'1.1 Control Panel'!I770</f>
        <v>2652.28</v>
      </c>
      <c r="J57" s="471">
        <f>SUM(J18,J33)*'1.1 Control Panel'!J770</f>
        <v>3781.89</v>
      </c>
      <c r="K57" s="471">
        <f>SUM(K18,K33)*'1.1 Control Panel'!K770</f>
        <v>3234</v>
      </c>
      <c r="L57" s="471">
        <f>SUM(L18,L33)*'1.1 Control Panel'!L770</f>
        <v>2772.66</v>
      </c>
      <c r="M57" s="471">
        <f>SUM(M18,M33)*'1.1 Control Panel'!M770</f>
        <v>3601.64</v>
      </c>
      <c r="N57" s="471">
        <f>SUM(N18,N33)*'1.1 Control Panel'!N770</f>
        <v>3377.2200000000003</v>
      </c>
      <c r="O57" s="471">
        <f>SUM(O18,O33)*'1.1 Control Panel'!O770</f>
        <v>3190.08</v>
      </c>
      <c r="P57" s="471">
        <f>SUM(P18,P33)*'1.1 Control Panel'!P770</f>
        <v>3005.33</v>
      </c>
      <c r="Q57" s="471">
        <f>SUM(Q18,Q33)*'1.1 Control Panel'!Q770</f>
        <v>7708.12</v>
      </c>
      <c r="R57" s="471">
        <f>SUM(R18,R33)*'1.1 Control Panel'!R770</f>
        <v>6627.38</v>
      </c>
      <c r="S57" s="471">
        <f>SUM(S18,S33)*'1.1 Control Panel'!S770</f>
        <v>5745.4400000000005</v>
      </c>
      <c r="T57" s="471">
        <f>SUM(T18,T33)*'1.1 Control Panel'!T770</f>
        <v>4989.28</v>
      </c>
      <c r="U57" s="471">
        <f>SUM(U18,U33)*'1.1 Control Panel'!U770</f>
        <v>10606.97</v>
      </c>
      <c r="V57" s="471">
        <f>SUM(V18,V33)*'1.1 Control Panel'!V770</f>
        <v>9302.9500000000007</v>
      </c>
      <c r="W57" s="471">
        <f>SUM(W18,W33)*'1.1 Control Panel'!W770</f>
        <v>8130.31</v>
      </c>
      <c r="X57" s="471">
        <f>SUM(X18,X33)*'1.1 Control Panel'!X770</f>
        <v>7078.63</v>
      </c>
      <c r="Y57" s="471">
        <f>SUM(Y18,Y33)*'1.1 Control Panel'!Y770</f>
        <v>7884.9800000000005</v>
      </c>
      <c r="Z57" s="471">
        <f>SUM(Z18,Z33)*'1.1 Control Panel'!Z770</f>
        <v>6999.14</v>
      </c>
      <c r="AA57" s="471">
        <f>SUM(AA18,AA33)*'1.1 Control Panel'!AA770</f>
        <v>6265.76</v>
      </c>
      <c r="AB57" s="471">
        <f>SUM(AB18,AB33)*'1.1 Control Panel'!AB770</f>
        <v>5614.79</v>
      </c>
      <c r="AC57" s="471">
        <f>SUM(AC18,AC33)*'1.1 Control Panel'!AC770</f>
        <v>20119.650000000001</v>
      </c>
      <c r="AD57" s="471">
        <f>SUM(AD18,AD33)*'1.1 Control Panel'!AD770</f>
        <v>17420.04</v>
      </c>
      <c r="AE57" s="471">
        <f>SUM(AE18,AE33)*'1.1 Control Panel'!AE770</f>
        <v>15116.56</v>
      </c>
      <c r="AF57" s="471">
        <f>SUM(AF18,AF33)*'1.1 Control Panel'!AF770</f>
        <v>13084.58</v>
      </c>
      <c r="AG57" s="471">
        <f>SUM(AG18,AG33)*'1.1 Control Panel'!AG770</f>
        <v>27686.39</v>
      </c>
      <c r="AH57" s="471">
        <f>SUM(AH18,AH33)*'1.1 Control Panel'!AH770</f>
        <v>24017.69</v>
      </c>
      <c r="AI57" s="471">
        <f>SUM(AI18,AI33)*'1.1 Control Panel'!AI770</f>
        <v>20840.98</v>
      </c>
      <c r="AJ57" s="471">
        <f>SUM(AJ18,AJ33)*'1.1 Control Panel'!AJ770</f>
        <v>18086.95</v>
      </c>
      <c r="AK57" s="471">
        <f>SUM(AK18,AK33)*'1.1 Control Panel'!AK770</f>
        <v>27501.11</v>
      </c>
      <c r="AL57" s="471">
        <f>SUM(AL18,AL33)*'1.1 Control Panel'!AL770</f>
        <v>23406.959999999999</v>
      </c>
      <c r="AM57" s="471">
        <f>SUM(AM18,AM33)*'1.1 Control Panel'!AM770</f>
        <v>19984</v>
      </c>
      <c r="AN57" s="471">
        <f>SUM(AN18,AN33)*'1.1 Control Panel'!AN770</f>
        <v>17110.3</v>
      </c>
      <c r="AO57" s="428"/>
      <c r="AP57" s="428"/>
    </row>
    <row r="58" spans="2:42" ht="11.5" customHeight="1" x14ac:dyDescent="0.25">
      <c r="C58" s="416" t="s">
        <v>690</v>
      </c>
      <c r="D58" s="434" t="s">
        <v>46</v>
      </c>
      <c r="E58" s="487">
        <v>0</v>
      </c>
      <c r="F58" s="488">
        <f ca="1">'2.2 BS'!E12*'1.1 Control Panel'!F772*'1.1 Control Panel'!F771</f>
        <v>0</v>
      </c>
      <c r="G58" s="488">
        <f ca="1">'2.2 BS'!F12*'1.1 Control Panel'!G772*'1.1 Control Panel'!G771</f>
        <v>0</v>
      </c>
      <c r="H58" s="488">
        <f ca="1">'2.2 BS'!G12*'1.1 Control Panel'!H772*'1.1 Control Panel'!H771</f>
        <v>0</v>
      </c>
      <c r="I58" s="488">
        <f ca="1">'2.2 BS'!H12*'1.1 Control Panel'!I772*'1.1 Control Panel'!I771</f>
        <v>0</v>
      </c>
      <c r="J58" s="488">
        <f ca="1">'2.2 BS'!I12*'1.1 Control Panel'!J772*'1.1 Control Panel'!J771</f>
        <v>0</v>
      </c>
      <c r="K58" s="488">
        <f ca="1">'2.2 BS'!J12*'1.1 Control Panel'!K772*'1.1 Control Panel'!K771</f>
        <v>0</v>
      </c>
      <c r="L58" s="488">
        <f ca="1">'2.2 BS'!K12*'1.1 Control Panel'!L772*'1.1 Control Panel'!L771</f>
        <v>0</v>
      </c>
      <c r="M58" s="488">
        <f ca="1">'2.2 BS'!L12*'1.1 Control Panel'!M772*'1.1 Control Panel'!M771</f>
        <v>0</v>
      </c>
      <c r="N58" s="488">
        <f ca="1">'2.2 BS'!M12*'1.1 Control Panel'!N772*'1.1 Control Panel'!N771</f>
        <v>0</v>
      </c>
      <c r="O58" s="488">
        <f ca="1">'2.2 BS'!N12*'1.1 Control Panel'!O772*'1.1 Control Panel'!O771</f>
        <v>0</v>
      </c>
      <c r="P58" s="488">
        <f ca="1">'2.2 BS'!O12*'1.1 Control Panel'!P772*'1.1 Control Panel'!P771</f>
        <v>0</v>
      </c>
      <c r="Q58" s="488">
        <f ca="1">'2.2 BS'!P12*'1.1 Control Panel'!Q772*'1.1 Control Panel'!Q771</f>
        <v>0</v>
      </c>
      <c r="R58" s="488">
        <f ca="1">'2.2 BS'!Q12*'1.1 Control Panel'!R772*'1.1 Control Panel'!R771</f>
        <v>0</v>
      </c>
      <c r="S58" s="488">
        <f ca="1">'2.2 BS'!R12*'1.1 Control Panel'!S772*'1.1 Control Panel'!S771</f>
        <v>0</v>
      </c>
      <c r="T58" s="488">
        <f ca="1">'2.2 BS'!S12*'1.1 Control Panel'!T772*'1.1 Control Panel'!T771</f>
        <v>0</v>
      </c>
      <c r="U58" s="488">
        <f ca="1">'2.2 BS'!T12*'1.1 Control Panel'!U772*'1.1 Control Panel'!U771</f>
        <v>0</v>
      </c>
      <c r="V58" s="488">
        <f ca="1">'2.2 BS'!U12*'1.1 Control Panel'!V772*'1.1 Control Panel'!V771</f>
        <v>0</v>
      </c>
      <c r="W58" s="488">
        <f ca="1">'2.2 BS'!V12*'1.1 Control Panel'!W772*'1.1 Control Panel'!W771</f>
        <v>0</v>
      </c>
      <c r="X58" s="488">
        <f ca="1">'2.2 BS'!W12*'1.1 Control Panel'!X772*'1.1 Control Panel'!X771</f>
        <v>0</v>
      </c>
      <c r="Y58" s="488">
        <f ca="1">'2.2 BS'!X12*'1.1 Control Panel'!Y772*'1.1 Control Panel'!Y771</f>
        <v>0</v>
      </c>
      <c r="Z58" s="488">
        <f ca="1">'2.2 BS'!Y12*'1.1 Control Panel'!Z772*'1.1 Control Panel'!Z771</f>
        <v>0</v>
      </c>
      <c r="AA58" s="488">
        <f ca="1">'2.2 BS'!Z12*'1.1 Control Panel'!AA772*'1.1 Control Panel'!AA771</f>
        <v>0</v>
      </c>
      <c r="AB58" s="488">
        <f ca="1">'2.2 BS'!AA12*'1.1 Control Panel'!AB772*'1.1 Control Panel'!AB771</f>
        <v>0</v>
      </c>
      <c r="AC58" s="488">
        <f ca="1">'2.2 BS'!AB12*'1.1 Control Panel'!AC772*'1.1 Control Panel'!AC771</f>
        <v>0</v>
      </c>
      <c r="AD58" s="488">
        <f ca="1">'2.2 BS'!AC12*'1.1 Control Panel'!AD772*'1.1 Control Panel'!AD771</f>
        <v>0</v>
      </c>
      <c r="AE58" s="488">
        <f ca="1">'2.2 BS'!AD12*'1.1 Control Panel'!AE772*'1.1 Control Panel'!AE771</f>
        <v>0</v>
      </c>
      <c r="AF58" s="488">
        <f ca="1">'2.2 BS'!AE12*'1.1 Control Panel'!AF772*'1.1 Control Panel'!AF771</f>
        <v>0</v>
      </c>
      <c r="AG58" s="488">
        <f ca="1">'2.2 BS'!AF12*'1.1 Control Panel'!AG772*'1.1 Control Panel'!AG771</f>
        <v>0</v>
      </c>
      <c r="AH58" s="488">
        <f ca="1">'2.2 BS'!AG12*'1.1 Control Panel'!AH772*'1.1 Control Panel'!AH771</f>
        <v>0</v>
      </c>
      <c r="AI58" s="488">
        <f ca="1">'2.2 BS'!AH12*'1.1 Control Panel'!AI772*'1.1 Control Panel'!AI771</f>
        <v>0</v>
      </c>
      <c r="AJ58" s="488">
        <f ca="1">'2.2 BS'!AI12*'1.1 Control Panel'!AJ772*'1.1 Control Panel'!AJ771</f>
        <v>0</v>
      </c>
      <c r="AK58" s="488">
        <f ca="1">'2.2 BS'!AJ12*'1.1 Control Panel'!AK772*'1.1 Control Panel'!AK771</f>
        <v>0</v>
      </c>
      <c r="AL58" s="488">
        <f ca="1">'2.2 BS'!AK12*'1.1 Control Panel'!AL772*'1.1 Control Panel'!AL771</f>
        <v>0</v>
      </c>
      <c r="AM58" s="488">
        <f ca="1">'2.2 BS'!AL12*'1.1 Control Panel'!AM772*'1.1 Control Panel'!AM771</f>
        <v>0</v>
      </c>
      <c r="AN58" s="488">
        <f ca="1">'2.2 BS'!AM12*'1.1 Control Panel'!AN772*'1.1 Control Panel'!AN771</f>
        <v>0</v>
      </c>
      <c r="AO58" s="428"/>
      <c r="AP58" s="416"/>
    </row>
    <row r="59" spans="2:42" ht="3" customHeight="1" x14ac:dyDescent="0.25"/>
    <row r="60" spans="2:42" s="12" customFormat="1" x14ac:dyDescent="0.25">
      <c r="B60" s="13" t="s">
        <v>0</v>
      </c>
      <c r="C60" s="451" t="s">
        <v>715</v>
      </c>
      <c r="D60" s="281" t="s">
        <v>14</v>
      </c>
      <c r="E60" s="254">
        <v>45688</v>
      </c>
      <c r="F60" s="254">
        <v>45716</v>
      </c>
      <c r="G60" s="254">
        <v>45747</v>
      </c>
      <c r="H60" s="254">
        <v>45777</v>
      </c>
      <c r="I60" s="254">
        <v>45808</v>
      </c>
      <c r="J60" s="254">
        <v>45838</v>
      </c>
      <c r="K60" s="254">
        <v>45869</v>
      </c>
      <c r="L60" s="254">
        <v>45900</v>
      </c>
      <c r="M60" s="254">
        <v>45930</v>
      </c>
      <c r="N60" s="254">
        <v>45961</v>
      </c>
      <c r="O60" s="254">
        <v>45991</v>
      </c>
      <c r="P60" s="254">
        <v>46022</v>
      </c>
      <c r="Q60" s="254">
        <f>E60+365.25</f>
        <v>46053.25</v>
      </c>
      <c r="R60" s="254">
        <f t="shared" ref="R60" si="231">F60+365.25</f>
        <v>46081.25</v>
      </c>
      <c r="S60" s="254">
        <f t="shared" ref="S60" si="232">G60+365.25</f>
        <v>46112.25</v>
      </c>
      <c r="T60" s="254">
        <f t="shared" ref="T60" si="233">H60+365.25</f>
        <v>46142.25</v>
      </c>
      <c r="U60" s="254">
        <f t="shared" ref="U60" si="234">I60+365.25</f>
        <v>46173.25</v>
      </c>
      <c r="V60" s="254">
        <f t="shared" ref="V60" si="235">J60+365.25</f>
        <v>46203.25</v>
      </c>
      <c r="W60" s="254">
        <f t="shared" ref="W60" si="236">K60+365.25</f>
        <v>46234.25</v>
      </c>
      <c r="X60" s="254">
        <f t="shared" ref="X60" si="237">L60+365.25</f>
        <v>46265.25</v>
      </c>
      <c r="Y60" s="254">
        <f t="shared" ref="Y60" si="238">M60+365.25</f>
        <v>46295.25</v>
      </c>
      <c r="Z60" s="254">
        <f t="shared" ref="Z60" si="239">N60+365.25</f>
        <v>46326.25</v>
      </c>
      <c r="AA60" s="254">
        <f t="shared" ref="AA60" si="240">O60+365.25</f>
        <v>46356.25</v>
      </c>
      <c r="AB60" s="254">
        <f t="shared" ref="AB60" si="241">P60+365.25</f>
        <v>46387.25</v>
      </c>
      <c r="AC60" s="254">
        <f t="shared" ref="AC60" si="242">Q60+365.25</f>
        <v>46418.5</v>
      </c>
      <c r="AD60" s="254">
        <f t="shared" ref="AD60" si="243">R60+365.25</f>
        <v>46446.5</v>
      </c>
      <c r="AE60" s="254">
        <f t="shared" ref="AE60" si="244">S60+365.25</f>
        <v>46477.5</v>
      </c>
      <c r="AF60" s="254">
        <f t="shared" ref="AF60" si="245">T60+365.25</f>
        <v>46507.5</v>
      </c>
      <c r="AG60" s="254">
        <f t="shared" ref="AG60" si="246">U60+365.25</f>
        <v>46538.5</v>
      </c>
      <c r="AH60" s="254">
        <f t="shared" ref="AH60" si="247">V60+365.25</f>
        <v>46568.5</v>
      </c>
      <c r="AI60" s="254">
        <f t="shared" ref="AI60" si="248">W60+365.25</f>
        <v>46599.5</v>
      </c>
      <c r="AJ60" s="254">
        <f t="shared" ref="AJ60" si="249">X60+365.25</f>
        <v>46630.5</v>
      </c>
      <c r="AK60" s="254">
        <f t="shared" ref="AK60" si="250">Y60+365.25</f>
        <v>46660.5</v>
      </c>
      <c r="AL60" s="254">
        <f t="shared" ref="AL60" si="251">Z60+365.25</f>
        <v>46691.5</v>
      </c>
      <c r="AM60" s="254">
        <f t="shared" ref="AM60" si="252">AA60+365.25</f>
        <v>46721.5</v>
      </c>
      <c r="AN60" s="254">
        <f t="shared" ref="AN60" si="253">AB60+365.25</f>
        <v>46752.5</v>
      </c>
      <c r="AP60" s="15"/>
    </row>
    <row r="61" spans="2:42" s="16" customFormat="1" x14ac:dyDescent="0.25">
      <c r="B61" s="452"/>
      <c r="C61" s="453" t="s">
        <v>716</v>
      </c>
      <c r="D61" s="454"/>
      <c r="E61" s="455"/>
      <c r="F61" s="455"/>
      <c r="G61" s="455"/>
      <c r="H61" s="455"/>
      <c r="I61" s="455"/>
      <c r="J61" s="455"/>
      <c r="K61" s="455"/>
      <c r="L61" s="455"/>
      <c r="M61" s="455"/>
      <c r="N61" s="455"/>
      <c r="O61" s="455"/>
      <c r="P61" s="455"/>
      <c r="Q61" s="455"/>
      <c r="R61" s="455"/>
      <c r="S61" s="455"/>
      <c r="T61" s="455"/>
      <c r="U61" s="455"/>
      <c r="V61" s="455"/>
      <c r="W61" s="455"/>
      <c r="X61" s="455"/>
      <c r="Y61" s="455"/>
      <c r="Z61" s="455"/>
      <c r="AA61" s="455"/>
      <c r="AB61" s="455"/>
      <c r="AC61" s="455"/>
      <c r="AD61" s="455"/>
      <c r="AE61" s="455"/>
      <c r="AF61" s="455"/>
      <c r="AG61" s="455"/>
      <c r="AH61" s="455"/>
      <c r="AI61" s="455"/>
      <c r="AJ61" s="455"/>
      <c r="AK61" s="455"/>
      <c r="AL61" s="455"/>
      <c r="AM61" s="455"/>
      <c r="AN61" s="455"/>
      <c r="AP61" s="456"/>
    </row>
    <row r="62" spans="2:42" s="227" customFormat="1" x14ac:dyDescent="0.25">
      <c r="C62" s="482" t="s">
        <v>433</v>
      </c>
      <c r="D62" s="483" t="s">
        <v>162</v>
      </c>
      <c r="E62" s="485">
        <f>ROUND('3.2 Doojo Base'!E18*'1.1 Control Panel'!E$703,0)</f>
        <v>371</v>
      </c>
      <c r="F62" s="484">
        <f>ROUND('3.2 Doojo Base'!F18*'1.1 Control Panel'!F$703,0)</f>
        <v>440</v>
      </c>
      <c r="G62" s="484">
        <f>ROUND('3.2 Doojo Base'!G18*'1.1 Control Panel'!G$703,0)</f>
        <v>497</v>
      </c>
      <c r="H62" s="484">
        <f>ROUND('3.2 Doojo Base'!H18*'1.1 Control Panel'!H$703,0)</f>
        <v>541</v>
      </c>
      <c r="I62" s="484">
        <f>ROUND('3.2 Doojo Base'!I18*'1.1 Control Panel'!I$703,0)</f>
        <v>798</v>
      </c>
      <c r="J62" s="484">
        <f>ROUND('3.2 Doojo Base'!J18*'1.1 Control Panel'!J$703,0)</f>
        <v>1127</v>
      </c>
      <c r="K62" s="484">
        <f>ROUND('3.2 Doojo Base'!K18*'1.1 Control Panel'!K$703,0)</f>
        <v>1169</v>
      </c>
      <c r="L62" s="484">
        <f>ROUND('3.2 Doojo Base'!L18*'1.1 Control Panel'!L$703,0)</f>
        <v>1203</v>
      </c>
      <c r="M62" s="484">
        <f>ROUND('3.2 Doojo Base'!M18*'1.1 Control Panel'!M$703,0)</f>
        <v>1479</v>
      </c>
      <c r="N62" s="484">
        <f>ROUND('3.2 Doojo Base'!N18*'1.1 Control Panel'!N$703,0)</f>
        <v>1583</v>
      </c>
      <c r="O62" s="484">
        <f>ROUND('3.2 Doojo Base'!O18*'1.1 Control Panel'!O$703,0)</f>
        <v>1684</v>
      </c>
      <c r="P62" s="484">
        <f>ROUND('3.2 Doojo Base'!P18*'1.1 Control Panel'!P$703,0)</f>
        <v>1782</v>
      </c>
      <c r="Q62" s="484">
        <f>ROUND('3.2 Doojo Base'!Q18*'1.1 Control Panel'!Q$703,0)</f>
        <v>2751</v>
      </c>
      <c r="R62" s="484">
        <f>ROUND('3.2 Doojo Base'!R18*'1.1 Control Panel'!R$703,0)</f>
        <v>2769</v>
      </c>
      <c r="S62" s="484">
        <f>ROUND('3.2 Doojo Base'!S18*'1.1 Control Panel'!S$703,0)</f>
        <v>2784</v>
      </c>
      <c r="T62" s="484">
        <f>ROUND('3.2 Doojo Base'!T18*'1.1 Control Panel'!T$703,0)</f>
        <v>2796</v>
      </c>
      <c r="U62" s="484">
        <f>ROUND('3.2 Doojo Base'!U18*'1.1 Control Panel'!U$703,0)</f>
        <v>4019</v>
      </c>
      <c r="V62" s="484">
        <f>ROUND('3.2 Doojo Base'!V18*'1.1 Control Panel'!V$703,0)</f>
        <v>4030</v>
      </c>
      <c r="W62" s="484">
        <f>ROUND('3.2 Doojo Base'!W18*'1.1 Control Panel'!W$703,0)</f>
        <v>4038</v>
      </c>
      <c r="X62" s="484">
        <f>ROUND('3.2 Doojo Base'!X18*'1.1 Control Panel'!X$703,0)</f>
        <v>4045</v>
      </c>
      <c r="Y62" s="484">
        <f>ROUND('3.2 Doojo Base'!Y18*'1.1 Control Panel'!Y$703,0)</f>
        <v>4362</v>
      </c>
      <c r="Z62" s="484">
        <f>ROUND('3.2 Doojo Base'!Z18*'1.1 Control Panel'!Z$703,0)</f>
        <v>4367</v>
      </c>
      <c r="AA62" s="484">
        <f>ROUND('3.2 Doojo Base'!AA18*'1.1 Control Panel'!AA$703,0)</f>
        <v>4371</v>
      </c>
      <c r="AB62" s="484">
        <f>ROUND('3.2 Doojo Base'!AB18*'1.1 Control Panel'!AB$703,0)</f>
        <v>4374</v>
      </c>
      <c r="AC62" s="484">
        <f>ROUND('3.2 Doojo Base'!AC18*'1.1 Control Panel'!AC$703,0)</f>
        <v>7254</v>
      </c>
      <c r="AD62" s="484">
        <f>ROUND('3.2 Doojo Base'!AD18*'1.1 Control Panel'!AD$703,0)</f>
        <v>7257</v>
      </c>
      <c r="AE62" s="484">
        <f>ROUND('3.2 Doojo Base'!AE18*'1.1 Control Panel'!AE$703,0)</f>
        <v>7260</v>
      </c>
      <c r="AF62" s="484">
        <f>ROUND('3.2 Doojo Base'!AF18*'1.1 Control Panel'!AF$703,0)</f>
        <v>7262</v>
      </c>
      <c r="AG62" s="484">
        <f>ROUND('3.2 Doojo Base'!AG18*'1.1 Control Panel'!AG$703,0)</f>
        <v>10377</v>
      </c>
      <c r="AH62" s="484">
        <f>ROUND('3.2 Doojo Base'!AH18*'1.1 Control Panel'!AH$703,0)</f>
        <v>10379</v>
      </c>
      <c r="AI62" s="484">
        <f>ROUND('3.2 Doojo Base'!AI18*'1.1 Control Panel'!AI$703,0)</f>
        <v>10380</v>
      </c>
      <c r="AJ62" s="484">
        <f>ROUND('3.2 Doojo Base'!AJ18*'1.1 Control Panel'!AJ$703,0)</f>
        <v>10382</v>
      </c>
      <c r="AK62" s="484">
        <f>ROUND('3.2 Doojo Base'!AK18*'1.1 Control Panel'!AK$703,0)</f>
        <v>12773</v>
      </c>
      <c r="AL62" s="484">
        <f>ROUND('3.2 Doojo Base'!AL18*'1.1 Control Panel'!AL$703,0)</f>
        <v>12774</v>
      </c>
      <c r="AM62" s="484">
        <f>ROUND('3.2 Doojo Base'!AM18*'1.1 Control Panel'!AM$703,0)</f>
        <v>12775</v>
      </c>
      <c r="AN62" s="484">
        <f>ROUND('3.2 Doojo Base'!AN18*'1.1 Control Panel'!AN$703,0)</f>
        <v>12775</v>
      </c>
    </row>
    <row r="63" spans="2:42" x14ac:dyDescent="0.25">
      <c r="B63" s="33" t="s">
        <v>10</v>
      </c>
      <c r="C63" s="481" t="s">
        <v>682</v>
      </c>
      <c r="D63" s="443"/>
      <c r="E63" s="440"/>
      <c r="F63" s="440"/>
      <c r="G63" s="440"/>
      <c r="H63" s="440"/>
      <c r="I63" s="440"/>
      <c r="J63" s="440"/>
      <c r="K63" s="440"/>
      <c r="L63" s="440"/>
      <c r="M63" s="440"/>
      <c r="N63" s="440"/>
      <c r="O63" s="440"/>
      <c r="P63" s="440"/>
      <c r="Q63" s="440"/>
      <c r="R63" s="440"/>
      <c r="S63" s="440"/>
      <c r="T63" s="440"/>
      <c r="U63" s="440"/>
      <c r="V63" s="440"/>
      <c r="W63" s="440"/>
      <c r="X63" s="440"/>
      <c r="Y63" s="440"/>
      <c r="Z63" s="440"/>
      <c r="AA63" s="440"/>
      <c r="AB63" s="440"/>
      <c r="AC63" s="440"/>
      <c r="AD63" s="440"/>
      <c r="AE63" s="440"/>
      <c r="AF63" s="440"/>
      <c r="AG63" s="440"/>
      <c r="AH63" s="440"/>
      <c r="AI63" s="440"/>
      <c r="AJ63" s="440"/>
      <c r="AK63" s="440"/>
      <c r="AL63" s="440"/>
      <c r="AM63" s="440"/>
      <c r="AN63" s="440"/>
      <c r="AO63" s="428"/>
      <c r="AP63" s="442"/>
    </row>
    <row r="64" spans="2:42" x14ac:dyDescent="0.25">
      <c r="B64" s="33"/>
      <c r="C64" s="137" t="s">
        <v>726</v>
      </c>
      <c r="D64" s="157" t="s">
        <v>162</v>
      </c>
      <c r="E64" s="137">
        <f>ROUND(E62*'1.1 Control Panel'!E705,0)</f>
        <v>223</v>
      </c>
      <c r="F64" s="137">
        <f>ROUND(F62*'1.1 Control Panel'!F705,0)</f>
        <v>264</v>
      </c>
      <c r="G64" s="137">
        <f>ROUND(G62*'1.1 Control Panel'!G705,0)</f>
        <v>298</v>
      </c>
      <c r="H64" s="137">
        <f>ROUND(H62*'1.1 Control Panel'!H705,0)</f>
        <v>325</v>
      </c>
      <c r="I64" s="137">
        <f>ROUND(I62*'1.1 Control Panel'!I705,0)</f>
        <v>479</v>
      </c>
      <c r="J64" s="137">
        <f>ROUND(J62*'1.1 Control Panel'!J705,0)</f>
        <v>676</v>
      </c>
      <c r="K64" s="137">
        <f>ROUND(K62*'1.1 Control Panel'!K705,0)</f>
        <v>701</v>
      </c>
      <c r="L64" s="137">
        <f>ROUND(L62*'1.1 Control Panel'!L705,0)</f>
        <v>722</v>
      </c>
      <c r="M64" s="137">
        <f>ROUND(M62*'1.1 Control Panel'!M705,0)</f>
        <v>887</v>
      </c>
      <c r="N64" s="137">
        <f>ROUND(N62*'1.1 Control Panel'!N705,0)</f>
        <v>950</v>
      </c>
      <c r="O64" s="137">
        <f>ROUND(O62*'1.1 Control Panel'!O705,0)</f>
        <v>1010</v>
      </c>
      <c r="P64" s="137">
        <f>ROUND(P62*'1.1 Control Panel'!P705,0)</f>
        <v>1069</v>
      </c>
      <c r="Q64" s="137">
        <f>ROUND(Q62*'1.1 Control Panel'!Q705,0)</f>
        <v>1651</v>
      </c>
      <c r="R64" s="137">
        <f>ROUND(R62*'1.1 Control Panel'!R705,0)</f>
        <v>1661</v>
      </c>
      <c r="S64" s="137">
        <f>ROUND(S62*'1.1 Control Panel'!S705,0)</f>
        <v>1670</v>
      </c>
      <c r="T64" s="137">
        <f>ROUND(T62*'1.1 Control Panel'!T705,0)</f>
        <v>1678</v>
      </c>
      <c r="U64" s="137">
        <f>ROUND(U62*'1.1 Control Panel'!U705,0)</f>
        <v>2411</v>
      </c>
      <c r="V64" s="137">
        <f>ROUND(V62*'1.1 Control Panel'!V705,0)</f>
        <v>2418</v>
      </c>
      <c r="W64" s="137">
        <f>ROUND(W62*'1.1 Control Panel'!W705,0)</f>
        <v>2423</v>
      </c>
      <c r="X64" s="137">
        <f>ROUND(X62*'1.1 Control Panel'!X705,0)</f>
        <v>2427</v>
      </c>
      <c r="Y64" s="137">
        <f>ROUND(Y62*'1.1 Control Panel'!Y705,0)</f>
        <v>2617</v>
      </c>
      <c r="Z64" s="137">
        <f>ROUND(Z62*'1.1 Control Panel'!Z705,0)</f>
        <v>2620</v>
      </c>
      <c r="AA64" s="137">
        <f>ROUND(AA62*'1.1 Control Panel'!AA705,0)</f>
        <v>2623</v>
      </c>
      <c r="AB64" s="137">
        <f>ROUND(AB62*'1.1 Control Panel'!AB705,0)</f>
        <v>2624</v>
      </c>
      <c r="AC64" s="137">
        <f>ROUND(AC62*'1.1 Control Panel'!AC705,0)</f>
        <v>4352</v>
      </c>
      <c r="AD64" s="137">
        <f>ROUND(AD62*'1.1 Control Panel'!AD705,0)</f>
        <v>4354</v>
      </c>
      <c r="AE64" s="137">
        <f>ROUND(AE62*'1.1 Control Panel'!AE705,0)</f>
        <v>4356</v>
      </c>
      <c r="AF64" s="137">
        <f>ROUND(AF62*'1.1 Control Panel'!AF705,0)</f>
        <v>4357</v>
      </c>
      <c r="AG64" s="137">
        <f>ROUND(AG62*'1.1 Control Panel'!AG705,0)</f>
        <v>6226</v>
      </c>
      <c r="AH64" s="137">
        <f>ROUND(AH62*'1.1 Control Panel'!AH705,0)</f>
        <v>6227</v>
      </c>
      <c r="AI64" s="137">
        <f>ROUND(AI62*'1.1 Control Panel'!AI705,0)</f>
        <v>6228</v>
      </c>
      <c r="AJ64" s="137">
        <f>ROUND(AJ62*'1.1 Control Panel'!AJ705,0)</f>
        <v>6229</v>
      </c>
      <c r="AK64" s="137">
        <f>ROUND(AK62*'1.1 Control Panel'!AK705,0)</f>
        <v>7664</v>
      </c>
      <c r="AL64" s="137">
        <f>ROUND(AL62*'1.1 Control Panel'!AL705,0)</f>
        <v>7664</v>
      </c>
      <c r="AM64" s="137">
        <f>ROUND(AM62*'1.1 Control Panel'!AM705,0)</f>
        <v>7665</v>
      </c>
      <c r="AN64" s="137">
        <f>ROUND(AN62*'1.1 Control Panel'!AN705,0)</f>
        <v>7665</v>
      </c>
      <c r="AP64" s="137"/>
    </row>
    <row r="65" spans="2:42" x14ac:dyDescent="0.25">
      <c r="B65" s="33"/>
      <c r="C65" s="132" t="s">
        <v>737</v>
      </c>
      <c r="D65" s="158" t="s">
        <v>162</v>
      </c>
      <c r="E65" s="132">
        <f>E64-SUM(E66:E68)</f>
        <v>145</v>
      </c>
      <c r="F65" s="132">
        <f t="shared" ref="F65:AN65" si="254">F64-SUM(F66:F68)</f>
        <v>172</v>
      </c>
      <c r="G65" s="132">
        <f t="shared" si="254"/>
        <v>193</v>
      </c>
      <c r="H65" s="132">
        <f t="shared" si="254"/>
        <v>211</v>
      </c>
      <c r="I65" s="132">
        <f t="shared" si="254"/>
        <v>311</v>
      </c>
      <c r="J65" s="132">
        <f t="shared" si="254"/>
        <v>439</v>
      </c>
      <c r="K65" s="132">
        <f t="shared" si="254"/>
        <v>456</v>
      </c>
      <c r="L65" s="132">
        <f t="shared" si="254"/>
        <v>470</v>
      </c>
      <c r="M65" s="132">
        <f t="shared" si="254"/>
        <v>577</v>
      </c>
      <c r="N65" s="132">
        <f t="shared" si="254"/>
        <v>617</v>
      </c>
      <c r="O65" s="132">
        <f t="shared" si="254"/>
        <v>656</v>
      </c>
      <c r="P65" s="132">
        <f t="shared" si="254"/>
        <v>695</v>
      </c>
      <c r="Q65" s="132">
        <f t="shared" si="254"/>
        <v>1073</v>
      </c>
      <c r="R65" s="132">
        <f t="shared" si="254"/>
        <v>1080</v>
      </c>
      <c r="S65" s="132">
        <f t="shared" si="254"/>
        <v>1085</v>
      </c>
      <c r="T65" s="132">
        <f t="shared" si="254"/>
        <v>1090</v>
      </c>
      <c r="U65" s="132">
        <f t="shared" si="254"/>
        <v>1567</v>
      </c>
      <c r="V65" s="132">
        <f t="shared" si="254"/>
        <v>1571</v>
      </c>
      <c r="W65" s="132">
        <f t="shared" si="254"/>
        <v>1575</v>
      </c>
      <c r="X65" s="132">
        <f t="shared" si="254"/>
        <v>1578</v>
      </c>
      <c r="Y65" s="132">
        <f t="shared" si="254"/>
        <v>1701</v>
      </c>
      <c r="Z65" s="132">
        <f t="shared" si="254"/>
        <v>1703</v>
      </c>
      <c r="AA65" s="132">
        <f t="shared" si="254"/>
        <v>1705</v>
      </c>
      <c r="AB65" s="132">
        <f t="shared" si="254"/>
        <v>1706</v>
      </c>
      <c r="AC65" s="132">
        <f t="shared" si="254"/>
        <v>2829</v>
      </c>
      <c r="AD65" s="132">
        <f t="shared" si="254"/>
        <v>2830</v>
      </c>
      <c r="AE65" s="132">
        <f t="shared" si="254"/>
        <v>2831</v>
      </c>
      <c r="AF65" s="132">
        <f t="shared" si="254"/>
        <v>2832</v>
      </c>
      <c r="AG65" s="132">
        <f t="shared" si="254"/>
        <v>4047</v>
      </c>
      <c r="AH65" s="132">
        <f t="shared" si="254"/>
        <v>4048</v>
      </c>
      <c r="AI65" s="132">
        <f t="shared" si="254"/>
        <v>4048</v>
      </c>
      <c r="AJ65" s="132">
        <f t="shared" si="254"/>
        <v>4049</v>
      </c>
      <c r="AK65" s="132">
        <f t="shared" si="254"/>
        <v>4982</v>
      </c>
      <c r="AL65" s="132">
        <f t="shared" si="254"/>
        <v>4982</v>
      </c>
      <c r="AM65" s="132">
        <f t="shared" si="254"/>
        <v>4982</v>
      </c>
      <c r="AN65" s="132">
        <f t="shared" si="254"/>
        <v>4982</v>
      </c>
      <c r="AP65" s="132"/>
    </row>
    <row r="66" spans="2:42" x14ac:dyDescent="0.25">
      <c r="B66" s="33"/>
      <c r="C66" s="132" t="s">
        <v>738</v>
      </c>
      <c r="D66" s="158" t="s">
        <v>162</v>
      </c>
      <c r="E66" s="132">
        <f>ROUND(E64*('1.1 Control Panel'!E709),0)</f>
        <v>45</v>
      </c>
      <c r="F66" s="132">
        <f>ROUND(F64*('1.1 Control Panel'!F709),0)</f>
        <v>53</v>
      </c>
      <c r="G66" s="132">
        <f>ROUND(G64*('1.1 Control Panel'!G709),0)</f>
        <v>60</v>
      </c>
      <c r="H66" s="132">
        <f>ROUND(H64*('1.1 Control Panel'!H709),0)</f>
        <v>65</v>
      </c>
      <c r="I66" s="132">
        <f>ROUND(I64*('1.1 Control Panel'!I709),0)</f>
        <v>96</v>
      </c>
      <c r="J66" s="132">
        <f>ROUND(J64*('1.1 Control Panel'!J709),0)</f>
        <v>135</v>
      </c>
      <c r="K66" s="132">
        <f>ROUND(K64*('1.1 Control Panel'!K709),0)</f>
        <v>140</v>
      </c>
      <c r="L66" s="132">
        <f>ROUND(L64*('1.1 Control Panel'!L709),0)</f>
        <v>144</v>
      </c>
      <c r="M66" s="132">
        <f>ROUND(M64*('1.1 Control Panel'!M709),0)</f>
        <v>177</v>
      </c>
      <c r="N66" s="132">
        <f>ROUND(N64*('1.1 Control Panel'!N709),0)</f>
        <v>190</v>
      </c>
      <c r="O66" s="132">
        <f>ROUND(O64*('1.1 Control Panel'!O709),0)</f>
        <v>202</v>
      </c>
      <c r="P66" s="132">
        <f>ROUND(P64*('1.1 Control Panel'!P709),0)</f>
        <v>214</v>
      </c>
      <c r="Q66" s="132">
        <f>ROUND(Q64*('1.1 Control Panel'!Q709),0)</f>
        <v>330</v>
      </c>
      <c r="R66" s="132">
        <f>ROUND(R64*('1.1 Control Panel'!R709),0)</f>
        <v>332</v>
      </c>
      <c r="S66" s="132">
        <f>ROUND(S64*('1.1 Control Panel'!S709),0)</f>
        <v>334</v>
      </c>
      <c r="T66" s="132">
        <f>ROUND(T64*('1.1 Control Panel'!T709),0)</f>
        <v>336</v>
      </c>
      <c r="U66" s="132">
        <f>ROUND(U64*('1.1 Control Panel'!U709),0)</f>
        <v>482</v>
      </c>
      <c r="V66" s="132">
        <f>ROUND(V64*('1.1 Control Panel'!V709),0)</f>
        <v>484</v>
      </c>
      <c r="W66" s="132">
        <f>ROUND(W64*('1.1 Control Panel'!W709),0)</f>
        <v>485</v>
      </c>
      <c r="X66" s="132">
        <f>ROUND(X64*('1.1 Control Panel'!X709),0)</f>
        <v>485</v>
      </c>
      <c r="Y66" s="132">
        <f>ROUND(Y64*('1.1 Control Panel'!Y709),0)</f>
        <v>523</v>
      </c>
      <c r="Z66" s="132">
        <f>ROUND(Z64*('1.1 Control Panel'!Z709),0)</f>
        <v>524</v>
      </c>
      <c r="AA66" s="132">
        <f>ROUND(AA64*('1.1 Control Panel'!AA709),0)</f>
        <v>525</v>
      </c>
      <c r="AB66" s="132">
        <f>ROUND(AB64*('1.1 Control Panel'!AB709),0)</f>
        <v>525</v>
      </c>
      <c r="AC66" s="132">
        <f>ROUND(AC64*('1.1 Control Panel'!AC709),0)</f>
        <v>870</v>
      </c>
      <c r="AD66" s="132">
        <f>ROUND(AD64*('1.1 Control Panel'!AD709),0)</f>
        <v>871</v>
      </c>
      <c r="AE66" s="132">
        <f>ROUND(AE64*('1.1 Control Panel'!AE709),0)</f>
        <v>871</v>
      </c>
      <c r="AF66" s="132">
        <f>ROUND(AF64*('1.1 Control Panel'!AF709),0)</f>
        <v>871</v>
      </c>
      <c r="AG66" s="132">
        <f>ROUND(AG64*('1.1 Control Panel'!AG709),0)</f>
        <v>1245</v>
      </c>
      <c r="AH66" s="132">
        <f>ROUND(AH64*('1.1 Control Panel'!AH709),0)</f>
        <v>1245</v>
      </c>
      <c r="AI66" s="132">
        <f>ROUND(AI64*('1.1 Control Panel'!AI709),0)</f>
        <v>1246</v>
      </c>
      <c r="AJ66" s="132">
        <f>ROUND(AJ64*('1.1 Control Panel'!AJ709),0)</f>
        <v>1246</v>
      </c>
      <c r="AK66" s="132">
        <f>ROUND(AK64*('1.1 Control Panel'!AK709),0)</f>
        <v>1533</v>
      </c>
      <c r="AL66" s="132">
        <f>ROUND(AL64*('1.1 Control Panel'!AL709),0)</f>
        <v>1533</v>
      </c>
      <c r="AM66" s="132">
        <f>ROUND(AM64*('1.1 Control Panel'!AM709),0)</f>
        <v>1533</v>
      </c>
      <c r="AN66" s="132">
        <f>ROUND(AN64*('1.1 Control Panel'!AN709),0)</f>
        <v>1533</v>
      </c>
      <c r="AP66" s="132"/>
    </row>
    <row r="67" spans="2:42" x14ac:dyDescent="0.25">
      <c r="B67" s="33"/>
      <c r="C67" s="133" t="s">
        <v>739</v>
      </c>
      <c r="D67" s="159" t="s">
        <v>162</v>
      </c>
      <c r="E67" s="133">
        <f>ROUND(E64*('1.1 Control Panel'!E717),0)</f>
        <v>22</v>
      </c>
      <c r="F67" s="133">
        <f>ROUND(F64*('1.1 Control Panel'!F717),0)</f>
        <v>26</v>
      </c>
      <c r="G67" s="133">
        <f>ROUND(G64*('1.1 Control Panel'!G717),0)</f>
        <v>30</v>
      </c>
      <c r="H67" s="133">
        <f>ROUND(H64*('1.1 Control Panel'!H717),0)</f>
        <v>33</v>
      </c>
      <c r="I67" s="133">
        <f>ROUND(I64*('1.1 Control Panel'!I717),0)</f>
        <v>48</v>
      </c>
      <c r="J67" s="133">
        <f>ROUND(J64*('1.1 Control Panel'!J717),0)</f>
        <v>68</v>
      </c>
      <c r="K67" s="133">
        <f>ROUND(K64*('1.1 Control Panel'!K717),0)</f>
        <v>70</v>
      </c>
      <c r="L67" s="133">
        <f>ROUND(L64*('1.1 Control Panel'!L717),0)</f>
        <v>72</v>
      </c>
      <c r="M67" s="133">
        <f>ROUND(M64*('1.1 Control Panel'!M717),0)</f>
        <v>89</v>
      </c>
      <c r="N67" s="133">
        <f>ROUND(N64*('1.1 Control Panel'!N717),0)</f>
        <v>95</v>
      </c>
      <c r="O67" s="133">
        <f>ROUND(O64*('1.1 Control Panel'!O717),0)</f>
        <v>101</v>
      </c>
      <c r="P67" s="133">
        <f>ROUND(P64*('1.1 Control Panel'!P717),0)</f>
        <v>107</v>
      </c>
      <c r="Q67" s="133">
        <f>ROUND(Q64*('1.1 Control Panel'!Q717),0)</f>
        <v>165</v>
      </c>
      <c r="R67" s="133">
        <f>ROUND(R64*('1.1 Control Panel'!R717),0)</f>
        <v>166</v>
      </c>
      <c r="S67" s="133">
        <f>ROUND(S64*('1.1 Control Panel'!S717),0)</f>
        <v>167</v>
      </c>
      <c r="T67" s="133">
        <f>ROUND(T64*('1.1 Control Panel'!T717),0)</f>
        <v>168</v>
      </c>
      <c r="U67" s="133">
        <f>ROUND(U64*('1.1 Control Panel'!U717),0)</f>
        <v>241</v>
      </c>
      <c r="V67" s="133">
        <f>ROUND(V64*('1.1 Control Panel'!V717),0)</f>
        <v>242</v>
      </c>
      <c r="W67" s="133">
        <f>ROUND(W64*('1.1 Control Panel'!W717),0)</f>
        <v>242</v>
      </c>
      <c r="X67" s="133">
        <f>ROUND(X64*('1.1 Control Panel'!X717),0)</f>
        <v>243</v>
      </c>
      <c r="Y67" s="133">
        <f>ROUND(Y64*('1.1 Control Panel'!Y717),0)</f>
        <v>262</v>
      </c>
      <c r="Z67" s="133">
        <f>ROUND(Z64*('1.1 Control Panel'!Z717),0)</f>
        <v>262</v>
      </c>
      <c r="AA67" s="133">
        <f>ROUND(AA64*('1.1 Control Panel'!AA717),0)</f>
        <v>262</v>
      </c>
      <c r="AB67" s="133">
        <f>ROUND(AB64*('1.1 Control Panel'!AB717),0)</f>
        <v>262</v>
      </c>
      <c r="AC67" s="133">
        <f>ROUND(AC64*('1.1 Control Panel'!AC717),0)</f>
        <v>435</v>
      </c>
      <c r="AD67" s="133">
        <f>ROUND(AD64*('1.1 Control Panel'!AD717),0)</f>
        <v>435</v>
      </c>
      <c r="AE67" s="133">
        <f>ROUND(AE64*('1.1 Control Panel'!AE717),0)</f>
        <v>436</v>
      </c>
      <c r="AF67" s="133">
        <f>ROUND(AF64*('1.1 Control Panel'!AF717),0)</f>
        <v>436</v>
      </c>
      <c r="AG67" s="133">
        <f>ROUND(AG64*('1.1 Control Panel'!AG717),0)</f>
        <v>623</v>
      </c>
      <c r="AH67" s="133">
        <f>ROUND(AH64*('1.1 Control Panel'!AH717),0)</f>
        <v>623</v>
      </c>
      <c r="AI67" s="133">
        <f>ROUND(AI64*('1.1 Control Panel'!AI717),0)</f>
        <v>623</v>
      </c>
      <c r="AJ67" s="133">
        <f>ROUND(AJ64*('1.1 Control Panel'!AJ717),0)</f>
        <v>623</v>
      </c>
      <c r="AK67" s="133">
        <f>ROUND(AK64*('1.1 Control Panel'!AK717),0)</f>
        <v>766</v>
      </c>
      <c r="AL67" s="133">
        <f>ROUND(AL64*('1.1 Control Panel'!AL717),0)</f>
        <v>766</v>
      </c>
      <c r="AM67" s="133">
        <f>ROUND(AM64*('1.1 Control Panel'!AM717),0)</f>
        <v>767</v>
      </c>
      <c r="AN67" s="133">
        <f>ROUND(AN64*('1.1 Control Panel'!AN717),0)</f>
        <v>767</v>
      </c>
      <c r="AP67" s="133"/>
    </row>
    <row r="68" spans="2:42" x14ac:dyDescent="0.25">
      <c r="B68" s="33"/>
      <c r="C68" s="133" t="s">
        <v>744</v>
      </c>
      <c r="D68" s="159" t="s">
        <v>162</v>
      </c>
      <c r="E68" s="133">
        <f>ROUND(E64*('1.1 Control Panel'!E725),0)</f>
        <v>11</v>
      </c>
      <c r="F68" s="133">
        <f>ROUND(F64*('1.1 Control Panel'!F725),0)</f>
        <v>13</v>
      </c>
      <c r="G68" s="133">
        <f>ROUND(G64*('1.1 Control Panel'!G725),0)</f>
        <v>15</v>
      </c>
      <c r="H68" s="133">
        <f>ROUND(H64*('1.1 Control Panel'!H725),0)</f>
        <v>16</v>
      </c>
      <c r="I68" s="133">
        <f>ROUND(I64*('1.1 Control Panel'!I725),0)</f>
        <v>24</v>
      </c>
      <c r="J68" s="133">
        <f>ROUND(J64*('1.1 Control Panel'!J725),0)</f>
        <v>34</v>
      </c>
      <c r="K68" s="133">
        <f>ROUND(K64*('1.1 Control Panel'!K725),0)</f>
        <v>35</v>
      </c>
      <c r="L68" s="133">
        <f>ROUND(L64*('1.1 Control Panel'!L725),0)</f>
        <v>36</v>
      </c>
      <c r="M68" s="133">
        <f>ROUND(M64*('1.1 Control Panel'!M725),0)</f>
        <v>44</v>
      </c>
      <c r="N68" s="133">
        <f>ROUND(N64*('1.1 Control Panel'!N725),0)</f>
        <v>48</v>
      </c>
      <c r="O68" s="133">
        <f>ROUND(O64*('1.1 Control Panel'!O725),0)</f>
        <v>51</v>
      </c>
      <c r="P68" s="133">
        <f>ROUND(P64*('1.1 Control Panel'!P725),0)</f>
        <v>53</v>
      </c>
      <c r="Q68" s="133">
        <f>ROUND(Q64*('1.1 Control Panel'!Q725),0)</f>
        <v>83</v>
      </c>
      <c r="R68" s="133">
        <f>ROUND(R64*('1.1 Control Panel'!R725),0)</f>
        <v>83</v>
      </c>
      <c r="S68" s="133">
        <f>ROUND(S64*('1.1 Control Panel'!S725),0)</f>
        <v>84</v>
      </c>
      <c r="T68" s="133">
        <f>ROUND(T64*('1.1 Control Panel'!T725),0)</f>
        <v>84</v>
      </c>
      <c r="U68" s="133">
        <f>ROUND(U64*('1.1 Control Panel'!U725),0)</f>
        <v>121</v>
      </c>
      <c r="V68" s="133">
        <f>ROUND(V64*('1.1 Control Panel'!V725),0)</f>
        <v>121</v>
      </c>
      <c r="W68" s="133">
        <f>ROUND(W64*('1.1 Control Panel'!W725),0)</f>
        <v>121</v>
      </c>
      <c r="X68" s="133">
        <f>ROUND(X64*('1.1 Control Panel'!X725),0)</f>
        <v>121</v>
      </c>
      <c r="Y68" s="133">
        <f>ROUND(Y64*('1.1 Control Panel'!Y725),0)</f>
        <v>131</v>
      </c>
      <c r="Z68" s="133">
        <f>ROUND(Z64*('1.1 Control Panel'!Z725),0)</f>
        <v>131</v>
      </c>
      <c r="AA68" s="133">
        <f>ROUND(AA64*('1.1 Control Panel'!AA725),0)</f>
        <v>131</v>
      </c>
      <c r="AB68" s="133">
        <f>ROUND(AB64*('1.1 Control Panel'!AB725),0)</f>
        <v>131</v>
      </c>
      <c r="AC68" s="133">
        <f>ROUND(AC64*('1.1 Control Panel'!AC725),0)</f>
        <v>218</v>
      </c>
      <c r="AD68" s="133">
        <f>ROUND(AD64*('1.1 Control Panel'!AD725),0)</f>
        <v>218</v>
      </c>
      <c r="AE68" s="133">
        <f>ROUND(AE64*('1.1 Control Panel'!AE725),0)</f>
        <v>218</v>
      </c>
      <c r="AF68" s="133">
        <f>ROUND(AF64*('1.1 Control Panel'!AF725),0)</f>
        <v>218</v>
      </c>
      <c r="AG68" s="133">
        <f>ROUND(AG64*('1.1 Control Panel'!AG725),0)</f>
        <v>311</v>
      </c>
      <c r="AH68" s="133">
        <f>ROUND(AH64*('1.1 Control Panel'!AH725),0)</f>
        <v>311</v>
      </c>
      <c r="AI68" s="133">
        <f>ROUND(AI64*('1.1 Control Panel'!AI725),0)</f>
        <v>311</v>
      </c>
      <c r="AJ68" s="133">
        <f>ROUND(AJ64*('1.1 Control Panel'!AJ725),0)</f>
        <v>311</v>
      </c>
      <c r="AK68" s="133">
        <f>ROUND(AK64*('1.1 Control Panel'!AK725),0)</f>
        <v>383</v>
      </c>
      <c r="AL68" s="133">
        <f>ROUND(AL64*('1.1 Control Panel'!AL725),0)</f>
        <v>383</v>
      </c>
      <c r="AM68" s="133">
        <f>ROUND(AM64*('1.1 Control Panel'!AM725),0)</f>
        <v>383</v>
      </c>
      <c r="AN68" s="133">
        <f>ROUND(AN64*('1.1 Control Panel'!AN725),0)</f>
        <v>383</v>
      </c>
      <c r="AP68" s="133"/>
    </row>
    <row r="69" spans="2:42" x14ac:dyDescent="0.25">
      <c r="B69" s="33" t="s">
        <v>10</v>
      </c>
      <c r="C69" s="440" t="s">
        <v>659</v>
      </c>
      <c r="D69" s="443"/>
      <c r="E69" s="440"/>
      <c r="F69" s="440"/>
      <c r="G69" s="440"/>
      <c r="H69" s="440"/>
      <c r="I69" s="440"/>
      <c r="J69" s="440"/>
      <c r="K69" s="440"/>
      <c r="L69" s="440"/>
      <c r="M69" s="440"/>
      <c r="N69" s="440"/>
      <c r="O69" s="440"/>
      <c r="P69" s="440"/>
      <c r="Q69" s="440"/>
      <c r="R69" s="440"/>
      <c r="S69" s="440"/>
      <c r="T69" s="440"/>
      <c r="U69" s="440"/>
      <c r="V69" s="440"/>
      <c r="W69" s="440"/>
      <c r="X69" s="440"/>
      <c r="Y69" s="440"/>
      <c r="Z69" s="440"/>
      <c r="AA69" s="440"/>
      <c r="AB69" s="440"/>
      <c r="AC69" s="440"/>
      <c r="AD69" s="440"/>
      <c r="AE69" s="440"/>
      <c r="AF69" s="440"/>
      <c r="AG69" s="440"/>
      <c r="AH69" s="440"/>
      <c r="AI69" s="440"/>
      <c r="AJ69" s="440"/>
      <c r="AK69" s="440"/>
      <c r="AL69" s="440"/>
      <c r="AM69" s="440"/>
      <c r="AN69" s="440"/>
      <c r="AO69" s="428"/>
      <c r="AP69" s="442"/>
    </row>
    <row r="70" spans="2:42" x14ac:dyDescent="0.25">
      <c r="B70" s="33"/>
      <c r="C70" s="137" t="s">
        <v>726</v>
      </c>
      <c r="D70" s="157" t="s">
        <v>162</v>
      </c>
      <c r="E70" s="414">
        <f>ROUND(E62*'1.1 Control Panel'!E708,0)+E66</f>
        <v>119</v>
      </c>
      <c r="F70" s="414">
        <f>ROUND(F62*'1.1 Control Panel'!F708,0)+F66-$E72*F$138</f>
        <v>117</v>
      </c>
      <c r="G70" s="414">
        <f>ROUND(G62*'1.1 Control Panel'!G708,0)+G66-$E72*G$138-$F72*G$139</f>
        <v>112</v>
      </c>
      <c r="H70" s="414">
        <f>ROUND(H62*'1.1 Control Panel'!H708,0)+H66-$E72*H$138-$F72*H$139-$G72*H$140</f>
        <v>104</v>
      </c>
      <c r="I70" s="414">
        <f>ROUND(I62*'1.1 Control Panel'!I708,0)+I66-$E72*I$138-$F72*I$139-$G72*I$140-$H72*I$141</f>
        <v>166</v>
      </c>
      <c r="J70" s="414">
        <f>ROUND(J62*'1.1 Control Panel'!J708,0)+J66-$E72*J$138-$F72*J$139-$G72*J$140-$H72*J$141-$I72*J$142</f>
        <v>237</v>
      </c>
      <c r="K70" s="414">
        <f>ROUND(K62*'1.1 Control Panel'!K708,0)+K66-$E72*K$138-$F72*K$139-$G72*K$140-$H72*K$141-$I72*K$142-$J72*K$143</f>
        <v>204</v>
      </c>
      <c r="L70" s="414">
        <f>ROUND(L62*'1.1 Control Panel'!L708,0)+L66-$E72*L$138-$F72*L$139-$G72*L$140-$H72*L$141-$I72*L$142-$J72*L$143-$K72*L$144</f>
        <v>174</v>
      </c>
      <c r="M70" s="414">
        <f>ROUND(M62*'1.1 Control Panel'!M708,0)+M66-$E72*M$138-$F72*M$139-$G72*M$140-$H72*M$141-$I72*M$142-$J72*M$143-$K72*M$144-$L72*M$145</f>
        <v>227</v>
      </c>
      <c r="N70" s="414">
        <f>ROUND(N62*'1.1 Control Panel'!N708,0)+N66-$E72*N$138-$F72*N$139-$G72*N$140-$H72*N$141-$I72*N$142-$J72*N$143-$K72*N$144-$L72*N$145-$M72*N$146</f>
        <v>216</v>
      </c>
      <c r="O70" s="414">
        <f>ROUND(O62*'1.1 Control Panel'!O708,0)+O66-$E72*O$138-$F72*O$139-$G72*O$140-$H72*O$141-$I72*O$142-$J72*O$143-$K72*O$144-$L72*O$145-$M72*O$146-$N72*O$147</f>
        <v>205</v>
      </c>
      <c r="P70" s="414">
        <f>ROUND(P62*'1.1 Control Panel'!P708,0)+P66-$E72*P$138-$F72*P$139-$G72*P$140-$H72*P$141-$I72*P$142-$J72*P$143-$K72*P$144-$L72*P$145-$M72*P$146-$N72*P$147-$O72*P$148</f>
        <v>195</v>
      </c>
      <c r="Q70" s="414">
        <f>ROUND(Q62*'1.1 Control Panel'!Q708,0)+Q66-$E72*Q$138-$F72*Q$139-$G72*Q$140-$H72*Q$141-$I72*Q$142-$J72*Q$143-$K72*Q$144-$L72*Q$145-$M72*Q$146-$N72*Q$147-$O72*Q$148-$P72*Q$149</f>
        <v>490</v>
      </c>
      <c r="R70" s="414">
        <f>ROUND(R62*'1.1 Control Panel'!R708,0)+R66-$E72*R$138-$F72*R$139-$G72*R$140-$H72*R$141-$I72*R$142-$J72*R$143-$K72*R$144-$L72*R$145-$M72*R$146-$N72*R$147-$O72*R$148-$P72*R$149-$Q72*R$150</f>
        <v>421</v>
      </c>
      <c r="S70" s="414">
        <f>ROUND(S62*'1.1 Control Panel'!S708,0)+S66-$E72*S$138-$F72*S$139-$G72*S$140-$H72*S$141-$I72*S$142-$J72*S$143-$K72*S$144-$L72*S$145-$M72*S$146-$N72*S$147-$O72*S$148-$P72*S$149-$Q72*S$150-$R72*S$151</f>
        <v>364</v>
      </c>
      <c r="T70" s="414">
        <f>ROUND(T62*'1.1 Control Panel'!T708,0)+T66-$E72*T$138-$F72*T$139-$G72*T$140-$H72*T$141-$I72*T$142-$J72*T$143-$K72*T$144-$L72*T$145-$M72*T$146-$N72*T$147-$O72*T$148-$P72*T$149-$Q72*T$150-$R72*T$151-$S72*T$152</f>
        <v>316</v>
      </c>
      <c r="U70" s="414">
        <f>ROUND(U62*'1.1 Control Panel'!U708,0)+U66-$E72*U$138-$F72*U$139-$G72*U$140-$H72*U$141-$I72*U$142-$J72*U$143-$K72*U$144-$L72*U$145-$M72*U$146-$N72*U$147-$O72*U$148-$P72*U$149-$Q72*U$150-$R72*U$151-$S72*U$152-$T72*U$153</f>
        <v>677</v>
      </c>
      <c r="V70" s="414">
        <f>ROUND(V62*'1.1 Control Panel'!V708,0)+V66-$E72*V$138-$F72*V$139-$G72*V$140-$H72*V$141-$I72*V$142-$J72*V$143-$K72*V$144-$L72*V$145-$M72*V$146-$N72*V$147-$O72*V$148-$P72*V$149-$Q72*V$150-$R72*V$151-$S72*V$152-$T72*V$153-$U72*V$154</f>
        <v>593</v>
      </c>
      <c r="W70" s="414">
        <f>ROUND(W62*'1.1 Control Panel'!W708,0)+W66-$E72*W$138-$F72*W$139-$G72*W$140-$H72*W$141-$I72*W$142-$J72*W$143-$K72*W$144-$L72*W$145-$M72*W$146-$N72*W$147-$O72*W$148-$P72*W$149-$Q72*W$150-$R72*W$151-$S72*W$152-$T72*W$153-$U72*W$154-$V72*W$155</f>
        <v>518</v>
      </c>
      <c r="X70" s="414">
        <f>ROUND(X62*'1.1 Control Panel'!X708,0)+X66-$E72*X$138-$F72*X$139-$G72*X$140-$H72*X$141-$I72*X$142-$J72*X$143-$K72*X$144-$L72*X$145-$M72*X$146-$N72*X$147-$O72*X$148-$P72*X$149-$Q72*X$150-$R72*X$151-$S72*X$152-$T72*X$153-$U72*X$154-$V72*X$155-$W72*X$156</f>
        <v>450</v>
      </c>
      <c r="Y70" s="414">
        <f>ROUND(Y62*'1.1 Control Panel'!Y708,0)+Y66-$E72*Y$138-$F72*Y$139-$G72*Y$140-$H72*Y$141-$I72*Y$142-$J72*Y$143-$K72*Y$144-$L72*Y$145-$M72*Y$146-$N72*Y$147-$O72*Y$148-$P72*Y$149-$Q72*Y$150-$R72*Y$151-$S72*Y$152-$T72*Y$153-$U72*Y$154-$V72*Y$155-$W72*Y$156-$X72*Y$157</f>
        <v>506</v>
      </c>
      <c r="Z70" s="414">
        <f>ROUND(Z62*'1.1 Control Panel'!Z708,0)+Z66-$E72*Z$138-$F72*Z$139-$G72*Z$140-$H72*Z$141-$I72*Z$142-$J72*Z$143-$K72*Z$144-$L72*Z$145-$M72*Z$146-$N72*Z$147-$O72*Z$148-$P72*Z$149-$Q72*Z$150-$R72*Z$151-$S72*Z$152-$T72*Z$153-$U72*Z$154-$V72*Z$155-$W72*Z$156-$X72*Z$157-$Y72*Z$158</f>
        <v>450</v>
      </c>
      <c r="AA70" s="414">
        <f>ROUND(AA62*'1.1 Control Panel'!AA708,0)+AA66-$E72*AA$138-$F72*AA$139-$G72*AA$140-$H72*AA$141-$I72*AA$142-$J72*AA$143-$K72*AA$144-$L72*AA$145-$M72*AA$146-$N72*AA$147-$O72*AA$148-$P72*AA$149-$Q72*AA$150-$R72*AA$151-$S72*AA$152-$T72*AA$153-$U72*AA$154-$V72*AA$155-$W72*AA$156-$X72*AA$157-$Y72*AA$158-$Z72*AA$159</f>
        <v>403</v>
      </c>
      <c r="AB70" s="414">
        <f>ROUND(AB62*'1.1 Control Panel'!AB708,0)+AB66-$E72*AB$138-$F72*AB$139-$G72*AB$140-$H72*AB$141-$I72*AB$142-$J72*AB$143-$K72*AB$144-$L72*AB$145-$M72*AB$146-$N72*AB$147-$O72*AB$148-$P72*AB$149-$Q72*AB$150-$R72*AB$151-$S72*AB$152-$T72*AB$153-$U72*AB$154-$V72*AB$155-$W72*AB$156-$X72*AB$157-$Y72*AB$158-$Z72*AB$159-$AA72*AB$160</f>
        <v>362</v>
      </c>
      <c r="AC70" s="414">
        <f>ROUND(AC62*'1.1 Control Panel'!AC708,0)+AC66-$E72*AC$138-$F72*AC$139-$G72*AC$140-$H72*AC$141-$I72*AC$142-$J72*AC$143-$K72*AC$144-$L72*AC$145-$M72*AC$146-$N72*AC$147-$O72*AC$148-$P72*AC$149-$Q72*AC$150-$R72*AC$151-$S72*AC$152-$T72*AC$153-$U72*AC$154-$V72*AC$155-$W72*AC$156-$X72*AC$157-$Y72*AC$158-$Z72*AC$159-$AA72*AC$160-$AB72*AC$161</f>
        <v>1309</v>
      </c>
      <c r="AD70" s="414">
        <f>ROUND(AD62*'1.1 Control Panel'!AD708,0)+AD66-$E72*AD$138-$F72*AD$139-$G72*AD$140-$H72*AD$141-$I72*AD$142-$J72*AD$143-$K72*AD$144-$L72*AD$145-$M72*AD$146-$N72*AD$147-$O72*AD$148-$P72*AD$149-$Q72*AD$150-$R72*AD$151-$S72*AD$152-$T72*AD$153-$U72*AD$154-$V72*AD$155-$W72*AD$156-$X72*AD$157-$Y72*AD$158-$Z72*AD$159-$AA72*AD$160-$AB72*AD$161-$AC72*AD$162</f>
        <v>1132</v>
      </c>
      <c r="AE70" s="414">
        <f>ROUND(AE62*'1.1 Control Panel'!AE708,0)+AE66-$E72*AE$138-$F72*AE$139-$G72*AE$140-$H72*AE$141-$I72*AE$142-$J72*AE$143-$K72*AE$144-$L72*AE$145-$M72*AE$146-$N72*AE$147-$O72*AE$148-$P72*AE$149-$Q72*AE$150-$R72*AE$151-$S72*AE$152-$T72*AE$153-$U72*AE$154-$V72*AE$155-$W72*AE$156-$X72*AE$157-$Y72*AE$158-$Z72*AE$159-$AA72*AE$160-$AB72*AE$161-$AC72*AE$162-$AD72*AE$163</f>
        <v>980</v>
      </c>
      <c r="AF70" s="414">
        <f>ROUND(AF62*'1.1 Control Panel'!AF708,0)+AF66-$E72*AF$138-$F72*AF$139-$G72*AF$140-$H72*AF$141-$I72*AF$142-$J72*AF$143-$K72*AF$144-$L72*AF$145-$M72*AF$146-$N72*AF$147-$O72*AF$148-$P72*AF$149-$Q72*AF$150-$R72*AF$151-$S72*AF$152-$T72*AF$153-$U72*AF$154-$V72*AF$155-$W72*AF$156-$X72*AF$157-$Y72*AF$158-$Z72*AF$159-$AA72*AF$160-$AB72*AF$161-$AC72*AF$162-$AD72*AF$163-$AE72*AF$164</f>
        <v>847</v>
      </c>
      <c r="AG70" s="414">
        <f>ROUND(AG62*'1.1 Control Panel'!AG708,0)+AG66-$E72*AG$138-$F72*AG$139-$G72*AG$140-$H72*AG$141-$I72*AG$142-$J72*AG$143-$K72*AG$144-$L72*AG$145-$M72*AG$146-$N72*AG$147-$O72*AG$148-$P72*AG$149-$Q72*AG$150-$R72*AG$151-$S72*AG$152-$T72*AG$153-$U72*AG$154-$V72*AG$155-$W72*AG$156-$X72*AG$157-$Y72*AG$158-$Z72*AG$159-$AA72*AG$160-$AB72*AG$161-$AC72*AG$162-$AD72*AG$163-$AE72*AG$164-$AF72*AG$165</f>
        <v>1810</v>
      </c>
      <c r="AH70" s="414">
        <f>ROUND(AH62*'1.1 Control Panel'!AH708,0)+AH66-$E72*AH$138-$F72*AH$139-$G72*AH$140-$H72*AH$141-$I72*AH$142-$J72*AH$143-$K72*AH$144-$L72*AH$145-$M72*AH$146-$N72*AH$147-$O72*AH$148-$P72*AH$149-$Q72*AH$150-$R72*AH$151-$S72*AH$152-$T72*AH$153-$U72*AH$154-$V72*AH$155-$W72*AH$156-$X72*AH$157-$Y72*AH$158-$Z72*AH$159-$AA72*AH$160-$AB72*AH$161-$AC72*AH$162-$AD72*AH$163-$AE72*AH$164-$AF72*AH$165-$AG72*AH$166</f>
        <v>1568</v>
      </c>
      <c r="AI70" s="414">
        <f>ROUND(AI62*'1.1 Control Panel'!AI708,0)+AI66-$E72*AI$138-$F72*AI$139-$G72*AI$140-$H72*AI$141-$I72*AI$142-$J72*AI$143-$K72*AI$144-$L72*AI$145-$M72*AI$146-$N72*AI$147-$O72*AI$148-$P72*AI$149-$Q72*AI$150-$R72*AI$151-$S72*AI$152-$T72*AI$153-$U72*AI$154-$V72*AI$155-$W72*AI$156-$X72*AI$157-$Y72*AI$158-$Z72*AI$159-$AA72*AI$160-$AB72*AI$161-$AC72*AI$162-$AD72*AI$163-$AE72*AI$164-$AF72*AI$165-$AG72*AI$166-$AH72*AI$167</f>
        <v>1359</v>
      </c>
      <c r="AJ70" s="414">
        <f>ROUND(AJ62*'1.1 Control Panel'!AJ708,0)+AJ66-$E72*AJ$138-$F72*AJ$139-$G72*AJ$140-$H72*AJ$141-$I72*AJ$142-$J72*AJ$143-$K72*AJ$144-$L72*AJ$145-$M72*AJ$146-$N72*AJ$147-$O72*AJ$148-$P72*AJ$149-$Q72*AJ$150-$R72*AJ$151-$S72*AJ$152-$T72*AJ$153-$U72*AJ$154-$V72*AJ$155-$W72*AJ$156-$X72*AJ$157-$Y72*AJ$158-$Z72*AJ$159-$AA72*AJ$160-$AB72*AJ$161-$AC72*AJ$162-$AD72*AJ$163-$AE72*AJ$164-$AF72*AJ$165-$AG72*AJ$166-$AH72*AJ$167-$AI72*AJ$168</f>
        <v>1177</v>
      </c>
      <c r="AK70" s="414">
        <f>ROUND(AK62*'1.1 Control Panel'!AK708,0)+AK66-$E72*AK$138-$F72*AK$139-$G72*AK$140-$H72*AK$141-$I72*AK$142-$J72*AK$143-$K72*AK$144-$L72*AK$145-$M72*AK$146-$N72*AK$147-$O72*AK$148-$P72*AK$149-$Q72*AK$150-$R72*AK$151-$S72*AK$152-$T72*AK$153-$U72*AK$154-$V72*AK$155-$W72*AK$156-$X72*AK$157-$Y72*AK$158-$Z72*AK$159-$AA72*AK$160-$AB72*AK$161-$AC72*AK$162-$AD72*AK$163-$AE72*AK$164-$AF72*AK$165-$AG72*AK$166-$AH72*AK$167-$AI72*AK$168-$AJ72*AK$169</f>
        <v>1809</v>
      </c>
      <c r="AL70" s="414">
        <f>ROUND(AL62*'1.1 Control Panel'!AL708,0)+AL66-$E72*AL$138-$F72*AL$139-$G72*AL$140-$H72*AL$141-$I72*AL$142-$J72*AL$143-$K72*AL$144-$L72*AL$145-$M72*AL$146-$N72*AL$147-$O72*AL$148-$P72*AL$149-$Q72*AL$150-$R72*AL$151-$S72*AL$152-$T72*AL$153-$U72*AL$154-$V72*AL$155-$W72*AL$156-$X72*AL$157-$Y72*AL$158-$Z72*AL$159-$AA72*AL$160-$AB72*AL$161-$AC72*AL$162-$AD72*AL$163-$AE72*AL$164-$AF72*AL$165-$AG72*AL$166-$AH72*AL$167-$AI72*AL$168-$AJ72*AL$169-$AK72*AL$170</f>
        <v>1537</v>
      </c>
      <c r="AM70" s="414">
        <f>ROUND(AM62*'1.1 Control Panel'!AM708,0)+AM66-$E72*AM$138-$F72*AM$139-$G72*AM$140-$H72*AM$141-$I72*AM$142-$J72*AM$143-$K72*AM$144-$L72*AM$145-$M72*AM$146-$N72*AM$147-$O72*AM$148-$P72*AM$149-$Q72*AM$150-$R72*AM$151-$S72*AM$152-$T72*AM$153-$U72*AM$154-$V72*AM$155-$W72*AM$156-$X72*AM$157-$Y72*AM$158-$Z72*AM$159-$AA72*AM$160-$AB72*AM$161-$AC72*AM$162-$AD72*AM$163-$AE72*AM$164-$AF72*AM$165-$AG72*AM$166-$AH72*AM$167-$AI72*AM$168-$AJ72*AM$169-$AK72*AM$170-$AL72*AM$171</f>
        <v>1311</v>
      </c>
      <c r="AN70" s="414">
        <f>ROUND(AN62*'1.1 Control Panel'!AN708,0)+AN66-$E72*AN$138-$F72*AN$139-$G72*AN$140-$H72*AN$141-$I72*AN$142-$J72*AN$143-$K72*AN$144-$L72*AN$145-$M72*AN$146-$N72*AN$147-$O72*AN$148-$P72*AN$149-$Q72*AN$150-$R72*AN$151-$S72*AN$152-$T72*AN$153-$U72*AN$154-$V72*AN$155-$W72*AN$156-$X72*AN$157-$Y72*AN$158-$Z72*AN$159-$AA72*AN$160-$AB72*AN$161-$AC72*AN$162-$AD72*AN$163-$AE72*AN$164-$AF72*AN$165-$AG72*AN$166-$AH72*AN$167-$AI72*AN$168-$AJ72*AN$169-$AK72*AN$170-$AL72*AN$171-$AM72*AN$172</f>
        <v>1121</v>
      </c>
      <c r="AP70" s="20"/>
    </row>
    <row r="71" spans="2:42" x14ac:dyDescent="0.25">
      <c r="B71" s="33"/>
      <c r="C71" s="466" t="s">
        <v>734</v>
      </c>
      <c r="D71" s="158" t="s">
        <v>162</v>
      </c>
      <c r="E71" s="496">
        <f>ROUND(E70*'1.1 Control Panel'!E710,0)</f>
        <v>95</v>
      </c>
      <c r="F71" s="496">
        <f>ROUND(F70*'1.1 Control Panel'!F710,0)</f>
        <v>94</v>
      </c>
      <c r="G71" s="496">
        <f>ROUND(G70*'1.1 Control Panel'!G710,0)</f>
        <v>90</v>
      </c>
      <c r="H71" s="496">
        <f>ROUND(H70*'1.1 Control Panel'!H710,0)</f>
        <v>83</v>
      </c>
      <c r="I71" s="496">
        <f>ROUND(I70*'1.1 Control Panel'!I710,0)</f>
        <v>133</v>
      </c>
      <c r="J71" s="496">
        <f>ROUND(J70*'1.1 Control Panel'!J710,0)</f>
        <v>190</v>
      </c>
      <c r="K71" s="496">
        <f>ROUND(K70*'1.1 Control Panel'!K710,0)</f>
        <v>163</v>
      </c>
      <c r="L71" s="496">
        <f>ROUND(L70*'1.1 Control Panel'!L710,0)</f>
        <v>139</v>
      </c>
      <c r="M71" s="496">
        <f>ROUND(M70*'1.1 Control Panel'!M710,0)</f>
        <v>182</v>
      </c>
      <c r="N71" s="496">
        <f>ROUND(N70*'1.1 Control Panel'!N710,0)</f>
        <v>173</v>
      </c>
      <c r="O71" s="496">
        <f>ROUND(O70*'1.1 Control Panel'!O710,0)</f>
        <v>164</v>
      </c>
      <c r="P71" s="496">
        <f>ROUND(P70*'1.1 Control Panel'!P710,0)</f>
        <v>156</v>
      </c>
      <c r="Q71" s="496">
        <f>ROUND(Q70*'1.1 Control Panel'!Q710,0)</f>
        <v>392</v>
      </c>
      <c r="R71" s="496">
        <f>ROUND(R70*'1.1 Control Panel'!R710,0)</f>
        <v>337</v>
      </c>
      <c r="S71" s="496">
        <f>ROUND(S70*'1.1 Control Panel'!S710,0)</f>
        <v>291</v>
      </c>
      <c r="T71" s="496">
        <f>ROUND(T70*'1.1 Control Panel'!T710,0)</f>
        <v>253</v>
      </c>
      <c r="U71" s="496">
        <f>ROUND(U70*'1.1 Control Panel'!U710,0)</f>
        <v>542</v>
      </c>
      <c r="V71" s="496">
        <f>ROUND(V70*'1.1 Control Panel'!V710,0)</f>
        <v>474</v>
      </c>
      <c r="W71" s="496">
        <f>ROUND(W70*'1.1 Control Panel'!W710,0)</f>
        <v>414</v>
      </c>
      <c r="X71" s="496">
        <f>ROUND(X70*'1.1 Control Panel'!X710,0)</f>
        <v>360</v>
      </c>
      <c r="Y71" s="496">
        <f>ROUND(Y70*'1.1 Control Panel'!Y710,0)</f>
        <v>405</v>
      </c>
      <c r="Z71" s="496">
        <f>ROUND(Z70*'1.1 Control Panel'!Z710,0)</f>
        <v>360</v>
      </c>
      <c r="AA71" s="496">
        <f>ROUND(AA70*'1.1 Control Panel'!AA710,0)</f>
        <v>322</v>
      </c>
      <c r="AB71" s="496">
        <f>ROUND(AB70*'1.1 Control Panel'!AB710,0)</f>
        <v>290</v>
      </c>
      <c r="AC71" s="496">
        <f>ROUND(AC70*'1.1 Control Panel'!AC710,0)</f>
        <v>1047</v>
      </c>
      <c r="AD71" s="496">
        <f>ROUND(AD70*'1.1 Control Panel'!AD710,0)</f>
        <v>906</v>
      </c>
      <c r="AE71" s="496">
        <f>ROUND(AE70*'1.1 Control Panel'!AE710,0)</f>
        <v>784</v>
      </c>
      <c r="AF71" s="496">
        <f>ROUND(AF70*'1.1 Control Panel'!AF710,0)</f>
        <v>678</v>
      </c>
      <c r="AG71" s="496">
        <f>ROUND(AG70*'1.1 Control Panel'!AG710,0)</f>
        <v>1448</v>
      </c>
      <c r="AH71" s="496">
        <f>ROUND(AH70*'1.1 Control Panel'!AH710,0)</f>
        <v>1254</v>
      </c>
      <c r="AI71" s="496">
        <f>ROUND(AI70*'1.1 Control Panel'!AI710,0)</f>
        <v>1087</v>
      </c>
      <c r="AJ71" s="496">
        <f>ROUND(AJ70*'1.1 Control Panel'!AJ710,0)</f>
        <v>942</v>
      </c>
      <c r="AK71" s="496">
        <f>ROUND(AK70*'1.1 Control Panel'!AK710,0)</f>
        <v>1447</v>
      </c>
      <c r="AL71" s="496">
        <f>ROUND(AL70*'1.1 Control Panel'!AL710,0)</f>
        <v>1230</v>
      </c>
      <c r="AM71" s="496">
        <f>ROUND(AM70*'1.1 Control Panel'!AM710,0)</f>
        <v>1049</v>
      </c>
      <c r="AN71" s="496">
        <f>ROUND(AN70*'1.1 Control Panel'!AN710,0)</f>
        <v>897</v>
      </c>
      <c r="AP71" s="21"/>
    </row>
    <row r="72" spans="2:42" x14ac:dyDescent="0.25">
      <c r="B72" s="33"/>
      <c r="C72" s="495" t="s">
        <v>735</v>
      </c>
      <c r="D72" s="159" t="s">
        <v>162</v>
      </c>
      <c r="E72" s="488">
        <f>E70-E71</f>
        <v>24</v>
      </c>
      <c r="F72" s="488">
        <f t="shared" ref="F72:AN72" si="255">F70-F71</f>
        <v>23</v>
      </c>
      <c r="G72" s="488">
        <f t="shared" si="255"/>
        <v>22</v>
      </c>
      <c r="H72" s="488">
        <f t="shared" si="255"/>
        <v>21</v>
      </c>
      <c r="I72" s="488">
        <f t="shared" si="255"/>
        <v>33</v>
      </c>
      <c r="J72" s="488">
        <f t="shared" si="255"/>
        <v>47</v>
      </c>
      <c r="K72" s="488">
        <f t="shared" si="255"/>
        <v>41</v>
      </c>
      <c r="L72" s="488">
        <f t="shared" si="255"/>
        <v>35</v>
      </c>
      <c r="M72" s="488">
        <f t="shared" si="255"/>
        <v>45</v>
      </c>
      <c r="N72" s="488">
        <f t="shared" si="255"/>
        <v>43</v>
      </c>
      <c r="O72" s="488">
        <f t="shared" si="255"/>
        <v>41</v>
      </c>
      <c r="P72" s="488">
        <f t="shared" si="255"/>
        <v>39</v>
      </c>
      <c r="Q72" s="488">
        <f t="shared" si="255"/>
        <v>98</v>
      </c>
      <c r="R72" s="488">
        <f t="shared" si="255"/>
        <v>84</v>
      </c>
      <c r="S72" s="488">
        <f t="shared" si="255"/>
        <v>73</v>
      </c>
      <c r="T72" s="488">
        <f t="shared" si="255"/>
        <v>63</v>
      </c>
      <c r="U72" s="488">
        <f t="shared" si="255"/>
        <v>135</v>
      </c>
      <c r="V72" s="488">
        <f t="shared" si="255"/>
        <v>119</v>
      </c>
      <c r="W72" s="488">
        <f t="shared" si="255"/>
        <v>104</v>
      </c>
      <c r="X72" s="488">
        <f t="shared" si="255"/>
        <v>90</v>
      </c>
      <c r="Y72" s="488">
        <f t="shared" si="255"/>
        <v>101</v>
      </c>
      <c r="Z72" s="488">
        <f t="shared" si="255"/>
        <v>90</v>
      </c>
      <c r="AA72" s="488">
        <f t="shared" si="255"/>
        <v>81</v>
      </c>
      <c r="AB72" s="488">
        <f t="shared" si="255"/>
        <v>72</v>
      </c>
      <c r="AC72" s="488">
        <f t="shared" si="255"/>
        <v>262</v>
      </c>
      <c r="AD72" s="488">
        <f t="shared" si="255"/>
        <v>226</v>
      </c>
      <c r="AE72" s="488">
        <f t="shared" si="255"/>
        <v>196</v>
      </c>
      <c r="AF72" s="488">
        <f t="shared" si="255"/>
        <v>169</v>
      </c>
      <c r="AG72" s="488">
        <f t="shared" si="255"/>
        <v>362</v>
      </c>
      <c r="AH72" s="488">
        <f t="shared" si="255"/>
        <v>314</v>
      </c>
      <c r="AI72" s="488">
        <f t="shared" si="255"/>
        <v>272</v>
      </c>
      <c r="AJ72" s="488">
        <f t="shared" si="255"/>
        <v>235</v>
      </c>
      <c r="AK72" s="488">
        <f t="shared" si="255"/>
        <v>362</v>
      </c>
      <c r="AL72" s="488">
        <f t="shared" si="255"/>
        <v>307</v>
      </c>
      <c r="AM72" s="488">
        <f t="shared" si="255"/>
        <v>262</v>
      </c>
      <c r="AN72" s="488">
        <f t="shared" si="255"/>
        <v>224</v>
      </c>
      <c r="AP72" s="22"/>
    </row>
    <row r="73" spans="2:42" x14ac:dyDescent="0.25">
      <c r="B73" s="33" t="s">
        <v>10</v>
      </c>
      <c r="C73" s="440" t="s">
        <v>661</v>
      </c>
      <c r="D73" s="443"/>
      <c r="E73" s="440"/>
      <c r="F73" s="440"/>
      <c r="G73" s="440"/>
      <c r="H73" s="440"/>
      <c r="I73" s="440"/>
      <c r="J73" s="440"/>
      <c r="K73" s="440"/>
      <c r="L73" s="440"/>
      <c r="M73" s="440"/>
      <c r="N73" s="440"/>
      <c r="O73" s="440"/>
      <c r="P73" s="440"/>
      <c r="Q73" s="440"/>
      <c r="R73" s="440"/>
      <c r="S73" s="440"/>
      <c r="T73" s="440"/>
      <c r="U73" s="440"/>
      <c r="V73" s="440"/>
      <c r="W73" s="440"/>
      <c r="X73" s="440"/>
      <c r="Y73" s="440"/>
      <c r="Z73" s="440"/>
      <c r="AA73" s="440"/>
      <c r="AB73" s="440"/>
      <c r="AC73" s="440"/>
      <c r="AD73" s="440"/>
      <c r="AE73" s="440"/>
      <c r="AF73" s="440"/>
      <c r="AG73" s="440"/>
      <c r="AH73" s="440"/>
      <c r="AI73" s="440"/>
      <c r="AJ73" s="440"/>
      <c r="AK73" s="440"/>
      <c r="AL73" s="440"/>
      <c r="AM73" s="440"/>
      <c r="AN73" s="440"/>
      <c r="AO73" s="428"/>
      <c r="AP73" s="442"/>
    </row>
    <row r="74" spans="2:42" x14ac:dyDescent="0.25">
      <c r="B74" s="33"/>
      <c r="C74" s="137" t="s">
        <v>726</v>
      </c>
      <c r="D74" s="157" t="s">
        <v>162</v>
      </c>
      <c r="E74" s="414">
        <f>ROUND(E62*'1.1 Control Panel'!E716,0)+E67</f>
        <v>78</v>
      </c>
      <c r="F74" s="414">
        <f>ROUND(F62*'1.1 Control Panel'!F716,0)+F67-$E76*F$138</f>
        <v>76</v>
      </c>
      <c r="G74" s="414">
        <f>ROUND(G62*'1.1 Control Panel'!G716,0)+G67-$E76*G$138-$F76*G$139</f>
        <v>74</v>
      </c>
      <c r="H74" s="414">
        <f>ROUND(H62*'1.1 Control Panel'!H716,0)+H67-$E76*H$138-$F76*H$139-$G76*H$140</f>
        <v>68</v>
      </c>
      <c r="I74" s="414">
        <f>ROUND(I62*'1.1 Control Panel'!I716,0)+I67-$E76*I$138-$F76*I$139-$G76*I$140-$H76*I$141</f>
        <v>108</v>
      </c>
      <c r="J74" s="414">
        <f>ROUND(J62*'1.1 Control Panel'!J716,0)+J67-$E76*J$138-$F76*J$139-$G76*J$140-$H76*J$141-$I76*J$142</f>
        <v>155</v>
      </c>
      <c r="K74" s="414">
        <f>ROUND(K62*'1.1 Control Panel'!K716,0)+K67-$E76*K$138-$F76*K$139-$G76*K$140-$H76*K$141-$I76*K$142-$J76*K$143</f>
        <v>132</v>
      </c>
      <c r="L74" s="414">
        <f>ROUND(L62*'1.1 Control Panel'!L716,0)+L67-$E76*L$138-$F76*L$139-$G76*L$140-$H76*L$141-$I76*L$142-$J76*L$143-$K76*L$144</f>
        <v>113</v>
      </c>
      <c r="M74" s="414">
        <f>ROUND(M62*'1.1 Control Panel'!M716,0)+M67-$E76*M$138-$F76*M$139-$G76*M$140-$H76*M$141-$I76*M$142-$J76*M$143-$K76*M$144-$L76*M$145</f>
        <v>149</v>
      </c>
      <c r="N74" s="414">
        <f>ROUND(N62*'1.1 Control Panel'!N716,0)+N67-$E76*N$138-$F76*N$139-$G76*N$140-$H76*N$141-$I76*N$142-$J76*N$143-$K76*N$144-$L76*N$145-$M76*N$146</f>
        <v>140</v>
      </c>
      <c r="O74" s="414">
        <f>ROUND(O62*'1.1 Control Panel'!O716,0)+O67-$E76*O$138-$F76*O$139-$G76*O$140-$H76*O$141-$I76*O$142-$J76*O$143-$K76*O$144-$L76*O$145-$M76*O$146-$N76*O$147</f>
        <v>134</v>
      </c>
      <c r="P74" s="414">
        <f>ROUND(P62*'1.1 Control Panel'!P716,0)+P67-$E76*P$138-$F76*P$139-$G76*P$140-$H76*P$141-$I76*P$142-$J76*P$143-$K76*P$144-$L76*P$145-$M76*P$146-$N76*P$147-$O76*P$148</f>
        <v>127</v>
      </c>
      <c r="Q74" s="414">
        <f>ROUND(Q62*'1.1 Control Panel'!Q716,0)+Q67-$E76*Q$138-$F76*Q$139-$G76*Q$140-$H76*Q$141-$I76*Q$142-$J76*Q$143-$K76*Q$144-$L76*Q$145-$M76*Q$146-$N76*Q$147-$O76*Q$148-$P76*Q$149</f>
        <v>322</v>
      </c>
      <c r="R74" s="414">
        <f>ROUND(R62*'1.1 Control Panel'!R716,0)+R67-$E76*R$138-$F76*R$139-$G76*R$140-$H76*R$141-$I76*R$142-$J76*R$143-$K76*R$144-$L76*R$145-$M76*R$146-$N76*R$147-$O76*R$148-$P76*R$149-$Q76*R$150</f>
        <v>276</v>
      </c>
      <c r="S74" s="414">
        <f>ROUND(S62*'1.1 Control Panel'!S716,0)+S67-$E76*S$138-$F76*S$139-$G76*S$140-$H76*S$141-$I76*S$142-$J76*S$143-$K76*S$144-$L76*S$145-$M76*S$146-$N76*S$147-$O76*S$148-$P76*S$149-$Q76*S$150-$R76*S$151</f>
        <v>240</v>
      </c>
      <c r="T74" s="414">
        <f>ROUND(T62*'1.1 Control Panel'!T716,0)+T67-$E76*T$138-$F76*T$139-$G76*T$140-$H76*T$141-$I76*T$142-$J76*T$143-$K76*T$144-$L76*T$145-$M76*T$146-$N76*T$147-$O76*T$148-$P76*T$149-$Q76*T$150-$R76*T$151-$S76*T$152</f>
        <v>208</v>
      </c>
      <c r="U74" s="414">
        <f>ROUND(U62*'1.1 Control Panel'!U716,0)+U67-$E76*U$138-$F76*U$139-$G76*U$140-$H76*U$141-$I76*U$142-$J76*U$143-$K76*U$144-$L76*U$145-$M76*U$146-$N76*U$147-$O76*U$148-$P76*U$149-$Q76*U$150-$R76*U$151-$S76*U$152-$T76*U$153</f>
        <v>445</v>
      </c>
      <c r="V74" s="414">
        <f>ROUND(V62*'1.1 Control Panel'!V716,0)+V67-$E76*V$138-$F76*V$139-$G76*V$140-$H76*V$141-$I76*V$142-$J76*V$143-$K76*V$144-$L76*V$145-$M76*V$146-$N76*V$147-$O76*V$148-$P76*V$149-$Q76*V$150-$R76*V$151-$S76*V$152-$T76*V$153-$U76*V$154</f>
        <v>390</v>
      </c>
      <c r="W74" s="414">
        <f>ROUND(W62*'1.1 Control Panel'!W716,0)+W67-$E76*W$138-$F76*W$139-$G76*W$140-$H76*W$141-$I76*W$142-$J76*W$143-$K76*W$144-$L76*W$145-$M76*W$146-$N76*W$147-$O76*W$148-$P76*W$149-$Q76*W$150-$R76*W$151-$S76*W$152-$T76*W$153-$U76*W$154-$V76*W$155</f>
        <v>339</v>
      </c>
      <c r="X74" s="414">
        <f>ROUND(X62*'1.1 Control Panel'!X716,0)+X67-$E76*X$138-$F76*X$139-$G76*X$140-$H76*X$141-$I76*X$142-$J76*X$143-$K76*X$144-$L76*X$145-$M76*X$146-$N76*X$147-$O76*X$148-$P76*X$149-$Q76*X$150-$R76*X$151-$S76*X$152-$T76*X$153-$U76*X$154-$V76*X$155-$W76*X$156</f>
        <v>296</v>
      </c>
      <c r="Y74" s="414">
        <f>ROUND(Y62*'1.1 Control Panel'!Y716,0)+Y67-$E76*Y$138-$F76*Y$139-$G76*Y$140-$H76*Y$141-$I76*Y$142-$J76*Y$143-$K76*Y$144-$L76*Y$145-$M76*Y$146-$N76*Y$147-$O76*Y$148-$P76*Y$149-$Q76*Y$150-$R76*Y$151-$S76*Y$152-$T76*Y$153-$U76*Y$154-$V76*Y$155-$W76*Y$156-$X76*Y$157</f>
        <v>333</v>
      </c>
      <c r="Z74" s="414">
        <f>ROUND(Z62*'1.1 Control Panel'!Z716,0)+Z67-$E76*Z$138-$F76*Z$139-$G76*Z$140-$H76*Z$141-$I76*Z$142-$J76*Z$143-$K76*Z$144-$L76*Z$145-$M76*Z$146-$N76*Z$147-$O76*Z$148-$P76*Z$149-$Q76*Z$150-$R76*Z$151-$S76*Z$152-$T76*Z$153-$U76*Z$154-$V76*Z$155-$W76*Z$156-$X76*Z$157-$Y76*Z$158</f>
        <v>295</v>
      </c>
      <c r="AA74" s="414">
        <f>ROUND(AA62*'1.1 Control Panel'!AA716,0)+AA67-$E76*AA$138-$F76*AA$139-$G76*AA$140-$H76*AA$141-$I76*AA$142-$J76*AA$143-$K76*AA$144-$L76*AA$145-$M76*AA$146-$N76*AA$147-$O76*AA$148-$P76*AA$149-$Q76*AA$150-$R76*AA$151-$S76*AA$152-$T76*AA$153-$U76*AA$154-$V76*AA$155-$W76*AA$156-$X76*AA$157-$Y76*AA$158-$Z76*AA$159</f>
        <v>264</v>
      </c>
      <c r="AB74" s="414">
        <f>ROUND(AB62*'1.1 Control Panel'!AB716,0)+AB67-$E76*AB$138-$F76*AB$139-$G76*AB$140-$H76*AB$141-$I76*AB$142-$J76*AB$143-$K76*AB$144-$L76*AB$145-$M76*AB$146-$N76*AB$147-$O76*AB$148-$P76*AB$149-$Q76*AB$150-$R76*AB$151-$S76*AB$152-$T76*AB$153-$U76*AB$154-$V76*AB$155-$W76*AB$156-$X76*AB$157-$Y76*AB$158-$Z76*AB$159-$AA76*AB$160</f>
        <v>236</v>
      </c>
      <c r="AC74" s="414">
        <f>ROUND(AC62*'1.1 Control Panel'!AC716,0)+AC67-$E76*AC$138-$F76*AC$139-$G76*AC$140-$H76*AC$141-$I76*AC$142-$J76*AC$143-$K76*AC$144-$L76*AC$145-$M76*AC$146-$N76*AC$147-$O76*AC$148-$P76*AC$149-$Q76*AC$150-$R76*AC$151-$S76*AC$152-$T76*AC$153-$U76*AC$154-$V76*AC$155-$W76*AC$156-$X76*AC$157-$Y76*AC$158-$Z76*AC$159-$AA76*AC$160-$AB76*AC$161</f>
        <v>858</v>
      </c>
      <c r="AD74" s="414">
        <f>ROUND(AD62*'1.1 Control Panel'!AD716,0)+AD67-$E76*AD$138-$F76*AD$139-$G76*AD$140-$H76*AD$141-$I76*AD$142-$J76*AD$143-$K76*AD$144-$L76*AD$145-$M76*AD$146-$N76*AD$147-$O76*AD$148-$P76*AD$149-$Q76*AD$150-$R76*AD$151-$S76*AD$152-$T76*AD$153-$U76*AD$154-$V76*AD$155-$W76*AD$156-$X76*AD$157-$Y76*AD$158-$Z76*AD$159-$AA76*AD$160-$AB76*AD$161-$AC76*AD$162</f>
        <v>742</v>
      </c>
      <c r="AE74" s="414">
        <f>ROUND(AE62*'1.1 Control Panel'!AE716,0)+AE67-$E76*AE$138-$F76*AE$139-$G76*AE$140-$H76*AE$141-$I76*AE$142-$J76*AE$143-$K76*AE$144-$L76*AE$145-$M76*AE$146-$N76*AE$147-$O76*AE$148-$P76*AE$149-$Q76*AE$150-$R76*AE$151-$S76*AE$152-$T76*AE$153-$U76*AE$154-$V76*AE$155-$W76*AE$156-$X76*AE$157-$Y76*AE$158-$Z76*AE$159-$AA76*AE$160-$AB76*AE$161-$AC76*AE$162-$AD76*AE$163</f>
        <v>643</v>
      </c>
      <c r="AF74" s="414">
        <f>ROUND(AF62*'1.1 Control Panel'!AF716,0)+AF67-$E76*AF$138-$F76*AF$139-$G76*AF$140-$H76*AF$141-$I76*AF$142-$J76*AF$143-$K76*AF$144-$L76*AF$145-$M76*AF$146-$N76*AF$147-$O76*AF$148-$P76*AF$149-$Q76*AF$150-$R76*AF$151-$S76*AF$152-$T76*AF$153-$U76*AF$154-$V76*AF$155-$W76*AF$156-$X76*AF$157-$Y76*AF$158-$Z76*AF$159-$AA76*AF$160-$AB76*AF$161-$AC76*AF$162-$AD76*AF$163-$AE76*AF$164</f>
        <v>556</v>
      </c>
      <c r="AG74" s="414">
        <f>ROUND(AG62*'1.1 Control Panel'!AG716,0)+AG67-$E76*AG$138-$F76*AG$139-$G76*AG$140-$H76*AG$141-$I76*AG$142-$J76*AG$143-$K76*AG$144-$L76*AG$145-$M76*AG$146-$N76*AG$147-$O76*AG$148-$P76*AG$149-$Q76*AG$150-$R76*AG$151-$S76*AG$152-$T76*AG$153-$U76*AG$154-$V76*AG$155-$W76*AG$156-$X76*AG$157-$Y76*AG$158-$Z76*AG$159-$AA76*AG$160-$AB76*AG$161-$AC76*AG$162-$AD76*AG$163-$AE76*AG$164-$AF76*AG$165</f>
        <v>1189</v>
      </c>
      <c r="AH74" s="414">
        <f>ROUND(AH62*'1.1 Control Panel'!AH716,0)+AH67-$E76*AH$138-$F76*AH$139-$G76*AH$140-$H76*AH$141-$I76*AH$142-$J76*AH$143-$K76*AH$144-$L76*AH$145-$M76*AH$146-$N76*AH$147-$O76*AH$148-$P76*AH$149-$Q76*AH$150-$R76*AH$151-$S76*AH$152-$T76*AH$153-$U76*AH$154-$V76*AH$155-$W76*AH$156-$X76*AH$157-$Y76*AH$158-$Z76*AH$159-$AA76*AH$160-$AB76*AH$161-$AC76*AH$162-$AD76*AH$163-$AE76*AH$164-$AF76*AH$165-$AG76*AH$166</f>
        <v>1029</v>
      </c>
      <c r="AI74" s="414">
        <f>ROUND(AI62*'1.1 Control Panel'!AI716,0)+AI67-$E76*AI$138-$F76*AI$139-$G76*AI$140-$H76*AI$141-$I76*AI$142-$J76*AI$143-$K76*AI$144-$L76*AI$145-$M76*AI$146-$N76*AI$147-$O76*AI$148-$P76*AI$149-$Q76*AI$150-$R76*AI$151-$S76*AI$152-$T76*AI$153-$U76*AI$154-$V76*AI$155-$W76*AI$156-$X76*AI$157-$Y76*AI$158-$Z76*AI$159-$AA76*AI$160-$AB76*AI$161-$AC76*AI$162-$AD76*AI$163-$AE76*AI$164-$AF76*AI$165-$AG76*AI$166-$AH76*AI$167</f>
        <v>891</v>
      </c>
      <c r="AJ74" s="414">
        <f>ROUND(AJ62*'1.1 Control Panel'!AJ716,0)+AJ67-$E76*AJ$138-$F76*AJ$139-$G76*AJ$140-$H76*AJ$141-$I76*AJ$142-$J76*AJ$143-$K76*AJ$144-$L76*AJ$145-$M76*AJ$146-$N76*AJ$147-$O76*AJ$148-$P76*AJ$149-$Q76*AJ$150-$R76*AJ$151-$S76*AJ$152-$T76*AJ$153-$U76*AJ$154-$V76*AJ$155-$W76*AJ$156-$X76*AJ$157-$Y76*AJ$158-$Z76*AJ$159-$AA76*AJ$160-$AB76*AJ$161-$AC76*AJ$162-$AD76*AJ$163-$AE76*AJ$164-$AF76*AJ$165-$AG76*AJ$166-$AH76*AJ$167-$AI76*AJ$168</f>
        <v>772</v>
      </c>
      <c r="AK74" s="414">
        <f>ROUND(AK62*'1.1 Control Panel'!AK716,0)+AK67-$E76*AK$138-$F76*AK$139-$G76*AK$140-$H76*AK$141-$I76*AK$142-$J76*AK$143-$K76*AK$144-$L76*AK$145-$M76*AK$146-$N76*AK$147-$O76*AK$148-$P76*AK$149-$Q76*AK$150-$R76*AK$151-$S76*AK$152-$T76*AK$153-$U76*AK$154-$V76*AK$155-$W76*AK$156-$X76*AK$157-$Y76*AK$158-$Z76*AK$159-$AA76*AK$160-$AB76*AK$161-$AC76*AK$162-$AD76*AK$163-$AE76*AK$164-$AF76*AK$165-$AG76*AK$166-$AH76*AK$167-$AI76*AK$168-$AJ76*AK$169</f>
        <v>1187</v>
      </c>
      <c r="AL74" s="414">
        <f>ROUND(AL62*'1.1 Control Panel'!AL716,0)+AL67-$E76*AL$138-$F76*AL$139-$G76*AL$140-$H76*AL$141-$I76*AL$142-$J76*AL$143-$K76*AL$144-$L76*AL$145-$M76*AL$146-$N76*AL$147-$O76*AL$148-$P76*AL$149-$Q76*AL$150-$R76*AL$151-$S76*AL$152-$T76*AL$153-$U76*AL$154-$V76*AL$155-$W76*AL$156-$X76*AL$157-$Y76*AL$158-$Z76*AL$159-$AA76*AL$160-$AB76*AL$161-$AC76*AL$162-$AD76*AL$163-$AE76*AL$164-$AF76*AL$165-$AG76*AL$166-$AH76*AL$167-$AI76*AL$168-$AJ76*AL$169-$AK76*AL$170</f>
        <v>1009</v>
      </c>
      <c r="AM74" s="414">
        <f>ROUND(AM62*'1.1 Control Panel'!AM716,0)+AM67-$E76*AM$138-$F76*AM$139-$G76*AM$140-$H76*AM$141-$I76*AM$142-$J76*AM$143-$K76*AM$144-$L76*AM$145-$M76*AM$146-$N76*AM$147-$O76*AM$148-$P76*AM$149-$Q76*AM$150-$R76*AM$151-$S76*AM$152-$T76*AM$153-$U76*AM$154-$V76*AM$155-$W76*AM$156-$X76*AM$157-$Y76*AM$158-$Z76*AM$159-$AA76*AM$160-$AB76*AM$161-$AC76*AM$162-$AD76*AM$163-$AE76*AM$164-$AF76*AM$165-$AG76*AM$166-$AH76*AM$167-$AI76*AM$168-$AJ76*AM$169-$AK76*AM$170-$AL76*AM$171</f>
        <v>861</v>
      </c>
      <c r="AN74" s="414">
        <f>ROUND(AN62*'1.1 Control Panel'!AN716,0)+AN67-$E76*AN$138-$F76*AN$139-$G76*AN$140-$H76*AN$141-$I76*AN$142-$J76*AN$143-$K76*AN$144-$L76*AN$145-$M76*AN$146-$N76*AN$147-$O76*AN$148-$P76*AN$149-$Q76*AN$150-$R76*AN$151-$S76*AN$152-$T76*AN$153-$U76*AN$154-$V76*AN$155-$W76*AN$156-$X76*AN$157-$Y76*AN$158-$Z76*AN$159-$AA76*AN$160-$AB76*AN$161-$AC76*AN$162-$AD76*AN$163-$AE76*AN$164-$AF76*AN$165-$AG76*AN$166-$AH76*AN$167-$AI76*AN$168-$AJ76*AN$169-$AK76*AN$170-$AL76*AN$171-$AM76*AN$172</f>
        <v>736</v>
      </c>
      <c r="AP74" s="20"/>
    </row>
    <row r="75" spans="2:42" x14ac:dyDescent="0.25">
      <c r="B75" s="33"/>
      <c r="C75" s="466" t="s">
        <v>734</v>
      </c>
      <c r="D75" s="158" t="s">
        <v>162</v>
      </c>
      <c r="E75" s="496">
        <f>ROUND(E74*'1.1 Control Panel'!E718,0)</f>
        <v>62</v>
      </c>
      <c r="F75" s="496">
        <f>ROUND(F74*'1.1 Control Panel'!F718,0)</f>
        <v>61</v>
      </c>
      <c r="G75" s="496">
        <f>ROUND(G74*'1.1 Control Panel'!G718,0)</f>
        <v>59</v>
      </c>
      <c r="H75" s="496">
        <f>ROUND(H74*'1.1 Control Panel'!H718,0)</f>
        <v>54</v>
      </c>
      <c r="I75" s="496">
        <f>ROUND(I74*'1.1 Control Panel'!I718,0)</f>
        <v>86</v>
      </c>
      <c r="J75" s="496">
        <f>ROUND(J74*'1.1 Control Panel'!J718,0)</f>
        <v>124</v>
      </c>
      <c r="K75" s="496">
        <f>ROUND(K74*'1.1 Control Panel'!K718,0)</f>
        <v>106</v>
      </c>
      <c r="L75" s="496">
        <f>ROUND(L74*'1.1 Control Panel'!L718,0)</f>
        <v>90</v>
      </c>
      <c r="M75" s="496">
        <f>ROUND(M74*'1.1 Control Panel'!M718,0)</f>
        <v>119</v>
      </c>
      <c r="N75" s="496">
        <f>ROUND(N74*'1.1 Control Panel'!N718,0)</f>
        <v>112</v>
      </c>
      <c r="O75" s="496">
        <f>ROUND(O74*'1.1 Control Panel'!O718,0)</f>
        <v>107</v>
      </c>
      <c r="P75" s="496">
        <f>ROUND(P74*'1.1 Control Panel'!P718,0)</f>
        <v>102</v>
      </c>
      <c r="Q75" s="496">
        <f>ROUND(Q74*'1.1 Control Panel'!Q718,0)</f>
        <v>258</v>
      </c>
      <c r="R75" s="496">
        <f>ROUND(R74*'1.1 Control Panel'!R718,0)</f>
        <v>221</v>
      </c>
      <c r="S75" s="496">
        <f>ROUND(S74*'1.1 Control Panel'!S718,0)</f>
        <v>192</v>
      </c>
      <c r="T75" s="496">
        <f>ROUND(T74*'1.1 Control Panel'!T718,0)</f>
        <v>166</v>
      </c>
      <c r="U75" s="496">
        <f>ROUND(U74*'1.1 Control Panel'!U718,0)</f>
        <v>356</v>
      </c>
      <c r="V75" s="496">
        <f>ROUND(V74*'1.1 Control Panel'!V718,0)</f>
        <v>312</v>
      </c>
      <c r="W75" s="496">
        <f>ROUND(W74*'1.1 Control Panel'!W718,0)</f>
        <v>271</v>
      </c>
      <c r="X75" s="496">
        <f>ROUND(X74*'1.1 Control Panel'!X718,0)</f>
        <v>237</v>
      </c>
      <c r="Y75" s="496">
        <f>ROUND(Y74*'1.1 Control Panel'!Y718,0)</f>
        <v>266</v>
      </c>
      <c r="Z75" s="496">
        <f>ROUND(Z74*'1.1 Control Panel'!Z718,0)</f>
        <v>236</v>
      </c>
      <c r="AA75" s="496">
        <f>ROUND(AA74*'1.1 Control Panel'!AA718,0)</f>
        <v>211</v>
      </c>
      <c r="AB75" s="496">
        <f>ROUND(AB74*'1.1 Control Panel'!AB718,0)</f>
        <v>189</v>
      </c>
      <c r="AC75" s="496">
        <f>ROUND(AC74*'1.1 Control Panel'!AC718,0)</f>
        <v>686</v>
      </c>
      <c r="AD75" s="496">
        <f>ROUND(AD74*'1.1 Control Panel'!AD718,0)</f>
        <v>594</v>
      </c>
      <c r="AE75" s="496">
        <f>ROUND(AE74*'1.1 Control Panel'!AE718,0)</f>
        <v>514</v>
      </c>
      <c r="AF75" s="496">
        <f>ROUND(AF74*'1.1 Control Panel'!AF718,0)</f>
        <v>445</v>
      </c>
      <c r="AG75" s="496">
        <f>ROUND(AG74*'1.1 Control Panel'!AG718,0)</f>
        <v>951</v>
      </c>
      <c r="AH75" s="496">
        <f>ROUND(AH74*'1.1 Control Panel'!AH718,0)</f>
        <v>823</v>
      </c>
      <c r="AI75" s="496">
        <f>ROUND(AI74*'1.1 Control Panel'!AI718,0)</f>
        <v>713</v>
      </c>
      <c r="AJ75" s="496">
        <f>ROUND(AJ74*'1.1 Control Panel'!AJ718,0)</f>
        <v>618</v>
      </c>
      <c r="AK75" s="496">
        <f>ROUND(AK74*'1.1 Control Panel'!AK718,0)</f>
        <v>950</v>
      </c>
      <c r="AL75" s="496">
        <f>ROUND(AL74*'1.1 Control Panel'!AL718,0)</f>
        <v>807</v>
      </c>
      <c r="AM75" s="496">
        <f>ROUND(AM74*'1.1 Control Panel'!AM718,0)</f>
        <v>689</v>
      </c>
      <c r="AN75" s="496">
        <f>ROUND(AN74*'1.1 Control Panel'!AN718,0)</f>
        <v>589</v>
      </c>
      <c r="AP75" s="21"/>
    </row>
    <row r="76" spans="2:42" x14ac:dyDescent="0.25">
      <c r="B76" s="33"/>
      <c r="C76" s="495" t="s">
        <v>735</v>
      </c>
      <c r="D76" s="159" t="s">
        <v>162</v>
      </c>
      <c r="E76" s="488">
        <f>E74-E75</f>
        <v>16</v>
      </c>
      <c r="F76" s="488">
        <f t="shared" ref="F76:AN76" si="256">F74-F75</f>
        <v>15</v>
      </c>
      <c r="G76" s="488">
        <f t="shared" si="256"/>
        <v>15</v>
      </c>
      <c r="H76" s="488">
        <f t="shared" si="256"/>
        <v>14</v>
      </c>
      <c r="I76" s="488">
        <f t="shared" si="256"/>
        <v>22</v>
      </c>
      <c r="J76" s="488">
        <f t="shared" si="256"/>
        <v>31</v>
      </c>
      <c r="K76" s="488">
        <f t="shared" si="256"/>
        <v>26</v>
      </c>
      <c r="L76" s="488">
        <f t="shared" si="256"/>
        <v>23</v>
      </c>
      <c r="M76" s="488">
        <f t="shared" si="256"/>
        <v>30</v>
      </c>
      <c r="N76" s="488">
        <f t="shared" si="256"/>
        <v>28</v>
      </c>
      <c r="O76" s="488">
        <f t="shared" si="256"/>
        <v>27</v>
      </c>
      <c r="P76" s="488">
        <f t="shared" si="256"/>
        <v>25</v>
      </c>
      <c r="Q76" s="488">
        <f t="shared" si="256"/>
        <v>64</v>
      </c>
      <c r="R76" s="488">
        <f t="shared" si="256"/>
        <v>55</v>
      </c>
      <c r="S76" s="488">
        <f t="shared" si="256"/>
        <v>48</v>
      </c>
      <c r="T76" s="488">
        <f t="shared" si="256"/>
        <v>42</v>
      </c>
      <c r="U76" s="488">
        <f t="shared" si="256"/>
        <v>89</v>
      </c>
      <c r="V76" s="488">
        <f t="shared" si="256"/>
        <v>78</v>
      </c>
      <c r="W76" s="488">
        <f t="shared" si="256"/>
        <v>68</v>
      </c>
      <c r="X76" s="488">
        <f t="shared" si="256"/>
        <v>59</v>
      </c>
      <c r="Y76" s="488">
        <f t="shared" si="256"/>
        <v>67</v>
      </c>
      <c r="Z76" s="488">
        <f t="shared" si="256"/>
        <v>59</v>
      </c>
      <c r="AA76" s="488">
        <f t="shared" si="256"/>
        <v>53</v>
      </c>
      <c r="AB76" s="488">
        <f t="shared" si="256"/>
        <v>47</v>
      </c>
      <c r="AC76" s="488">
        <f t="shared" si="256"/>
        <v>172</v>
      </c>
      <c r="AD76" s="488">
        <f t="shared" si="256"/>
        <v>148</v>
      </c>
      <c r="AE76" s="488">
        <f t="shared" si="256"/>
        <v>129</v>
      </c>
      <c r="AF76" s="488">
        <f t="shared" si="256"/>
        <v>111</v>
      </c>
      <c r="AG76" s="488">
        <f t="shared" si="256"/>
        <v>238</v>
      </c>
      <c r="AH76" s="488">
        <f t="shared" si="256"/>
        <v>206</v>
      </c>
      <c r="AI76" s="488">
        <f t="shared" si="256"/>
        <v>178</v>
      </c>
      <c r="AJ76" s="488">
        <f t="shared" si="256"/>
        <v>154</v>
      </c>
      <c r="AK76" s="488">
        <f t="shared" si="256"/>
        <v>237</v>
      </c>
      <c r="AL76" s="488">
        <f t="shared" si="256"/>
        <v>202</v>
      </c>
      <c r="AM76" s="488">
        <f t="shared" si="256"/>
        <v>172</v>
      </c>
      <c r="AN76" s="488">
        <f t="shared" si="256"/>
        <v>147</v>
      </c>
      <c r="AP76" s="22"/>
    </row>
    <row r="77" spans="2:42" x14ac:dyDescent="0.25">
      <c r="B77" s="33" t="s">
        <v>10</v>
      </c>
      <c r="C77" s="440" t="s">
        <v>701</v>
      </c>
      <c r="D77" s="443"/>
      <c r="E77" s="440"/>
      <c r="F77" s="440"/>
      <c r="G77" s="440"/>
      <c r="H77" s="440"/>
      <c r="I77" s="440"/>
      <c r="J77" s="440"/>
      <c r="K77" s="440"/>
      <c r="L77" s="440"/>
      <c r="M77" s="440"/>
      <c r="N77" s="440"/>
      <c r="O77" s="440"/>
      <c r="P77" s="440"/>
      <c r="Q77" s="440"/>
      <c r="R77" s="440"/>
      <c r="S77" s="440"/>
      <c r="T77" s="440"/>
      <c r="U77" s="440"/>
      <c r="V77" s="440"/>
      <c r="W77" s="440"/>
      <c r="X77" s="440"/>
      <c r="Y77" s="440"/>
      <c r="Z77" s="440"/>
      <c r="AA77" s="440"/>
      <c r="AB77" s="440"/>
      <c r="AC77" s="440"/>
      <c r="AD77" s="440"/>
      <c r="AE77" s="440"/>
      <c r="AF77" s="440"/>
      <c r="AG77" s="440"/>
      <c r="AH77" s="440"/>
      <c r="AI77" s="440"/>
      <c r="AJ77" s="440"/>
      <c r="AK77" s="440"/>
      <c r="AL77" s="440"/>
      <c r="AM77" s="440"/>
      <c r="AN77" s="440"/>
      <c r="AO77" s="428"/>
      <c r="AP77" s="442"/>
    </row>
    <row r="78" spans="2:42" x14ac:dyDescent="0.25">
      <c r="C78" s="137" t="s">
        <v>726</v>
      </c>
      <c r="D78" s="157" t="s">
        <v>162</v>
      </c>
      <c r="E78" s="131">
        <f>E62-SUM(E64,E70,E74)+SUM(E66:E68)</f>
        <v>29</v>
      </c>
      <c r="F78" s="131">
        <f t="shared" ref="F78:AN78" si="257">F62-SUM(F64,F70,F74)+SUM(F66:F68)</f>
        <v>75</v>
      </c>
      <c r="G78" s="131">
        <f t="shared" si="257"/>
        <v>118</v>
      </c>
      <c r="H78" s="131">
        <f t="shared" si="257"/>
        <v>158</v>
      </c>
      <c r="I78" s="131">
        <f t="shared" si="257"/>
        <v>213</v>
      </c>
      <c r="J78" s="131">
        <f t="shared" si="257"/>
        <v>296</v>
      </c>
      <c r="K78" s="131">
        <f t="shared" si="257"/>
        <v>377</v>
      </c>
      <c r="L78" s="131">
        <f t="shared" si="257"/>
        <v>446</v>
      </c>
      <c r="M78" s="131">
        <f t="shared" si="257"/>
        <v>526</v>
      </c>
      <c r="N78" s="131">
        <f t="shared" si="257"/>
        <v>610</v>
      </c>
      <c r="O78" s="131">
        <f t="shared" si="257"/>
        <v>689</v>
      </c>
      <c r="P78" s="131">
        <f t="shared" si="257"/>
        <v>765</v>
      </c>
      <c r="Q78" s="131">
        <f t="shared" si="257"/>
        <v>866</v>
      </c>
      <c r="R78" s="131">
        <f t="shared" si="257"/>
        <v>992</v>
      </c>
      <c r="S78" s="131">
        <f t="shared" si="257"/>
        <v>1095</v>
      </c>
      <c r="T78" s="131">
        <f t="shared" si="257"/>
        <v>1182</v>
      </c>
      <c r="U78" s="131">
        <f t="shared" si="257"/>
        <v>1330</v>
      </c>
      <c r="V78" s="131">
        <f t="shared" si="257"/>
        <v>1476</v>
      </c>
      <c r="W78" s="131">
        <f t="shared" si="257"/>
        <v>1606</v>
      </c>
      <c r="X78" s="131">
        <f t="shared" si="257"/>
        <v>1721</v>
      </c>
      <c r="Y78" s="131">
        <f t="shared" si="257"/>
        <v>1822</v>
      </c>
      <c r="Z78" s="131">
        <f t="shared" si="257"/>
        <v>1919</v>
      </c>
      <c r="AA78" s="131">
        <f t="shared" si="257"/>
        <v>1999</v>
      </c>
      <c r="AB78" s="131">
        <f t="shared" si="257"/>
        <v>2070</v>
      </c>
      <c r="AC78" s="131">
        <f t="shared" si="257"/>
        <v>2258</v>
      </c>
      <c r="AD78" s="131">
        <f t="shared" si="257"/>
        <v>2553</v>
      </c>
      <c r="AE78" s="131">
        <f t="shared" si="257"/>
        <v>2806</v>
      </c>
      <c r="AF78" s="131">
        <f t="shared" si="257"/>
        <v>3027</v>
      </c>
      <c r="AG78" s="131">
        <f t="shared" si="257"/>
        <v>3331</v>
      </c>
      <c r="AH78" s="131">
        <f t="shared" si="257"/>
        <v>3734</v>
      </c>
      <c r="AI78" s="131">
        <f t="shared" si="257"/>
        <v>4082</v>
      </c>
      <c r="AJ78" s="131">
        <f t="shared" si="257"/>
        <v>4384</v>
      </c>
      <c r="AK78" s="131">
        <f t="shared" si="257"/>
        <v>4795</v>
      </c>
      <c r="AL78" s="131">
        <f t="shared" si="257"/>
        <v>5246</v>
      </c>
      <c r="AM78" s="131">
        <f t="shared" si="257"/>
        <v>5621</v>
      </c>
      <c r="AN78" s="131">
        <f t="shared" si="257"/>
        <v>5936</v>
      </c>
      <c r="AP78" s="20"/>
    </row>
    <row r="79" spans="2:42" x14ac:dyDescent="0.25">
      <c r="C79" s="466" t="s">
        <v>745</v>
      </c>
      <c r="D79" s="158" t="s">
        <v>162</v>
      </c>
      <c r="E79" s="406">
        <f>E78</f>
        <v>29</v>
      </c>
      <c r="F79" s="406">
        <f t="shared" ref="F79:AN79" si="258">F78</f>
        <v>75</v>
      </c>
      <c r="G79" s="406">
        <f t="shared" si="258"/>
        <v>118</v>
      </c>
      <c r="H79" s="406">
        <f t="shared" si="258"/>
        <v>158</v>
      </c>
      <c r="I79" s="406">
        <f t="shared" si="258"/>
        <v>213</v>
      </c>
      <c r="J79" s="406">
        <f t="shared" si="258"/>
        <v>296</v>
      </c>
      <c r="K79" s="406">
        <f t="shared" si="258"/>
        <v>377</v>
      </c>
      <c r="L79" s="406">
        <f t="shared" si="258"/>
        <v>446</v>
      </c>
      <c r="M79" s="406">
        <f t="shared" si="258"/>
        <v>526</v>
      </c>
      <c r="N79" s="406">
        <f t="shared" si="258"/>
        <v>610</v>
      </c>
      <c r="O79" s="406">
        <f t="shared" si="258"/>
        <v>689</v>
      </c>
      <c r="P79" s="406">
        <f t="shared" si="258"/>
        <v>765</v>
      </c>
      <c r="Q79" s="406">
        <f t="shared" si="258"/>
        <v>866</v>
      </c>
      <c r="R79" s="406">
        <f t="shared" si="258"/>
        <v>992</v>
      </c>
      <c r="S79" s="406">
        <f t="shared" si="258"/>
        <v>1095</v>
      </c>
      <c r="T79" s="406">
        <f t="shared" si="258"/>
        <v>1182</v>
      </c>
      <c r="U79" s="406">
        <f t="shared" si="258"/>
        <v>1330</v>
      </c>
      <c r="V79" s="406">
        <f t="shared" si="258"/>
        <v>1476</v>
      </c>
      <c r="W79" s="406">
        <f t="shared" si="258"/>
        <v>1606</v>
      </c>
      <c r="X79" s="406">
        <f t="shared" si="258"/>
        <v>1721</v>
      </c>
      <c r="Y79" s="406">
        <f t="shared" si="258"/>
        <v>1822</v>
      </c>
      <c r="Z79" s="406">
        <f t="shared" si="258"/>
        <v>1919</v>
      </c>
      <c r="AA79" s="406">
        <f t="shared" si="258"/>
        <v>1999</v>
      </c>
      <c r="AB79" s="406">
        <f t="shared" si="258"/>
        <v>2070</v>
      </c>
      <c r="AC79" s="406">
        <f t="shared" si="258"/>
        <v>2258</v>
      </c>
      <c r="AD79" s="406">
        <f t="shared" si="258"/>
        <v>2553</v>
      </c>
      <c r="AE79" s="406">
        <f t="shared" si="258"/>
        <v>2806</v>
      </c>
      <c r="AF79" s="406">
        <f t="shared" si="258"/>
        <v>3027</v>
      </c>
      <c r="AG79" s="406">
        <f t="shared" si="258"/>
        <v>3331</v>
      </c>
      <c r="AH79" s="406">
        <f t="shared" si="258"/>
        <v>3734</v>
      </c>
      <c r="AI79" s="406">
        <f t="shared" si="258"/>
        <v>4082</v>
      </c>
      <c r="AJ79" s="406">
        <f t="shared" si="258"/>
        <v>4384</v>
      </c>
      <c r="AK79" s="406">
        <f t="shared" si="258"/>
        <v>4795</v>
      </c>
      <c r="AL79" s="406">
        <f t="shared" si="258"/>
        <v>5246</v>
      </c>
      <c r="AM79" s="406">
        <f t="shared" si="258"/>
        <v>5621</v>
      </c>
      <c r="AN79" s="406">
        <f t="shared" si="258"/>
        <v>5936</v>
      </c>
      <c r="AP79" s="21"/>
    </row>
    <row r="80" spans="2:42" x14ac:dyDescent="0.25">
      <c r="C80" s="468" t="s">
        <v>746</v>
      </c>
      <c r="D80" s="423" t="s">
        <v>162</v>
      </c>
      <c r="E80" s="138">
        <f>IF(E101=2,$E$78,0)</f>
        <v>0</v>
      </c>
      <c r="F80" s="138">
        <f>IF(F101=2,$E$78,0)+IF(F102=2,$F$78,0)</f>
        <v>0</v>
      </c>
      <c r="G80" s="138">
        <f>IF(G101=2,$E$78,0)+IF(G102=2,$F$78,0)+IF(G103=2,$G$78,0)</f>
        <v>0</v>
      </c>
      <c r="H80" s="138">
        <f>IF(H101=2,$E$78,0)+IF(H102=2,$F$78,0)+IF(H103=2,$G$78,0)+IF(H104=2,$H$78,0)</f>
        <v>0</v>
      </c>
      <c r="I80" s="138">
        <f>IF(I101=2,$E$78,0)+IF(I102=2,$F$78,0)+IF(I103=2,$G$78,0)+IF(I104=2,$H$78,0)+IF(I105=2,$I$78,0)</f>
        <v>0</v>
      </c>
      <c r="J80" s="138">
        <f>IF(J101=2,$E$78,0)+IF(J102=2,$F$78,0)+IF(J103=2,$G$78,0)+IF(J104=2,$H$78,0)+IF(J105=2,$I$78,0)+IF(J106=2,$J$78,0)</f>
        <v>29</v>
      </c>
      <c r="K80" s="138">
        <f>IF(K101=2,$E$78,0)+IF(K102=2,$F$78,0)+IF(K103=2,$G$78,0)+IF(K104=2,$H$78,0)+IF(K105=2,$I$78,0)+IF(K106=2,$J$78,0)+IF(K107=2,$K$78,0)</f>
        <v>75</v>
      </c>
      <c r="L80" s="138">
        <f>IF(L101=2,$E$78,0)+IF(L102=2,$F$78,0)+IF(L103=2,$G$78,0)+IF(L104=2,$H$78,0)+IF(L105=2,$I$78,0)+IF(L106=2,$J$78,0)+IF(L107=2,$K$78,0)+IF(L108=2,$L$78,0)</f>
        <v>118</v>
      </c>
      <c r="M80" s="138">
        <f>IF(M101=2,$E$78,0)+IF(M102=2,$F$78,0)+IF(M103=2,$G$78,0)+IF(M104=2,$H$78,0)+IF(M105=2,$I$78,0)+IF(M106=2,$J$78,0)+IF(M107=2,$K$78,0)+IF(M108=2,$L$78,0)+IF(M109=2,$M$78,0)</f>
        <v>158</v>
      </c>
      <c r="N80" s="138">
        <f>IF(N101=2,$E$78,0)+IF(N102=2,$F$78,0)+IF(N103=2,$G$78,0)+IF(N104=2,$H$78,0)+IF(N105=2,$I$78,0)+IF(N106=2,$J$78,0)+IF(N107=2,$K$78,0)+IF(N108=2,$L$78,0)+IF(N109=2,$M$78,0)+IF(N110=2,$N$78,0)</f>
        <v>213</v>
      </c>
      <c r="O80" s="138">
        <f>IF(O101=2,$E$78,0)+IF(O102=2,$F$78,0)+IF(O103=2,$G$78,0)+IF(O104=2,$H$78,0)+IF(O105=2,$I$78,0)+IF(O106=2,$J$78,0)+IF(O107=2,$K$78,0)+IF(O108=2,$L$78,0)+IF(O109=2,$M$78,0)+IF(O110=2,$N$78,0)+IF(O111=2,$O$78,0)</f>
        <v>296</v>
      </c>
      <c r="P80" s="138">
        <f>IF(P101=2,$E$78,0)+IF(P102=2,$F$78,0)+IF(P103=2,$G$78,0)+IF(P104=2,$H$78,0)+IF(P105=2,$I$78,0)+IF(P106=2,$J$78,0)+IF(P107=2,$K$78,0)+IF(P108=2,$L$78,0)+IF(P109=2,$M$78,0)+IF(P110=2,$N$78,0)+IF(P111=2,$O$78,0)+IF(P112=2,$P$78,0)</f>
        <v>377</v>
      </c>
      <c r="Q80" s="138">
        <f>IF(Q101=2,$E$78,0)+IF(Q102=2,$F$78,0)+IF(Q103=2,$G$78,0)+IF(Q104=2,$H$78,0)+IF(Q105=2,$I$78,0)+IF(Q106=2,$J$78,0)+IF(Q107=2,$K$78,0)+IF(Q108=2,$L$78,0)+IF(Q109=2,$M$78,0)+IF(Q110=2,$N$78,0)+IF(Q111=2,$O$78,0)+IF(Q112=2,$P$78,0)+IF(Q113=2,$Q$78,0)</f>
        <v>446</v>
      </c>
      <c r="R80" s="138">
        <f>IF(R101=2,$E$78,0)+IF(R102=2,$F$78,0)+IF(R103=2,$G$78,0)+IF(R104=2,$H$78,0)+IF(R105=2,$I$78,0)+IF(R106=2,$J$78,0)+IF(R107=2,$K$78,0)+IF(R108=2,$L$78,0)+IF(R109=2,$M$78,0)+IF(R110=2,$N$78,0)+IF(R111=2,$O$78,0)+IF(R112=2,$P$78,0)+IF(R113=2,$Q$78,0)+IF(R114=2,$R$78,0)</f>
        <v>526</v>
      </c>
      <c r="S80" s="138">
        <f>IF(S101=2,$E$78,0)+IF(S102=2,$F$78,0)+IF(S103=2,$G$78,0)+IF(S104=2,$H$78,0)+IF(S105=2,$I$78,0)+IF(S106=2,$J$78,0)+IF(S107=2,$K$78,0)+IF(S108=2,$L$78,0)+IF(S109=2,$M$78,0)+IF(S110=2,$N$78,0)+IF(S111=2,$O$78,0)+IF(S112=2,$P$78,0)+IF(S113=2,$Q$78,0)+IF(S114=2,$R$78,0)+IF(S115=2,$S$78,0)</f>
        <v>610</v>
      </c>
      <c r="T80" s="138">
        <f>IF(T101=2,$E$78,0)+IF(T102=2,$F$78,0)+IF(T103=2,$G$78,0)+IF(T104=2,$H$78,0)+IF(T105=2,$I$78,0)+IF(T106=2,$J$78,0)+IF(T107=2,$K$78,0)+IF(T108=2,$L$78,0)+IF(T109=2,$M$78,0)+IF(T110=2,$N$78,0)+IF(T111=2,$O$78,0)+IF(T112=2,$P$78,0)+IF(T113=2,$Q$78,0)+IF(T114=2,$R$78,0)+IF(T115=2,$S$78,0)+IF(T116=2,$T$78,0)</f>
        <v>689</v>
      </c>
      <c r="U80" s="138">
        <f>IF(U101=2,$E$78,0)+IF(U102=2,$F$78,0)+IF(U103=2,$G$78,0)+IF(U104=2,$H$78,0)+IF(U105=2,$I$78,0)+IF(U106=2,$J$78,0)+IF(U107=2,$K$78,0)+IF(U108=2,$L$78,0)+IF(U109=2,$M$78,0)+IF(U110=2,$N$78,0)+IF(U111=2,$O$78,0)+IF(U112=2,$P$78,0)+IF(U113=2,$Q$78,0)+IF(U114=2,$R$78,0)+IF(U115=2,$S$78,0)+IF(U116=2,$T$78,0)+IF(U117=2,$U$78,0)</f>
        <v>765</v>
      </c>
      <c r="V80" s="138">
        <f>IF(V101=2,$E$78,0)+IF(V102=2,$F$78,0)+IF(V103=2,$G$78,0)+IF(V104=2,$H$78,0)+IF(V105=2,$I$78,0)+IF(V106=2,$J$78,0)+IF(V107=2,$K$78,0)+IF(V108=2,$L$78,0)+IF(V109=2,$M$78,0)+IF(V110=2,$N$78,0)+IF(V111=2,$O$78,0)+IF(V112=2,$P$78,0)+IF(V113=2,$Q$78,0)+IF(V114=2,$R$78,0)+IF(V115=2,$S$78,0)+IF(V116=2,$T$78,0)+IF(V117=2,$U$78,0)+IF(V118=2,$V$78,0)</f>
        <v>866</v>
      </c>
      <c r="W80" s="138">
        <f>IF(W101=2,$E$78,0)+IF(W102=2,$F$78,0)+IF(W103=2,$G$78,0)+IF(W104=2,$H$78,0)+IF(W105=2,$I$78,0)+IF(W106=2,$J$78,0)+IF(W107=2,$K$78,0)+IF(W108=2,$L$78,0)+IF(W109=2,$M$78,0)+IF(W110=2,$N$78,0)+IF(W111=2,$O$78,0)+IF(W112=2,$P$78,0)+IF(W113=2,$Q$78,0)+IF(W114=2,$R$78,0)+IF(W115=2,$S$78,0)+IF(W116=2,$T$78,0)+IF(W117=2,$U$78,0)+IF(W118=2,$V$78,0)+IF(W119=2,$W$78,0)</f>
        <v>992</v>
      </c>
      <c r="X80" s="138">
        <f>IF(X101=2,$E$78,0)+IF(X102=2,$F$78,0)+IF(X103=2,$G$78,0)+IF(X104=2,$H$78,0)+IF(X105=2,$I$78,0)+IF(X106=2,$J$78,0)+IF(X107=2,$K$78,0)+IF(X108=2,$L$78,0)+IF(X109=2,$M$78,0)+IF(X110=2,$N$78,0)+IF(X111=2,$O$78,0)+IF(X112=2,$P$78,0)+IF(X113=2,$Q$78,0)+IF(X114=2,$R$78,0)+IF(X115=2,$S$78,0)+IF(X116=2,$T$78,0)+IF(X117=2,$U$78,0)+IF(X118=2,$V$78,0)+IF(X119=2,$W$78,0)+IF(X120=2,$X$78,0)</f>
        <v>1095</v>
      </c>
      <c r="Y80" s="138">
        <f>IF(Y101=2,$E$78,0)+IF(Y102=2,$F$78,0)+IF(Y103=2,$G$78,0)+IF(Y104=2,$H$78,0)+IF(Y105=2,$I$78,0)+IF(Y106=2,$J$78,0)+IF(Y107=2,$K$78,0)+IF(Y108=2,$L$78,0)+IF(Y109=2,$M$78,0)+IF(Y110=2,$N$78,0)+IF(Y111=2,$O$78,0)+IF(Y112=2,$P$78,0)+IF(Y113=2,$Q$78,0)+IF(Y114=2,$R$78,0)+IF(Y115=2,$S$78,0)+IF(Y116=2,$T$78,0)+IF(Y117=2,$U$78,0)+IF(Y118=2,$V$78,0)+IF(Y119=2,$W$78,0)+IF(Y120=2,$X$78,0)+IF(Y121=2,$Y$78,0)</f>
        <v>1182</v>
      </c>
      <c r="Z80" s="138">
        <f>IF(Z101=2,$E$78,0)+IF(Z102=2,$F$78,0)+IF(Z103=2,$G$78,0)+IF(Z104=2,$H$78,0)+IF(Z105=2,$I$78,0)+IF(Z106=2,$J$78,0)+IF(Z107=2,$K$78,0)+IF(Z108=2,$L$78,0)+IF(Z109=2,$M$78,0)+IF(Z110=2,$N$78,0)+IF(Z111=2,$O$78,0)+IF(Z112=2,$P$78,0)+IF(Z113=2,$Q$78,0)+IF(Z114=2,$R$78,0)+IF(Z115=2,$S$78,0)+IF(Z116=2,$T$78,0)+IF(Z117=2,$U$78,0)+IF(Z118=2,$V$78,0)+IF(Z119=2,$W$78,0)+IF(Z120=2,$X$78,0)+IF(Z121=2,$Y$78,0)+IF(Z122=2,$Z$78,0)</f>
        <v>1330</v>
      </c>
      <c r="AA80" s="138">
        <f>IF(AA101=2,$E$78,0)+IF(AA102=2,$F$78,0)+IF(AA103=2,$G$78,0)+IF(AA104=2,$H$78,0)+IF(AA105=2,$I$78,0)+IF(AA106=2,$J$78,0)+IF(AA107=2,$K$78,0)+IF(AA108=2,$L$78,0)+IF(AA109=2,$M$78,0)+IF(AA110=2,$N$78,0)+IF(AA111=2,$O$78,0)+IF(AA112=2,$P$78,0)+IF(AA113=2,$Q$78,0)+IF(AA114=2,$R$78,0)+IF(AA115=2,$S$78,0)+IF(AA116=2,$T$78,0)+IF(AA117=2,$U$78,0)+IF(AA118=2,$V$78,0)+IF(AA119=2,$W$78,0)+IF(AA120=2,$X$78,0)+IF(AA121=2,$Y$78,0)+IF(AA122=2,$Z$78,0)+IF(AA123=2,$AA$78,0)</f>
        <v>1476</v>
      </c>
      <c r="AB80" s="138">
        <f>IF(AB101=2,$E$78,0)+IF(AB102=2,$F$78,0)+IF(AB103=2,$G$78,0)+IF(AB104=2,$H$78,0)+IF(AB105=2,$I$78,0)+IF(AB106=2,$J$78,0)+IF(AB107=2,$K$78,0)+IF(AB108=2,$L$78,0)+IF(AB109=2,$M$78,0)+IF(AB110=2,$N$78,0)+IF(AB111=2,$O$78,0)+IF(AB112=2,$P$78,0)+IF(AB113=2,$Q$78,0)+IF(AB114=2,$R$78,0)+IF(AB115=2,$S$78,0)+IF(AB116=2,$T$78,0)+IF(AB117=2,$U$78,0)+IF(AB118=2,$V$78,0)+IF(AB119=2,$W$78,0)+IF(AB120=2,$X$78,0)+IF(AB121=2,$Y$78,0)+IF(AB122=2,$Z$78,0)+IF(AB123=2,$AA$78,0)+IF(AB124=2,$AB$78,0)</f>
        <v>1606</v>
      </c>
      <c r="AC80" s="138">
        <f>IF(AC101=2,$E$78,0)+IF(AC102=2,$F$78,0)+IF(AC103=2,$G$78,0)+IF(AC104=2,$H$78,0)+IF(AC105=2,$I$78,0)+IF(AC106=2,$J$78,0)+IF(AC107=2,$K$78,0)+IF(AC108=2,$L$78,0)+IF(AC109=2,$M$78,0)+IF(AC110=2,$N$78,0)+IF(AC111=2,$O$78,0)+IF(AC112=2,$P$78,0)+IF(AC113=2,$Q$78,0)+IF(AC114=2,$R$78,0)+IF(AC115=2,$S$78,0)+IF(AC116=2,$T$78,0)+IF(AC117=2,$U$78,0)+IF(AC118=2,$V$78,0)+IF(AC119=2,$W$78,0)+IF(AC120=2,$X$78,0)+IF(AC121=2,$Y$78,0)+IF(AC122=2,$Z$78,0)+IF(AC123=2,$AA$78,0)+IF(AC124=2,$AB$78,0)+IF(AC125=2,$AC$78,0)</f>
        <v>1721</v>
      </c>
      <c r="AD80" s="138">
        <f>IF(AD101=2,$E$78,0)+IF(AD102=2,$F$78,0)+IF(AD103=2,$G$78,0)+IF(AD104=2,$H$78,0)+IF(AD105=2,$I$78,0)+IF(AD106=2,$J$78,0)+IF(AD107=2,$K$78,0)+IF(AD108=2,$L$78,0)+IF(AD109=2,$M$78,0)+IF(AD110=2,$N$78,0)+IF(AD111=2,$O$78,0)+IF(AD112=2,$P$78,0)+IF(AD113=2,$Q$78,0)+IF(AD114=2,$R$78,0)+IF(AD115=2,$S$78,0)+IF(AD116=2,$T$78,0)+IF(AD117=2,$U$78,0)+IF(AD118=2,$V$78,0)+IF(AD119=2,$W$78,0)+IF(AD120=2,$X$78,0)+IF(AD121=2,$Y$78,0)+IF(AD122=2,$Z$78,0)+IF(AD123=2,$AA$78,0)+IF(AD124=2,$AB$78,0)+IF(AD125=2,$AC$78,0)+IF(AD126=2,$AD$78,0)</f>
        <v>1822</v>
      </c>
      <c r="AE80" s="138">
        <f>IF(AE101=2,$E$78,0)+IF(AE102=2,$F$78,0)+IF(AE103=2,$G$78,0)+IF(AE104=2,$H$78,0)+IF(AE105=2,$I$78,0)+IF(AE106=2,$J$78,0)+IF(AE107=2,$K$78,0)+IF(AE108=2,$L$78,0)+IF(AE109=2,$M$78,0)+IF(AE110=2,$N$78,0)+IF(AE111=2,$O$78,0)+IF(AE112=2,$P$78,0)+IF(AE113=2,$Q$78,0)+IF(AE114=2,$R$78,0)+IF(AE115=2,$S$78,0)+IF(AE116=2,$T$78,0)+IF(AE117=2,$U$78,0)+IF(AE118=2,$V$78,0)+IF(AE119=2,$W$78,0)+IF(AE120=2,$X$78,0)+IF(AE121=2,$Y$78,0)+IF(AE122=2,$Z$78,0)+IF(AE123=2,$AA$78,0)+IF(AE124=2,$AB$78,0)+IF(AE125=2,$AC$78,0)+IF(AE126=2,$AD$78,0)+IF(AE127=2,$AE$78,0)</f>
        <v>1919</v>
      </c>
      <c r="AF80" s="138">
        <f>IF(AF101=2,$E$78,0)+IF(AF102=2,$F$78,0)+IF(AF103=2,$G$78,0)+IF(AF104=2,$H$78,0)+IF(AF105=2,$I$78,0)+IF(AF106=2,$J$78,0)+IF(AF107=2,$K$78,0)+IF(AF108=2,$L$78,0)+IF(AF109=2,$M$78,0)+IF(AF110=2,$N$78,0)+IF(AF111=2,$O$78,0)+IF(AF112=2,$P$78,0)+IF(AF113=2,$Q$78,0)+IF(AF114=2,$R$78,0)+IF(AF115=2,$S$78,0)+IF(AF116=2,$T$78,0)+IF(AF117=2,$U$78,0)+IF(AF118=2,$V$78,0)+IF(AF119=2,$W$78,0)+IF(AF120=2,$X$78,0)+IF(AF121=2,$Y$78,0)+IF(AF122=2,$Z$78,0)+IF(AF123=2,$AA$78,0)+IF(AF124=2,$AB$78,0)+IF(AF125=2,$AC$78,0)+IF(AF126=2,$AD$78,0)+IF(AF127=2,$AE$78,0)+IF(AF128=2,$AF$78,0)</f>
        <v>1999</v>
      </c>
      <c r="AG80" s="138">
        <f>IF(AG101=2,$E$78,0)+IF(AG102=2,$F$78,0)+IF(AG103=2,$G$78,0)+IF(AG104=2,$H$78,0)+IF(AG105=2,$I$78,0)+IF(AG106=2,$J$78,0)+IF(AG107=2,$K$78,0)+IF(AG108=2,$L$78,0)+IF(AG109=2,$M$78,0)+IF(AG110=2,$N$78,0)+IF(AG111=2,$O$78,0)+IF(AG112=2,$P$78,0)+IF(AG113=2,$Q$78,0)+IF(AG114=2,$R$78,0)+IF(AG115=2,$S$78,0)+IF(AG116=2,$T$78,0)+IF(AG117=2,$U$78,0)+IF(AG118=2,$V$78,0)+IF(AG119=2,$W$78,0)+IF(AG120=2,$X$78,0)+IF(AG121=2,$Y$78,0)+IF(AG122=2,$Z$78,0)+IF(AG123=2,$AA$78,0)+IF(AG124=2,$AB$78,0)+IF(AG125=2,$AC$78,0)+IF(AG126=2,$AD$78,0)+IF(AG127=2,$AE$78,0)+IF(AG128=2,$AF$78,0)+IF(AG129=2,$AG$78,0)</f>
        <v>2070</v>
      </c>
      <c r="AH80" s="138">
        <f>IF(AH101=2,$E$78,0)+IF(AH102=2,$F$78,0)+IF(AH103=2,$G$78,0)+IF(AH104=2,$H$78,0)+IF(AH105=2,$I$78,0)+IF(AH106=2,$J$78,0)+IF(AH107=2,$K$78,0)+IF(AH108=2,$L$78,0)+IF(AH109=2,$M$78,0)+IF(AH110=2,$N$78,0)+IF(AH111=2,$O$78,0)+IF(AH112=2,$P$78,0)+IF(AH113=2,$Q$78,0)+IF(AH114=2,$R$78,0)+IF(AH115=2,$S$78,0)+IF(AH116=2,$T$78,0)+IF(AH117=2,$U$78,0)+IF(AH118=2,$V$78,0)+IF(AH119=2,$W$78,0)+IF(AH120=2,$X$78,0)+IF(AH121=2,$Y$78,0)+IF(AH122=2,$Z$78,0)+IF(AH123=2,$AA$78,0)+IF(AH124=2,$AB$78,0)+IF(AH125=2,$AC$78,0)+IF(AH126=2,$AD$78,0)+IF(AH127=2,$AE$78,0)+IF(AH128=2,$AF$78,0)+IF(AH129=2,$AG$78,0)+IF(AH130=2,$AH$78,0)</f>
        <v>2258</v>
      </c>
      <c r="AI80" s="138">
        <f>IF(AI101=2,$E$78,0)+IF(AI102=2,$F$78,0)+IF(AI103=2,$G$78,0)+IF(AI104=2,$H$78,0)+IF(AI105=2,$I$78,0)+IF(AI106=2,$J$78,0)+IF(AI107=2,$K$78,0)+IF(AI108=2,$L$78,0)+IF(AI109=2,$M$78,0)+IF(AI110=2,$N$78,0)+IF(AI111=2,$O$78,0)+IF(AI112=2,$P$78,0)+IF(AI113=2,$Q$78,0)+IF(AI114=2,$R$78,0)+IF(AI115=2,$S$78,0)+IF(AI116=2,$T$78,0)+IF(AI117=2,$U$78,0)+IF(AI118=2,$V$78,0)+IF(AI119=2,$W$78,0)+IF(AI120=2,$X$78,0)+IF(AI121=2,$Y$78,0)+IF(AI122=2,$Z$78,0)+IF(AI123=2,$AA$78,0)+IF(AI124=2,$AB$78,0)+IF(AI125=2,$AC$78,0)+IF(AI126=2,$AD$78,0)+IF(AI127=2,$AE$78,0)+IF(AI128=2,$AF$78,0)+IF(AI129=2,$AG$78,0)+IF(AI130=2,$AH$78,0)+IF(AI131=2,$AI$78,0)</f>
        <v>2553</v>
      </c>
      <c r="AJ80" s="138">
        <f>IF(AJ101=2,$E$78,0)+IF(AJ102=2,$F$78,0)+IF(AJ103=2,$G$78,0)+IF(AJ104=2,$H$78,0)+IF(AJ105=2,$I$78,0)+IF(AJ106=2,$J$78,0)+IF(AJ107=2,$K$78,0)+IF(AJ108=2,$L$78,0)+IF(AJ109=2,$M$78,0)+IF(AJ110=2,$N$78,0)+IF(AJ111=2,$O$78,0)+IF(AJ112=2,$P$78,0)+IF(AJ113=2,$Q$78,0)+IF(AJ114=2,$R$78,0)+IF(AJ115=2,$S$78,0)+IF(AJ116=2,$T$78,0)+IF(AJ117=2,$U$78,0)+IF(AJ118=2,$V$78,0)+IF(AJ119=2,$W$78,0)+IF(AJ120=2,$X$78,0)+IF(AJ121=2,$Y$78,0)+IF(AJ122=2,$Z$78,0)+IF(AJ123=2,$AA$78,0)+IF(AJ124=2,$AB$78,0)+IF(AJ125=2,$AC$78,0)+IF(AJ126=2,$AD$78,0)+IF(AJ127=2,$AE$78,0)+IF(AJ128=2,$AF$78,0)+IF(AJ129=2,$AG$78,0)+IF(AJ130=2,$AH$78,0)+IF(AJ131=2,$AI$78,0)+IF(AJ132=2,$AJ$78,0)</f>
        <v>2806</v>
      </c>
      <c r="AK80" s="138">
        <f>IF(AK101=2,$E$78,0)+IF(AK102=2,$F$78,0)+IF(AK103=2,$G$78,0)+IF(AK104=2,$H$78,0)+IF(AK105=2,$I$78,0)+IF(AK106=2,$J$78,0)+IF(AK107=2,$K$78,0)+IF(AK108=2,$L$78,0)+IF(AK109=2,$M$78,0)+IF(AK110=2,$N$78,0)+IF(AK111=2,$O$78,0)+IF(AK112=2,$P$78,0)+IF(AK113=2,$Q$78,0)+IF(AK114=2,$R$78,0)+IF(AK115=2,$S$78,0)+IF(AK116=2,$T$78,0)+IF(AK117=2,$U$78,0)+IF(AK118=2,$V$78,0)+IF(AK119=2,$W$78,0)+IF(AK120=2,$X$78,0)+IF(AK121=2,$Y$78,0)+IF(AK122=2,$Z$78,0)+IF(AK123=2,$AA$78,0)+IF(AK124=2,$AB$78,0)+IF(AK125=2,$AC$78,0)+IF(AK126=2,$AD$78,0)+IF(AK127=2,$AE$78,0)+IF(AK128=2,$AF$78,0)+IF(AK129=2,$AG$78,0)+IF(AK130=2,$AH$78,0)+IF(AK131=2,$AI$78,0)+IF(AK132=2,$AJ$78,0)+IF(AK133=2,$AK$78,0)</f>
        <v>3027</v>
      </c>
      <c r="AL80" s="138">
        <f>IF(AL101=2,$E$78,0)+IF(AL102=2,$F$78,0)+IF(AL103=2,$G$78,0)+IF(AL104=2,$H$78,0)+IF(AL105=2,$I$78,0)+IF(AL106=2,$J$78,0)+IF(AL107=2,$K$78,0)+IF(AL108=2,$L$78,0)+IF(AL109=2,$M$78,0)+IF(AL110=2,$N$78,0)+IF(AL111=2,$O$78,0)+IF(AL112=2,$P$78,0)+IF(AL113=2,$Q$78,0)+IF(AL114=2,$R$78,0)+IF(AL115=2,$S$78,0)+IF(AL116=2,$T$78,0)+IF(AL117=2,$U$78,0)+IF(AL118=2,$V$78,0)+IF(AL119=2,$W$78,0)+IF(AL120=2,$X$78,0)+IF(AL121=2,$Y$78,0)+IF(AL122=2,$Z$78,0)+IF(AL123=2,$AA$78,0)+IF(AL124=2,$AB$78,0)+IF(AL125=2,$AC$78,0)+IF(AL126=2,$AD$78,0)+IF(AL127=2,$AE$78,0)+IF(AL128=2,$AF$78,0)+IF(AL129=2,$AG$78,0)+IF(AL130=2,$AH$78,0)+IF(AL131=2,$AI$78,0)+IF(AL132=2,$AJ$78,0)+IF(AL133=2,$AK$78,0)+IF(AL134=2,$AL$78,0)</f>
        <v>3331</v>
      </c>
      <c r="AM80" s="138">
        <f>IF(AM101=2,$E$78,0)+IF(AM102=2,$F$78,0)+IF(AM103=2,$G$78,0)+IF(AM104=2,$H$78,0)+IF(AM105=2,$I$78,0)+IF(AM106=2,$J$78,0)+IF(AM107=2,$K$78,0)+IF(AM108=2,$L$78,0)+IF(AM109=2,$M$78,0)+IF(AM110=2,$N$78,0)+IF(AM111=2,$O$78,0)+IF(AM112=2,$P$78,0)+IF(AM113=2,$Q$78,0)+IF(AM114=2,$R$78,0)+IF(AM115=2,$S$78,0)+IF(AM116=2,$T$78,0)+IF(AM117=2,$U$78,0)+IF(AM118=2,$V$78,0)+IF(AM119=2,$W$78,0)+IF(AM120=2,$X$78,0)+IF(AM121=2,$Y$78,0)+IF(AM122=2,$Z$78,0)+IF(AM123=2,$AA$78,0)+IF(AM124=2,$AB$78,0)+IF(AM125=2,$AC$78,0)+IF(AM126=2,$AD$78,0)+IF(AM127=2,$AE$78,0)+IF(AM128=2,$AF$78,0)+IF(AM129=2,$AG$78,0)+IF(AM130=2,$AH$78,0)+IF(AM131=2,$AI$78,0)+IF(AM132=2,$AJ$78,0)+IF(AM133=2,$AK$78,0)+IF(AM134=2,$AL$78,0)+IF(AM135=2,$AM$78,0)</f>
        <v>3734</v>
      </c>
      <c r="AN80" s="138">
        <f>IF(AN101=2,$E$78,0)+IF(AN102=2,$F$78,0)+IF(AN103=2,$G$78,0)+IF(AN104=2,$H$78,0)+IF(AN105=2,$I$78,0)+IF(AN106=2,$J$78,0)+IF(AN107=2,$K$78,0)+IF(AN108=2,$L$78,0)+IF(AN109=2,$M$78,0)+IF(AN110=2,$N$78,0)+IF(AN111=2,$O$78,0)+IF(AN112=2,$P$78,0)+IF(AN113=2,$Q$78,0)+IF(AN114=2,$R$78,0)+IF(AN115=2,$S$78,0)+IF(AN116=2,$T$78,0)+IF(AN117=2,$U$78,0)+IF(AN118=2,$V$78,0)+IF(AN119=2,$W$78,0)+IF(AN120=2,$X$78,0)+IF(AN121=2,$Y$78,0)+IF(AN122=2,$Z$78,0)+IF(AN123=2,$AA$78,0)+IF(AN124=2,$AB$78,0)+IF(AN125=2,$AC$78,0)+IF(AN126=2,$AD$78,0)+IF(AN127=2,$AE$78,0)+IF(AN128=2,$AF$78,0)+IF(AN129=2,$AG$78,0)+IF(AN130=2,$AH$78,0)+IF(AN131=2,$AI$78,0)+IF(AN132=2,$AJ$78,0)+IF(AN133=2,$AK$78,0)+IF(AN134=2,$AL$78,0)+IF(AN135=2,$AM$78,0)+IF(AN136=2,$AN$78,0)</f>
        <v>4082</v>
      </c>
      <c r="AP80" s="26"/>
    </row>
    <row r="81" spans="2:42" x14ac:dyDescent="0.25">
      <c r="B81" s="33" t="s">
        <v>10</v>
      </c>
      <c r="C81" s="453" t="s">
        <v>630</v>
      </c>
      <c r="D81" s="454"/>
      <c r="E81" s="455"/>
      <c r="F81" s="455"/>
      <c r="G81" s="455"/>
      <c r="H81" s="455"/>
      <c r="I81" s="455"/>
      <c r="J81" s="455"/>
      <c r="K81" s="455"/>
      <c r="L81" s="455"/>
      <c r="M81" s="455"/>
      <c r="N81" s="455"/>
      <c r="O81" s="455"/>
      <c r="P81" s="455"/>
      <c r="Q81" s="455"/>
      <c r="R81" s="455"/>
      <c r="S81" s="455"/>
      <c r="T81" s="455"/>
      <c r="U81" s="455"/>
      <c r="V81" s="455"/>
      <c r="W81" s="455"/>
      <c r="X81" s="455"/>
      <c r="Y81" s="455"/>
      <c r="Z81" s="455"/>
      <c r="AA81" s="455"/>
      <c r="AB81" s="455"/>
      <c r="AC81" s="455"/>
      <c r="AD81" s="455"/>
      <c r="AE81" s="455"/>
      <c r="AF81" s="455"/>
      <c r="AG81" s="455"/>
      <c r="AH81" s="455"/>
      <c r="AI81" s="455"/>
      <c r="AJ81" s="455"/>
      <c r="AK81" s="455"/>
      <c r="AL81" s="455"/>
      <c r="AM81" s="455"/>
      <c r="AN81" s="455"/>
      <c r="AO81" s="16"/>
      <c r="AP81" s="456"/>
    </row>
    <row r="82" spans="2:42" x14ac:dyDescent="0.25">
      <c r="C82" s="137" t="s">
        <v>717</v>
      </c>
      <c r="D82" s="157" t="s">
        <v>162</v>
      </c>
      <c r="E82" s="131">
        <f>'3.2 Doojo Base'!E5*'1.1 Control Panel'!E$703</f>
        <v>84.800000000000011</v>
      </c>
      <c r="F82" s="131">
        <f>'3.2 Doojo Base'!F5*'1.1 Control Panel'!F$703</f>
        <v>100.80000000000001</v>
      </c>
      <c r="G82" s="131">
        <f>'3.2 Doojo Base'!G5*'1.1 Control Panel'!G$703</f>
        <v>113.60000000000001</v>
      </c>
      <c r="H82" s="131">
        <f>'3.2 Doojo Base'!H5*'1.1 Control Panel'!H$703</f>
        <v>124</v>
      </c>
      <c r="I82" s="131">
        <f>'3.2 Doojo Base'!I5*'1.1 Control Panel'!I$703</f>
        <v>182.4</v>
      </c>
      <c r="J82" s="131">
        <f>'3.2 Doojo Base'!J5*'1.1 Control Panel'!J$703</f>
        <v>256.8</v>
      </c>
      <c r="K82" s="131">
        <f>'3.2 Doojo Base'!K5*'1.1 Control Panel'!K$703</f>
        <v>266.40000000000003</v>
      </c>
      <c r="L82" s="131">
        <f>'3.2 Doojo Base'!L5*'1.1 Control Panel'!L$703</f>
        <v>274.40000000000003</v>
      </c>
      <c r="M82" s="131">
        <f>'3.2 Doojo Base'!M5*'1.1 Control Panel'!M$703</f>
        <v>336</v>
      </c>
      <c r="N82" s="131">
        <f>'3.2 Doojo Base'!N5*'1.1 Control Panel'!N$703</f>
        <v>357.6</v>
      </c>
      <c r="O82" s="131">
        <f>'3.2 Doojo Base'!O5*'1.1 Control Panel'!O$703</f>
        <v>377.6</v>
      </c>
      <c r="P82" s="131">
        <f>'3.2 Doojo Base'!P5*'1.1 Control Panel'!P$703</f>
        <v>397.6</v>
      </c>
      <c r="Q82" s="131">
        <f>'3.2 Doojo Base'!Q5*'1.1 Control Panel'!Q$703</f>
        <v>616.80000000000007</v>
      </c>
      <c r="R82" s="131">
        <f>'3.2 Doojo Base'!R5*'1.1 Control Panel'!R$703</f>
        <v>620.80000000000007</v>
      </c>
      <c r="S82" s="131">
        <f>'3.2 Doojo Base'!S5*'1.1 Control Panel'!S$703</f>
        <v>624</v>
      </c>
      <c r="T82" s="131">
        <f>'3.2 Doojo Base'!T5*'1.1 Control Panel'!T$703</f>
        <v>626.40000000000009</v>
      </c>
      <c r="U82" s="131">
        <f>'3.2 Doojo Base'!U5*'1.1 Control Panel'!U$703</f>
        <v>894.40000000000009</v>
      </c>
      <c r="V82" s="131">
        <f>'3.2 Doojo Base'!V5*'1.1 Control Panel'!V$703</f>
        <v>896.80000000000007</v>
      </c>
      <c r="W82" s="131">
        <f>'3.2 Doojo Base'!W5*'1.1 Control Panel'!W$703</f>
        <v>898.40000000000009</v>
      </c>
      <c r="X82" s="131">
        <f>'3.2 Doojo Base'!X5*'1.1 Control Panel'!X$703</f>
        <v>900</v>
      </c>
      <c r="Y82" s="131">
        <f>'3.2 Doojo Base'!Y5*'1.1 Control Panel'!Y$703</f>
        <v>964</v>
      </c>
      <c r="Z82" s="131">
        <f>'3.2 Doojo Base'!Z5*'1.1 Control Panel'!Z$703</f>
        <v>964.80000000000007</v>
      </c>
      <c r="AA82" s="131">
        <f>'3.2 Doojo Base'!AA5*'1.1 Control Panel'!AA$703</f>
        <v>965.6</v>
      </c>
      <c r="AB82" s="131">
        <f>'3.2 Doojo Base'!AB5*'1.1 Control Panel'!AB$703</f>
        <v>966.40000000000009</v>
      </c>
      <c r="AC82" s="131">
        <f>'3.2 Doojo Base'!AC5*'1.1 Control Panel'!AC$703</f>
        <v>1580</v>
      </c>
      <c r="AD82" s="131">
        <f>'3.2 Doojo Base'!AD5*'1.1 Control Panel'!AD$703</f>
        <v>1580.8000000000002</v>
      </c>
      <c r="AE82" s="131">
        <f>'3.2 Doojo Base'!AE5*'1.1 Control Panel'!AE$703</f>
        <v>1580.8000000000002</v>
      </c>
      <c r="AF82" s="131">
        <f>'3.2 Doojo Base'!AF5*'1.1 Control Panel'!AF$703</f>
        <v>1581.6000000000001</v>
      </c>
      <c r="AG82" s="131">
        <f>'3.2 Doojo Base'!AG5*'1.1 Control Panel'!AG$703</f>
        <v>2236</v>
      </c>
      <c r="AH82" s="131">
        <f>'3.2 Doojo Base'!AH5*'1.1 Control Panel'!AH$703</f>
        <v>2236</v>
      </c>
      <c r="AI82" s="131">
        <f>'3.2 Doojo Base'!AI5*'1.1 Control Panel'!AI$703</f>
        <v>2236</v>
      </c>
      <c r="AJ82" s="131">
        <f>'3.2 Doojo Base'!AJ5*'1.1 Control Panel'!AJ$703</f>
        <v>2236.8000000000002</v>
      </c>
      <c r="AK82" s="131">
        <f>'3.2 Doojo Base'!AK5*'1.1 Control Panel'!AK$703</f>
        <v>2730.4</v>
      </c>
      <c r="AL82" s="131">
        <f>'3.2 Doojo Base'!AL5*'1.1 Control Panel'!AL$703</f>
        <v>2730.4</v>
      </c>
      <c r="AM82" s="131">
        <f>'3.2 Doojo Base'!AM5*'1.1 Control Panel'!AM$703</f>
        <v>2730.4</v>
      </c>
      <c r="AN82" s="131">
        <f>'3.2 Doojo Base'!AN5*'1.1 Control Panel'!AN$703</f>
        <v>2730.4</v>
      </c>
      <c r="AP82" s="20"/>
    </row>
    <row r="83" spans="2:42" x14ac:dyDescent="0.25">
      <c r="C83" s="376" t="s">
        <v>649</v>
      </c>
      <c r="D83" s="158" t="s">
        <v>162</v>
      </c>
      <c r="E83" s="406">
        <f>'3.2 Doojo Base'!E6*'1.1 Control Panel'!E$703</f>
        <v>96</v>
      </c>
      <c r="F83" s="406">
        <f>'3.2 Doojo Base'!F6*'1.1 Control Panel'!F$703</f>
        <v>115.2</v>
      </c>
      <c r="G83" s="406">
        <f>'3.2 Doojo Base'!G6*'1.1 Control Panel'!G$703</f>
        <v>130.56000000000003</v>
      </c>
      <c r="H83" s="406">
        <f>'3.2 Doojo Base'!H6*'1.1 Control Panel'!H$703</f>
        <v>142.84800000000001</v>
      </c>
      <c r="I83" s="406">
        <f>'3.2 Doojo Base'!I6*'1.1 Control Panel'!I$703</f>
        <v>209.93280000000001</v>
      </c>
      <c r="J83" s="406">
        <f>'3.2 Doojo Base'!J6*'1.1 Control Panel'!J$703</f>
        <v>301.01760000000007</v>
      </c>
      <c r="K83" s="406">
        <f>'3.2 Doojo Base'!K6*'1.1 Control Panel'!K$703</f>
        <v>312.8140800000001</v>
      </c>
      <c r="L83" s="406">
        <f>'3.2 Doojo Base'!L6*'1.1 Control Panel'!L$703</f>
        <v>322.25126400000005</v>
      </c>
      <c r="M83" s="406">
        <f>'3.2 Doojo Base'!M6*'1.1 Control Panel'!M$703</f>
        <v>395.76121344000012</v>
      </c>
      <c r="N83" s="406">
        <f>'3.2 Doojo Base'!N6*'1.1 Control Panel'!N$703</f>
        <v>425.39835801600015</v>
      </c>
      <c r="O83" s="406">
        <f>'3.2 Doojo Base'!O6*'1.1 Control Panel'!O$703</f>
        <v>454.23019622400011</v>
      </c>
      <c r="P83" s="406">
        <f>'3.2 Doojo Base'!P6*'1.1 Control Panel'!P$703</f>
        <v>482.35336482816012</v>
      </c>
      <c r="Q83" s="406">
        <f>'3.2 Doojo Base'!Q6*'1.1 Control Panel'!Q$703</f>
        <v>741.6117209333762</v>
      </c>
      <c r="R83" s="406">
        <f>'3.2 Doojo Base'!R6*'1.1 Control Panel'!R$703</f>
        <v>746.88937674670103</v>
      </c>
      <c r="S83" s="406">
        <f>'3.2 Doojo Base'!S6*'1.1 Control Panel'!S$703</f>
        <v>751.11150139736094</v>
      </c>
      <c r="T83" s="406">
        <f>'3.2 Doojo Base'!T6*'1.1 Control Panel'!T$703</f>
        <v>754.4892011178888</v>
      </c>
      <c r="U83" s="406">
        <f>'3.2 Doojo Base'!U6*'1.1 Control Panel'!U$703</f>
        <v>1088.462581285572</v>
      </c>
      <c r="V83" s="406">
        <f>'3.2 Doojo Base'!V6*'1.1 Control Panel'!V$703</f>
        <v>1091.5700650284577</v>
      </c>
      <c r="W83" s="406">
        <f>'3.2 Doojo Base'!W6*'1.1 Control Panel'!W$703</f>
        <v>1094.0560520227662</v>
      </c>
      <c r="X83" s="406">
        <f>'3.2 Doojo Base'!X6*'1.1 Control Panel'!X$703</f>
        <v>1096.0448416182132</v>
      </c>
      <c r="Y83" s="406">
        <f>'3.2 Doojo Base'!Y6*'1.1 Control Panel'!Y$703</f>
        <v>1193.082470972359</v>
      </c>
      <c r="Z83" s="406">
        <f>'3.2 Doojo Base'!Z6*'1.1 Control Panel'!Z$703</f>
        <v>1194.4659767778874</v>
      </c>
      <c r="AA83" s="406">
        <f>'3.2 Doojo Base'!AA6*'1.1 Control Panel'!AA$703</f>
        <v>1195.5727814223098</v>
      </c>
      <c r="AB83" s="406">
        <f>'3.2 Doojo Base'!AB6*'1.1 Control Panel'!AB$703</f>
        <v>1196.4582251378481</v>
      </c>
      <c r="AC83" s="406">
        <f>'3.2 Doojo Base'!AC6*'1.1 Control Panel'!AC$703</f>
        <v>2011.2398545852682</v>
      </c>
      <c r="AD83" s="406">
        <f>'3.2 Doojo Base'!AD6*'1.1 Control Panel'!AD$703</f>
        <v>2012.1918836682144</v>
      </c>
      <c r="AE83" s="406">
        <f>'3.2 Doojo Base'!AE6*'1.1 Control Panel'!AE$703</f>
        <v>2012.953506934572</v>
      </c>
      <c r="AF83" s="406">
        <f>'3.2 Doojo Base'!AF6*'1.1 Control Panel'!AF$703</f>
        <v>2013.5628055476577</v>
      </c>
      <c r="AG83" s="406">
        <f>'3.2 Doojo Base'!AG6*'1.1 Control Panel'!AG$703</f>
        <v>2901.1914235358722</v>
      </c>
      <c r="AH83" s="406">
        <f>'3.2 Doojo Base'!AH6*'1.1 Control Panel'!AH$703</f>
        <v>2901.7531388286975</v>
      </c>
      <c r="AI83" s="406">
        <f>'3.2 Doojo Base'!AI6*'1.1 Control Panel'!AI$703</f>
        <v>2902.2025110629584</v>
      </c>
      <c r="AJ83" s="406">
        <f>'3.2 Doojo Base'!AJ6*'1.1 Control Panel'!AJ$703</f>
        <v>2902.5620088503674</v>
      </c>
      <c r="AK83" s="406">
        <f>'3.2 Doojo Base'!AK6*'1.1 Control Panel'!AK$703</f>
        <v>3598.5738930747439</v>
      </c>
      <c r="AL83" s="406">
        <f>'3.2 Doojo Base'!AL6*'1.1 Control Panel'!AL$703</f>
        <v>3598.8591144597954</v>
      </c>
      <c r="AM83" s="406">
        <f>'3.2 Doojo Base'!AM6*'1.1 Control Panel'!AM$703</f>
        <v>3599.0872915678369</v>
      </c>
      <c r="AN83" s="406">
        <f>'3.2 Doojo Base'!AN6*'1.1 Control Panel'!AN$703</f>
        <v>3599.2698332542686</v>
      </c>
      <c r="AP83" s="21"/>
    </row>
    <row r="84" spans="2:42" x14ac:dyDescent="0.25">
      <c r="C84" s="21" t="s">
        <v>650</v>
      </c>
      <c r="D84" s="158" t="s">
        <v>162</v>
      </c>
      <c r="E84" s="406">
        <f>'3.2 Doojo Base'!E7*'1.1 Control Panel'!E$703</f>
        <v>288</v>
      </c>
      <c r="F84" s="406">
        <f>'3.2 Doojo Base'!F7*'1.1 Control Panel'!F$703</f>
        <v>338.40000000000003</v>
      </c>
      <c r="G84" s="406">
        <f>'3.2 Doojo Base'!G7*'1.1 Control Panel'!G$703</f>
        <v>378.72000000000008</v>
      </c>
      <c r="H84" s="406">
        <f>'3.2 Doojo Base'!H7*'1.1 Control Panel'!H$703</f>
        <v>410.97600000000006</v>
      </c>
      <c r="I84" s="406">
        <f>'3.2 Doojo Base'!I7*'1.1 Control Panel'!I$703</f>
        <v>608.54399999999998</v>
      </c>
      <c r="J84" s="406">
        <f>'3.2 Doojo Base'!J7*'1.1 Control Panel'!J$703</f>
        <v>854.64576000000034</v>
      </c>
      <c r="K84" s="406">
        <f>'3.2 Doojo Base'!K7*'1.1 Control Panel'!K$703</f>
        <v>885.31660799999997</v>
      </c>
      <c r="L84" s="406">
        <f>'3.2 Doojo Base'!L7*'1.1 Control Panel'!L$703</f>
        <v>909.85328640000012</v>
      </c>
      <c r="M84" s="406">
        <f>'3.2 Doojo Base'!M7*'1.1 Control Panel'!M$703</f>
        <v>1127.3632358400002</v>
      </c>
      <c r="N84" s="406">
        <f>'3.2 Doojo Base'!N7*'1.1 Control Panel'!N$703</f>
        <v>1213.8587504640004</v>
      </c>
      <c r="O84" s="406">
        <f>'3.2 Doojo Base'!O7*'1.1 Control Panel'!O$703</f>
        <v>1298.4215298048002</v>
      </c>
      <c r="P84" s="406">
        <f>'3.2 Doojo Base'!P7*'1.1 Control Panel'!P$703</f>
        <v>1381.2448473907202</v>
      </c>
      <c r="Q84" s="406">
        <f>'3.2 Doojo Base'!Q7*'1.1 Control Panel'!Q$703</f>
        <v>2124.256866287616</v>
      </c>
      <c r="R84" s="406">
        <f>'3.2 Doojo Base'!R7*'1.1 Control Panel'!R$703</f>
        <v>2138.6054930300934</v>
      </c>
      <c r="S84" s="406">
        <f>'3.2 Doojo Base'!S7*'1.1 Control Panel'!S$703</f>
        <v>2150.0843944240746</v>
      </c>
      <c r="T84" s="406">
        <f>'3.2 Doojo Base'!T7*'1.1 Control Panel'!T$703</f>
        <v>2159.2675155392603</v>
      </c>
      <c r="U84" s="406">
        <f>'3.2 Doojo Base'!U7*'1.1 Control Panel'!U$703</f>
        <v>3125.4409835213496</v>
      </c>
      <c r="V84" s="406">
        <f>'3.2 Doojo Base'!V7*'1.1 Control Panel'!V$703</f>
        <v>3133.9527868170803</v>
      </c>
      <c r="W84" s="406">
        <f>'3.2 Doojo Base'!W7*'1.1 Control Panel'!W$703</f>
        <v>3140.7622294536636</v>
      </c>
      <c r="X84" s="406">
        <f>'3.2 Doojo Base'!X7*'1.1 Control Panel'!X$703</f>
        <v>3146.2097835629311</v>
      </c>
      <c r="Y84" s="406">
        <f>'3.2 Doojo Base'!Y7*'1.1 Control Panel'!Y$703</f>
        <v>3401.3226716253698</v>
      </c>
      <c r="Z84" s="406">
        <f>'3.2 Doojo Base'!Z7*'1.1 Control Panel'!Z$703</f>
        <v>3405.0581373002951</v>
      </c>
      <c r="AA84" s="406">
        <f>'3.2 Doojo Base'!AA7*'1.1 Control Panel'!AA$703</f>
        <v>3408.0465098402369</v>
      </c>
      <c r="AB84" s="406">
        <f>'3.2 Doojo Base'!AB7*'1.1 Control Panel'!AB$703</f>
        <v>3410.4372078721894</v>
      </c>
      <c r="AC84" s="406">
        <f>'3.2 Doojo Base'!AC7*'1.1 Control Panel'!AC$703</f>
        <v>5711.2496104962538</v>
      </c>
      <c r="AD84" s="406">
        <f>'3.2 Doojo Base'!AD7*'1.1 Control Panel'!AD$703</f>
        <v>5713.7996883970027</v>
      </c>
      <c r="AE84" s="406">
        <f>'3.2 Doojo Base'!AE7*'1.1 Control Panel'!AE$703</f>
        <v>5715.8397507176023</v>
      </c>
      <c r="AF84" s="406">
        <f>'3.2 Doojo Base'!AF7*'1.1 Control Panel'!AF$703</f>
        <v>5717.4718005740833</v>
      </c>
      <c r="AG84" s="406">
        <f>'3.2 Doojo Base'!AG7*'1.1 Control Panel'!AG$703</f>
        <v>8236.479514261342</v>
      </c>
      <c r="AH84" s="406">
        <f>'3.2 Doojo Base'!AH7*'1.1 Control Panel'!AH$703</f>
        <v>8237.983611409074</v>
      </c>
      <c r="AI84" s="406">
        <f>'3.2 Doojo Base'!AI7*'1.1 Control Panel'!AI$703</f>
        <v>8239.1868891272588</v>
      </c>
      <c r="AJ84" s="406">
        <f>'3.2 Doojo Base'!AJ7*'1.1 Control Panel'!AJ$703</f>
        <v>8240.14951130181</v>
      </c>
      <c r="AK84" s="406">
        <f>'3.2 Doojo Base'!AK7*'1.1 Control Panel'!AK$703</f>
        <v>10184.206555578819</v>
      </c>
      <c r="AL84" s="406">
        <f>'3.2 Doojo Base'!AL7*'1.1 Control Panel'!AL$703</f>
        <v>10184.965244463056</v>
      </c>
      <c r="AM84" s="406">
        <f>'3.2 Doojo Base'!AM7*'1.1 Control Panel'!AM$703</f>
        <v>10185.572195570443</v>
      </c>
      <c r="AN84" s="406">
        <f>'3.2 Doojo Base'!AN7*'1.1 Control Panel'!AN$703</f>
        <v>10186.057756456357</v>
      </c>
      <c r="AP84" s="21"/>
    </row>
    <row r="85" spans="2:42" x14ac:dyDescent="0.25">
      <c r="C85" s="21" t="s">
        <v>651</v>
      </c>
      <c r="D85" s="158" t="s">
        <v>162</v>
      </c>
      <c r="E85" s="406">
        <f>'3.2 Doojo Base'!E8*'1.1 Control Panel'!E$703</f>
        <v>480</v>
      </c>
      <c r="F85" s="406">
        <f>'3.2 Doojo Base'!F8*'1.1 Control Panel'!F$703</f>
        <v>564</v>
      </c>
      <c r="G85" s="406">
        <f>'3.2 Doojo Base'!G8*'1.1 Control Panel'!G$703</f>
        <v>631.20000000000016</v>
      </c>
      <c r="H85" s="406">
        <f>'3.2 Doojo Base'!H8*'1.1 Control Panel'!H$703</f>
        <v>684.96</v>
      </c>
      <c r="I85" s="406">
        <f>'3.2 Doojo Base'!I8*'1.1 Control Panel'!I$703</f>
        <v>1014.24</v>
      </c>
      <c r="J85" s="406">
        <f>'3.2 Doojo Base'!J8*'1.1 Control Panel'!J$703</f>
        <v>1424.4096000000006</v>
      </c>
      <c r="K85" s="406">
        <f>'3.2 Doojo Base'!K8*'1.1 Control Panel'!K$703</f>
        <v>1475.5276800000001</v>
      </c>
      <c r="L85" s="406">
        <f>'3.2 Doojo Base'!L8*'1.1 Control Panel'!L$703</f>
        <v>1516.4221440000003</v>
      </c>
      <c r="M85" s="406">
        <f>'3.2 Doojo Base'!M8*'1.1 Control Panel'!M$703</f>
        <v>1878.9387264000006</v>
      </c>
      <c r="N85" s="406">
        <f>'3.2 Doojo Base'!N8*'1.1 Control Panel'!N$703</f>
        <v>2023.0979174400004</v>
      </c>
      <c r="O85" s="406">
        <f>'3.2 Doojo Base'!O8*'1.1 Control Panel'!O$703</f>
        <v>2164.0358830080004</v>
      </c>
      <c r="P85" s="406">
        <f>'3.2 Doojo Base'!P8*'1.1 Control Panel'!P$703</f>
        <v>2302.0747456511999</v>
      </c>
      <c r="Q85" s="406">
        <f>'3.2 Doojo Base'!Q8*'1.1 Control Panel'!Q$703</f>
        <v>3540.4281104793599</v>
      </c>
      <c r="R85" s="406">
        <f>'3.2 Doojo Base'!R8*'1.1 Control Panel'!R$703</f>
        <v>3564.3424883834887</v>
      </c>
      <c r="S85" s="406">
        <f>'3.2 Doojo Base'!S8*'1.1 Control Panel'!S$703</f>
        <v>3583.473990706791</v>
      </c>
      <c r="T85" s="406">
        <f>'3.2 Doojo Base'!T8*'1.1 Control Panel'!T$703</f>
        <v>3598.7791925654333</v>
      </c>
      <c r="U85" s="406">
        <f>'3.2 Doojo Base'!U8*'1.1 Control Panel'!U$703</f>
        <v>5209.0683058689156</v>
      </c>
      <c r="V85" s="406">
        <f>'3.2 Doojo Base'!V8*'1.1 Control Panel'!V$703</f>
        <v>5223.2546446951346</v>
      </c>
      <c r="W85" s="406">
        <f>'3.2 Doojo Base'!W8*'1.1 Control Panel'!W$703</f>
        <v>5234.6037157561059</v>
      </c>
      <c r="X85" s="406">
        <f>'3.2 Doojo Base'!X8*'1.1 Control Panel'!X$703</f>
        <v>5243.6829726048854</v>
      </c>
      <c r="Y85" s="406">
        <f>'3.2 Doojo Base'!Y8*'1.1 Control Panel'!Y$703</f>
        <v>5668.8711193756162</v>
      </c>
      <c r="Z85" s="406">
        <f>'3.2 Doojo Base'!Z8*'1.1 Control Panel'!Z$703</f>
        <v>5675.0968955004919</v>
      </c>
      <c r="AA85" s="406">
        <f>'3.2 Doojo Base'!AA8*'1.1 Control Panel'!AA$703</f>
        <v>5680.0775164003935</v>
      </c>
      <c r="AB85" s="406">
        <f>'3.2 Doojo Base'!AB8*'1.1 Control Panel'!AB$703</f>
        <v>5684.0620131203159</v>
      </c>
      <c r="AC85" s="406">
        <f>'3.2 Doojo Base'!AC8*'1.1 Control Panel'!AC$703</f>
        <v>9518.7493508270891</v>
      </c>
      <c r="AD85" s="406">
        <f>'3.2 Doojo Base'!AD8*'1.1 Control Panel'!AD$703</f>
        <v>9522.9994806616705</v>
      </c>
      <c r="AE85" s="406">
        <f>'3.2 Doojo Base'!AE8*'1.1 Control Panel'!AE$703</f>
        <v>9526.3995845293375</v>
      </c>
      <c r="AF85" s="406">
        <f>'3.2 Doojo Base'!AF8*'1.1 Control Panel'!AF$703</f>
        <v>9529.1196676234722</v>
      </c>
      <c r="AG85" s="406">
        <f>'3.2 Doojo Base'!AG8*'1.1 Control Panel'!AG$703</f>
        <v>13727.465857102237</v>
      </c>
      <c r="AH85" s="406">
        <f>'3.2 Doojo Base'!AH8*'1.1 Control Panel'!AH$703</f>
        <v>13729.972685681787</v>
      </c>
      <c r="AI85" s="406">
        <f>'3.2 Doojo Base'!AI8*'1.1 Control Panel'!AI$703</f>
        <v>13731.97814854543</v>
      </c>
      <c r="AJ85" s="406">
        <f>'3.2 Doojo Base'!AJ8*'1.1 Control Panel'!AJ$703</f>
        <v>13733.582518836351</v>
      </c>
      <c r="AK85" s="406">
        <f>'3.2 Doojo Base'!AK8*'1.1 Control Panel'!AK$703</f>
        <v>16973.677592631364</v>
      </c>
      <c r="AL85" s="406">
        <f>'3.2 Doojo Base'!AL8*'1.1 Control Panel'!AL$703</f>
        <v>16974.942074105093</v>
      </c>
      <c r="AM85" s="406">
        <f>'3.2 Doojo Base'!AM8*'1.1 Control Panel'!AM$703</f>
        <v>16975.953659284074</v>
      </c>
      <c r="AN85" s="406">
        <f>'3.2 Doojo Base'!AN8*'1.1 Control Panel'!AN$703</f>
        <v>16976.762927427259</v>
      </c>
      <c r="AP85" s="21"/>
    </row>
    <row r="86" spans="2:42" x14ac:dyDescent="0.25">
      <c r="C86" s="244" t="s">
        <v>652</v>
      </c>
      <c r="D86" s="159" t="s">
        <v>162</v>
      </c>
      <c r="E86" s="479">
        <f>'3.2 Doojo Base'!E9*'1.1 Control Panel'!E$703</f>
        <v>832</v>
      </c>
      <c r="F86" s="479">
        <f>'3.2 Doojo Base'!F9*'1.1 Control Panel'!F$703</f>
        <v>990.39999999999986</v>
      </c>
      <c r="G86" s="479">
        <f>'3.2 Doojo Base'!G9*'1.1 Control Panel'!G$703</f>
        <v>1136.0000000000002</v>
      </c>
      <c r="H86" s="479">
        <f>'3.2 Doojo Base'!H9*'1.1 Control Panel'!H$703</f>
        <v>1238.4000000000001</v>
      </c>
      <c r="I86" s="479">
        <f>'3.2 Doojo Base'!I9*'1.1 Control Panel'!I$703</f>
        <v>1822.6944000000003</v>
      </c>
      <c r="J86" s="479">
        <f>'3.2 Doojo Base'!J9*'1.1 Control Panel'!J$703</f>
        <v>2563.0336000000007</v>
      </c>
      <c r="K86" s="479">
        <f>'3.2 Doojo Base'!K9*'1.1 Control Panel'!K$703</f>
        <v>2660.0268800000008</v>
      </c>
      <c r="L86" s="479">
        <f>'3.2 Doojo Base'!L9*'1.1 Control Panel'!L$703</f>
        <v>2737.6215040000006</v>
      </c>
      <c r="M86" s="479">
        <f>'3.2 Doojo Base'!M9*'1.1 Control Panel'!M$703</f>
        <v>3314.1693030400006</v>
      </c>
      <c r="N86" s="479">
        <f>'3.2 Doojo Base'!N9*'1.1 Control Panel'!N$703</f>
        <v>3482.8091842560007</v>
      </c>
      <c r="O86" s="479">
        <f>'3.2 Doojo Base'!O9*'1.1 Control Panel'!O$703</f>
        <v>3641.0343931904008</v>
      </c>
      <c r="P86" s="479">
        <f>'3.2 Doojo Base'!P9*'1.1 Control Panel'!P$703</f>
        <v>3792.8171511808005</v>
      </c>
      <c r="Q86" s="479">
        <f>'3.2 Doojo Base'!Q9*'1.1 Control Panel'!Q$703</f>
        <v>5927.2820465336335</v>
      </c>
      <c r="R86" s="479">
        <f>'3.2 Doojo Base'!R9*'1.1 Control Panel'!R$703</f>
        <v>5964.2256372269067</v>
      </c>
      <c r="S86" s="479">
        <f>'3.2 Doojo Base'!S9*'1.1 Control Panel'!S$703</f>
        <v>5993.7805097815253</v>
      </c>
      <c r="T86" s="479">
        <f>'3.2 Doojo Base'!T9*'1.1 Control Panel'!T$703</f>
        <v>6017.4244078252204</v>
      </c>
      <c r="U86" s="479">
        <f>'3.2 Doojo Base'!U9*'1.1 Control Panel'!U$703</f>
        <v>8467.119368346901</v>
      </c>
      <c r="V86" s="479">
        <f>'3.2 Doojo Base'!V9*'1.1 Control Panel'!V$703</f>
        <v>8487.2954946775208</v>
      </c>
      <c r="W86" s="479">
        <f>'3.2 Doojo Base'!W9*'1.1 Control Panel'!W$703</f>
        <v>8503.4363957420192</v>
      </c>
      <c r="X86" s="479">
        <f>'3.2 Doojo Base'!X9*'1.1 Control Panel'!X$703</f>
        <v>8516.3491165936139</v>
      </c>
      <c r="Y86" s="479">
        <f>'3.2 Doojo Base'!Y9*'1.1 Control Panel'!Y$703</f>
        <v>9013.9414235119439</v>
      </c>
      <c r="Z86" s="479">
        <f>'3.2 Doojo Base'!Z9*'1.1 Control Panel'!Z$703</f>
        <v>9022.3531388095562</v>
      </c>
      <c r="AA86" s="479">
        <f>'3.2 Doojo Base'!AA9*'1.1 Control Panel'!AA$703</f>
        <v>9029.0825110476435</v>
      </c>
      <c r="AB86" s="479">
        <f>'3.2 Doojo Base'!AB9*'1.1 Control Panel'!AB$703</f>
        <v>9034.4660088381152</v>
      </c>
      <c r="AC86" s="479">
        <f>'3.2 Doojo Base'!AC9*'1.1 Control Panel'!AC$703</f>
        <v>14354.910222465522</v>
      </c>
      <c r="AD86" s="479">
        <f>'3.2 Doojo Base'!AD9*'1.1 Control Panel'!AD$703</f>
        <v>14360.728177972422</v>
      </c>
      <c r="AE86" s="479">
        <f>'3.2 Doojo Base'!AE9*'1.1 Control Panel'!AE$703</f>
        <v>14365.382542377938</v>
      </c>
      <c r="AF86" s="479">
        <f>'3.2 Doojo Base'!AF9*'1.1 Control Panel'!AF$703</f>
        <v>14369.106033902352</v>
      </c>
      <c r="AG86" s="479">
        <f>'3.2 Doojo Base'!AG9*'1.1 Control Panel'!AG$703</f>
        <v>19848.726914765324</v>
      </c>
      <c r="AH86" s="479">
        <f>'3.2 Doojo Base'!AH9*'1.1 Control Panel'!AH$703</f>
        <v>19851.781531812252</v>
      </c>
      <c r="AI86" s="479">
        <f>'3.2 Doojo Base'!AI9*'1.1 Control Panel'!AI$703</f>
        <v>19854.225225449802</v>
      </c>
      <c r="AJ86" s="479">
        <f>'3.2 Doojo Base'!AJ9*'1.1 Control Panel'!AJ$703</f>
        <v>19856.18018035985</v>
      </c>
      <c r="AK86" s="479">
        <f>'3.2 Doojo Base'!AK9*'1.1 Control Panel'!AK$703</f>
        <v>23848.90749489173</v>
      </c>
      <c r="AL86" s="479">
        <f>'3.2 Doojo Base'!AL9*'1.1 Control Panel'!AL$703</f>
        <v>23850.325995913387</v>
      </c>
      <c r="AM86" s="479">
        <f>'3.2 Doojo Base'!AM9*'1.1 Control Panel'!AM$703</f>
        <v>23851.460796730709</v>
      </c>
      <c r="AN86" s="479">
        <f>'3.2 Doojo Base'!AN9*'1.1 Control Panel'!AN$703</f>
        <v>23852.36863738457</v>
      </c>
      <c r="AP86" s="22"/>
    </row>
    <row r="87" spans="2:42" x14ac:dyDescent="0.25">
      <c r="B87" s="33" t="s">
        <v>10</v>
      </c>
      <c r="C87" s="447" t="s">
        <v>682</v>
      </c>
      <c r="D87" s="439"/>
      <c r="E87" s="438"/>
      <c r="F87" s="438"/>
      <c r="G87" s="438"/>
      <c r="H87" s="438"/>
      <c r="I87" s="438"/>
      <c r="J87" s="438"/>
      <c r="K87" s="438"/>
      <c r="L87" s="438"/>
      <c r="M87" s="438"/>
      <c r="N87" s="438"/>
      <c r="O87" s="438"/>
      <c r="P87" s="438"/>
      <c r="Q87" s="438"/>
      <c r="R87" s="438"/>
      <c r="S87" s="438"/>
      <c r="T87" s="438"/>
      <c r="U87" s="438"/>
      <c r="V87" s="438"/>
      <c r="W87" s="438"/>
      <c r="X87" s="438"/>
      <c r="Y87" s="438"/>
      <c r="Z87" s="438"/>
      <c r="AA87" s="438"/>
      <c r="AB87" s="438"/>
      <c r="AC87" s="440"/>
      <c r="AD87" s="440"/>
      <c r="AE87" s="440"/>
      <c r="AF87" s="440"/>
      <c r="AG87" s="440"/>
      <c r="AH87" s="440"/>
      <c r="AI87" s="440"/>
      <c r="AJ87" s="440"/>
      <c r="AK87" s="440"/>
      <c r="AL87" s="440"/>
      <c r="AM87" s="440"/>
      <c r="AN87" s="440"/>
      <c r="AO87" s="428"/>
      <c r="AP87" s="441"/>
    </row>
    <row r="88" spans="2:42" x14ac:dyDescent="0.25">
      <c r="C88" s="137" t="s">
        <v>726</v>
      </c>
      <c r="D88" s="157" t="s">
        <v>162</v>
      </c>
      <c r="E88" s="131">
        <f>ROUND(E82*'1.1 Control Panel'!E731+'1.1 Control Panel'!E736*E83+'1.1 Control Panel'!E741*E84+'1.1 Control Panel'!E746*E85+'1.1 Control Panel'!E751*E86,0)</f>
        <v>1068</v>
      </c>
      <c r="F88" s="131">
        <f>ROUND(F82*'1.1 Control Panel'!F731+'1.1 Control Panel'!F736*F83+'1.1 Control Panel'!F741*F84+'1.1 Control Panel'!F746*F85+'1.1 Control Panel'!F751*F86,0)</f>
        <v>1265</v>
      </c>
      <c r="G88" s="131">
        <f>ROUND(G82*'1.1 Control Panel'!G731+'1.1 Control Panel'!G736*G83+'1.1 Control Panel'!G741*G84+'1.1 Control Panel'!G746*G85+'1.1 Control Panel'!G751*G86,0)</f>
        <v>1434</v>
      </c>
      <c r="H88" s="131">
        <f>ROUND(H82*'1.1 Control Panel'!H731+'1.1 Control Panel'!H736*H83+'1.1 Control Panel'!H741*H84+'1.1 Control Panel'!H746*H85+'1.1 Control Panel'!H751*H86,0)</f>
        <v>1561</v>
      </c>
      <c r="I88" s="131">
        <f>ROUND(I82*'1.1 Control Panel'!I731+'1.1 Control Panel'!I736*I83+'1.1 Control Panel'!I741*I84+'1.1 Control Panel'!I746*I85+'1.1 Control Panel'!I751*I86,0)</f>
        <v>2303</v>
      </c>
      <c r="J88" s="131">
        <f>ROUND(J82*'1.1 Control Panel'!J731+'1.1 Control Panel'!J736*J83+'1.1 Control Panel'!J741*J84+'1.1 Control Panel'!J746*J85+'1.1 Control Panel'!J751*J86,0)</f>
        <v>3240</v>
      </c>
      <c r="K88" s="131">
        <f>ROUND(K82*'1.1 Control Panel'!K731+'1.1 Control Panel'!K736*K83+'1.1 Control Panel'!K741*K84+'1.1 Control Panel'!K746*K85+'1.1 Control Panel'!K751*K86,0)</f>
        <v>3360</v>
      </c>
      <c r="L88" s="131">
        <f>ROUND(L82*'1.1 Control Panel'!L731+'1.1 Control Panel'!L736*L83+'1.1 Control Panel'!L741*L84+'1.1 Control Panel'!L746*L85+'1.1 Control Panel'!L751*L86,0)</f>
        <v>3456</v>
      </c>
      <c r="M88" s="131">
        <f>ROUND(M82*'1.1 Control Panel'!M731+'1.1 Control Panel'!M736*M83+'1.1 Control Panel'!M741*M84+'1.1 Control Panel'!M746*M85+'1.1 Control Panel'!M751*M86,0)</f>
        <v>4231</v>
      </c>
      <c r="N88" s="131">
        <f>ROUND(N82*'1.1 Control Panel'!N731+'1.1 Control Panel'!N736*N83+'1.1 Control Panel'!N741*N84+'1.1 Control Panel'!N746*N85+'1.1 Control Panel'!N751*N86,0)</f>
        <v>4502</v>
      </c>
      <c r="O88" s="131">
        <f>ROUND(O82*'1.1 Control Panel'!O731+'1.1 Control Panel'!O736*O83+'1.1 Control Panel'!O741*O84+'1.1 Control Panel'!O746*O85+'1.1 Control Panel'!O751*O86,0)</f>
        <v>4761</v>
      </c>
      <c r="P88" s="131">
        <f>ROUND(P82*'1.1 Control Panel'!P731+'1.1 Control Panel'!P736*P83+'1.1 Control Panel'!P741*P84+'1.1 Control Panel'!P746*P85+'1.1 Control Panel'!P751*P86,0)</f>
        <v>5014</v>
      </c>
      <c r="Q88" s="131">
        <f>ROUND(Q82*'1.1 Control Panel'!Q731+'1.1 Control Panel'!Q736*Q83+'1.1 Control Panel'!Q741*Q84+'1.1 Control Panel'!Q746*Q85+'1.1 Control Panel'!Q751*Q86,0)</f>
        <v>7770</v>
      </c>
      <c r="R88" s="131">
        <f>ROUND(R82*'1.1 Control Panel'!R731+'1.1 Control Panel'!R736*R83+'1.1 Control Panel'!R741*R84+'1.1 Control Panel'!R746*R85+'1.1 Control Panel'!R751*R86,0)</f>
        <v>7821</v>
      </c>
      <c r="S88" s="131">
        <f>ROUND(S82*'1.1 Control Panel'!S731+'1.1 Control Panel'!S736*S83+'1.1 Control Panel'!S741*S84+'1.1 Control Panel'!S746*S85+'1.1 Control Panel'!S751*S86,0)</f>
        <v>7861</v>
      </c>
      <c r="T88" s="131">
        <f>ROUND(T82*'1.1 Control Panel'!T731+'1.1 Control Panel'!T736*T83+'1.1 Control Panel'!T741*T84+'1.1 Control Panel'!T746*T85+'1.1 Control Panel'!T751*T86,0)</f>
        <v>7894</v>
      </c>
      <c r="U88" s="131">
        <f>ROUND(U82*'1.1 Control Panel'!U731+'1.1 Control Panel'!U736*U83+'1.1 Control Panel'!U741*U84+'1.1 Control Panel'!U746*U85+'1.1 Control Panel'!U751*U86,0)</f>
        <v>11271</v>
      </c>
      <c r="V88" s="131">
        <f>ROUND(V82*'1.1 Control Panel'!V731+'1.1 Control Panel'!V736*V83+'1.1 Control Panel'!V741*V84+'1.1 Control Panel'!V746*V85+'1.1 Control Panel'!V751*V86,0)</f>
        <v>11300</v>
      </c>
      <c r="W88" s="131">
        <f>ROUND(W82*'1.1 Control Panel'!W731+'1.1 Control Panel'!W736*W83+'1.1 Control Panel'!W741*W84+'1.1 Control Panel'!W746*W85+'1.1 Control Panel'!W751*W86,0)</f>
        <v>11323</v>
      </c>
      <c r="X88" s="131">
        <f>ROUND(X82*'1.1 Control Panel'!X731+'1.1 Control Panel'!X736*X83+'1.1 Control Panel'!X741*X84+'1.1 Control Panel'!X746*X85+'1.1 Control Panel'!X751*X86,0)</f>
        <v>11341</v>
      </c>
      <c r="Y88" s="131">
        <f>ROUND(Y82*'1.1 Control Panel'!Y731+'1.1 Control Panel'!Y736*Y83+'1.1 Control Panel'!Y741*Y84+'1.1 Control Panel'!Y746*Y85+'1.1 Control Panel'!Y751*Y86,0)</f>
        <v>12145</v>
      </c>
      <c r="Z88" s="131">
        <f>ROUND(Z82*'1.1 Control Panel'!Z731+'1.1 Control Panel'!Z736*Z83+'1.1 Control Panel'!Z741*Z84+'1.1 Control Panel'!Z746*Z85+'1.1 Control Panel'!Z751*Z86,0)</f>
        <v>12157</v>
      </c>
      <c r="AA88" s="131">
        <f>ROUND(AA82*'1.1 Control Panel'!AA731+'1.1 Control Panel'!AA736*AA83+'1.1 Control Panel'!AA741*AA84+'1.1 Control Panel'!AA746*AA85+'1.1 Control Panel'!AA751*AA86,0)</f>
        <v>12167</v>
      </c>
      <c r="AB88" s="131">
        <f>ROUND(AB82*'1.1 Control Panel'!AB731+'1.1 Control Panel'!AB736*AB83+'1.1 Control Panel'!AB741*AB84+'1.1 Control Panel'!AB746*AB85+'1.1 Control Panel'!AB751*AB86,0)</f>
        <v>12175</v>
      </c>
      <c r="AC88" s="131">
        <f>ROUND(AC82*'1.1 Control Panel'!AC731+'1.1 Control Panel'!AC736*AC83+'1.1 Control Panel'!AC741*AC84+'1.1 Control Panel'!AC746*AC85+'1.1 Control Panel'!AC751*AC86,0)</f>
        <v>19906</v>
      </c>
      <c r="AD88" s="131">
        <f>ROUND(AD82*'1.1 Control Panel'!AD731+'1.1 Control Panel'!AD736*AD83+'1.1 Control Panel'!AD741*AD84+'1.1 Control Panel'!AD746*AD85+'1.1 Control Panel'!AD751*AD86,0)</f>
        <v>19914</v>
      </c>
      <c r="AE88" s="131">
        <f>ROUND(AE82*'1.1 Control Panel'!AE731+'1.1 Control Panel'!AE736*AE83+'1.1 Control Panel'!AE741*AE84+'1.1 Control Panel'!AE746*AE85+'1.1 Control Panel'!AE751*AE86,0)</f>
        <v>19921</v>
      </c>
      <c r="AF88" s="131">
        <f>ROUND(AF82*'1.1 Control Panel'!AF731+'1.1 Control Panel'!AF736*AF83+'1.1 Control Panel'!AF741*AF84+'1.1 Control Panel'!AF746*AF85+'1.1 Control Panel'!AF751*AF86,0)</f>
        <v>19927</v>
      </c>
      <c r="AG88" s="131">
        <f>ROUND(AG82*'1.1 Control Panel'!AG731+'1.1 Control Panel'!AG736*AG83+'1.1 Control Panel'!AG741*AG84+'1.1 Control Panel'!AG746*AG85+'1.1 Control Panel'!AG751*AG86,0)</f>
        <v>28170</v>
      </c>
      <c r="AH88" s="131">
        <f>ROUND(AH82*'1.1 Control Panel'!AH731+'1.1 Control Panel'!AH736*AH83+'1.1 Control Panel'!AH741*AH84+'1.1 Control Panel'!AH746*AH85+'1.1 Control Panel'!AH751*AH86,0)</f>
        <v>28174</v>
      </c>
      <c r="AI88" s="131">
        <f>ROUND(AI82*'1.1 Control Panel'!AI731+'1.1 Control Panel'!AI736*AI83+'1.1 Control Panel'!AI741*AI84+'1.1 Control Panel'!AI746*AI85+'1.1 Control Panel'!AI751*AI86,0)</f>
        <v>28178</v>
      </c>
      <c r="AJ88" s="131">
        <f>ROUND(AJ82*'1.1 Control Panel'!AJ731+'1.1 Control Panel'!AJ736*AJ83+'1.1 Control Panel'!AJ741*AJ84+'1.1 Control Panel'!AJ746*AJ85+'1.1 Control Panel'!AJ751*AJ86,0)</f>
        <v>28182</v>
      </c>
      <c r="AK88" s="131">
        <f>ROUND(AK82*'1.1 Control Panel'!AK731+'1.1 Control Panel'!AK736*AK83+'1.1 Control Panel'!AK741*AK84+'1.1 Control Panel'!AK746*AK85+'1.1 Control Panel'!AK751*AK86,0)</f>
        <v>34401</v>
      </c>
      <c r="AL88" s="131">
        <f>ROUND(AL82*'1.1 Control Panel'!AL731+'1.1 Control Panel'!AL736*AL83+'1.1 Control Panel'!AL741*AL84+'1.1 Control Panel'!AL746*AL85+'1.1 Control Panel'!AL751*AL86,0)</f>
        <v>34404</v>
      </c>
      <c r="AM88" s="131">
        <f>ROUND(AM82*'1.1 Control Panel'!AM731+'1.1 Control Panel'!AM736*AM83+'1.1 Control Panel'!AM741*AM84+'1.1 Control Panel'!AM746*AM85+'1.1 Control Panel'!AM751*AM86,0)</f>
        <v>34405</v>
      </c>
      <c r="AN88" s="131">
        <f>ROUND(AN82*'1.1 Control Panel'!AN731+'1.1 Control Panel'!AN736*AN83+'1.1 Control Panel'!AN741*AN84+'1.1 Control Panel'!AN746*AN85+'1.1 Control Panel'!AN751*AN86,0)</f>
        <v>34407</v>
      </c>
      <c r="AP88" s="20"/>
    </row>
    <row r="89" spans="2:42" x14ac:dyDescent="0.25">
      <c r="C89" s="132" t="s">
        <v>737</v>
      </c>
      <c r="D89" s="158" t="s">
        <v>162</v>
      </c>
      <c r="E89" s="406">
        <f>E88-SUM(E90:E91)</f>
        <v>534</v>
      </c>
      <c r="F89" s="406">
        <f t="shared" ref="F89:AN89" si="259">F88-SUM(F90:F91)</f>
        <v>632</v>
      </c>
      <c r="G89" s="406">
        <f t="shared" si="259"/>
        <v>717</v>
      </c>
      <c r="H89" s="406">
        <f t="shared" si="259"/>
        <v>781</v>
      </c>
      <c r="I89" s="406">
        <f t="shared" si="259"/>
        <v>1151</v>
      </c>
      <c r="J89" s="406">
        <f t="shared" si="259"/>
        <v>1620</v>
      </c>
      <c r="K89" s="406">
        <f t="shared" si="259"/>
        <v>1680</v>
      </c>
      <c r="L89" s="406">
        <f t="shared" si="259"/>
        <v>1728</v>
      </c>
      <c r="M89" s="406">
        <f t="shared" si="259"/>
        <v>2116</v>
      </c>
      <c r="N89" s="406">
        <f t="shared" si="259"/>
        <v>2251</v>
      </c>
      <c r="O89" s="406">
        <f t="shared" si="259"/>
        <v>2381</v>
      </c>
      <c r="P89" s="406">
        <f t="shared" si="259"/>
        <v>2507</v>
      </c>
      <c r="Q89" s="406">
        <f t="shared" si="259"/>
        <v>3885</v>
      </c>
      <c r="R89" s="406">
        <f t="shared" si="259"/>
        <v>3911</v>
      </c>
      <c r="S89" s="406">
        <f t="shared" si="259"/>
        <v>3931</v>
      </c>
      <c r="T89" s="406">
        <f t="shared" si="259"/>
        <v>3947</v>
      </c>
      <c r="U89" s="406">
        <f t="shared" si="259"/>
        <v>5636</v>
      </c>
      <c r="V89" s="406">
        <f t="shared" si="259"/>
        <v>5650</v>
      </c>
      <c r="W89" s="406">
        <f t="shared" si="259"/>
        <v>5661</v>
      </c>
      <c r="X89" s="406">
        <f t="shared" si="259"/>
        <v>5671</v>
      </c>
      <c r="Y89" s="406">
        <f t="shared" si="259"/>
        <v>6072</v>
      </c>
      <c r="Z89" s="406">
        <f t="shared" si="259"/>
        <v>6079</v>
      </c>
      <c r="AA89" s="406">
        <f t="shared" si="259"/>
        <v>6084</v>
      </c>
      <c r="AB89" s="406">
        <f t="shared" si="259"/>
        <v>6087</v>
      </c>
      <c r="AC89" s="406">
        <f t="shared" si="259"/>
        <v>9953</v>
      </c>
      <c r="AD89" s="406">
        <f t="shared" si="259"/>
        <v>9957</v>
      </c>
      <c r="AE89" s="406">
        <f t="shared" si="259"/>
        <v>9961</v>
      </c>
      <c r="AF89" s="406">
        <f t="shared" si="259"/>
        <v>9964</v>
      </c>
      <c r="AG89" s="406">
        <f t="shared" si="259"/>
        <v>14085</v>
      </c>
      <c r="AH89" s="406">
        <f t="shared" si="259"/>
        <v>14087</v>
      </c>
      <c r="AI89" s="406">
        <f t="shared" si="259"/>
        <v>14089</v>
      </c>
      <c r="AJ89" s="406">
        <f t="shared" si="259"/>
        <v>14091</v>
      </c>
      <c r="AK89" s="406">
        <f t="shared" si="259"/>
        <v>17201</v>
      </c>
      <c r="AL89" s="406">
        <f t="shared" si="259"/>
        <v>17202</v>
      </c>
      <c r="AM89" s="406">
        <f t="shared" si="259"/>
        <v>17202</v>
      </c>
      <c r="AN89" s="406">
        <f t="shared" si="259"/>
        <v>17204</v>
      </c>
      <c r="AP89" s="21"/>
    </row>
    <row r="90" spans="2:42" x14ac:dyDescent="0.25">
      <c r="C90" s="132" t="s">
        <v>738</v>
      </c>
      <c r="D90" s="158" t="s">
        <v>162</v>
      </c>
      <c r="E90" s="406">
        <f>ROUND(E88*'1.1 Control Panel'!E755,0)</f>
        <v>320</v>
      </c>
      <c r="F90" s="406">
        <f>ROUND(F88*'1.1 Control Panel'!F755,0)</f>
        <v>380</v>
      </c>
      <c r="G90" s="406">
        <f>ROUND(G88*'1.1 Control Panel'!G755,0)</f>
        <v>430</v>
      </c>
      <c r="H90" s="406">
        <f>ROUND(H88*'1.1 Control Panel'!H755,0)</f>
        <v>468</v>
      </c>
      <c r="I90" s="406">
        <f>ROUND(I88*'1.1 Control Panel'!I755,0)</f>
        <v>691</v>
      </c>
      <c r="J90" s="406">
        <f>ROUND(J88*'1.1 Control Panel'!J755,0)</f>
        <v>972</v>
      </c>
      <c r="K90" s="406">
        <f>ROUND(K88*'1.1 Control Panel'!K755,0)</f>
        <v>1008</v>
      </c>
      <c r="L90" s="406">
        <f>ROUND(L88*'1.1 Control Panel'!L755,0)</f>
        <v>1037</v>
      </c>
      <c r="M90" s="406">
        <f>ROUND(M88*'1.1 Control Panel'!M755,0)</f>
        <v>1269</v>
      </c>
      <c r="N90" s="406">
        <f>ROUND(N88*'1.1 Control Panel'!N755,0)</f>
        <v>1351</v>
      </c>
      <c r="O90" s="406">
        <f>ROUND(O88*'1.1 Control Panel'!O755,0)</f>
        <v>1428</v>
      </c>
      <c r="P90" s="406">
        <f>ROUND(P88*'1.1 Control Panel'!P755,0)</f>
        <v>1504</v>
      </c>
      <c r="Q90" s="406">
        <f>ROUND(Q88*'1.1 Control Panel'!Q755,0)</f>
        <v>2331</v>
      </c>
      <c r="R90" s="406">
        <f>ROUND(R88*'1.1 Control Panel'!R755,0)</f>
        <v>2346</v>
      </c>
      <c r="S90" s="406">
        <f>ROUND(S88*'1.1 Control Panel'!S755,0)</f>
        <v>2358</v>
      </c>
      <c r="T90" s="406">
        <f>ROUND(T88*'1.1 Control Panel'!T755,0)</f>
        <v>2368</v>
      </c>
      <c r="U90" s="406">
        <f>ROUND(U88*'1.1 Control Panel'!U755,0)</f>
        <v>3381</v>
      </c>
      <c r="V90" s="406">
        <f>ROUND(V88*'1.1 Control Panel'!V755,0)</f>
        <v>3390</v>
      </c>
      <c r="W90" s="406">
        <f>ROUND(W88*'1.1 Control Panel'!W755,0)</f>
        <v>3397</v>
      </c>
      <c r="X90" s="406">
        <f>ROUND(X88*'1.1 Control Panel'!X755,0)</f>
        <v>3402</v>
      </c>
      <c r="Y90" s="406">
        <f>ROUND(Y88*'1.1 Control Panel'!Y755,0)</f>
        <v>3644</v>
      </c>
      <c r="Z90" s="406">
        <f>ROUND(Z88*'1.1 Control Panel'!Z755,0)</f>
        <v>3647</v>
      </c>
      <c r="AA90" s="406">
        <f>ROUND(AA88*'1.1 Control Panel'!AA755,0)</f>
        <v>3650</v>
      </c>
      <c r="AB90" s="406">
        <f>ROUND(AB88*'1.1 Control Panel'!AB755,0)</f>
        <v>3653</v>
      </c>
      <c r="AC90" s="406">
        <f>ROUND(AC88*'1.1 Control Panel'!AC755,0)</f>
        <v>5972</v>
      </c>
      <c r="AD90" s="406">
        <f>ROUND(AD88*'1.1 Control Panel'!AD755,0)</f>
        <v>5974</v>
      </c>
      <c r="AE90" s="406">
        <f>ROUND(AE88*'1.1 Control Panel'!AE755,0)</f>
        <v>5976</v>
      </c>
      <c r="AF90" s="406">
        <f>ROUND(AF88*'1.1 Control Panel'!AF755,0)</f>
        <v>5978</v>
      </c>
      <c r="AG90" s="406">
        <f>ROUND(AG88*'1.1 Control Panel'!AG755,0)</f>
        <v>8451</v>
      </c>
      <c r="AH90" s="406">
        <f>ROUND(AH88*'1.1 Control Panel'!AH755,0)</f>
        <v>8452</v>
      </c>
      <c r="AI90" s="406">
        <f>ROUND(AI88*'1.1 Control Panel'!AI755,0)</f>
        <v>8453</v>
      </c>
      <c r="AJ90" s="406">
        <f>ROUND(AJ88*'1.1 Control Panel'!AJ755,0)</f>
        <v>8455</v>
      </c>
      <c r="AK90" s="406">
        <f>ROUND(AK88*'1.1 Control Panel'!AK755,0)</f>
        <v>10320</v>
      </c>
      <c r="AL90" s="406">
        <f>ROUND(AL88*'1.1 Control Panel'!AL755,0)</f>
        <v>10321</v>
      </c>
      <c r="AM90" s="406">
        <f>ROUND(AM88*'1.1 Control Panel'!AM755,0)</f>
        <v>10322</v>
      </c>
      <c r="AN90" s="406">
        <f>ROUND(AN88*'1.1 Control Panel'!AN755,0)</f>
        <v>10322</v>
      </c>
      <c r="AP90" s="21"/>
    </row>
    <row r="91" spans="2:42" x14ac:dyDescent="0.25">
      <c r="C91" s="138" t="s">
        <v>739</v>
      </c>
      <c r="D91" s="423" t="s">
        <v>162</v>
      </c>
      <c r="E91" s="491">
        <f>ROUND(E88*'1.1 Control Panel'!E756,0)</f>
        <v>214</v>
      </c>
      <c r="F91" s="491">
        <f>ROUND(F88*'1.1 Control Panel'!F756,0)</f>
        <v>253</v>
      </c>
      <c r="G91" s="491">
        <f>ROUND(G88*'1.1 Control Panel'!G756,0)</f>
        <v>287</v>
      </c>
      <c r="H91" s="491">
        <f>ROUND(H88*'1.1 Control Panel'!H756,0)</f>
        <v>312</v>
      </c>
      <c r="I91" s="491">
        <f>ROUND(I88*'1.1 Control Panel'!I756,0)</f>
        <v>461</v>
      </c>
      <c r="J91" s="491">
        <f>ROUND(J88*'1.1 Control Panel'!J756,0)</f>
        <v>648</v>
      </c>
      <c r="K91" s="491">
        <f>ROUND(K88*'1.1 Control Panel'!K756,0)</f>
        <v>672</v>
      </c>
      <c r="L91" s="491">
        <f>ROUND(L88*'1.1 Control Panel'!L756,0)</f>
        <v>691</v>
      </c>
      <c r="M91" s="491">
        <f>ROUND(M88*'1.1 Control Panel'!M756,0)</f>
        <v>846</v>
      </c>
      <c r="N91" s="491">
        <f>ROUND(N88*'1.1 Control Panel'!N756,0)</f>
        <v>900</v>
      </c>
      <c r="O91" s="491">
        <f>ROUND(O88*'1.1 Control Panel'!O756,0)</f>
        <v>952</v>
      </c>
      <c r="P91" s="491">
        <f>ROUND(P88*'1.1 Control Panel'!P756,0)</f>
        <v>1003</v>
      </c>
      <c r="Q91" s="491">
        <f>ROUND(Q88*'1.1 Control Panel'!Q756,0)</f>
        <v>1554</v>
      </c>
      <c r="R91" s="491">
        <f>ROUND(R88*'1.1 Control Panel'!R756,0)</f>
        <v>1564</v>
      </c>
      <c r="S91" s="491">
        <f>ROUND(S88*'1.1 Control Panel'!S756,0)</f>
        <v>1572</v>
      </c>
      <c r="T91" s="491">
        <f>ROUND(T88*'1.1 Control Panel'!T756,0)</f>
        <v>1579</v>
      </c>
      <c r="U91" s="491">
        <f>ROUND(U88*'1.1 Control Panel'!U756,0)</f>
        <v>2254</v>
      </c>
      <c r="V91" s="491">
        <f>ROUND(V88*'1.1 Control Panel'!V756,0)</f>
        <v>2260</v>
      </c>
      <c r="W91" s="491">
        <f>ROUND(W88*'1.1 Control Panel'!W756,0)</f>
        <v>2265</v>
      </c>
      <c r="X91" s="491">
        <f>ROUND(X88*'1.1 Control Panel'!X756,0)</f>
        <v>2268</v>
      </c>
      <c r="Y91" s="491">
        <f>ROUND(Y88*'1.1 Control Panel'!Y756,0)</f>
        <v>2429</v>
      </c>
      <c r="Z91" s="491">
        <f>ROUND(Z88*'1.1 Control Panel'!Z756,0)</f>
        <v>2431</v>
      </c>
      <c r="AA91" s="491">
        <f>ROUND(AA88*'1.1 Control Panel'!AA756,0)</f>
        <v>2433</v>
      </c>
      <c r="AB91" s="491">
        <f>ROUND(AB88*'1.1 Control Panel'!AB756,0)</f>
        <v>2435</v>
      </c>
      <c r="AC91" s="491">
        <f>ROUND(AC88*'1.1 Control Panel'!AC756,0)</f>
        <v>3981</v>
      </c>
      <c r="AD91" s="491">
        <f>ROUND(AD88*'1.1 Control Panel'!AD756,0)</f>
        <v>3983</v>
      </c>
      <c r="AE91" s="491">
        <f>ROUND(AE88*'1.1 Control Panel'!AE756,0)</f>
        <v>3984</v>
      </c>
      <c r="AF91" s="491">
        <f>ROUND(AF88*'1.1 Control Panel'!AF756,0)</f>
        <v>3985</v>
      </c>
      <c r="AG91" s="491">
        <f>ROUND(AG88*'1.1 Control Panel'!AG756,0)</f>
        <v>5634</v>
      </c>
      <c r="AH91" s="491">
        <f>ROUND(AH88*'1.1 Control Panel'!AH756,0)</f>
        <v>5635</v>
      </c>
      <c r="AI91" s="491">
        <f>ROUND(AI88*'1.1 Control Panel'!AI756,0)</f>
        <v>5636</v>
      </c>
      <c r="AJ91" s="491">
        <f>ROUND(AJ88*'1.1 Control Panel'!AJ756,0)</f>
        <v>5636</v>
      </c>
      <c r="AK91" s="491">
        <f>ROUND(AK88*'1.1 Control Panel'!AK756,0)</f>
        <v>6880</v>
      </c>
      <c r="AL91" s="491">
        <f>ROUND(AL88*'1.1 Control Panel'!AL756,0)</f>
        <v>6881</v>
      </c>
      <c r="AM91" s="491">
        <f>ROUND(AM88*'1.1 Control Panel'!AM756,0)</f>
        <v>6881</v>
      </c>
      <c r="AN91" s="491">
        <f>ROUND(AN88*'1.1 Control Panel'!AN756,0)</f>
        <v>6881</v>
      </c>
      <c r="AP91" s="26"/>
    </row>
    <row r="92" spans="2:42" x14ac:dyDescent="0.25">
      <c r="B92" s="33" t="s">
        <v>10</v>
      </c>
      <c r="C92" s="438" t="s">
        <v>659</v>
      </c>
      <c r="D92" s="439"/>
      <c r="E92" s="438"/>
      <c r="F92" s="438"/>
      <c r="G92" s="438"/>
      <c r="H92" s="438"/>
      <c r="I92" s="438"/>
      <c r="J92" s="438"/>
      <c r="K92" s="438"/>
      <c r="L92" s="438"/>
      <c r="M92" s="438"/>
      <c r="N92" s="438"/>
      <c r="O92" s="438"/>
      <c r="P92" s="438"/>
      <c r="Q92" s="438"/>
      <c r="R92" s="438"/>
      <c r="S92" s="438"/>
      <c r="T92" s="438"/>
      <c r="U92" s="438"/>
      <c r="V92" s="438"/>
      <c r="W92" s="438"/>
      <c r="X92" s="438"/>
      <c r="Y92" s="438"/>
      <c r="Z92" s="438"/>
      <c r="AA92" s="438"/>
      <c r="AB92" s="438"/>
      <c r="AC92" s="438"/>
      <c r="AD92" s="438"/>
      <c r="AE92" s="438"/>
      <c r="AF92" s="438"/>
      <c r="AG92" s="438"/>
      <c r="AH92" s="438"/>
      <c r="AI92" s="438"/>
      <c r="AJ92" s="438"/>
      <c r="AK92" s="438"/>
      <c r="AL92" s="438"/>
      <c r="AM92" s="438"/>
      <c r="AN92" s="438"/>
      <c r="AO92" s="428"/>
      <c r="AP92" s="441"/>
    </row>
    <row r="93" spans="2:42" x14ac:dyDescent="0.25">
      <c r="B93" s="33"/>
      <c r="C93" s="137" t="s">
        <v>726</v>
      </c>
      <c r="D93" s="157" t="s">
        <v>162</v>
      </c>
      <c r="E93" s="131">
        <f>ROUND(E82*'1.1 Control Panel'!E732+'1.1 Control Panel'!E737*E83+'1.1 Control Panel'!E742*E84+'1.1 Control Panel'!E747*E85+'1.1 Control Panel'!E752*E86,0)+E90</f>
        <v>676</v>
      </c>
      <c r="F93" s="131">
        <f>ROUND(F82*'1.1 Control Panel'!F732+'1.1 Control Panel'!F737*F83+'1.1 Control Panel'!F742*F84+'1.1 Control Panel'!F747*F85+'1.1 Control Panel'!F752*F86,0)+F90-$E95*F$138</f>
        <v>667</v>
      </c>
      <c r="G93" s="131">
        <f>ROUND(G82*'1.1 Control Panel'!G732+'1.1 Control Panel'!G737*G83+'1.1 Control Panel'!G742*G84+'1.1 Control Panel'!G747*G85+'1.1 Control Panel'!G752*G86,0)+G90-$E95*G$138-$F95*G$139</f>
        <v>640</v>
      </c>
      <c r="H93" s="131">
        <f>ROUND(H82*'1.1 Control Panel'!H732+'1.1 Control Panel'!H737*H83+'1.1 Control Panel'!H742*H84+'1.1 Control Panel'!H747*H85+'1.1 Control Panel'!H752*H86,0)+H90-$E95*H$138-$F95*H$139-$G95*H$140</f>
        <v>592</v>
      </c>
      <c r="I93" s="131">
        <f>ROUND(I82*'1.1 Control Panel'!I732+'1.1 Control Panel'!I737*I83+'1.1 Control Panel'!I742*I84+'1.1 Control Panel'!I747*I85+'1.1 Control Panel'!I752*I86,0)+I90-$E95*I$138-$F95*I$139-$G95*I$140-$H95*I$141</f>
        <v>945</v>
      </c>
      <c r="J93" s="131">
        <f>ROUND(J82*'1.1 Control Panel'!J732+'1.1 Control Panel'!J737*J83+'1.1 Control Panel'!J742*J84+'1.1 Control Panel'!J747*J85+'1.1 Control Panel'!J752*J86,0)+J90-$E95*J$138-$F95*J$139-$G95*J$140-$H95*J$141-$I95*J$142</f>
        <v>1349</v>
      </c>
      <c r="K93" s="131">
        <f>ROUND(K82*'1.1 Control Panel'!K732+'1.1 Control Panel'!K737*K83+'1.1 Control Panel'!K742*K84+'1.1 Control Panel'!K747*K85+'1.1 Control Panel'!K752*K86,0)+K90-$E95*K$138-$F95*K$139-$G95*K$140-$H95*K$141-$I95*K$142-$J95*K$143</f>
        <v>1155</v>
      </c>
      <c r="L93" s="131">
        <f>ROUND(L82*'1.1 Control Panel'!L732+'1.1 Control Panel'!L737*L83+'1.1 Control Panel'!L742*L84+'1.1 Control Panel'!L747*L85+'1.1 Control Panel'!L752*L86,0)+L90-$E95*L$138-$F95*L$139-$G95*L$140-$H95*L$141-$I95*L$142-$J95*L$143-$K95*L$144</f>
        <v>985</v>
      </c>
      <c r="M93" s="131">
        <f>ROUND(M82*'1.1 Control Panel'!M732+'1.1 Control Panel'!M737*M83+'1.1 Control Panel'!M742*M84+'1.1 Control Panel'!M747*M85+'1.1 Control Panel'!M752*M86,0)+M90-$E95*M$138-$F95*M$139-$G95*M$140-$H95*M$141-$I95*M$142-$J95*M$143-$K95*M$144-$L95*M$145</f>
        <v>1278</v>
      </c>
      <c r="N93" s="131">
        <f>ROUND(N82*'1.1 Control Panel'!N732+'1.1 Control Panel'!N737*N83+'1.1 Control Panel'!N742*N84+'1.1 Control Panel'!N747*N85+'1.1 Control Panel'!N752*N86,0)+N90-$E95*N$138-$F95*N$139-$G95*N$140-$H95*N$141-$I95*N$142-$J95*N$143-$K95*N$144-$L95*N$145-$M95*N$146</f>
        <v>1195</v>
      </c>
      <c r="O93" s="131">
        <f>ROUND(O82*'1.1 Control Panel'!O732+'1.1 Control Panel'!O737*O83+'1.1 Control Panel'!O742*O84+'1.1 Control Panel'!O747*O85+'1.1 Control Panel'!O752*O86,0)+O90-$E95*O$138-$F95*O$139-$G95*O$140-$H95*O$141-$I95*O$142-$J95*O$143-$K95*O$144-$L95*O$145-$M95*O$146-$N95*O$147</f>
        <v>1119</v>
      </c>
      <c r="P93" s="131">
        <f>ROUND(P82*'1.1 Control Panel'!P732+'1.1 Control Panel'!P737*P83+'1.1 Control Panel'!P742*P84+'1.1 Control Panel'!P747*P85+'1.1 Control Panel'!P752*P86,0)+P90-$E95*P$138-$F95*P$139-$G95*P$140-$H95*P$141-$I95*P$142-$J95*P$143-$K95*P$144-$L95*P$145-$M95*P$146-$N95*P$147-$O95*P$148</f>
        <v>1055</v>
      </c>
      <c r="Q93" s="131">
        <f>ROUND(Q82*'1.1 Control Panel'!Q732+'1.1 Control Panel'!Q737*Q83+'1.1 Control Panel'!Q742*Q84+'1.1 Control Panel'!Q747*Q85+'1.1 Control Panel'!Q752*Q86,0)+Q90-$E95*Q$138-$F95*Q$139-$G95*Q$140-$H95*Q$141-$I95*Q$142-$J95*Q$143-$K95*Q$144-$L95*Q$145-$M95*Q$146-$N95*Q$147-$O95*Q$148-$P95*Q$149</f>
        <v>2725</v>
      </c>
      <c r="R93" s="131">
        <f>ROUND(R82*'1.1 Control Panel'!R732+'1.1 Control Panel'!R737*R83+'1.1 Control Panel'!R742*R84+'1.1 Control Panel'!R747*R85+'1.1 Control Panel'!R752*R86,0)+R90-$E95*R$138-$F95*R$139-$G95*R$140-$H95*R$141-$I95*R$142-$J95*R$143-$K95*R$144-$L95*R$145-$M95*R$146-$N95*R$147-$O95*R$148-$P95*R$149-$Q95*R$150</f>
        <v>2345</v>
      </c>
      <c r="S93" s="131">
        <f>ROUND(S82*'1.1 Control Panel'!S732+'1.1 Control Panel'!S737*S83+'1.1 Control Panel'!S742*S84+'1.1 Control Panel'!S747*S85+'1.1 Control Panel'!S752*S86,0)+S90-$E95*S$138-$F95*S$139-$G95*S$140-$H95*S$141-$I95*S$142-$J95*S$143-$K95*S$144-$L95*S$145-$M95*S$146-$N95*S$147-$O95*S$148-$P95*S$149-$Q95*S$150-$R95*S$151</f>
        <v>2029</v>
      </c>
      <c r="T93" s="131">
        <f>ROUND(T82*'1.1 Control Panel'!T732+'1.1 Control Panel'!T737*T83+'1.1 Control Panel'!T742*T84+'1.1 Control Panel'!T747*T85+'1.1 Control Panel'!T752*T86,0)+T90-$E95*T$138-$F95*T$139-$G95*T$140-$H95*T$141-$I95*T$142-$J95*T$143-$K95*T$144-$L95*T$145-$M95*T$146-$N95*T$147-$O95*T$148-$P95*T$149-$Q95*T$150-$R95*T$151-$S95*T$152</f>
        <v>1762</v>
      </c>
      <c r="U93" s="131">
        <f>ROUND(U82*'1.1 Control Panel'!U732+'1.1 Control Panel'!U737*U83+'1.1 Control Panel'!U742*U84+'1.1 Control Panel'!U747*U85+'1.1 Control Panel'!U752*U86,0)+U90-$E95*U$138-$F95*U$139-$G95*U$140-$H95*U$141-$I95*U$142-$J95*U$143-$K95*U$144-$L95*U$145-$M95*U$146-$N95*U$147-$O95*U$148-$P95*U$149-$Q95*U$150-$R95*U$151-$S95*U$152-$T95*U$153</f>
        <v>3738</v>
      </c>
      <c r="V93" s="131">
        <f>ROUND(V82*'1.1 Control Panel'!V732+'1.1 Control Panel'!V737*V83+'1.1 Control Panel'!V742*V84+'1.1 Control Panel'!V747*V85+'1.1 Control Panel'!V752*V86,0)+V90-$E95*V$138-$F95*V$139-$G95*V$140-$H95*V$141-$I95*V$142-$J95*V$143-$K95*V$144-$L95*V$145-$M95*V$146-$N95*V$147-$O95*V$148-$P95*V$149-$Q95*V$150-$R95*V$151-$S95*V$152-$T95*V$153-$U95*V$154</f>
        <v>3279</v>
      </c>
      <c r="W93" s="131">
        <f>ROUND(W82*'1.1 Control Panel'!W732+'1.1 Control Panel'!W737*W83+'1.1 Control Panel'!W742*W84+'1.1 Control Panel'!W747*W85+'1.1 Control Panel'!W752*W86,0)+W90-$E95*W$138-$F95*W$139-$G95*W$140-$H95*W$141-$I95*W$142-$J95*W$143-$K95*W$144-$L95*W$145-$M95*W$146-$N95*W$147-$O95*W$148-$P95*W$149-$Q95*W$150-$R95*W$151-$S95*W$152-$T95*W$153-$U95*W$154-$V95*W$155</f>
        <v>2868</v>
      </c>
      <c r="X93" s="131">
        <f>ROUND(X82*'1.1 Control Panel'!X732+'1.1 Control Panel'!X737*X83+'1.1 Control Panel'!X742*X84+'1.1 Control Panel'!X747*X85+'1.1 Control Panel'!X752*X86,0)+X90-$E95*X$138-$F95*X$139-$G95*X$140-$H95*X$141-$I95*X$142-$J95*X$143-$K95*X$144-$L95*X$145-$M95*X$146-$N95*X$147-$O95*X$148-$P95*X$149-$Q95*X$150-$R95*X$151-$S95*X$152-$T95*X$153-$U95*X$154-$V95*X$155-$W95*X$156</f>
        <v>2502</v>
      </c>
      <c r="Y93" s="131">
        <f>ROUND(Y82*'1.1 Control Panel'!Y732+'1.1 Control Panel'!Y737*Y83+'1.1 Control Panel'!Y742*Y84+'1.1 Control Panel'!Y747*Y85+'1.1 Control Panel'!Y752*Y86,0)+Y90-$E95*Y$138-$F95*Y$139-$G95*Y$140-$H95*Y$141-$I95*Y$142-$J95*Y$143-$K95*Y$144-$L95*Y$145-$M95*Y$146-$N95*Y$147-$O95*Y$148-$P95*Y$149-$Q95*Y$150-$R95*Y$151-$S95*Y$152-$T95*Y$153-$U95*Y$154-$V95*Y$155-$W95*Y$156-$X95*Y$157</f>
        <v>2768</v>
      </c>
      <c r="Z93" s="131">
        <f>ROUND(Z82*'1.1 Control Panel'!Z732+'1.1 Control Panel'!Z737*Z83+'1.1 Control Panel'!Z742*Z84+'1.1 Control Panel'!Z747*Z85+'1.1 Control Panel'!Z752*Z86,0)+Z90-$E95*Z$138-$F95*Z$139-$G95*Z$140-$H95*Z$141-$I95*Z$142-$J95*Z$143-$K95*Z$144-$L95*Z$145-$M95*Z$146-$N95*Z$147-$O95*Z$148-$P95*Z$149-$Q95*Z$150-$R95*Z$151-$S95*Z$152-$T95*Z$153-$U95*Z$154-$V95*Z$155-$W95*Z$156-$X95*Z$157-$Y95*Z$158</f>
        <v>2460</v>
      </c>
      <c r="AA93" s="131">
        <f>ROUND(AA82*'1.1 Control Panel'!AA732+'1.1 Control Panel'!AA737*AA83+'1.1 Control Panel'!AA742*AA84+'1.1 Control Panel'!AA747*AA85+'1.1 Control Panel'!AA752*AA86,0)+AA90-$E95*AA$138-$F95*AA$139-$G95*AA$140-$H95*AA$141-$I95*AA$142-$J95*AA$143-$K95*AA$144-$L95*AA$145-$M95*AA$146-$N95*AA$147-$O95*AA$148-$P95*AA$149-$Q95*AA$150-$R95*AA$151-$S95*AA$152-$T95*AA$153-$U95*AA$154-$V95*AA$155-$W95*AA$156-$X95*AA$157-$Y95*AA$158-$Z95*AA$159</f>
        <v>2199</v>
      </c>
      <c r="AB93" s="131">
        <f>ROUND(AB82*'1.1 Control Panel'!AB732+'1.1 Control Panel'!AB737*AB83+'1.1 Control Panel'!AB742*AB84+'1.1 Control Panel'!AB747*AB85+'1.1 Control Panel'!AB752*AB86,0)+AB90-$E95*AB$138-$F95*AB$139-$G95*AB$140-$H95*AB$141-$I95*AB$142-$J95*AB$143-$K95*AB$144-$L95*AB$145-$M95*AB$146-$N95*AB$147-$O95*AB$148-$P95*AB$149-$Q95*AB$150-$R95*AB$151-$S95*AB$152-$T95*AB$153-$U95*AB$154-$V95*AB$155-$W95*AB$156-$X95*AB$157-$Y95*AB$158-$Z95*AB$159-$AA95*AB$160</f>
        <v>1975</v>
      </c>
      <c r="AC93" s="131">
        <f>ROUND(AC82*'1.1 Control Panel'!AC732+'1.1 Control Panel'!AC737*AC83+'1.1 Control Panel'!AC742*AC84+'1.1 Control Panel'!AC747*AC85+'1.1 Control Panel'!AC752*AC86,0)+AC90-$E95*AC$138-$F95*AC$139-$G95*AC$140-$H95*AC$141-$I95*AC$142-$J95*AC$143-$K95*AC$144-$L95*AC$145-$M95*AC$146-$N95*AC$147-$O95*AC$148-$P95*AC$149-$Q95*AC$150-$R95*AC$151-$S95*AC$152-$T95*AC$153-$U95*AC$154-$V95*AC$155-$W95*AC$156-$X95*AC$157-$Y95*AC$158-$Z95*AC$159-$AA95*AC$160-$AB95*AC$161</f>
        <v>7021</v>
      </c>
      <c r="AD93" s="131">
        <f>ROUND(AD82*'1.1 Control Panel'!AD732+'1.1 Control Panel'!AD737*AD83+'1.1 Control Panel'!AD742*AD84+'1.1 Control Panel'!AD747*AD85+'1.1 Control Panel'!AD752*AD86,0)+AD90-$E95*AD$138-$F95*AD$139-$G95*AD$140-$H95*AD$141-$I95*AD$142-$J95*AD$143-$K95*AD$144-$L95*AD$145-$M95*AD$146-$N95*AD$147-$O95*AD$148-$P95*AD$149-$Q95*AD$150-$R95*AD$151-$S95*AD$152-$T95*AD$153-$U95*AD$154-$V95*AD$155-$W95*AD$156-$X95*AD$157-$Y95*AD$158-$Z95*AD$159-$AA95*AD$160-$AB95*AD$161-$AC95*AD$162</f>
        <v>6091</v>
      </c>
      <c r="AE93" s="131">
        <f>ROUND(AE82*'1.1 Control Panel'!AE732+'1.1 Control Panel'!AE737*AE83+'1.1 Control Panel'!AE742*AE84+'1.1 Control Panel'!AE747*AE85+'1.1 Control Panel'!AE752*AE86,0)+AE90-$E95*AE$138-$F95*AE$139-$G95*AE$140-$H95*AE$141-$I95*AE$142-$J95*AE$143-$K95*AE$144-$L95*AE$145-$M95*AE$146-$N95*AE$147-$O95*AE$148-$P95*AE$149-$Q95*AE$150-$R95*AE$151-$S95*AE$152-$T95*AE$153-$U95*AE$154-$V95*AE$155-$W95*AE$156-$X95*AE$157-$Y95*AE$158-$Z95*AE$159-$AA95*AE$160-$AB95*AE$161-$AC95*AE$162-$AD95*AE$163</f>
        <v>5283</v>
      </c>
      <c r="AF93" s="131">
        <f>ROUND(AF82*'1.1 Control Panel'!AF732+'1.1 Control Panel'!AF737*AF83+'1.1 Control Panel'!AF742*AF84+'1.1 Control Panel'!AF747*AF85+'1.1 Control Panel'!AF752*AF86,0)+AF90-$E95*AF$138-$F95*AF$139-$G95*AF$140-$H95*AF$141-$I95*AF$142-$J95*AF$143-$K95*AF$144-$L95*AF$145-$M95*AF$146-$N95*AF$147-$O95*AF$148-$P95*AF$149-$Q95*AF$150-$R95*AF$151-$S95*AF$152-$T95*AF$153-$U95*AF$154-$V95*AF$155-$W95*AF$156-$X95*AF$157-$Y95*AF$158-$Z95*AF$159-$AA95*AF$160-$AB95*AF$161-$AC95*AF$162-$AD95*AF$163-$AE95*AF$164</f>
        <v>4582</v>
      </c>
      <c r="AG93" s="131">
        <f>ROUND(AG82*'1.1 Control Panel'!AG732+'1.1 Control Panel'!AG737*AG83+'1.1 Control Panel'!AG742*AG84+'1.1 Control Panel'!AG747*AG85+'1.1 Control Panel'!AG752*AG86,0)+AG90-$E95*AG$138-$F95*AG$139-$G95*AG$140-$H95*AG$141-$I95*AG$142-$J95*AG$143-$K95*AG$144-$L95*AG$145-$M95*AG$146-$N95*AG$147-$O95*AG$148-$P95*AG$149-$Q95*AG$150-$R95*AG$151-$S95*AG$152-$T95*AG$153-$U95*AG$154-$V95*AG$155-$W95*AG$156-$X95*AG$157-$Y95*AG$158-$Z95*AG$159-$AA95*AG$160-$AB95*AG$161-$AC95*AG$162-$AD95*AG$163-$AE95*AG$164-$AF95*AG$165</f>
        <v>9635</v>
      </c>
      <c r="AH93" s="131">
        <f>ROUND(AH82*'1.1 Control Panel'!AH732+'1.1 Control Panel'!AH737*AH83+'1.1 Control Panel'!AH742*AH84+'1.1 Control Panel'!AH747*AH85+'1.1 Control Panel'!AH752*AH86,0)+AH90-$E95*AH$138-$F95*AH$139-$G95*AH$140-$H95*AH$141-$I95*AH$142-$J95*AH$143-$K95*AH$144-$L95*AH$145-$M95*AH$146-$N95*AH$147-$O95*AH$148-$P95*AH$149-$Q95*AH$150-$R95*AH$151-$S95*AH$152-$T95*AH$153-$U95*AH$154-$V95*AH$155-$W95*AH$156-$X95*AH$157-$Y95*AH$158-$Z95*AH$159-$AA95*AH$160-$AB95*AH$161-$AC95*AH$162-$AD95*AH$163-$AE95*AH$164-$AF95*AH$165-$AG95*AH$166</f>
        <v>8366</v>
      </c>
      <c r="AI93" s="131">
        <f>ROUND(AI82*'1.1 Control Panel'!AI732+'1.1 Control Panel'!AI737*AI83+'1.1 Control Panel'!AI742*AI84+'1.1 Control Panel'!AI747*AI85+'1.1 Control Panel'!AI752*AI86,0)+AI90-$E95*AI$138-$F95*AI$139-$G95*AI$140-$H95*AI$141-$I95*AI$142-$J95*AI$143-$K95*AI$144-$L95*AI$145-$M95*AI$146-$N95*AI$147-$O95*AI$148-$P95*AI$149-$Q95*AI$150-$R95*AI$151-$S95*AI$152-$T95*AI$153-$U95*AI$154-$V95*AI$155-$W95*AI$156-$X95*AI$157-$Y95*AI$158-$Z95*AI$159-$AA95*AI$160-$AB95*AI$161-$AC95*AI$162-$AD95*AI$163-$AE95*AI$164-$AF95*AI$165-$AG95*AI$166-$AH95*AI$167</f>
        <v>7270</v>
      </c>
      <c r="AJ93" s="131">
        <f>ROUND(AJ82*'1.1 Control Panel'!AJ732+'1.1 Control Panel'!AJ737*AJ83+'1.1 Control Panel'!AJ742*AJ84+'1.1 Control Panel'!AJ747*AJ85+'1.1 Control Panel'!AJ752*AJ86,0)+AJ90-$E95*AJ$138-$F95*AJ$139-$G95*AJ$140-$H95*AJ$141-$I95*AJ$142-$J95*AJ$143-$K95*AJ$144-$L95*AJ$145-$M95*AJ$146-$N95*AJ$147-$O95*AJ$148-$P95*AJ$149-$Q95*AJ$150-$R95*AJ$151-$S95*AJ$152-$T95*AJ$153-$U95*AJ$154-$V95*AJ$155-$W95*AJ$156-$X95*AJ$157-$Y95*AJ$158-$Z95*AJ$159-$AA95*AJ$160-$AB95*AJ$161-$AC95*AJ$162-$AD95*AJ$163-$AE95*AJ$164-$AF95*AJ$165-$AG95*AJ$166-$AH95*AJ$167-$AI95*AJ$168</f>
        <v>6319</v>
      </c>
      <c r="AK93" s="131">
        <f>ROUND(AK82*'1.1 Control Panel'!AK732+'1.1 Control Panel'!AK737*AK83+'1.1 Control Panel'!AK742*AK84+'1.1 Control Panel'!AK747*AK85+'1.1 Control Panel'!AK752*AK86,0)+AK90-$E95*AK$138-$F95*AK$139-$G95*AK$140-$H95*AK$141-$I95*AK$142-$J95*AK$143-$K95*AK$144-$L95*AK$145-$M95*AK$146-$N95*AK$147-$O95*AK$148-$P95*AK$149-$Q95*AK$150-$R95*AK$151-$S95*AK$152-$T95*AK$153-$U95*AK$154-$V95*AK$155-$W95*AK$156-$X95*AK$157-$Y95*AK$158-$Z95*AK$159-$AA95*AK$160-$AB95*AK$161-$AC95*AK$162-$AD95*AK$163-$AE95*AK$164-$AF95*AK$165-$AG95*AK$166-$AH95*AK$167-$AI95*AK$168-$AJ95*AK$169</f>
        <v>9547</v>
      </c>
      <c r="AL93" s="131">
        <f>ROUND(AL82*'1.1 Control Panel'!AL732+'1.1 Control Panel'!AL737*AL83+'1.1 Control Panel'!AL742*AL84+'1.1 Control Panel'!AL747*AL85+'1.1 Control Panel'!AL752*AL86,0)+AL90-$E95*AL$138-$F95*AL$139-$G95*AL$140-$H95*AL$141-$I95*AL$142-$J95*AL$143-$K95*AL$144-$L95*AL$145-$M95*AL$146-$N95*AL$147-$O95*AL$148-$P95*AL$149-$Q95*AL$150-$R95*AL$151-$S95*AL$152-$T95*AL$153-$U95*AL$154-$V95*AL$155-$W95*AL$156-$X95*AL$157-$Y95*AL$158-$Z95*AL$159-$AA95*AL$160-$AB95*AL$161-$AC95*AL$162-$AD95*AL$163-$AE95*AL$164-$AF95*AL$165-$AG95*AL$166-$AH95*AL$167-$AI95*AL$168-$AJ95*AL$169-$AK95*AL$170</f>
        <v>8132</v>
      </c>
      <c r="AM93" s="131">
        <f>ROUND(AM82*'1.1 Control Panel'!AM732+'1.1 Control Panel'!AM737*AM83+'1.1 Control Panel'!AM742*AM84+'1.1 Control Panel'!AM747*AM85+'1.1 Control Panel'!AM752*AM86,0)+AM90-$E95*AM$138-$F95*AM$139-$G95*AM$140-$H95*AM$141-$I95*AM$142-$J95*AM$143-$K95*AM$144-$L95*AM$145-$M95*AM$146-$N95*AM$147-$O95*AM$148-$P95*AM$149-$Q95*AM$150-$R95*AM$151-$S95*AM$152-$T95*AM$153-$U95*AM$154-$V95*AM$155-$W95*AM$156-$X95*AM$157-$Y95*AM$158-$Z95*AM$159-$AA95*AM$160-$AB95*AM$161-$AC95*AM$162-$AD95*AM$163-$AE95*AM$164-$AF95*AM$165-$AG95*AM$166-$AH95*AM$167-$AI95*AM$168-$AJ95*AM$169-$AK95*AM$170-$AL95*AM$171</f>
        <v>6947</v>
      </c>
      <c r="AN93" s="131">
        <f>ROUND(AN82*'1.1 Control Panel'!AN732+'1.1 Control Panel'!AN737*AN83+'1.1 Control Panel'!AN742*AN84+'1.1 Control Panel'!AN747*AN85+'1.1 Control Panel'!AN752*AN86,0)+AN90-$E95*AN$138-$F95*AN$139-$G95*AN$140-$H95*AN$141-$I95*AN$142-$J95*AN$143-$K95*AN$144-$L95*AN$145-$M95*AN$146-$N95*AN$147-$O95*AN$148-$P95*AN$149-$Q95*AN$150-$R95*AN$151-$S95*AN$152-$T95*AN$153-$U95*AN$154-$V95*AN$155-$W95*AN$156-$X95*AN$157-$Y95*AN$158-$Z95*AN$159-$AA95*AN$160-$AB95*AN$161-$AC95*AN$162-$AD95*AN$163-$AE95*AN$164-$AF95*AN$165-$AG95*AN$166-$AH95*AN$167-$AI95*AN$168-$AJ95*AN$169-$AK95*AN$170-$AL95*AN$171-$AM95*AN$172</f>
        <v>5954</v>
      </c>
      <c r="AP93" s="20"/>
    </row>
    <row r="94" spans="2:42" x14ac:dyDescent="0.25">
      <c r="B94" s="33"/>
      <c r="C94" s="466" t="s">
        <v>734</v>
      </c>
      <c r="D94" s="158" t="s">
        <v>162</v>
      </c>
      <c r="E94" s="406">
        <f>ROUND(E93*'1.1 Control Panel'!E761,0)</f>
        <v>541</v>
      </c>
      <c r="F94" s="406">
        <f>ROUND(F93*'1.1 Control Panel'!F761,0)</f>
        <v>534</v>
      </c>
      <c r="G94" s="406">
        <f>ROUND(G93*'1.1 Control Panel'!G761,0)</f>
        <v>512</v>
      </c>
      <c r="H94" s="406">
        <f>ROUND(H93*'1.1 Control Panel'!H761,0)</f>
        <v>474</v>
      </c>
      <c r="I94" s="406">
        <f>ROUND(I93*'1.1 Control Panel'!I761,0)</f>
        <v>756</v>
      </c>
      <c r="J94" s="406">
        <f>ROUND(J93*'1.1 Control Panel'!J761,0)</f>
        <v>1079</v>
      </c>
      <c r="K94" s="406">
        <f>ROUND(K93*'1.1 Control Panel'!K761,0)</f>
        <v>924</v>
      </c>
      <c r="L94" s="406">
        <f>ROUND(L93*'1.1 Control Panel'!L761,0)</f>
        <v>788</v>
      </c>
      <c r="M94" s="406">
        <f>ROUND(M93*'1.1 Control Panel'!M761,0)</f>
        <v>1022</v>
      </c>
      <c r="N94" s="406">
        <f>ROUND(N93*'1.1 Control Panel'!N761,0)</f>
        <v>956</v>
      </c>
      <c r="O94" s="406">
        <f>ROUND(O93*'1.1 Control Panel'!O761,0)</f>
        <v>895</v>
      </c>
      <c r="P94" s="406">
        <f>ROUND(P93*'1.1 Control Panel'!P761,0)</f>
        <v>844</v>
      </c>
      <c r="Q94" s="406">
        <f>ROUND(Q93*'1.1 Control Panel'!Q761,0)</f>
        <v>2180</v>
      </c>
      <c r="R94" s="406">
        <f>ROUND(R93*'1.1 Control Panel'!R761,0)</f>
        <v>1876</v>
      </c>
      <c r="S94" s="406">
        <f>ROUND(S93*'1.1 Control Panel'!S761,0)</f>
        <v>1623</v>
      </c>
      <c r="T94" s="406">
        <f>ROUND(T93*'1.1 Control Panel'!T761,0)</f>
        <v>1410</v>
      </c>
      <c r="U94" s="406">
        <f>ROUND(U93*'1.1 Control Panel'!U761,0)</f>
        <v>2990</v>
      </c>
      <c r="V94" s="406">
        <f>ROUND(V93*'1.1 Control Panel'!V761,0)</f>
        <v>2623</v>
      </c>
      <c r="W94" s="406">
        <f>ROUND(W93*'1.1 Control Panel'!W761,0)</f>
        <v>2294</v>
      </c>
      <c r="X94" s="406">
        <f>ROUND(X93*'1.1 Control Panel'!X761,0)</f>
        <v>2002</v>
      </c>
      <c r="Y94" s="406">
        <f>ROUND(Y93*'1.1 Control Panel'!Y761,0)</f>
        <v>2214</v>
      </c>
      <c r="Z94" s="406">
        <f>ROUND(Z93*'1.1 Control Panel'!Z761,0)</f>
        <v>1968</v>
      </c>
      <c r="AA94" s="406">
        <f>ROUND(AA93*'1.1 Control Panel'!AA761,0)</f>
        <v>1759</v>
      </c>
      <c r="AB94" s="406">
        <f>ROUND(AB93*'1.1 Control Panel'!AB761,0)</f>
        <v>1580</v>
      </c>
      <c r="AC94" s="406">
        <f>ROUND(AC93*'1.1 Control Panel'!AC761,0)</f>
        <v>5617</v>
      </c>
      <c r="AD94" s="406">
        <f>ROUND(AD93*'1.1 Control Panel'!AD761,0)</f>
        <v>4873</v>
      </c>
      <c r="AE94" s="406">
        <f>ROUND(AE93*'1.1 Control Panel'!AE761,0)</f>
        <v>4226</v>
      </c>
      <c r="AF94" s="406">
        <f>ROUND(AF93*'1.1 Control Panel'!AF761,0)</f>
        <v>3666</v>
      </c>
      <c r="AG94" s="406">
        <f>ROUND(AG93*'1.1 Control Panel'!AG761,0)</f>
        <v>7708</v>
      </c>
      <c r="AH94" s="406">
        <f>ROUND(AH93*'1.1 Control Panel'!AH761,0)</f>
        <v>6693</v>
      </c>
      <c r="AI94" s="406">
        <f>ROUND(AI93*'1.1 Control Panel'!AI761,0)</f>
        <v>5816</v>
      </c>
      <c r="AJ94" s="406">
        <f>ROUND(AJ93*'1.1 Control Panel'!AJ761,0)</f>
        <v>5055</v>
      </c>
      <c r="AK94" s="406">
        <f>ROUND(AK93*'1.1 Control Panel'!AK761,0)</f>
        <v>7638</v>
      </c>
      <c r="AL94" s="406">
        <f>ROUND(AL93*'1.1 Control Panel'!AL761,0)</f>
        <v>6506</v>
      </c>
      <c r="AM94" s="406">
        <f>ROUND(AM93*'1.1 Control Panel'!AM761,0)</f>
        <v>5558</v>
      </c>
      <c r="AN94" s="406">
        <f>ROUND(AN93*'1.1 Control Panel'!AN761,0)</f>
        <v>4763</v>
      </c>
      <c r="AP94" s="21"/>
    </row>
    <row r="95" spans="2:42" x14ac:dyDescent="0.25">
      <c r="B95" s="33"/>
      <c r="C95" s="468" t="s">
        <v>735</v>
      </c>
      <c r="D95" s="423" t="s">
        <v>162</v>
      </c>
      <c r="E95" s="491">
        <f t="shared" ref="E95:AN95" si="260">E93-E94</f>
        <v>135</v>
      </c>
      <c r="F95" s="491">
        <f t="shared" si="260"/>
        <v>133</v>
      </c>
      <c r="G95" s="491">
        <f t="shared" si="260"/>
        <v>128</v>
      </c>
      <c r="H95" s="491">
        <f t="shared" si="260"/>
        <v>118</v>
      </c>
      <c r="I95" s="491">
        <f t="shared" si="260"/>
        <v>189</v>
      </c>
      <c r="J95" s="491">
        <f t="shared" si="260"/>
        <v>270</v>
      </c>
      <c r="K95" s="491">
        <f t="shared" si="260"/>
        <v>231</v>
      </c>
      <c r="L95" s="491">
        <f t="shared" si="260"/>
        <v>197</v>
      </c>
      <c r="M95" s="491">
        <f t="shared" si="260"/>
        <v>256</v>
      </c>
      <c r="N95" s="491">
        <f t="shared" si="260"/>
        <v>239</v>
      </c>
      <c r="O95" s="491">
        <f t="shared" si="260"/>
        <v>224</v>
      </c>
      <c r="P95" s="491">
        <f t="shared" si="260"/>
        <v>211</v>
      </c>
      <c r="Q95" s="491">
        <f t="shared" si="260"/>
        <v>545</v>
      </c>
      <c r="R95" s="491">
        <f t="shared" si="260"/>
        <v>469</v>
      </c>
      <c r="S95" s="491">
        <f t="shared" si="260"/>
        <v>406</v>
      </c>
      <c r="T95" s="491">
        <f t="shared" si="260"/>
        <v>352</v>
      </c>
      <c r="U95" s="491">
        <f t="shared" si="260"/>
        <v>748</v>
      </c>
      <c r="V95" s="491">
        <f t="shared" si="260"/>
        <v>656</v>
      </c>
      <c r="W95" s="491">
        <f t="shared" si="260"/>
        <v>574</v>
      </c>
      <c r="X95" s="491">
        <f t="shared" si="260"/>
        <v>500</v>
      </c>
      <c r="Y95" s="491">
        <f t="shared" si="260"/>
        <v>554</v>
      </c>
      <c r="Z95" s="491">
        <f t="shared" si="260"/>
        <v>492</v>
      </c>
      <c r="AA95" s="491">
        <f t="shared" si="260"/>
        <v>440</v>
      </c>
      <c r="AB95" s="491">
        <f t="shared" si="260"/>
        <v>395</v>
      </c>
      <c r="AC95" s="491">
        <f t="shared" si="260"/>
        <v>1404</v>
      </c>
      <c r="AD95" s="491">
        <f t="shared" si="260"/>
        <v>1218</v>
      </c>
      <c r="AE95" s="491">
        <f t="shared" si="260"/>
        <v>1057</v>
      </c>
      <c r="AF95" s="491">
        <f t="shared" si="260"/>
        <v>916</v>
      </c>
      <c r="AG95" s="491">
        <f t="shared" si="260"/>
        <v>1927</v>
      </c>
      <c r="AH95" s="491">
        <f t="shared" si="260"/>
        <v>1673</v>
      </c>
      <c r="AI95" s="491">
        <f t="shared" si="260"/>
        <v>1454</v>
      </c>
      <c r="AJ95" s="491">
        <f t="shared" si="260"/>
        <v>1264</v>
      </c>
      <c r="AK95" s="491">
        <f t="shared" si="260"/>
        <v>1909</v>
      </c>
      <c r="AL95" s="491">
        <f t="shared" si="260"/>
        <v>1626</v>
      </c>
      <c r="AM95" s="491">
        <f t="shared" si="260"/>
        <v>1389</v>
      </c>
      <c r="AN95" s="491">
        <f t="shared" si="260"/>
        <v>1191</v>
      </c>
      <c r="AP95" s="26"/>
    </row>
    <row r="96" spans="2:42" x14ac:dyDescent="0.25">
      <c r="B96" s="33" t="s">
        <v>10</v>
      </c>
      <c r="C96" s="438" t="s">
        <v>681</v>
      </c>
      <c r="D96" s="439"/>
      <c r="E96" s="438"/>
      <c r="F96" s="438"/>
      <c r="G96" s="438"/>
      <c r="H96" s="438"/>
      <c r="I96" s="438"/>
      <c r="J96" s="438"/>
      <c r="K96" s="438"/>
      <c r="L96" s="438"/>
      <c r="M96" s="438"/>
      <c r="N96" s="438"/>
      <c r="O96" s="438"/>
      <c r="P96" s="438"/>
      <c r="Q96" s="438"/>
      <c r="R96" s="438"/>
      <c r="S96" s="438"/>
      <c r="T96" s="438"/>
      <c r="U96" s="438"/>
      <c r="V96" s="438"/>
      <c r="W96" s="438"/>
      <c r="X96" s="438"/>
      <c r="Y96" s="438"/>
      <c r="Z96" s="438"/>
      <c r="AA96" s="438"/>
      <c r="AB96" s="438"/>
      <c r="AC96" s="438"/>
      <c r="AD96" s="438"/>
      <c r="AE96" s="438"/>
      <c r="AF96" s="438"/>
      <c r="AG96" s="438"/>
      <c r="AH96" s="438"/>
      <c r="AI96" s="438"/>
      <c r="AJ96" s="438"/>
      <c r="AK96" s="438"/>
      <c r="AL96" s="438"/>
      <c r="AM96" s="438"/>
      <c r="AN96" s="438"/>
      <c r="AO96" s="428"/>
      <c r="AP96" s="441"/>
    </row>
    <row r="97" spans="3:42" x14ac:dyDescent="0.25">
      <c r="C97" s="137" t="s">
        <v>726</v>
      </c>
      <c r="D97" s="157" t="s">
        <v>162</v>
      </c>
      <c r="E97" s="131">
        <f>ROUND(E82*'1.1 Control Panel'!E733+'1.1 Control Panel'!E738*E83+'1.1 Control Panel'!E743*E84+'1.1 Control Panel'!E748*E85+'1.1 Control Panel'!E753*E86,0)+E91</f>
        <v>570</v>
      </c>
      <c r="F97" s="131">
        <f>ROUND(F82*'1.1 Control Panel'!F733+'1.1 Control Panel'!F738*F83+'1.1 Control Panel'!F743*F84+'1.1 Control Panel'!F748*F85+'1.1 Control Panel'!F753*F86,0)+F91-$E99*F$138</f>
        <v>561</v>
      </c>
      <c r="G97" s="131">
        <f>ROUND(G82*'1.1 Control Panel'!G733+'1.1 Control Panel'!G738*G83+'1.1 Control Panel'!G743*G84+'1.1 Control Panel'!G748*G85+'1.1 Control Panel'!G753*G86,0)+G91-$E99*G$138-$F99*G$139</f>
        <v>539</v>
      </c>
      <c r="H97" s="131">
        <f>ROUND(H82*'1.1 Control Panel'!H733+'1.1 Control Panel'!H738*H83+'1.1 Control Panel'!H743*H84+'1.1 Control Panel'!H748*H85+'1.1 Control Panel'!H753*H86,0)+H91-$E99*H$138-$F99*H$139-$G99*H$140</f>
        <v>498</v>
      </c>
      <c r="I97" s="131">
        <f>ROUND(I82*'1.1 Control Panel'!I733+'1.1 Control Panel'!I738*I83+'1.1 Control Panel'!I743*I84+'1.1 Control Panel'!I748*I85+'1.1 Control Panel'!I753*I86,0)+I91-$E99*I$138-$F99*I$139-$G99*I$140-$H99*I$141</f>
        <v>795</v>
      </c>
      <c r="J97" s="131">
        <f>ROUND(J82*'1.1 Control Panel'!J733+'1.1 Control Panel'!J738*J83+'1.1 Control Panel'!J743*J84+'1.1 Control Panel'!J748*J85+'1.1 Control Panel'!J753*J86,0)+J91-$E99*J$138-$F99*J$139-$G99*J$140-$H99*J$141-$I99*J$142</f>
        <v>1135</v>
      </c>
      <c r="K97" s="131">
        <f>ROUND(K82*'1.1 Control Panel'!K733+'1.1 Control Panel'!K738*K83+'1.1 Control Panel'!K743*K84+'1.1 Control Panel'!K748*K85+'1.1 Control Panel'!K753*K86,0)+K91-$E99*K$138-$F99*K$139-$G99*K$140-$H99*K$141-$I99*K$142-$J99*K$143</f>
        <v>972</v>
      </c>
      <c r="L97" s="131">
        <f>ROUND(L82*'1.1 Control Panel'!L733+'1.1 Control Panel'!L738*L83+'1.1 Control Panel'!L743*L84+'1.1 Control Panel'!L748*L85+'1.1 Control Panel'!L753*L86,0)+L91-$E99*L$138-$F99*L$139-$G99*L$140-$H99*L$141-$I99*L$142-$J99*L$143-$K99*L$144</f>
        <v>829</v>
      </c>
      <c r="M97" s="131">
        <f>ROUND(M82*'1.1 Control Panel'!M733+'1.1 Control Panel'!M738*M83+'1.1 Control Panel'!M743*M84+'1.1 Control Panel'!M748*M85+'1.1 Control Panel'!M753*M86,0)+M91-$E99*M$138-$F99*M$139-$G99*M$140-$H99*M$141-$I99*M$142-$J99*M$143-$K99*M$144-$L99*M$145</f>
        <v>1076</v>
      </c>
      <c r="N97" s="131">
        <f>ROUND(N82*'1.1 Control Panel'!N733+'1.1 Control Panel'!N738*N83+'1.1 Control Panel'!N743*N84+'1.1 Control Panel'!N748*N85+'1.1 Control Panel'!N753*N86,0)+N91-$E99*N$138-$F99*N$139-$G99*N$140-$H99*N$141-$I99*N$142-$J99*N$143-$K99*N$144-$L99*N$145-$M99*N$146</f>
        <v>1006</v>
      </c>
      <c r="O97" s="131">
        <f>ROUND(O82*'1.1 Control Panel'!O733+'1.1 Control Panel'!O738*O83+'1.1 Control Panel'!O743*O84+'1.1 Control Panel'!O748*O85+'1.1 Control Panel'!O753*O86,0)+O91-$E99*O$138-$F99*O$139-$G99*O$140-$H99*O$141-$I99*O$142-$J99*O$143-$K99*O$144-$L99*O$145-$M99*O$146-$N99*O$147</f>
        <v>943</v>
      </c>
      <c r="P97" s="131">
        <f>ROUND(P82*'1.1 Control Panel'!P733+'1.1 Control Panel'!P738*P83+'1.1 Control Panel'!P743*P84+'1.1 Control Panel'!P748*P85+'1.1 Control Panel'!P753*P86,0)+P91-$E99*P$138-$F99*P$139-$G99*P$140-$H99*P$141-$I99*P$142-$J99*P$143-$K99*P$144-$L99*P$145-$M99*P$146-$N99*P$147-$O99*P$148</f>
        <v>889</v>
      </c>
      <c r="Q97" s="131">
        <f>ROUND(Q82*'1.1 Control Panel'!Q733+'1.1 Control Panel'!Q738*Q83+'1.1 Control Panel'!Q743*Q84+'1.1 Control Panel'!Q748*Q85+'1.1 Control Panel'!Q753*Q86,0)+Q91-$E99*Q$138-$F99*Q$139-$G99*Q$140-$H99*Q$141-$I99*Q$142-$J99*Q$143-$K99*Q$144-$L99*Q$145-$M99*Q$146-$N99*Q$147-$O99*Q$148-$P99*Q$149</f>
        <v>2295</v>
      </c>
      <c r="R97" s="131">
        <f>ROUND(R82*'1.1 Control Panel'!R733+'1.1 Control Panel'!R738*R83+'1.1 Control Panel'!R743*R84+'1.1 Control Panel'!R748*R85+'1.1 Control Panel'!R753*R86,0)+R91-$E99*R$138-$F99*R$139-$G99*R$140-$H99*R$141-$I99*R$142-$J99*R$143-$K99*R$144-$L99*R$145-$M99*R$146-$N99*R$147-$O99*R$148-$P99*R$149-$Q99*R$150</f>
        <v>1975</v>
      </c>
      <c r="S97" s="131">
        <f>ROUND(S82*'1.1 Control Panel'!S733+'1.1 Control Panel'!S738*S83+'1.1 Control Panel'!S743*S84+'1.1 Control Panel'!S748*S85+'1.1 Control Panel'!S753*S86,0)+S91-$E99*S$138-$F99*S$139-$G99*S$140-$H99*S$141-$I99*S$142-$J99*S$143-$K99*S$144-$L99*S$145-$M99*S$146-$N99*S$147-$O99*S$148-$P99*S$149-$Q99*S$150-$R99*S$151</f>
        <v>1709</v>
      </c>
      <c r="T97" s="131">
        <f>ROUND(T82*'1.1 Control Panel'!T733+'1.1 Control Panel'!T738*T83+'1.1 Control Panel'!T743*T84+'1.1 Control Panel'!T748*T85+'1.1 Control Panel'!T753*T86,0)+T91-$E99*T$138-$F99*T$139-$G99*T$140-$H99*T$141-$I99*T$142-$J99*T$143-$K99*T$144-$L99*T$145-$M99*T$146-$N99*T$147-$O99*T$148-$P99*T$149-$Q99*T$150-$R99*T$151-$S99*T$152</f>
        <v>1485</v>
      </c>
      <c r="U97" s="131">
        <f>ROUND(U82*'1.1 Control Panel'!U733+'1.1 Control Panel'!U738*U83+'1.1 Control Panel'!U743*U84+'1.1 Control Panel'!U748*U85+'1.1 Control Panel'!U753*U86,0)+U91-$E99*U$138-$F99*U$139-$G99*U$140-$H99*U$141-$I99*U$142-$J99*U$143-$K99*U$144-$L99*U$145-$M99*U$146-$N99*U$147-$O99*U$148-$P99*U$149-$Q99*U$150-$R99*U$151-$S99*U$152-$T99*U$153</f>
        <v>3148</v>
      </c>
      <c r="V97" s="131">
        <f>ROUND(V82*'1.1 Control Panel'!V733+'1.1 Control Panel'!V738*V83+'1.1 Control Panel'!V743*V84+'1.1 Control Panel'!V748*V85+'1.1 Control Panel'!V753*V86,0)+V91-$E99*V$138-$F99*V$139-$G99*V$140-$H99*V$141-$I99*V$142-$J99*V$143-$K99*V$144-$L99*V$145-$M99*V$146-$N99*V$147-$O99*V$148-$P99*V$149-$Q99*V$150-$R99*V$151-$S99*V$152-$T99*V$153-$U99*V$154</f>
        <v>2761</v>
      </c>
      <c r="W97" s="131">
        <f>ROUND(W82*'1.1 Control Panel'!W733+'1.1 Control Panel'!W738*W83+'1.1 Control Panel'!W743*W84+'1.1 Control Panel'!W748*W85+'1.1 Control Panel'!W753*W86,0)+W91-$E99*W$138-$F99*W$139-$G99*W$140-$H99*W$141-$I99*W$142-$J99*W$143-$K99*W$144-$L99*W$145-$M99*W$146-$N99*W$147-$O99*W$148-$P99*W$149-$Q99*W$150-$R99*W$151-$S99*W$152-$T99*W$153-$U99*W$154-$V99*W$155</f>
        <v>2415</v>
      </c>
      <c r="X97" s="131">
        <f>ROUND(X82*'1.1 Control Panel'!X733+'1.1 Control Panel'!X738*X83+'1.1 Control Panel'!X743*X84+'1.1 Control Panel'!X748*X85+'1.1 Control Panel'!X753*X86,0)+X91-$E99*X$138-$F99*X$139-$G99*X$140-$H99*X$141-$I99*X$142-$J99*X$143-$K99*X$144-$L99*X$145-$M99*X$146-$N99*X$147-$O99*X$148-$P99*X$149-$Q99*X$150-$R99*X$151-$S99*X$152-$T99*X$153-$U99*X$154-$V99*X$155-$W99*X$156</f>
        <v>2107</v>
      </c>
      <c r="Y97" s="131">
        <f>ROUND(Y82*'1.1 Control Panel'!Y733+'1.1 Control Panel'!Y738*Y83+'1.1 Control Panel'!Y743*Y84+'1.1 Control Panel'!Y748*Y85+'1.1 Control Panel'!Y753*Y86,0)+Y91-$E99*Y$138-$F99*Y$139-$G99*Y$140-$H99*Y$141-$I99*Y$142-$J99*Y$143-$K99*Y$144-$L99*Y$145-$M99*Y$146-$N99*Y$147-$O99*Y$148-$P99*Y$149-$Q99*Y$150-$R99*Y$151-$S99*Y$152-$T99*Y$153-$U99*Y$154-$V99*Y$155-$W99*Y$156-$X99*Y$157</f>
        <v>2330</v>
      </c>
      <c r="Z97" s="131">
        <f>ROUND(Z82*'1.1 Control Panel'!Z733+'1.1 Control Panel'!Z738*Z83+'1.1 Control Panel'!Z743*Z84+'1.1 Control Panel'!Z748*Z85+'1.1 Control Panel'!Z753*Z86,0)+Z91-$E99*Z$138-$F99*Z$139-$G99*Z$140-$H99*Z$141-$I99*Z$142-$J99*Z$143-$K99*Z$144-$L99*Z$145-$M99*Z$146-$N99*Z$147-$O99*Z$148-$P99*Z$149-$Q99*Z$150-$R99*Z$151-$S99*Z$152-$T99*Z$153-$U99*Z$154-$V99*Z$155-$W99*Z$156-$X99*Z$157-$Y99*Z$158</f>
        <v>2071</v>
      </c>
      <c r="AA97" s="131">
        <f>ROUND(AA82*'1.1 Control Panel'!AA733+'1.1 Control Panel'!AA738*AA83+'1.1 Control Panel'!AA743*AA84+'1.1 Control Panel'!AA748*AA85+'1.1 Control Panel'!AA753*AA86,0)+AA91-$E99*AA$138-$F99*AA$139-$G99*AA$140-$H99*AA$141-$I99*AA$142-$J99*AA$143-$K99*AA$144-$L99*AA$145-$M99*AA$146-$N99*AA$147-$O99*AA$148-$P99*AA$149-$Q99*AA$150-$R99*AA$151-$S99*AA$152-$T99*AA$153-$U99*AA$154-$V99*AA$155-$W99*AA$156-$X99*AA$157-$Y99*AA$158-$Z99*AA$159</f>
        <v>1852</v>
      </c>
      <c r="AB97" s="131">
        <f>ROUND(AB82*'1.1 Control Panel'!AB733+'1.1 Control Panel'!AB738*AB83+'1.1 Control Panel'!AB743*AB84+'1.1 Control Panel'!AB748*AB85+'1.1 Control Panel'!AB753*AB86,0)+AB91-$E99*AB$138-$F99*AB$139-$G99*AB$140-$H99*AB$141-$I99*AB$142-$J99*AB$143-$K99*AB$144-$L99*AB$145-$M99*AB$146-$N99*AB$147-$O99*AB$148-$P99*AB$149-$Q99*AB$150-$R99*AB$151-$S99*AB$152-$T99*AB$153-$U99*AB$154-$V99*AB$155-$W99*AB$156-$X99*AB$157-$Y99*AB$158-$Z99*AB$159-$AA99*AB$160</f>
        <v>1664</v>
      </c>
      <c r="AC97" s="131">
        <f>ROUND(AC82*'1.1 Control Panel'!AC733+'1.1 Control Panel'!AC738*AC83+'1.1 Control Panel'!AC743*AC84+'1.1 Control Panel'!AC748*AC85+'1.1 Control Panel'!AC753*AC86,0)+AC91-$E99*AC$138-$F99*AC$139-$G99*AC$140-$H99*AC$141-$I99*AC$142-$J99*AC$143-$K99*AC$144-$L99*AC$145-$M99*AC$146-$N99*AC$147-$O99*AC$148-$P99*AC$149-$Q99*AC$150-$R99*AC$151-$S99*AC$152-$T99*AC$153-$U99*AC$154-$V99*AC$155-$W99*AC$156-$X99*AC$157-$Y99*AC$158-$Z99*AC$159-$AA99*AC$160-$AB99*AC$161</f>
        <v>5913</v>
      </c>
      <c r="AD97" s="131">
        <f>ROUND(AD82*'1.1 Control Panel'!AD733+'1.1 Control Panel'!AD738*AD83+'1.1 Control Panel'!AD743*AD84+'1.1 Control Panel'!AD748*AD85+'1.1 Control Panel'!AD753*AD86,0)+AD91-$E99*AD$138-$F99*AD$139-$G99*AD$140-$H99*AD$141-$I99*AD$142-$J99*AD$143-$K99*AD$144-$L99*AD$145-$M99*AD$146-$N99*AD$147-$O99*AD$148-$P99*AD$149-$Q99*AD$150-$R99*AD$151-$S99*AD$152-$T99*AD$153-$U99*AD$154-$V99*AD$155-$W99*AD$156-$X99*AD$157-$Y99*AD$158-$Z99*AD$159-$AA99*AD$160-$AB99*AD$161-$AC99*AD$162</f>
        <v>5130</v>
      </c>
      <c r="AE97" s="131">
        <f>ROUND(AE82*'1.1 Control Panel'!AE733+'1.1 Control Panel'!AE738*AE83+'1.1 Control Panel'!AE743*AE84+'1.1 Control Panel'!AE748*AE85+'1.1 Control Panel'!AE753*AE86,0)+AE91-$E99*AE$138-$F99*AE$139-$G99*AE$140-$H99*AE$141-$I99*AE$142-$J99*AE$143-$K99*AE$144-$L99*AE$145-$M99*AE$146-$N99*AE$147-$O99*AE$148-$P99*AE$149-$Q99*AE$150-$R99*AE$151-$S99*AE$152-$T99*AE$153-$U99*AE$154-$V99*AE$155-$W99*AE$156-$X99*AE$157-$Y99*AE$158-$Z99*AE$159-$AA99*AE$160-$AB99*AE$161-$AC99*AE$162-$AD99*AE$163</f>
        <v>4449</v>
      </c>
      <c r="AF97" s="131">
        <f>ROUND(AF82*'1.1 Control Panel'!AF733+'1.1 Control Panel'!AF738*AF83+'1.1 Control Panel'!AF743*AF84+'1.1 Control Panel'!AF748*AF85+'1.1 Control Panel'!AF753*AF86,0)+AF91-$E99*AF$138-$F99*AF$139-$G99*AF$140-$H99*AF$141-$I99*AF$142-$J99*AF$143-$K99*AF$144-$L99*AF$145-$M99*AF$146-$N99*AF$147-$O99*AF$148-$P99*AF$149-$Q99*AF$150-$R99*AF$151-$S99*AF$152-$T99*AF$153-$U99*AF$154-$V99*AF$155-$W99*AF$156-$X99*AF$157-$Y99*AF$158-$Z99*AF$159-$AA99*AF$160-$AB99*AF$161-$AC99*AF$162-$AD99*AF$163-$AE99*AF$164</f>
        <v>3859</v>
      </c>
      <c r="AG97" s="131">
        <f>ROUND(AG82*'1.1 Control Panel'!AG733+'1.1 Control Panel'!AG738*AG83+'1.1 Control Panel'!AG743*AG84+'1.1 Control Panel'!AG748*AG85+'1.1 Control Panel'!AG753*AG86,0)+AG91-$E99*AG$138-$F99*AG$139-$G99*AG$140-$H99*AG$141-$I99*AG$142-$J99*AG$143-$K99*AG$144-$L99*AG$145-$M99*AG$146-$N99*AG$147-$O99*AG$148-$P99*AG$149-$Q99*AG$150-$R99*AG$151-$S99*AG$152-$T99*AG$153-$U99*AG$154-$V99*AG$155-$W99*AG$156-$X99*AG$157-$Y99*AG$158-$Z99*AG$159-$AA99*AG$160-$AB99*AG$161-$AC99*AG$162-$AD99*AG$163-$AE99*AG$164-$AF99*AG$165</f>
        <v>8114</v>
      </c>
      <c r="AH97" s="131">
        <f>ROUND(AH82*'1.1 Control Panel'!AH733+'1.1 Control Panel'!AH738*AH83+'1.1 Control Panel'!AH743*AH84+'1.1 Control Panel'!AH748*AH85+'1.1 Control Panel'!AH753*AH86,0)+AH91-$E99*AH$138-$F99*AH$139-$G99*AH$140-$H99*AH$141-$I99*AH$142-$J99*AH$143-$K99*AH$144-$L99*AH$145-$M99*AH$146-$N99*AH$147-$O99*AH$148-$P99*AH$149-$Q99*AH$150-$R99*AH$151-$S99*AH$152-$T99*AH$153-$U99*AH$154-$V99*AH$155-$W99*AH$156-$X99*AH$157-$Y99*AH$158-$Z99*AH$159-$AA99*AH$160-$AB99*AH$161-$AC99*AH$162-$AD99*AH$163-$AE99*AH$164-$AF99*AH$165-$AG99*AH$166</f>
        <v>7045</v>
      </c>
      <c r="AI97" s="131">
        <f>ROUND(AI82*'1.1 Control Panel'!AI733+'1.1 Control Panel'!AI738*AI83+'1.1 Control Panel'!AI743*AI84+'1.1 Control Panel'!AI748*AI85+'1.1 Control Panel'!AI753*AI86,0)+AI91-$E99*AI$138-$F99*AI$139-$G99*AI$140-$H99*AI$141-$I99*AI$142-$J99*AI$143-$K99*AI$144-$L99*AI$145-$M99*AI$146-$N99*AI$147-$O99*AI$148-$P99*AI$149-$Q99*AI$150-$R99*AI$151-$S99*AI$152-$T99*AI$153-$U99*AI$154-$V99*AI$155-$W99*AI$156-$X99*AI$157-$Y99*AI$158-$Z99*AI$159-$AA99*AI$160-$AB99*AI$161-$AC99*AI$162-$AD99*AI$163-$AE99*AI$164-$AF99*AI$165-$AG99*AI$166-$AH99*AI$167</f>
        <v>6122</v>
      </c>
      <c r="AJ97" s="131">
        <f>ROUND(AJ82*'1.1 Control Panel'!AJ733+'1.1 Control Panel'!AJ738*AJ83+'1.1 Control Panel'!AJ743*AJ84+'1.1 Control Panel'!AJ748*AJ85+'1.1 Control Panel'!AJ753*AJ86,0)+AJ91-$E99*AJ$138-$F99*AJ$139-$G99*AJ$140-$H99*AJ$141-$I99*AJ$142-$J99*AJ$143-$K99*AJ$144-$L99*AJ$145-$M99*AJ$146-$N99*AJ$147-$O99*AJ$148-$P99*AJ$149-$Q99*AJ$150-$R99*AJ$151-$S99*AJ$152-$T99*AJ$153-$U99*AJ$154-$V99*AJ$155-$W99*AJ$156-$X99*AJ$157-$Y99*AJ$158-$Z99*AJ$159-$AA99*AJ$160-$AB99*AJ$161-$AC99*AJ$162-$AD99*AJ$163-$AE99*AJ$164-$AF99*AJ$165-$AG99*AJ$166-$AH99*AJ$167-$AI99*AJ$168</f>
        <v>5320</v>
      </c>
      <c r="AK97" s="131">
        <f>ROUND(AK82*'1.1 Control Panel'!AK733+'1.1 Control Panel'!AK738*AK83+'1.1 Control Panel'!AK743*AK84+'1.1 Control Panel'!AK748*AK85+'1.1 Control Panel'!AK753*AK86,0)+AK91-$E99*AK$138-$F99*AK$139-$G99*AK$140-$H99*AK$141-$I99*AK$142-$J99*AK$143-$K99*AK$144-$L99*AK$145-$M99*AK$146-$N99*AK$147-$O99*AK$148-$P99*AK$149-$Q99*AK$150-$R99*AK$151-$S99*AK$152-$T99*AK$153-$U99*AK$154-$V99*AK$155-$W99*AK$156-$X99*AK$157-$Y99*AK$158-$Z99*AK$159-$AA99*AK$160-$AB99*AK$161-$AC99*AK$162-$AD99*AK$163-$AE99*AK$164-$AF99*AK$165-$AG99*AK$166-$AH99*AK$167-$AI99*AK$168-$AJ99*AK$169</f>
        <v>8039</v>
      </c>
      <c r="AL97" s="131">
        <f>ROUND(AL82*'1.1 Control Panel'!AL733+'1.1 Control Panel'!AL738*AL83+'1.1 Control Panel'!AL743*AL84+'1.1 Control Panel'!AL748*AL85+'1.1 Control Panel'!AL753*AL86,0)+AL91-$E99*AL$138-$F99*AL$139-$G99*AL$140-$H99*AL$141-$I99*AL$142-$J99*AL$143-$K99*AL$144-$L99*AL$145-$M99*AL$146-$N99*AL$147-$O99*AL$148-$P99*AL$149-$Q99*AL$150-$R99*AL$151-$S99*AL$152-$T99*AL$153-$U99*AL$154-$V99*AL$155-$W99*AL$156-$X99*AL$157-$Y99*AL$158-$Z99*AL$159-$AA99*AL$160-$AB99*AL$161-$AC99*AL$162-$AD99*AL$163-$AE99*AL$164-$AF99*AL$165-$AG99*AL$166-$AH99*AL$167-$AI99*AL$168-$AJ99*AL$169-$AK99*AL$170</f>
        <v>6847</v>
      </c>
      <c r="AM97" s="131">
        <f>ROUND(AM82*'1.1 Control Panel'!AM733+'1.1 Control Panel'!AM738*AM83+'1.1 Control Panel'!AM743*AM84+'1.1 Control Panel'!AM748*AM85+'1.1 Control Panel'!AM753*AM86,0)+AM91-$E99*AM$138-$F99*AM$139-$G99*AM$140-$H99*AM$141-$I99*AM$142-$J99*AM$143-$K99*AM$144-$L99*AM$145-$M99*AM$146-$N99*AM$147-$O99*AM$148-$P99*AM$149-$Q99*AM$150-$R99*AM$151-$S99*AM$152-$T99*AM$153-$U99*AM$154-$V99*AM$155-$W99*AM$156-$X99*AM$157-$Y99*AM$158-$Z99*AM$159-$AA99*AM$160-$AB99*AM$161-$AC99*AM$162-$AD99*AM$163-$AE99*AM$164-$AF99*AM$165-$AG99*AM$166-$AH99*AM$167-$AI99*AM$168-$AJ99*AM$169-$AK99*AM$170-$AL99*AM$171</f>
        <v>5848</v>
      </c>
      <c r="AN97" s="131">
        <f>ROUND(AN82*'1.1 Control Panel'!AN733+'1.1 Control Panel'!AN738*AN83+'1.1 Control Panel'!AN743*AN84+'1.1 Control Panel'!AN748*AN85+'1.1 Control Panel'!AN753*AN86,0)+AN91-$E99*AN$138-$F99*AN$139-$G99*AN$140-$H99*AN$141-$I99*AN$142-$J99*AN$143-$K99*AN$144-$L99*AN$145-$M99*AN$146-$N99*AN$147-$O99*AN$148-$P99*AN$149-$Q99*AN$150-$R99*AN$151-$S99*AN$152-$T99*AN$153-$U99*AN$154-$V99*AN$155-$W99*AN$156-$X99*AN$157-$Y99*AN$158-$Z99*AN$159-$AA99*AN$160-$AB99*AN$161-$AC99*AN$162-$AD99*AN$163-$AE99*AN$164-$AF99*AN$165-$AG99*AN$166-$AH99*AN$167-$AI99*AN$168-$AJ99*AN$169-$AK99*AN$170-$AL99*AN$171-$AM99*AN$172</f>
        <v>5012</v>
      </c>
      <c r="AP97" s="20"/>
    </row>
    <row r="98" spans="3:42" x14ac:dyDescent="0.25">
      <c r="C98" s="466" t="s">
        <v>734</v>
      </c>
      <c r="D98" s="158" t="s">
        <v>162</v>
      </c>
      <c r="E98" s="406">
        <f>ROUND(E97*'1.1 Control Panel'!E765,0)</f>
        <v>456</v>
      </c>
      <c r="F98" s="406">
        <f>ROUND(F97*'1.1 Control Panel'!F765,0)</f>
        <v>449</v>
      </c>
      <c r="G98" s="406">
        <f>ROUND(G97*'1.1 Control Panel'!G765,0)</f>
        <v>431</v>
      </c>
      <c r="H98" s="406">
        <f>ROUND(H97*'1.1 Control Panel'!H765,0)</f>
        <v>398</v>
      </c>
      <c r="I98" s="406">
        <f>ROUND(I97*'1.1 Control Panel'!I765,0)</f>
        <v>636</v>
      </c>
      <c r="J98" s="406">
        <f>ROUND(J97*'1.1 Control Panel'!J765,0)</f>
        <v>908</v>
      </c>
      <c r="K98" s="406">
        <f>ROUND(K97*'1.1 Control Panel'!K765,0)</f>
        <v>778</v>
      </c>
      <c r="L98" s="406">
        <f>ROUND(L97*'1.1 Control Panel'!L765,0)</f>
        <v>663</v>
      </c>
      <c r="M98" s="406">
        <f>ROUND(M97*'1.1 Control Panel'!M765,0)</f>
        <v>861</v>
      </c>
      <c r="N98" s="406">
        <f>ROUND(N97*'1.1 Control Panel'!N765,0)</f>
        <v>805</v>
      </c>
      <c r="O98" s="406">
        <f>ROUND(O97*'1.1 Control Panel'!O765,0)</f>
        <v>754</v>
      </c>
      <c r="P98" s="406">
        <f>ROUND(P97*'1.1 Control Panel'!P765,0)</f>
        <v>711</v>
      </c>
      <c r="Q98" s="406">
        <f>ROUND(Q97*'1.1 Control Panel'!Q765,0)</f>
        <v>1836</v>
      </c>
      <c r="R98" s="406">
        <f>ROUND(R97*'1.1 Control Panel'!R765,0)</f>
        <v>1580</v>
      </c>
      <c r="S98" s="406">
        <f>ROUND(S97*'1.1 Control Panel'!S765,0)</f>
        <v>1367</v>
      </c>
      <c r="T98" s="406">
        <f>ROUND(T97*'1.1 Control Panel'!T765,0)</f>
        <v>1188</v>
      </c>
      <c r="U98" s="406">
        <f>ROUND(U97*'1.1 Control Panel'!U765,0)</f>
        <v>2518</v>
      </c>
      <c r="V98" s="406">
        <f>ROUND(V97*'1.1 Control Panel'!V765,0)</f>
        <v>2209</v>
      </c>
      <c r="W98" s="406">
        <f>ROUND(W97*'1.1 Control Panel'!W765,0)</f>
        <v>1932</v>
      </c>
      <c r="X98" s="406">
        <f>ROUND(X97*'1.1 Control Panel'!X765,0)</f>
        <v>1686</v>
      </c>
      <c r="Y98" s="406">
        <f>ROUND(Y97*'1.1 Control Panel'!Y765,0)</f>
        <v>1864</v>
      </c>
      <c r="Z98" s="406">
        <f>ROUND(Z97*'1.1 Control Panel'!Z765,0)</f>
        <v>1657</v>
      </c>
      <c r="AA98" s="406">
        <f>ROUND(AA97*'1.1 Control Panel'!AA765,0)</f>
        <v>1482</v>
      </c>
      <c r="AB98" s="406">
        <f>ROUND(AB97*'1.1 Control Panel'!AB765,0)</f>
        <v>1331</v>
      </c>
      <c r="AC98" s="406">
        <f>ROUND(AC97*'1.1 Control Panel'!AC765,0)</f>
        <v>4730</v>
      </c>
      <c r="AD98" s="406">
        <f>ROUND(AD97*'1.1 Control Panel'!AD765,0)</f>
        <v>4104</v>
      </c>
      <c r="AE98" s="406">
        <f>ROUND(AE97*'1.1 Control Panel'!AE765,0)</f>
        <v>3559</v>
      </c>
      <c r="AF98" s="406">
        <f>ROUND(AF97*'1.1 Control Panel'!AF765,0)</f>
        <v>3087</v>
      </c>
      <c r="AG98" s="406">
        <f>ROUND(AG97*'1.1 Control Panel'!AG765,0)</f>
        <v>6491</v>
      </c>
      <c r="AH98" s="406">
        <f>ROUND(AH97*'1.1 Control Panel'!AH765,0)</f>
        <v>5636</v>
      </c>
      <c r="AI98" s="406">
        <f>ROUND(AI97*'1.1 Control Panel'!AI765,0)</f>
        <v>4898</v>
      </c>
      <c r="AJ98" s="406">
        <f>ROUND(AJ97*'1.1 Control Panel'!AJ765,0)</f>
        <v>4256</v>
      </c>
      <c r="AK98" s="406">
        <f>ROUND(AK97*'1.1 Control Panel'!AK765,0)</f>
        <v>6431</v>
      </c>
      <c r="AL98" s="406">
        <f>ROUND(AL97*'1.1 Control Panel'!AL765,0)</f>
        <v>5478</v>
      </c>
      <c r="AM98" s="406">
        <f>ROUND(AM97*'1.1 Control Panel'!AM765,0)</f>
        <v>4678</v>
      </c>
      <c r="AN98" s="406">
        <f>ROUND(AN97*'1.1 Control Panel'!AN765,0)</f>
        <v>4010</v>
      </c>
      <c r="AP98" s="21"/>
    </row>
    <row r="99" spans="3:42" x14ac:dyDescent="0.25">
      <c r="C99" s="467" t="s">
        <v>735</v>
      </c>
      <c r="D99" s="153" t="s">
        <v>162</v>
      </c>
      <c r="E99" s="480">
        <f t="shared" ref="E99:AN99" si="261">E97-E98</f>
        <v>114</v>
      </c>
      <c r="F99" s="480">
        <f t="shared" si="261"/>
        <v>112</v>
      </c>
      <c r="G99" s="480">
        <f t="shared" si="261"/>
        <v>108</v>
      </c>
      <c r="H99" s="480">
        <f t="shared" si="261"/>
        <v>100</v>
      </c>
      <c r="I99" s="480">
        <f t="shared" si="261"/>
        <v>159</v>
      </c>
      <c r="J99" s="480">
        <f t="shared" si="261"/>
        <v>227</v>
      </c>
      <c r="K99" s="480">
        <f t="shared" si="261"/>
        <v>194</v>
      </c>
      <c r="L99" s="480">
        <f t="shared" si="261"/>
        <v>166</v>
      </c>
      <c r="M99" s="480">
        <f t="shared" si="261"/>
        <v>215</v>
      </c>
      <c r="N99" s="480">
        <f t="shared" si="261"/>
        <v>201</v>
      </c>
      <c r="O99" s="480">
        <f t="shared" si="261"/>
        <v>189</v>
      </c>
      <c r="P99" s="480">
        <f t="shared" si="261"/>
        <v>178</v>
      </c>
      <c r="Q99" s="480">
        <f t="shared" si="261"/>
        <v>459</v>
      </c>
      <c r="R99" s="480">
        <f t="shared" si="261"/>
        <v>395</v>
      </c>
      <c r="S99" s="480">
        <f t="shared" si="261"/>
        <v>342</v>
      </c>
      <c r="T99" s="480">
        <f t="shared" si="261"/>
        <v>297</v>
      </c>
      <c r="U99" s="480">
        <f t="shared" si="261"/>
        <v>630</v>
      </c>
      <c r="V99" s="480">
        <f t="shared" si="261"/>
        <v>552</v>
      </c>
      <c r="W99" s="480">
        <f t="shared" si="261"/>
        <v>483</v>
      </c>
      <c r="X99" s="480">
        <f t="shared" si="261"/>
        <v>421</v>
      </c>
      <c r="Y99" s="480">
        <f t="shared" si="261"/>
        <v>466</v>
      </c>
      <c r="Z99" s="480">
        <f t="shared" si="261"/>
        <v>414</v>
      </c>
      <c r="AA99" s="480">
        <f t="shared" si="261"/>
        <v>370</v>
      </c>
      <c r="AB99" s="480">
        <f t="shared" si="261"/>
        <v>333</v>
      </c>
      <c r="AC99" s="480">
        <f t="shared" si="261"/>
        <v>1183</v>
      </c>
      <c r="AD99" s="480">
        <f t="shared" si="261"/>
        <v>1026</v>
      </c>
      <c r="AE99" s="480">
        <f t="shared" si="261"/>
        <v>890</v>
      </c>
      <c r="AF99" s="480">
        <f t="shared" si="261"/>
        <v>772</v>
      </c>
      <c r="AG99" s="480">
        <f t="shared" si="261"/>
        <v>1623</v>
      </c>
      <c r="AH99" s="480">
        <f t="shared" si="261"/>
        <v>1409</v>
      </c>
      <c r="AI99" s="480">
        <f t="shared" si="261"/>
        <v>1224</v>
      </c>
      <c r="AJ99" s="480">
        <f t="shared" si="261"/>
        <v>1064</v>
      </c>
      <c r="AK99" s="480">
        <f t="shared" si="261"/>
        <v>1608</v>
      </c>
      <c r="AL99" s="480">
        <f t="shared" si="261"/>
        <v>1369</v>
      </c>
      <c r="AM99" s="480">
        <f t="shared" si="261"/>
        <v>1170</v>
      </c>
      <c r="AN99" s="480">
        <f t="shared" si="261"/>
        <v>1002</v>
      </c>
      <c r="AP99" s="27"/>
    </row>
    <row r="101" spans="3:42" x14ac:dyDescent="0.25">
      <c r="C101" s="136" t="s">
        <v>680</v>
      </c>
      <c r="E101" s="136">
        <v>1</v>
      </c>
      <c r="F101" s="136">
        <f>IF(SUM($E138:F138)='1.1 Control Panel'!$E$727,2,0)</f>
        <v>0</v>
      </c>
      <c r="G101" s="136">
        <f>IF(SUM($E138:G138)='1.1 Control Panel'!$E$727,2,0)</f>
        <v>0</v>
      </c>
      <c r="H101" s="136">
        <f>IF(SUM($E138:H138)='1.1 Control Panel'!$E$727,2,0)</f>
        <v>0</v>
      </c>
      <c r="I101" s="136">
        <f>IF(SUM($E138:I138)='1.1 Control Panel'!$E$727,2,0)</f>
        <v>0</v>
      </c>
      <c r="J101" s="136">
        <f>IF(SUM($E138:J138)='1.1 Control Panel'!$E$727,2,0)</f>
        <v>2</v>
      </c>
      <c r="K101" s="136">
        <f>IF(SUM($E138:K138)='1.1 Control Panel'!$E$727,2,0)</f>
        <v>0</v>
      </c>
      <c r="L101" s="136">
        <f>IF(SUM($E138:L138)='1.1 Control Panel'!$E$727,2,0)</f>
        <v>0</v>
      </c>
      <c r="M101" s="136">
        <f>IF(SUM($E138:M138)='1.1 Control Panel'!$E$727,2,0)</f>
        <v>0</v>
      </c>
      <c r="N101" s="136">
        <f>IF(SUM($E138:N138)='1.1 Control Panel'!$E$727,2,0)</f>
        <v>0</v>
      </c>
      <c r="O101" s="136">
        <f>IF(SUM($E138:O138)='1.1 Control Panel'!$E$727,2,0)</f>
        <v>0</v>
      </c>
      <c r="P101" s="136">
        <f>IF(SUM($E138:P138)='1.1 Control Panel'!$E$727,2,0)</f>
        <v>0</v>
      </c>
      <c r="Q101" s="136">
        <f>IF(SUM($E138:Q138)='1.1 Control Panel'!$E$727,2,0)</f>
        <v>0</v>
      </c>
      <c r="R101" s="136">
        <f>IF(SUM($E138:R138)='1.1 Control Panel'!$E$727,2,0)</f>
        <v>0</v>
      </c>
      <c r="S101" s="136">
        <f>IF(SUM($E138:S138)='1.1 Control Panel'!$E$727,2,0)</f>
        <v>0</v>
      </c>
      <c r="T101" s="136">
        <f>IF(SUM($E138:T138)='1.1 Control Panel'!$E$727,2,0)</f>
        <v>0</v>
      </c>
      <c r="U101" s="136">
        <f>IF(SUM($E138:U138)='1.1 Control Panel'!$E$727,2,0)</f>
        <v>0</v>
      </c>
      <c r="V101" s="136">
        <f>IF(SUM($E138:V138)='1.1 Control Panel'!$E$727,2,0)</f>
        <v>0</v>
      </c>
      <c r="W101" s="136">
        <f>IF(SUM($E138:W138)='1.1 Control Panel'!$E$727,2,0)</f>
        <v>0</v>
      </c>
      <c r="X101" s="136">
        <f>IF(SUM($E138:X138)='1.1 Control Panel'!$E$727,2,0)</f>
        <v>0</v>
      </c>
      <c r="Y101" s="136">
        <f>IF(SUM($E138:Y138)='1.1 Control Panel'!$E$727,2,0)</f>
        <v>0</v>
      </c>
      <c r="Z101" s="136">
        <f>IF(SUM($E138:Z138)='1.1 Control Panel'!$E$727,2,0)</f>
        <v>0</v>
      </c>
      <c r="AA101" s="136">
        <f>IF(SUM($E138:AA138)='1.1 Control Panel'!$E$727,2,0)</f>
        <v>0</v>
      </c>
      <c r="AB101" s="136">
        <f>IF(SUM($E138:AB138)='1.1 Control Panel'!$E$727,2,0)</f>
        <v>0</v>
      </c>
      <c r="AC101" s="136">
        <f>IF(SUM($E138:AC138)='1.1 Control Panel'!$E$727,2,0)</f>
        <v>0</v>
      </c>
      <c r="AD101" s="136">
        <f>IF(SUM($E138:AD138)='1.1 Control Panel'!$E$727,2,0)</f>
        <v>0</v>
      </c>
      <c r="AE101" s="136">
        <f>IF(SUM($E138:AE138)='1.1 Control Panel'!$E$727,2,0)</f>
        <v>0</v>
      </c>
      <c r="AF101" s="136">
        <f>IF(SUM($E138:AF138)='1.1 Control Panel'!$E$727,2,0)</f>
        <v>0</v>
      </c>
      <c r="AG101" s="136">
        <f>IF(SUM($E138:AG138)='1.1 Control Panel'!$E$727,2,0)</f>
        <v>0</v>
      </c>
      <c r="AH101" s="136">
        <f>IF(SUM($E138:AH138)='1.1 Control Panel'!$E$727,2,0)</f>
        <v>0</v>
      </c>
      <c r="AI101" s="136">
        <f>IF(SUM($E138:AI138)='1.1 Control Panel'!$E$727,2,0)</f>
        <v>0</v>
      </c>
      <c r="AJ101" s="136">
        <f>IF(SUM($E138:AJ138)='1.1 Control Panel'!$E$727,2,0)</f>
        <v>0</v>
      </c>
      <c r="AK101" s="136">
        <f>IF(SUM($E138:AK138)='1.1 Control Panel'!$E$727,2,0)</f>
        <v>0</v>
      </c>
      <c r="AL101" s="136">
        <f>IF(SUM($E138:AL138)='1.1 Control Panel'!$E$727,2,0)</f>
        <v>0</v>
      </c>
      <c r="AM101" s="136">
        <f>IF(SUM($E138:AM138)='1.1 Control Panel'!$E$727,2,0)</f>
        <v>0</v>
      </c>
      <c r="AN101" s="136">
        <f>IF(SUM($E138:AN138)='1.1 Control Panel'!$E$727,2,0)</f>
        <v>0</v>
      </c>
    </row>
    <row r="102" spans="3:42" x14ac:dyDescent="0.25">
      <c r="F102" s="136">
        <v>1</v>
      </c>
      <c r="G102" s="136">
        <f>IF(SUM($E139:G139)='1.1 Control Panel'!$E$727,2,0)</f>
        <v>0</v>
      </c>
      <c r="H102" s="136">
        <f>IF(SUM($E139:H139)='1.1 Control Panel'!$E$727,2,0)</f>
        <v>0</v>
      </c>
      <c r="I102" s="136">
        <f>IF(SUM($E139:I139)='1.1 Control Panel'!$E$727,2,0)</f>
        <v>0</v>
      </c>
      <c r="J102" s="136">
        <f>IF(SUM($E139:J139)='1.1 Control Panel'!$E$727,2,0)</f>
        <v>0</v>
      </c>
      <c r="K102" s="136">
        <f>IF(SUM($E139:K139)='1.1 Control Panel'!$E$727,2,0)</f>
        <v>2</v>
      </c>
      <c r="L102" s="136">
        <f>IF(SUM($E139:L139)='1.1 Control Panel'!$E$727,2,0)</f>
        <v>0</v>
      </c>
      <c r="M102" s="136">
        <f>IF(SUM($E139:M139)='1.1 Control Panel'!$E$727,2,0)</f>
        <v>0</v>
      </c>
      <c r="N102" s="136">
        <f>IF(SUM($E139:N139)='1.1 Control Panel'!$E$727,2,0)</f>
        <v>0</v>
      </c>
      <c r="O102" s="136">
        <f>IF(SUM($E139:O139)='1.1 Control Panel'!$E$727,2,0)</f>
        <v>0</v>
      </c>
      <c r="P102" s="136">
        <f>IF(SUM($E139:P139)='1.1 Control Panel'!$E$727,2,0)</f>
        <v>0</v>
      </c>
      <c r="Q102" s="136">
        <f>IF(SUM($E139:Q139)='1.1 Control Panel'!$E$727,2,0)</f>
        <v>0</v>
      </c>
      <c r="R102" s="136">
        <f>IF(SUM($E139:R139)='1.1 Control Panel'!$E$727,2,0)</f>
        <v>0</v>
      </c>
      <c r="S102" s="136">
        <f>IF(SUM($E139:S139)='1.1 Control Panel'!$E$727,2,0)</f>
        <v>0</v>
      </c>
      <c r="T102" s="136">
        <f>IF(SUM($E139:T139)='1.1 Control Panel'!$E$727,2,0)</f>
        <v>0</v>
      </c>
      <c r="U102" s="136">
        <f>IF(SUM($E139:U139)='1.1 Control Panel'!$E$727,2,0)</f>
        <v>0</v>
      </c>
      <c r="V102" s="136">
        <f>IF(SUM($E139:V139)='1.1 Control Panel'!$E$727,2,0)</f>
        <v>0</v>
      </c>
      <c r="W102" s="136">
        <f>IF(SUM($E139:W139)='1.1 Control Panel'!$E$727,2,0)</f>
        <v>0</v>
      </c>
      <c r="X102" s="136">
        <f>IF(SUM($E139:X139)='1.1 Control Panel'!$E$727,2,0)</f>
        <v>0</v>
      </c>
      <c r="Y102" s="136">
        <f>IF(SUM($E139:Y139)='1.1 Control Panel'!$E$727,2,0)</f>
        <v>0</v>
      </c>
      <c r="Z102" s="136">
        <f>IF(SUM($E139:Z139)='1.1 Control Panel'!$E$727,2,0)</f>
        <v>0</v>
      </c>
      <c r="AA102" s="136">
        <f>IF(SUM($E139:AA139)='1.1 Control Panel'!$E$727,2,0)</f>
        <v>0</v>
      </c>
      <c r="AB102" s="136">
        <f>IF(SUM($E139:AB139)='1.1 Control Panel'!$E$727,2,0)</f>
        <v>0</v>
      </c>
      <c r="AC102" s="136">
        <f>IF(SUM($E139:AC139)='1.1 Control Panel'!$E$727,2,0)</f>
        <v>0</v>
      </c>
      <c r="AD102" s="136">
        <f>IF(SUM($E139:AD139)='1.1 Control Panel'!$E$727,2,0)</f>
        <v>0</v>
      </c>
      <c r="AE102" s="136">
        <f>IF(SUM($E139:AE139)='1.1 Control Panel'!$E$727,2,0)</f>
        <v>0</v>
      </c>
      <c r="AF102" s="136">
        <f>IF(SUM($E139:AF139)='1.1 Control Panel'!$E$727,2,0)</f>
        <v>0</v>
      </c>
      <c r="AG102" s="136">
        <f>IF(SUM($E139:AG139)='1.1 Control Panel'!$E$727,2,0)</f>
        <v>0</v>
      </c>
      <c r="AH102" s="136">
        <f>IF(SUM($E139:AH139)='1.1 Control Panel'!$E$727,2,0)</f>
        <v>0</v>
      </c>
      <c r="AI102" s="136">
        <f>IF(SUM($E139:AI139)='1.1 Control Panel'!$E$727,2,0)</f>
        <v>0</v>
      </c>
      <c r="AJ102" s="136">
        <f>IF(SUM($E139:AJ139)='1.1 Control Panel'!$E$727,2,0)</f>
        <v>0</v>
      </c>
      <c r="AK102" s="136">
        <f>IF(SUM($E139:AK139)='1.1 Control Panel'!$E$727,2,0)</f>
        <v>0</v>
      </c>
      <c r="AL102" s="136">
        <f>IF(SUM($E139:AL139)='1.1 Control Panel'!$E$727,2,0)</f>
        <v>0</v>
      </c>
      <c r="AM102" s="136">
        <f>IF(SUM($E139:AM139)='1.1 Control Panel'!$E$727,2,0)</f>
        <v>0</v>
      </c>
      <c r="AN102" s="136">
        <f>IF(SUM($E139:AN139)='1.1 Control Panel'!$E$727,2,0)</f>
        <v>0</v>
      </c>
    </row>
    <row r="103" spans="3:42" x14ac:dyDescent="0.25">
      <c r="G103" s="136">
        <v>1</v>
      </c>
      <c r="H103" s="136">
        <f>IF(SUM($E140:H140)='1.1 Control Panel'!$E$727,2,0)</f>
        <v>0</v>
      </c>
      <c r="I103" s="136">
        <f>IF(SUM($E140:I140)='1.1 Control Panel'!$E$727,2,0)</f>
        <v>0</v>
      </c>
      <c r="J103" s="136">
        <f>IF(SUM($E140:J140)='1.1 Control Panel'!$E$727,2,0)</f>
        <v>0</v>
      </c>
      <c r="K103" s="136">
        <f>IF(SUM($E140:K140)='1.1 Control Panel'!$E$727,2,0)</f>
        <v>0</v>
      </c>
      <c r="L103" s="136">
        <f>IF(SUM($E140:L140)='1.1 Control Panel'!$E$727,2,0)</f>
        <v>2</v>
      </c>
      <c r="M103" s="136">
        <f>IF(SUM($E140:M140)='1.1 Control Panel'!$E$727,2,0)</f>
        <v>0</v>
      </c>
      <c r="N103" s="136">
        <f>IF(SUM($E140:N140)='1.1 Control Panel'!$E$727,2,0)</f>
        <v>0</v>
      </c>
      <c r="O103" s="136">
        <f>IF(SUM($E140:O140)='1.1 Control Panel'!$E$727,2,0)</f>
        <v>0</v>
      </c>
      <c r="P103" s="136">
        <f>IF(SUM($E140:P140)='1.1 Control Panel'!$E$727,2,0)</f>
        <v>0</v>
      </c>
      <c r="Q103" s="136">
        <f>IF(SUM($E140:Q140)='1.1 Control Panel'!$E$727,2,0)</f>
        <v>0</v>
      </c>
      <c r="R103" s="136">
        <f>IF(SUM($E140:R140)='1.1 Control Panel'!$E$727,2,0)</f>
        <v>0</v>
      </c>
      <c r="S103" s="136">
        <f>IF(SUM($E140:S140)='1.1 Control Panel'!$E$727,2,0)</f>
        <v>0</v>
      </c>
      <c r="T103" s="136">
        <f>IF(SUM($E140:T140)='1.1 Control Panel'!$E$727,2,0)</f>
        <v>0</v>
      </c>
      <c r="U103" s="136">
        <f>IF(SUM($E140:U140)='1.1 Control Panel'!$E$727,2,0)</f>
        <v>0</v>
      </c>
      <c r="V103" s="136">
        <f>IF(SUM($E140:V140)='1.1 Control Panel'!$E$727,2,0)</f>
        <v>0</v>
      </c>
      <c r="W103" s="136">
        <f>IF(SUM($E140:W140)='1.1 Control Panel'!$E$727,2,0)</f>
        <v>0</v>
      </c>
      <c r="X103" s="136">
        <f>IF(SUM($E140:X140)='1.1 Control Panel'!$E$727,2,0)</f>
        <v>0</v>
      </c>
      <c r="Y103" s="136">
        <f>IF(SUM($E140:Y140)='1.1 Control Panel'!$E$727,2,0)</f>
        <v>0</v>
      </c>
      <c r="Z103" s="136">
        <f>IF(SUM($E140:Z140)='1.1 Control Panel'!$E$727,2,0)</f>
        <v>0</v>
      </c>
      <c r="AA103" s="136">
        <f>IF(SUM($E140:AA140)='1.1 Control Panel'!$E$727,2,0)</f>
        <v>0</v>
      </c>
      <c r="AB103" s="136">
        <f>IF(SUM($E140:AB140)='1.1 Control Panel'!$E$727,2,0)</f>
        <v>0</v>
      </c>
      <c r="AC103" s="136">
        <f>IF(SUM($E140:AC140)='1.1 Control Panel'!$E$727,2,0)</f>
        <v>0</v>
      </c>
      <c r="AD103" s="136">
        <f>IF(SUM($E140:AD140)='1.1 Control Panel'!$E$727,2,0)</f>
        <v>0</v>
      </c>
      <c r="AE103" s="136">
        <f>IF(SUM($E140:AE140)='1.1 Control Panel'!$E$727,2,0)</f>
        <v>0</v>
      </c>
      <c r="AF103" s="136">
        <f>IF(SUM($E140:AF140)='1.1 Control Panel'!$E$727,2,0)</f>
        <v>0</v>
      </c>
      <c r="AG103" s="136">
        <f>IF(SUM($E140:AG140)='1.1 Control Panel'!$E$727,2,0)</f>
        <v>0</v>
      </c>
      <c r="AH103" s="136">
        <f>IF(SUM($E140:AH140)='1.1 Control Panel'!$E$727,2,0)</f>
        <v>0</v>
      </c>
      <c r="AI103" s="136">
        <f>IF(SUM($E140:AI140)='1.1 Control Panel'!$E$727,2,0)</f>
        <v>0</v>
      </c>
      <c r="AJ103" s="136">
        <f>IF(SUM($E140:AJ140)='1.1 Control Panel'!$E$727,2,0)</f>
        <v>0</v>
      </c>
      <c r="AK103" s="136">
        <f>IF(SUM($E140:AK140)='1.1 Control Panel'!$E$727,2,0)</f>
        <v>0</v>
      </c>
      <c r="AL103" s="136">
        <f>IF(SUM($E140:AL140)='1.1 Control Panel'!$E$727,2,0)</f>
        <v>0</v>
      </c>
      <c r="AM103" s="136">
        <f>IF(SUM($E140:AM140)='1.1 Control Panel'!$E$727,2,0)</f>
        <v>0</v>
      </c>
      <c r="AN103" s="136">
        <f>IF(SUM($E140:AN140)='1.1 Control Panel'!$E$727,2,0)</f>
        <v>0</v>
      </c>
    </row>
    <row r="104" spans="3:42" x14ac:dyDescent="0.25">
      <c r="H104" s="136">
        <v>1</v>
      </c>
      <c r="I104" s="136">
        <f>IF(SUM($E141:I141)='1.1 Control Panel'!$E$727,2,0)</f>
        <v>0</v>
      </c>
      <c r="J104" s="136">
        <f>IF(SUM($E141:J141)='1.1 Control Panel'!$E$727,2,0)</f>
        <v>0</v>
      </c>
      <c r="K104" s="136">
        <f>IF(SUM($E141:K141)='1.1 Control Panel'!$E$727,2,0)</f>
        <v>0</v>
      </c>
      <c r="L104" s="136">
        <f>IF(SUM($E141:L141)='1.1 Control Panel'!$E$727,2,0)</f>
        <v>0</v>
      </c>
      <c r="M104" s="136">
        <f>IF(SUM($E141:M141)='1.1 Control Panel'!$E$727,2,0)</f>
        <v>2</v>
      </c>
      <c r="N104" s="136">
        <f>IF(SUM($E141:N141)='1.1 Control Panel'!$E$727,2,0)</f>
        <v>0</v>
      </c>
      <c r="O104" s="136">
        <f>IF(SUM($E141:O141)='1.1 Control Panel'!$E$727,2,0)</f>
        <v>0</v>
      </c>
      <c r="P104" s="136">
        <f>IF(SUM($E141:P141)='1.1 Control Panel'!$E$727,2,0)</f>
        <v>0</v>
      </c>
      <c r="Q104" s="136">
        <f>IF(SUM($E141:Q141)='1.1 Control Panel'!$E$727,2,0)</f>
        <v>0</v>
      </c>
      <c r="R104" s="136">
        <f>IF(SUM($E141:R141)='1.1 Control Panel'!$E$727,2,0)</f>
        <v>0</v>
      </c>
      <c r="S104" s="136">
        <f>IF(SUM($E141:S141)='1.1 Control Panel'!$E$727,2,0)</f>
        <v>0</v>
      </c>
      <c r="T104" s="136">
        <f>IF(SUM($E141:T141)='1.1 Control Panel'!$E$727,2,0)</f>
        <v>0</v>
      </c>
      <c r="U104" s="136">
        <f>IF(SUM($E141:U141)='1.1 Control Panel'!$E$727,2,0)</f>
        <v>0</v>
      </c>
      <c r="V104" s="136">
        <f>IF(SUM($E141:V141)='1.1 Control Panel'!$E$727,2,0)</f>
        <v>0</v>
      </c>
      <c r="W104" s="136">
        <f>IF(SUM($E141:W141)='1.1 Control Panel'!$E$727,2,0)</f>
        <v>0</v>
      </c>
      <c r="X104" s="136">
        <f>IF(SUM($E141:X141)='1.1 Control Panel'!$E$727,2,0)</f>
        <v>0</v>
      </c>
      <c r="Y104" s="136">
        <f>IF(SUM($E141:Y141)='1.1 Control Panel'!$E$727,2,0)</f>
        <v>0</v>
      </c>
      <c r="Z104" s="136">
        <f>IF(SUM($E141:Z141)='1.1 Control Panel'!$E$727,2,0)</f>
        <v>0</v>
      </c>
      <c r="AA104" s="136">
        <f>IF(SUM($E141:AA141)='1.1 Control Panel'!$E$727,2,0)</f>
        <v>0</v>
      </c>
      <c r="AB104" s="136">
        <f>IF(SUM($E141:AB141)='1.1 Control Panel'!$E$727,2,0)</f>
        <v>0</v>
      </c>
      <c r="AC104" s="136">
        <f>IF(SUM($E141:AC141)='1.1 Control Panel'!$E$727,2,0)</f>
        <v>0</v>
      </c>
      <c r="AD104" s="136">
        <f>IF(SUM($E141:AD141)='1.1 Control Panel'!$E$727,2,0)</f>
        <v>0</v>
      </c>
      <c r="AE104" s="136">
        <f>IF(SUM($E141:AE141)='1.1 Control Panel'!$E$727,2,0)</f>
        <v>0</v>
      </c>
      <c r="AF104" s="136">
        <f>IF(SUM($E141:AF141)='1.1 Control Panel'!$E$727,2,0)</f>
        <v>0</v>
      </c>
      <c r="AG104" s="136">
        <f>IF(SUM($E141:AG141)='1.1 Control Panel'!$E$727,2,0)</f>
        <v>0</v>
      </c>
      <c r="AH104" s="136">
        <f>IF(SUM($E141:AH141)='1.1 Control Panel'!$E$727,2,0)</f>
        <v>0</v>
      </c>
      <c r="AI104" s="136">
        <f>IF(SUM($E141:AI141)='1.1 Control Panel'!$E$727,2,0)</f>
        <v>0</v>
      </c>
      <c r="AJ104" s="136">
        <f>IF(SUM($E141:AJ141)='1.1 Control Panel'!$E$727,2,0)</f>
        <v>0</v>
      </c>
      <c r="AK104" s="136">
        <f>IF(SUM($E141:AK141)='1.1 Control Panel'!$E$727,2,0)</f>
        <v>0</v>
      </c>
      <c r="AL104" s="136">
        <f>IF(SUM($E141:AL141)='1.1 Control Panel'!$E$727,2,0)</f>
        <v>0</v>
      </c>
      <c r="AM104" s="136">
        <f>IF(SUM($E141:AM141)='1.1 Control Panel'!$E$727,2,0)</f>
        <v>0</v>
      </c>
      <c r="AN104" s="136">
        <f>IF(SUM($E141:AN141)='1.1 Control Panel'!$E$727,2,0)</f>
        <v>0</v>
      </c>
    </row>
    <row r="105" spans="3:42" x14ac:dyDescent="0.25">
      <c r="I105" s="136">
        <v>1</v>
      </c>
      <c r="J105" s="136">
        <f>IF(SUM($E142:J142)='1.1 Control Panel'!$E$727,2,0)</f>
        <v>0</v>
      </c>
      <c r="K105" s="136">
        <f>IF(SUM($E142:K142)='1.1 Control Panel'!$E$727,2,0)</f>
        <v>0</v>
      </c>
      <c r="L105" s="136">
        <f>IF(SUM($E142:L142)='1.1 Control Panel'!$E$727,2,0)</f>
        <v>0</v>
      </c>
      <c r="M105" s="136">
        <f>IF(SUM($E142:M142)='1.1 Control Panel'!$E$727,2,0)</f>
        <v>0</v>
      </c>
      <c r="N105" s="136">
        <f>IF(SUM($E142:N142)='1.1 Control Panel'!$E$727,2,0)</f>
        <v>2</v>
      </c>
      <c r="O105" s="136">
        <f>IF(SUM($E142:O142)='1.1 Control Panel'!$E$727,2,0)</f>
        <v>0</v>
      </c>
      <c r="P105" s="136">
        <f>IF(SUM($E142:P142)='1.1 Control Panel'!$E$727,2,0)</f>
        <v>0</v>
      </c>
      <c r="Q105" s="136">
        <f>IF(SUM($E142:Q142)='1.1 Control Panel'!$E$727,2,0)</f>
        <v>0</v>
      </c>
      <c r="R105" s="136">
        <f>IF(SUM($E142:R142)='1.1 Control Panel'!$E$727,2,0)</f>
        <v>0</v>
      </c>
      <c r="S105" s="136">
        <f>IF(SUM($E142:S142)='1.1 Control Panel'!$E$727,2,0)</f>
        <v>0</v>
      </c>
      <c r="T105" s="136">
        <f>IF(SUM($E142:T142)='1.1 Control Panel'!$E$727,2,0)</f>
        <v>0</v>
      </c>
      <c r="U105" s="136">
        <f>IF(SUM($E142:U142)='1.1 Control Panel'!$E$727,2,0)</f>
        <v>0</v>
      </c>
      <c r="V105" s="136">
        <f>IF(SUM($E142:V142)='1.1 Control Panel'!$E$727,2,0)</f>
        <v>0</v>
      </c>
      <c r="W105" s="136">
        <f>IF(SUM($E142:W142)='1.1 Control Panel'!$E$727,2,0)</f>
        <v>0</v>
      </c>
      <c r="X105" s="136">
        <f>IF(SUM($E142:X142)='1.1 Control Panel'!$E$727,2,0)</f>
        <v>0</v>
      </c>
      <c r="Y105" s="136">
        <f>IF(SUM($E142:Y142)='1.1 Control Panel'!$E$727,2,0)</f>
        <v>0</v>
      </c>
      <c r="Z105" s="136">
        <f>IF(SUM($E142:Z142)='1.1 Control Panel'!$E$727,2,0)</f>
        <v>0</v>
      </c>
      <c r="AA105" s="136">
        <f>IF(SUM($E142:AA142)='1.1 Control Panel'!$E$727,2,0)</f>
        <v>0</v>
      </c>
      <c r="AB105" s="136">
        <f>IF(SUM($E142:AB142)='1.1 Control Panel'!$E$727,2,0)</f>
        <v>0</v>
      </c>
      <c r="AC105" s="136">
        <f>IF(SUM($E142:AC142)='1.1 Control Panel'!$E$727,2,0)</f>
        <v>0</v>
      </c>
      <c r="AD105" s="136">
        <f>IF(SUM($E142:AD142)='1.1 Control Panel'!$E$727,2,0)</f>
        <v>0</v>
      </c>
      <c r="AE105" s="136">
        <f>IF(SUM($E142:AE142)='1.1 Control Panel'!$E$727,2,0)</f>
        <v>0</v>
      </c>
      <c r="AF105" s="136">
        <f>IF(SUM($E142:AF142)='1.1 Control Panel'!$E$727,2,0)</f>
        <v>0</v>
      </c>
      <c r="AG105" s="136">
        <f>IF(SUM($E142:AG142)='1.1 Control Panel'!$E$727,2,0)</f>
        <v>0</v>
      </c>
      <c r="AH105" s="136">
        <f>IF(SUM($E142:AH142)='1.1 Control Panel'!$E$727,2,0)</f>
        <v>0</v>
      </c>
      <c r="AI105" s="136">
        <f>IF(SUM($E142:AI142)='1.1 Control Panel'!$E$727,2,0)</f>
        <v>0</v>
      </c>
      <c r="AJ105" s="136">
        <f>IF(SUM($E142:AJ142)='1.1 Control Panel'!$E$727,2,0)</f>
        <v>0</v>
      </c>
      <c r="AK105" s="136">
        <f>IF(SUM($E142:AK142)='1.1 Control Panel'!$E$727,2,0)</f>
        <v>0</v>
      </c>
      <c r="AL105" s="136">
        <f>IF(SUM($E142:AL142)='1.1 Control Panel'!$E$727,2,0)</f>
        <v>0</v>
      </c>
      <c r="AM105" s="136">
        <f>IF(SUM($E142:AM142)='1.1 Control Panel'!$E$727,2,0)</f>
        <v>0</v>
      </c>
      <c r="AN105" s="136">
        <f>IF(SUM($E142:AN142)='1.1 Control Panel'!$E$727,2,0)</f>
        <v>0</v>
      </c>
    </row>
    <row r="106" spans="3:42" x14ac:dyDescent="0.25">
      <c r="J106" s="136">
        <v>1</v>
      </c>
      <c r="K106" s="136">
        <f>IF(SUM($E143:K143)='1.1 Control Panel'!$E$727,2,0)</f>
        <v>0</v>
      </c>
      <c r="L106" s="136">
        <f>IF(SUM($E143:L143)='1.1 Control Panel'!$E$727,2,0)</f>
        <v>0</v>
      </c>
      <c r="M106" s="136">
        <f>IF(SUM($E143:M143)='1.1 Control Panel'!$E$727,2,0)</f>
        <v>0</v>
      </c>
      <c r="N106" s="136">
        <f>IF(SUM($E143:N143)='1.1 Control Panel'!$E$727,2,0)</f>
        <v>0</v>
      </c>
      <c r="O106" s="136">
        <f>IF(SUM($E143:O143)='1.1 Control Panel'!$E$727,2,0)</f>
        <v>2</v>
      </c>
      <c r="P106" s="136">
        <f>IF(SUM($E143:P143)='1.1 Control Panel'!$E$727,2,0)</f>
        <v>0</v>
      </c>
      <c r="Q106" s="136">
        <f>IF(SUM($E143:Q143)='1.1 Control Panel'!$E$727,2,0)</f>
        <v>0</v>
      </c>
      <c r="R106" s="136">
        <f>IF(SUM($E143:R143)='1.1 Control Panel'!$E$727,2,0)</f>
        <v>0</v>
      </c>
      <c r="S106" s="136">
        <f>IF(SUM($E143:S143)='1.1 Control Panel'!$E$727,2,0)</f>
        <v>0</v>
      </c>
      <c r="T106" s="136">
        <f>IF(SUM($E143:T143)='1.1 Control Panel'!$E$727,2,0)</f>
        <v>0</v>
      </c>
      <c r="U106" s="136">
        <f>IF(SUM($E143:U143)='1.1 Control Panel'!$E$727,2,0)</f>
        <v>0</v>
      </c>
      <c r="V106" s="136">
        <f>IF(SUM($E143:V143)='1.1 Control Panel'!$E$727,2,0)</f>
        <v>0</v>
      </c>
      <c r="W106" s="136">
        <f>IF(SUM($E143:W143)='1.1 Control Panel'!$E$727,2,0)</f>
        <v>0</v>
      </c>
      <c r="X106" s="136">
        <f>IF(SUM($E143:X143)='1.1 Control Panel'!$E$727,2,0)</f>
        <v>0</v>
      </c>
      <c r="Y106" s="136">
        <f>IF(SUM($E143:Y143)='1.1 Control Panel'!$E$727,2,0)</f>
        <v>0</v>
      </c>
      <c r="Z106" s="136">
        <f>IF(SUM($E143:Z143)='1.1 Control Panel'!$E$727,2,0)</f>
        <v>0</v>
      </c>
      <c r="AA106" s="136">
        <f>IF(SUM($E143:AA143)='1.1 Control Panel'!$E$727,2,0)</f>
        <v>0</v>
      </c>
      <c r="AB106" s="136">
        <f>IF(SUM($E143:AB143)='1.1 Control Panel'!$E$727,2,0)</f>
        <v>0</v>
      </c>
      <c r="AC106" s="136">
        <f>IF(SUM($E143:AC143)='1.1 Control Panel'!$E$727,2,0)</f>
        <v>0</v>
      </c>
      <c r="AD106" s="136">
        <f>IF(SUM($E143:AD143)='1.1 Control Panel'!$E$727,2,0)</f>
        <v>0</v>
      </c>
      <c r="AE106" s="136">
        <f>IF(SUM($E143:AE143)='1.1 Control Panel'!$E$727,2,0)</f>
        <v>0</v>
      </c>
      <c r="AF106" s="136">
        <f>IF(SUM($E143:AF143)='1.1 Control Panel'!$E$727,2,0)</f>
        <v>0</v>
      </c>
      <c r="AG106" s="136">
        <f>IF(SUM($E143:AG143)='1.1 Control Panel'!$E$727,2,0)</f>
        <v>0</v>
      </c>
      <c r="AH106" s="136">
        <f>IF(SUM($E143:AH143)='1.1 Control Panel'!$E$727,2,0)</f>
        <v>0</v>
      </c>
      <c r="AI106" s="136">
        <f>IF(SUM($E143:AI143)='1.1 Control Panel'!$E$727,2,0)</f>
        <v>0</v>
      </c>
      <c r="AJ106" s="136">
        <f>IF(SUM($E143:AJ143)='1.1 Control Panel'!$E$727,2,0)</f>
        <v>0</v>
      </c>
      <c r="AK106" s="136">
        <f>IF(SUM($E143:AK143)='1.1 Control Panel'!$E$727,2,0)</f>
        <v>0</v>
      </c>
      <c r="AL106" s="136">
        <f>IF(SUM($E143:AL143)='1.1 Control Panel'!$E$727,2,0)</f>
        <v>0</v>
      </c>
      <c r="AM106" s="136">
        <f>IF(SUM($E143:AM143)='1.1 Control Panel'!$E$727,2,0)</f>
        <v>0</v>
      </c>
      <c r="AN106" s="136">
        <f>IF(SUM($E143:AN143)='1.1 Control Panel'!$E$727,2,0)</f>
        <v>0</v>
      </c>
    </row>
    <row r="107" spans="3:42" x14ac:dyDescent="0.25">
      <c r="K107" s="136">
        <v>1</v>
      </c>
      <c r="L107" s="136">
        <f>IF(SUM($E144:L144)='1.1 Control Panel'!$E$727,2,0)</f>
        <v>0</v>
      </c>
      <c r="M107" s="136">
        <f>IF(SUM($E144:M144)='1.1 Control Panel'!$E$727,2,0)</f>
        <v>0</v>
      </c>
      <c r="N107" s="136">
        <f>IF(SUM($E144:N144)='1.1 Control Panel'!$E$727,2,0)</f>
        <v>0</v>
      </c>
      <c r="O107" s="136">
        <f>IF(SUM($E144:O144)='1.1 Control Panel'!$E$727,2,0)</f>
        <v>0</v>
      </c>
      <c r="P107" s="136">
        <f>IF(SUM($E144:P144)='1.1 Control Panel'!$E$727,2,0)</f>
        <v>2</v>
      </c>
      <c r="Q107" s="136">
        <f>IF(SUM($E144:Q144)='1.1 Control Panel'!$E$727,2,0)</f>
        <v>0</v>
      </c>
      <c r="R107" s="136">
        <f>IF(SUM($E144:R144)='1.1 Control Panel'!$E$727,2,0)</f>
        <v>0</v>
      </c>
      <c r="S107" s="136">
        <f>IF(SUM($E144:S144)='1.1 Control Panel'!$E$727,2,0)</f>
        <v>0</v>
      </c>
      <c r="T107" s="136">
        <f>IF(SUM($E144:T144)='1.1 Control Panel'!$E$727,2,0)</f>
        <v>0</v>
      </c>
      <c r="U107" s="136">
        <f>IF(SUM($E144:U144)='1.1 Control Panel'!$E$727,2,0)</f>
        <v>0</v>
      </c>
      <c r="V107" s="136">
        <f>IF(SUM($E144:V144)='1.1 Control Panel'!$E$727,2,0)</f>
        <v>0</v>
      </c>
      <c r="W107" s="136">
        <f>IF(SUM($E144:W144)='1.1 Control Panel'!$E$727,2,0)</f>
        <v>0</v>
      </c>
      <c r="X107" s="136">
        <f>IF(SUM($E144:X144)='1.1 Control Panel'!$E$727,2,0)</f>
        <v>0</v>
      </c>
      <c r="Y107" s="136">
        <f>IF(SUM($E144:Y144)='1.1 Control Panel'!$E$727,2,0)</f>
        <v>0</v>
      </c>
      <c r="Z107" s="136">
        <f>IF(SUM($E144:Z144)='1.1 Control Panel'!$E$727,2,0)</f>
        <v>0</v>
      </c>
      <c r="AA107" s="136">
        <f>IF(SUM($E144:AA144)='1.1 Control Panel'!$E$727,2,0)</f>
        <v>0</v>
      </c>
      <c r="AB107" s="136">
        <f>IF(SUM($E144:AB144)='1.1 Control Panel'!$E$727,2,0)</f>
        <v>0</v>
      </c>
      <c r="AC107" s="136">
        <f>IF(SUM($E144:AC144)='1.1 Control Panel'!$E$727,2,0)</f>
        <v>0</v>
      </c>
      <c r="AD107" s="136">
        <f>IF(SUM($E144:AD144)='1.1 Control Panel'!$E$727,2,0)</f>
        <v>0</v>
      </c>
      <c r="AE107" s="136">
        <f>IF(SUM($E144:AE144)='1.1 Control Panel'!$E$727,2,0)</f>
        <v>0</v>
      </c>
      <c r="AF107" s="136">
        <f>IF(SUM($E144:AF144)='1.1 Control Panel'!$E$727,2,0)</f>
        <v>0</v>
      </c>
      <c r="AG107" s="136">
        <f>IF(SUM($E144:AG144)='1.1 Control Panel'!$E$727,2,0)</f>
        <v>0</v>
      </c>
      <c r="AH107" s="136">
        <f>IF(SUM($E144:AH144)='1.1 Control Panel'!$E$727,2,0)</f>
        <v>0</v>
      </c>
      <c r="AI107" s="136">
        <f>IF(SUM($E144:AI144)='1.1 Control Panel'!$E$727,2,0)</f>
        <v>0</v>
      </c>
      <c r="AJ107" s="136">
        <f>IF(SUM($E144:AJ144)='1.1 Control Panel'!$E$727,2,0)</f>
        <v>0</v>
      </c>
      <c r="AK107" s="136">
        <f>IF(SUM($E144:AK144)='1.1 Control Panel'!$E$727,2,0)</f>
        <v>0</v>
      </c>
      <c r="AL107" s="136">
        <f>IF(SUM($E144:AL144)='1.1 Control Panel'!$E$727,2,0)</f>
        <v>0</v>
      </c>
      <c r="AM107" s="136">
        <f>IF(SUM($E144:AM144)='1.1 Control Panel'!$E$727,2,0)</f>
        <v>0</v>
      </c>
      <c r="AN107" s="136">
        <f>IF(SUM($E144:AN144)='1.1 Control Panel'!$E$727,2,0)</f>
        <v>0</v>
      </c>
    </row>
    <row r="108" spans="3:42" x14ac:dyDescent="0.25">
      <c r="L108" s="136">
        <v>1</v>
      </c>
      <c r="M108" s="136">
        <f>IF(SUM($E145:M145)='1.1 Control Panel'!$E$727,2,0)</f>
        <v>0</v>
      </c>
      <c r="N108" s="136">
        <f>IF(SUM($E145:N145)='1.1 Control Panel'!$E$727,2,0)</f>
        <v>0</v>
      </c>
      <c r="O108" s="136">
        <f>IF(SUM($E145:O145)='1.1 Control Panel'!$E$727,2,0)</f>
        <v>0</v>
      </c>
      <c r="P108" s="136">
        <f>IF(SUM($E145:P145)='1.1 Control Panel'!$E$727,2,0)</f>
        <v>0</v>
      </c>
      <c r="Q108" s="136">
        <f>IF(SUM($E145:Q145)='1.1 Control Panel'!$E$727,2,0)</f>
        <v>2</v>
      </c>
      <c r="R108" s="136">
        <f>IF(SUM($E145:R145)='1.1 Control Panel'!$E$727,2,0)</f>
        <v>0</v>
      </c>
      <c r="S108" s="136">
        <f>IF(SUM($E145:S145)='1.1 Control Panel'!$E$727,2,0)</f>
        <v>0</v>
      </c>
      <c r="T108" s="136">
        <f>IF(SUM($E145:T145)='1.1 Control Panel'!$E$727,2,0)</f>
        <v>0</v>
      </c>
      <c r="U108" s="136">
        <f>IF(SUM($E145:U145)='1.1 Control Panel'!$E$727,2,0)</f>
        <v>0</v>
      </c>
      <c r="V108" s="136">
        <f>IF(SUM($E145:V145)='1.1 Control Panel'!$E$727,2,0)</f>
        <v>0</v>
      </c>
      <c r="W108" s="136">
        <f>IF(SUM($E145:W145)='1.1 Control Panel'!$E$727,2,0)</f>
        <v>0</v>
      </c>
      <c r="X108" s="136">
        <f>IF(SUM($E145:X145)='1.1 Control Panel'!$E$727,2,0)</f>
        <v>0</v>
      </c>
      <c r="Y108" s="136">
        <f>IF(SUM($E145:Y145)='1.1 Control Panel'!$E$727,2,0)</f>
        <v>0</v>
      </c>
      <c r="Z108" s="136">
        <f>IF(SUM($E145:Z145)='1.1 Control Panel'!$E$727,2,0)</f>
        <v>0</v>
      </c>
      <c r="AA108" s="136">
        <f>IF(SUM($E145:AA145)='1.1 Control Panel'!$E$727,2,0)</f>
        <v>0</v>
      </c>
      <c r="AB108" s="136">
        <f>IF(SUM($E145:AB145)='1.1 Control Panel'!$E$727,2,0)</f>
        <v>0</v>
      </c>
      <c r="AC108" s="136">
        <f>IF(SUM($E145:AC145)='1.1 Control Panel'!$E$727,2,0)</f>
        <v>0</v>
      </c>
      <c r="AD108" s="136">
        <f>IF(SUM($E145:AD145)='1.1 Control Panel'!$E$727,2,0)</f>
        <v>0</v>
      </c>
      <c r="AE108" s="136">
        <f>IF(SUM($E145:AE145)='1.1 Control Panel'!$E$727,2,0)</f>
        <v>0</v>
      </c>
      <c r="AF108" s="136">
        <f>IF(SUM($E145:AF145)='1.1 Control Panel'!$E$727,2,0)</f>
        <v>0</v>
      </c>
      <c r="AG108" s="136">
        <f>IF(SUM($E145:AG145)='1.1 Control Panel'!$E$727,2,0)</f>
        <v>0</v>
      </c>
      <c r="AH108" s="136">
        <f>IF(SUM($E145:AH145)='1.1 Control Panel'!$E$727,2,0)</f>
        <v>0</v>
      </c>
      <c r="AI108" s="136">
        <f>IF(SUM($E145:AI145)='1.1 Control Panel'!$E$727,2,0)</f>
        <v>0</v>
      </c>
      <c r="AJ108" s="136">
        <f>IF(SUM($E145:AJ145)='1.1 Control Panel'!$E$727,2,0)</f>
        <v>0</v>
      </c>
      <c r="AK108" s="136">
        <f>IF(SUM($E145:AK145)='1.1 Control Panel'!$E$727,2,0)</f>
        <v>0</v>
      </c>
      <c r="AL108" s="136">
        <f>IF(SUM($E145:AL145)='1.1 Control Panel'!$E$727,2,0)</f>
        <v>0</v>
      </c>
      <c r="AM108" s="136">
        <f>IF(SUM($E145:AM145)='1.1 Control Panel'!$E$727,2,0)</f>
        <v>0</v>
      </c>
      <c r="AN108" s="136">
        <f>IF(SUM($E145:AN145)='1.1 Control Panel'!$E$727,2,0)</f>
        <v>0</v>
      </c>
    </row>
    <row r="109" spans="3:42" x14ac:dyDescent="0.25">
      <c r="M109" s="136">
        <v>1</v>
      </c>
      <c r="N109" s="136">
        <f>IF(SUM($E146:N146)='1.1 Control Panel'!$E$727,2,0)</f>
        <v>0</v>
      </c>
      <c r="O109" s="136">
        <f>IF(SUM($E146:O146)='1.1 Control Panel'!$E$727,2,0)</f>
        <v>0</v>
      </c>
      <c r="P109" s="136">
        <f>IF(SUM($E146:P146)='1.1 Control Panel'!$E$727,2,0)</f>
        <v>0</v>
      </c>
      <c r="Q109" s="136">
        <f>IF(SUM($E146:Q146)='1.1 Control Panel'!$E$727,2,0)</f>
        <v>0</v>
      </c>
      <c r="R109" s="136">
        <f>IF(SUM($E146:R146)='1.1 Control Panel'!$E$727,2,0)</f>
        <v>2</v>
      </c>
      <c r="S109" s="136">
        <f>IF(SUM($E146:S146)='1.1 Control Panel'!$E$727,2,0)</f>
        <v>0</v>
      </c>
      <c r="T109" s="136">
        <f>IF(SUM($E146:T146)='1.1 Control Panel'!$E$727,2,0)</f>
        <v>0</v>
      </c>
      <c r="U109" s="136">
        <f>IF(SUM($E146:U146)='1.1 Control Panel'!$E$727,2,0)</f>
        <v>0</v>
      </c>
      <c r="V109" s="136">
        <f>IF(SUM($E146:V146)='1.1 Control Panel'!$E$727,2,0)</f>
        <v>0</v>
      </c>
      <c r="W109" s="136">
        <f>IF(SUM($E146:W146)='1.1 Control Panel'!$E$727,2,0)</f>
        <v>0</v>
      </c>
      <c r="X109" s="136">
        <f>IF(SUM($E146:X146)='1.1 Control Panel'!$E$727,2,0)</f>
        <v>0</v>
      </c>
      <c r="Y109" s="136">
        <f>IF(SUM($E146:Y146)='1.1 Control Panel'!$E$727,2,0)</f>
        <v>0</v>
      </c>
      <c r="Z109" s="136">
        <f>IF(SUM($E146:Z146)='1.1 Control Panel'!$E$727,2,0)</f>
        <v>0</v>
      </c>
      <c r="AA109" s="136">
        <f>IF(SUM($E146:AA146)='1.1 Control Panel'!$E$727,2,0)</f>
        <v>0</v>
      </c>
      <c r="AB109" s="136">
        <f>IF(SUM($E146:AB146)='1.1 Control Panel'!$E$727,2,0)</f>
        <v>0</v>
      </c>
      <c r="AC109" s="136">
        <f>IF(SUM($E146:AC146)='1.1 Control Panel'!$E$727,2,0)</f>
        <v>0</v>
      </c>
      <c r="AD109" s="136">
        <f>IF(SUM($E146:AD146)='1.1 Control Panel'!$E$727,2,0)</f>
        <v>0</v>
      </c>
      <c r="AE109" s="136">
        <f>IF(SUM($E146:AE146)='1.1 Control Panel'!$E$727,2,0)</f>
        <v>0</v>
      </c>
      <c r="AF109" s="136">
        <f>IF(SUM($E146:AF146)='1.1 Control Panel'!$E$727,2,0)</f>
        <v>0</v>
      </c>
      <c r="AG109" s="136">
        <f>IF(SUM($E146:AG146)='1.1 Control Panel'!$E$727,2,0)</f>
        <v>0</v>
      </c>
      <c r="AH109" s="136">
        <f>IF(SUM($E146:AH146)='1.1 Control Panel'!$E$727,2,0)</f>
        <v>0</v>
      </c>
      <c r="AI109" s="136">
        <f>IF(SUM($E146:AI146)='1.1 Control Panel'!$E$727,2,0)</f>
        <v>0</v>
      </c>
      <c r="AJ109" s="136">
        <f>IF(SUM($E146:AJ146)='1.1 Control Panel'!$E$727,2,0)</f>
        <v>0</v>
      </c>
      <c r="AK109" s="136">
        <f>IF(SUM($E146:AK146)='1.1 Control Panel'!$E$727,2,0)</f>
        <v>0</v>
      </c>
      <c r="AL109" s="136">
        <f>IF(SUM($E146:AL146)='1.1 Control Panel'!$E$727,2,0)</f>
        <v>0</v>
      </c>
      <c r="AM109" s="136">
        <f>IF(SUM($E146:AM146)='1.1 Control Panel'!$E$727,2,0)</f>
        <v>0</v>
      </c>
      <c r="AN109" s="136">
        <f>IF(SUM($E146:AN146)='1.1 Control Panel'!$E$727,2,0)</f>
        <v>0</v>
      </c>
    </row>
    <row r="110" spans="3:42" x14ac:dyDescent="0.25">
      <c r="N110" s="136">
        <v>1</v>
      </c>
      <c r="O110" s="136">
        <f>IF(SUM($E147:O147)='1.1 Control Panel'!$E$727,2,0)</f>
        <v>0</v>
      </c>
      <c r="P110" s="136">
        <f>IF(SUM($E147:P147)='1.1 Control Panel'!$E$727,2,0)</f>
        <v>0</v>
      </c>
      <c r="Q110" s="136">
        <f>IF(SUM($E147:Q147)='1.1 Control Panel'!$E$727,2,0)</f>
        <v>0</v>
      </c>
      <c r="R110" s="136">
        <f>IF(SUM($E147:R147)='1.1 Control Panel'!$E$727,2,0)</f>
        <v>0</v>
      </c>
      <c r="S110" s="136">
        <f>IF(SUM($E147:S147)='1.1 Control Panel'!$E$727,2,0)</f>
        <v>2</v>
      </c>
      <c r="T110" s="136">
        <f>IF(SUM($E147:T147)='1.1 Control Panel'!$E$727,2,0)</f>
        <v>0</v>
      </c>
      <c r="U110" s="136">
        <f>IF(SUM($E147:U147)='1.1 Control Panel'!$E$727,2,0)</f>
        <v>0</v>
      </c>
      <c r="V110" s="136">
        <f>IF(SUM($E147:V147)='1.1 Control Panel'!$E$727,2,0)</f>
        <v>0</v>
      </c>
      <c r="W110" s="136">
        <f>IF(SUM($E147:W147)='1.1 Control Panel'!$E$727,2,0)</f>
        <v>0</v>
      </c>
      <c r="X110" s="136">
        <f>IF(SUM($E147:X147)='1.1 Control Panel'!$E$727,2,0)</f>
        <v>0</v>
      </c>
      <c r="Y110" s="136">
        <f>IF(SUM($E147:Y147)='1.1 Control Panel'!$E$727,2,0)</f>
        <v>0</v>
      </c>
      <c r="Z110" s="136">
        <f>IF(SUM($E147:Z147)='1.1 Control Panel'!$E$727,2,0)</f>
        <v>0</v>
      </c>
      <c r="AA110" s="136">
        <f>IF(SUM($E147:AA147)='1.1 Control Panel'!$E$727,2,0)</f>
        <v>0</v>
      </c>
      <c r="AB110" s="136">
        <f>IF(SUM($E147:AB147)='1.1 Control Panel'!$E$727,2,0)</f>
        <v>0</v>
      </c>
      <c r="AC110" s="136">
        <f>IF(SUM($E147:AC147)='1.1 Control Panel'!$E$727,2,0)</f>
        <v>0</v>
      </c>
      <c r="AD110" s="136">
        <f>IF(SUM($E147:AD147)='1.1 Control Panel'!$E$727,2,0)</f>
        <v>0</v>
      </c>
      <c r="AE110" s="136">
        <f>IF(SUM($E147:AE147)='1.1 Control Panel'!$E$727,2,0)</f>
        <v>0</v>
      </c>
      <c r="AF110" s="136">
        <f>IF(SUM($E147:AF147)='1.1 Control Panel'!$E$727,2,0)</f>
        <v>0</v>
      </c>
      <c r="AG110" s="136">
        <f>IF(SUM($E147:AG147)='1.1 Control Panel'!$E$727,2,0)</f>
        <v>0</v>
      </c>
      <c r="AH110" s="136">
        <f>IF(SUM($E147:AH147)='1.1 Control Panel'!$E$727,2,0)</f>
        <v>0</v>
      </c>
      <c r="AI110" s="136">
        <f>IF(SUM($E147:AI147)='1.1 Control Panel'!$E$727,2,0)</f>
        <v>0</v>
      </c>
      <c r="AJ110" s="136">
        <f>IF(SUM($E147:AJ147)='1.1 Control Panel'!$E$727,2,0)</f>
        <v>0</v>
      </c>
      <c r="AK110" s="136">
        <f>IF(SUM($E147:AK147)='1.1 Control Panel'!$E$727,2,0)</f>
        <v>0</v>
      </c>
      <c r="AL110" s="136">
        <f>IF(SUM($E147:AL147)='1.1 Control Panel'!$E$727,2,0)</f>
        <v>0</v>
      </c>
      <c r="AM110" s="136">
        <f>IF(SUM($E147:AM147)='1.1 Control Panel'!$E$727,2,0)</f>
        <v>0</v>
      </c>
      <c r="AN110" s="136">
        <f>IF(SUM($E147:AN147)='1.1 Control Panel'!$E$727,2,0)</f>
        <v>0</v>
      </c>
    </row>
    <row r="111" spans="3:42" x14ac:dyDescent="0.25">
      <c r="O111" s="136">
        <v>1</v>
      </c>
      <c r="P111" s="136">
        <f>IF(SUM($E148:P148)='1.1 Control Panel'!$E$727,2,0)</f>
        <v>0</v>
      </c>
      <c r="Q111" s="136">
        <f>IF(SUM($E148:Q148)='1.1 Control Panel'!$E$727,2,0)</f>
        <v>0</v>
      </c>
      <c r="R111" s="136">
        <f>IF(SUM($E148:R148)='1.1 Control Panel'!$E$727,2,0)</f>
        <v>0</v>
      </c>
      <c r="S111" s="136">
        <f>IF(SUM($E148:S148)='1.1 Control Panel'!$E$727,2,0)</f>
        <v>0</v>
      </c>
      <c r="T111" s="136">
        <f>IF(SUM($E148:T148)='1.1 Control Panel'!$E$727,2,0)</f>
        <v>2</v>
      </c>
      <c r="U111" s="136">
        <f>IF(SUM($E148:U148)='1.1 Control Panel'!$E$727,2,0)</f>
        <v>0</v>
      </c>
      <c r="V111" s="136">
        <f>IF(SUM($E148:V148)='1.1 Control Panel'!$E$727,2,0)</f>
        <v>0</v>
      </c>
      <c r="W111" s="136">
        <f>IF(SUM($E148:W148)='1.1 Control Panel'!$E$727,2,0)</f>
        <v>0</v>
      </c>
      <c r="X111" s="136">
        <f>IF(SUM($E148:X148)='1.1 Control Panel'!$E$727,2,0)</f>
        <v>0</v>
      </c>
      <c r="Y111" s="136">
        <f>IF(SUM($E148:Y148)='1.1 Control Panel'!$E$727,2,0)</f>
        <v>0</v>
      </c>
      <c r="Z111" s="136">
        <f>IF(SUM($E148:Z148)='1.1 Control Panel'!$E$727,2,0)</f>
        <v>0</v>
      </c>
      <c r="AA111" s="136">
        <f>IF(SUM($E148:AA148)='1.1 Control Panel'!$E$727,2,0)</f>
        <v>0</v>
      </c>
      <c r="AB111" s="136">
        <f>IF(SUM($E148:AB148)='1.1 Control Panel'!$E$727,2,0)</f>
        <v>0</v>
      </c>
      <c r="AC111" s="136">
        <f>IF(SUM($E148:AC148)='1.1 Control Panel'!$E$727,2,0)</f>
        <v>0</v>
      </c>
      <c r="AD111" s="136">
        <f>IF(SUM($E148:AD148)='1.1 Control Panel'!$E$727,2,0)</f>
        <v>0</v>
      </c>
      <c r="AE111" s="136">
        <f>IF(SUM($E148:AE148)='1.1 Control Panel'!$E$727,2,0)</f>
        <v>0</v>
      </c>
      <c r="AF111" s="136">
        <f>IF(SUM($E148:AF148)='1.1 Control Panel'!$E$727,2,0)</f>
        <v>0</v>
      </c>
      <c r="AG111" s="136">
        <f>IF(SUM($E148:AG148)='1.1 Control Panel'!$E$727,2,0)</f>
        <v>0</v>
      </c>
      <c r="AH111" s="136">
        <f>IF(SUM($E148:AH148)='1.1 Control Panel'!$E$727,2,0)</f>
        <v>0</v>
      </c>
      <c r="AI111" s="136">
        <f>IF(SUM($E148:AI148)='1.1 Control Panel'!$E$727,2,0)</f>
        <v>0</v>
      </c>
      <c r="AJ111" s="136">
        <f>IF(SUM($E148:AJ148)='1.1 Control Panel'!$E$727,2,0)</f>
        <v>0</v>
      </c>
      <c r="AK111" s="136">
        <f>IF(SUM($E148:AK148)='1.1 Control Panel'!$E$727,2,0)</f>
        <v>0</v>
      </c>
      <c r="AL111" s="136">
        <f>IF(SUM($E148:AL148)='1.1 Control Panel'!$E$727,2,0)</f>
        <v>0</v>
      </c>
      <c r="AM111" s="136">
        <f>IF(SUM($E148:AM148)='1.1 Control Panel'!$E$727,2,0)</f>
        <v>0</v>
      </c>
      <c r="AN111" s="136">
        <f>IF(SUM($E148:AN148)='1.1 Control Panel'!$E$727,2,0)</f>
        <v>0</v>
      </c>
    </row>
    <row r="112" spans="3:42" x14ac:dyDescent="0.25">
      <c r="P112" s="136">
        <v>1</v>
      </c>
      <c r="Q112" s="136">
        <f>IF(SUM($E149:Q149)='1.1 Control Panel'!$E$727,2,0)</f>
        <v>0</v>
      </c>
      <c r="R112" s="136">
        <f>IF(SUM($E149:R149)='1.1 Control Panel'!$E$727,2,0)</f>
        <v>0</v>
      </c>
      <c r="S112" s="136">
        <f>IF(SUM($E149:S149)='1.1 Control Panel'!$E$727,2,0)</f>
        <v>0</v>
      </c>
      <c r="T112" s="136">
        <f>IF(SUM($E149:T149)='1.1 Control Panel'!$E$727,2,0)</f>
        <v>0</v>
      </c>
      <c r="U112" s="136">
        <f>IF(SUM($E149:U149)='1.1 Control Panel'!$E$727,2,0)</f>
        <v>2</v>
      </c>
      <c r="V112" s="136">
        <f>IF(SUM($E149:V149)='1.1 Control Panel'!$E$727,2,0)</f>
        <v>0</v>
      </c>
      <c r="W112" s="136">
        <f>IF(SUM($E149:W149)='1.1 Control Panel'!$E$727,2,0)</f>
        <v>0</v>
      </c>
      <c r="X112" s="136">
        <f>IF(SUM($E149:X149)='1.1 Control Panel'!$E$727,2,0)</f>
        <v>0</v>
      </c>
      <c r="Y112" s="136">
        <f>IF(SUM($E149:Y149)='1.1 Control Panel'!$E$727,2,0)</f>
        <v>0</v>
      </c>
      <c r="Z112" s="136">
        <f>IF(SUM($E149:Z149)='1.1 Control Panel'!$E$727,2,0)</f>
        <v>0</v>
      </c>
      <c r="AA112" s="136">
        <f>IF(SUM($E149:AA149)='1.1 Control Panel'!$E$727,2,0)</f>
        <v>0</v>
      </c>
      <c r="AB112" s="136">
        <f>IF(SUM($E149:AB149)='1.1 Control Panel'!$E$727,2,0)</f>
        <v>0</v>
      </c>
      <c r="AC112" s="136">
        <f>IF(SUM($E149:AC149)='1.1 Control Panel'!$E$727,2,0)</f>
        <v>0</v>
      </c>
      <c r="AD112" s="136">
        <f>IF(SUM($E149:AD149)='1.1 Control Panel'!$E$727,2,0)</f>
        <v>0</v>
      </c>
      <c r="AE112" s="136">
        <f>IF(SUM($E149:AE149)='1.1 Control Panel'!$E$727,2,0)</f>
        <v>0</v>
      </c>
      <c r="AF112" s="136">
        <f>IF(SUM($E149:AF149)='1.1 Control Panel'!$E$727,2,0)</f>
        <v>0</v>
      </c>
      <c r="AG112" s="136">
        <f>IF(SUM($E149:AG149)='1.1 Control Panel'!$E$727,2,0)</f>
        <v>0</v>
      </c>
      <c r="AH112" s="136">
        <f>IF(SUM($E149:AH149)='1.1 Control Panel'!$E$727,2,0)</f>
        <v>0</v>
      </c>
      <c r="AI112" s="136">
        <f>IF(SUM($E149:AI149)='1.1 Control Panel'!$E$727,2,0)</f>
        <v>0</v>
      </c>
      <c r="AJ112" s="136">
        <f>IF(SUM($E149:AJ149)='1.1 Control Panel'!$E$727,2,0)</f>
        <v>0</v>
      </c>
      <c r="AK112" s="136">
        <f>IF(SUM($E149:AK149)='1.1 Control Panel'!$E$727,2,0)</f>
        <v>0</v>
      </c>
      <c r="AL112" s="136">
        <f>IF(SUM($E149:AL149)='1.1 Control Panel'!$E$727,2,0)</f>
        <v>0</v>
      </c>
      <c r="AM112" s="136">
        <f>IF(SUM($E149:AM149)='1.1 Control Panel'!$E$727,2,0)</f>
        <v>0</v>
      </c>
      <c r="AN112" s="136">
        <f>IF(SUM($E149:AN149)='1.1 Control Panel'!$E$727,2,0)</f>
        <v>0</v>
      </c>
    </row>
    <row r="113" spans="17:40" x14ac:dyDescent="0.25">
      <c r="Q113" s="136">
        <v>1</v>
      </c>
      <c r="R113" s="136">
        <f>IF(SUM($E150:R150)='1.1 Control Panel'!$E$727,2,0)</f>
        <v>0</v>
      </c>
      <c r="S113" s="136">
        <f>IF(SUM($E150:S150)='1.1 Control Panel'!$E$727,2,0)</f>
        <v>0</v>
      </c>
      <c r="T113" s="136">
        <f>IF(SUM($E150:T150)='1.1 Control Panel'!$E$727,2,0)</f>
        <v>0</v>
      </c>
      <c r="U113" s="136">
        <f>IF(SUM($E150:U150)='1.1 Control Panel'!$E$727,2,0)</f>
        <v>0</v>
      </c>
      <c r="V113" s="136">
        <f>IF(SUM($E150:V150)='1.1 Control Panel'!$E$727,2,0)</f>
        <v>2</v>
      </c>
      <c r="W113" s="136">
        <f>IF(SUM($E150:W150)='1.1 Control Panel'!$E$727,2,0)</f>
        <v>0</v>
      </c>
      <c r="X113" s="136">
        <f>IF(SUM($E150:X150)='1.1 Control Panel'!$E$727,2,0)</f>
        <v>0</v>
      </c>
      <c r="Y113" s="136">
        <f>IF(SUM($E150:Y150)='1.1 Control Panel'!$E$727,2,0)</f>
        <v>0</v>
      </c>
      <c r="Z113" s="136">
        <f>IF(SUM($E150:Z150)='1.1 Control Panel'!$E$727,2,0)</f>
        <v>0</v>
      </c>
      <c r="AA113" s="136">
        <f>IF(SUM($E150:AA150)='1.1 Control Panel'!$E$727,2,0)</f>
        <v>0</v>
      </c>
      <c r="AB113" s="136">
        <f>IF(SUM($E150:AB150)='1.1 Control Panel'!$E$727,2,0)</f>
        <v>0</v>
      </c>
      <c r="AC113" s="136">
        <f>IF(SUM($E150:AC150)='1.1 Control Panel'!$E$727,2,0)</f>
        <v>0</v>
      </c>
      <c r="AD113" s="136">
        <f>IF(SUM($E150:AD150)='1.1 Control Panel'!$E$727,2,0)</f>
        <v>0</v>
      </c>
      <c r="AE113" s="136">
        <f>IF(SUM($E150:AE150)='1.1 Control Panel'!$E$727,2,0)</f>
        <v>0</v>
      </c>
      <c r="AF113" s="136">
        <f>IF(SUM($E150:AF150)='1.1 Control Panel'!$E$727,2,0)</f>
        <v>0</v>
      </c>
      <c r="AG113" s="136">
        <f>IF(SUM($E150:AG150)='1.1 Control Panel'!$E$727,2,0)</f>
        <v>0</v>
      </c>
      <c r="AH113" s="136">
        <f>IF(SUM($E150:AH150)='1.1 Control Panel'!$E$727,2,0)</f>
        <v>0</v>
      </c>
      <c r="AI113" s="136">
        <f>IF(SUM($E150:AI150)='1.1 Control Panel'!$E$727,2,0)</f>
        <v>0</v>
      </c>
      <c r="AJ113" s="136">
        <f>IF(SUM($E150:AJ150)='1.1 Control Panel'!$E$727,2,0)</f>
        <v>0</v>
      </c>
      <c r="AK113" s="136">
        <f>IF(SUM($E150:AK150)='1.1 Control Panel'!$E$727,2,0)</f>
        <v>0</v>
      </c>
      <c r="AL113" s="136">
        <f>IF(SUM($E150:AL150)='1.1 Control Panel'!$E$727,2,0)</f>
        <v>0</v>
      </c>
      <c r="AM113" s="136">
        <f>IF(SUM($E150:AM150)='1.1 Control Panel'!$E$727,2,0)</f>
        <v>0</v>
      </c>
      <c r="AN113" s="136">
        <f>IF(SUM($E150:AN150)='1.1 Control Panel'!$E$727,2,0)</f>
        <v>0</v>
      </c>
    </row>
    <row r="114" spans="17:40" x14ac:dyDescent="0.25">
      <c r="R114" s="136">
        <v>1</v>
      </c>
      <c r="S114" s="136">
        <f>IF(SUM($E151:S151)='1.1 Control Panel'!$E$727,2,0)</f>
        <v>0</v>
      </c>
      <c r="T114" s="136">
        <f>IF(SUM($E151:T151)='1.1 Control Panel'!$E$727,2,0)</f>
        <v>0</v>
      </c>
      <c r="U114" s="136">
        <f>IF(SUM($E151:U151)='1.1 Control Panel'!$E$727,2,0)</f>
        <v>0</v>
      </c>
      <c r="V114" s="136">
        <f>IF(SUM($E151:V151)='1.1 Control Panel'!$E$727,2,0)</f>
        <v>0</v>
      </c>
      <c r="W114" s="136">
        <f>IF(SUM($E151:W151)='1.1 Control Panel'!$E$727,2,0)</f>
        <v>2</v>
      </c>
      <c r="X114" s="136">
        <f>IF(SUM($E151:X151)='1.1 Control Panel'!$E$727,2,0)</f>
        <v>0</v>
      </c>
      <c r="Y114" s="136">
        <f>IF(SUM($E151:Y151)='1.1 Control Panel'!$E$727,2,0)</f>
        <v>0</v>
      </c>
      <c r="Z114" s="136">
        <f>IF(SUM($E151:Z151)='1.1 Control Panel'!$E$727,2,0)</f>
        <v>0</v>
      </c>
      <c r="AA114" s="136">
        <f>IF(SUM($E151:AA151)='1.1 Control Panel'!$E$727,2,0)</f>
        <v>0</v>
      </c>
      <c r="AB114" s="136">
        <f>IF(SUM($E151:AB151)='1.1 Control Panel'!$E$727,2,0)</f>
        <v>0</v>
      </c>
      <c r="AC114" s="136">
        <f>IF(SUM($E151:AC151)='1.1 Control Panel'!$E$727,2,0)</f>
        <v>0</v>
      </c>
      <c r="AD114" s="136">
        <f>IF(SUM($E151:AD151)='1.1 Control Panel'!$E$727,2,0)</f>
        <v>0</v>
      </c>
      <c r="AE114" s="136">
        <f>IF(SUM($E151:AE151)='1.1 Control Panel'!$E$727,2,0)</f>
        <v>0</v>
      </c>
      <c r="AF114" s="136">
        <f>IF(SUM($E151:AF151)='1.1 Control Panel'!$E$727,2,0)</f>
        <v>0</v>
      </c>
      <c r="AG114" s="136">
        <f>IF(SUM($E151:AG151)='1.1 Control Panel'!$E$727,2,0)</f>
        <v>0</v>
      </c>
      <c r="AH114" s="136">
        <f>IF(SUM($E151:AH151)='1.1 Control Panel'!$E$727,2,0)</f>
        <v>0</v>
      </c>
      <c r="AI114" s="136">
        <f>IF(SUM($E151:AI151)='1.1 Control Panel'!$E$727,2,0)</f>
        <v>0</v>
      </c>
      <c r="AJ114" s="136">
        <f>IF(SUM($E151:AJ151)='1.1 Control Panel'!$E$727,2,0)</f>
        <v>0</v>
      </c>
      <c r="AK114" s="136">
        <f>IF(SUM($E151:AK151)='1.1 Control Panel'!$E$727,2,0)</f>
        <v>0</v>
      </c>
      <c r="AL114" s="136">
        <f>IF(SUM($E151:AL151)='1.1 Control Panel'!$E$727,2,0)</f>
        <v>0</v>
      </c>
      <c r="AM114" s="136">
        <f>IF(SUM($E151:AM151)='1.1 Control Panel'!$E$727,2,0)</f>
        <v>0</v>
      </c>
      <c r="AN114" s="136">
        <f>IF(SUM($E151:AN151)='1.1 Control Panel'!$E$727,2,0)</f>
        <v>0</v>
      </c>
    </row>
    <row r="115" spans="17:40" x14ac:dyDescent="0.25">
      <c r="S115" s="136">
        <v>1</v>
      </c>
      <c r="T115" s="136">
        <f>IF(SUM($E152:T152)='1.1 Control Panel'!$E$727,2,0)</f>
        <v>0</v>
      </c>
      <c r="U115" s="136">
        <f>IF(SUM($E152:U152)='1.1 Control Panel'!$E$727,2,0)</f>
        <v>0</v>
      </c>
      <c r="V115" s="136">
        <f>IF(SUM($E152:V152)='1.1 Control Panel'!$E$727,2,0)</f>
        <v>0</v>
      </c>
      <c r="W115" s="136">
        <f>IF(SUM($E152:W152)='1.1 Control Panel'!$E$727,2,0)</f>
        <v>0</v>
      </c>
      <c r="X115" s="136">
        <f>IF(SUM($E152:X152)='1.1 Control Panel'!$E$727,2,0)</f>
        <v>2</v>
      </c>
      <c r="Y115" s="136">
        <f>IF(SUM($E152:Y152)='1.1 Control Panel'!$E$727,2,0)</f>
        <v>0</v>
      </c>
      <c r="Z115" s="136">
        <f>IF(SUM($E152:Z152)='1.1 Control Panel'!$E$727,2,0)</f>
        <v>0</v>
      </c>
      <c r="AA115" s="136">
        <f>IF(SUM($E152:AA152)='1.1 Control Panel'!$E$727,2,0)</f>
        <v>0</v>
      </c>
      <c r="AB115" s="136">
        <f>IF(SUM($E152:AB152)='1.1 Control Panel'!$E$727,2,0)</f>
        <v>0</v>
      </c>
      <c r="AC115" s="136">
        <f>IF(SUM($E152:AC152)='1.1 Control Panel'!$E$727,2,0)</f>
        <v>0</v>
      </c>
      <c r="AD115" s="136">
        <f>IF(SUM($E152:AD152)='1.1 Control Panel'!$E$727,2,0)</f>
        <v>0</v>
      </c>
      <c r="AE115" s="136">
        <f>IF(SUM($E152:AE152)='1.1 Control Panel'!$E$727,2,0)</f>
        <v>0</v>
      </c>
      <c r="AF115" s="136">
        <f>IF(SUM($E152:AF152)='1.1 Control Panel'!$E$727,2,0)</f>
        <v>0</v>
      </c>
      <c r="AG115" s="136">
        <f>IF(SUM($E152:AG152)='1.1 Control Panel'!$E$727,2,0)</f>
        <v>0</v>
      </c>
      <c r="AH115" s="136">
        <f>IF(SUM($E152:AH152)='1.1 Control Panel'!$E$727,2,0)</f>
        <v>0</v>
      </c>
      <c r="AI115" s="136">
        <f>IF(SUM($E152:AI152)='1.1 Control Panel'!$E$727,2,0)</f>
        <v>0</v>
      </c>
      <c r="AJ115" s="136">
        <f>IF(SUM($E152:AJ152)='1.1 Control Panel'!$E$727,2,0)</f>
        <v>0</v>
      </c>
      <c r="AK115" s="136">
        <f>IF(SUM($E152:AK152)='1.1 Control Panel'!$E$727,2,0)</f>
        <v>0</v>
      </c>
      <c r="AL115" s="136">
        <f>IF(SUM($E152:AL152)='1.1 Control Panel'!$E$727,2,0)</f>
        <v>0</v>
      </c>
      <c r="AM115" s="136">
        <f>IF(SUM($E152:AM152)='1.1 Control Panel'!$E$727,2,0)</f>
        <v>0</v>
      </c>
      <c r="AN115" s="136">
        <f>IF(SUM($E152:AN152)='1.1 Control Panel'!$E$727,2,0)</f>
        <v>0</v>
      </c>
    </row>
    <row r="116" spans="17:40" x14ac:dyDescent="0.25">
      <c r="T116" s="136">
        <v>1</v>
      </c>
      <c r="U116" s="136">
        <f>IF(SUM($E153:U153)='1.1 Control Panel'!$E$727,2,0)</f>
        <v>0</v>
      </c>
      <c r="V116" s="136">
        <f>IF(SUM($E153:V153)='1.1 Control Panel'!$E$727,2,0)</f>
        <v>0</v>
      </c>
      <c r="W116" s="136">
        <f>IF(SUM($E153:W153)='1.1 Control Panel'!$E$727,2,0)</f>
        <v>0</v>
      </c>
      <c r="X116" s="136">
        <f>IF(SUM($E153:X153)='1.1 Control Panel'!$E$727,2,0)</f>
        <v>0</v>
      </c>
      <c r="Y116" s="136">
        <f>IF(SUM($E153:Y153)='1.1 Control Panel'!$E$727,2,0)</f>
        <v>2</v>
      </c>
      <c r="Z116" s="136">
        <f>IF(SUM($E153:Z153)='1.1 Control Panel'!$E$727,2,0)</f>
        <v>0</v>
      </c>
      <c r="AA116" s="136">
        <f>IF(SUM($E153:AA153)='1.1 Control Panel'!$E$727,2,0)</f>
        <v>0</v>
      </c>
      <c r="AB116" s="136">
        <f>IF(SUM($E153:AB153)='1.1 Control Panel'!$E$727,2,0)</f>
        <v>0</v>
      </c>
      <c r="AC116" s="136">
        <f>IF(SUM($E153:AC153)='1.1 Control Panel'!$E$727,2,0)</f>
        <v>0</v>
      </c>
      <c r="AD116" s="136">
        <f>IF(SUM($E153:AD153)='1.1 Control Panel'!$E$727,2,0)</f>
        <v>0</v>
      </c>
      <c r="AE116" s="136">
        <f>IF(SUM($E153:AE153)='1.1 Control Panel'!$E$727,2,0)</f>
        <v>0</v>
      </c>
      <c r="AF116" s="136">
        <f>IF(SUM($E153:AF153)='1.1 Control Panel'!$E$727,2,0)</f>
        <v>0</v>
      </c>
      <c r="AG116" s="136">
        <f>IF(SUM($E153:AG153)='1.1 Control Panel'!$E$727,2,0)</f>
        <v>0</v>
      </c>
      <c r="AH116" s="136">
        <f>IF(SUM($E153:AH153)='1.1 Control Panel'!$E$727,2,0)</f>
        <v>0</v>
      </c>
      <c r="AI116" s="136">
        <f>IF(SUM($E153:AI153)='1.1 Control Panel'!$E$727,2,0)</f>
        <v>0</v>
      </c>
      <c r="AJ116" s="136">
        <f>IF(SUM($E153:AJ153)='1.1 Control Panel'!$E$727,2,0)</f>
        <v>0</v>
      </c>
      <c r="AK116" s="136">
        <f>IF(SUM($E153:AK153)='1.1 Control Panel'!$E$727,2,0)</f>
        <v>0</v>
      </c>
      <c r="AL116" s="136">
        <f>IF(SUM($E153:AL153)='1.1 Control Panel'!$E$727,2,0)</f>
        <v>0</v>
      </c>
      <c r="AM116" s="136">
        <f>IF(SUM($E153:AM153)='1.1 Control Panel'!$E$727,2,0)</f>
        <v>0</v>
      </c>
      <c r="AN116" s="136">
        <f>IF(SUM($E153:AN153)='1.1 Control Panel'!$E$727,2,0)</f>
        <v>0</v>
      </c>
    </row>
    <row r="117" spans="17:40" x14ac:dyDescent="0.25">
      <c r="U117" s="136">
        <v>1</v>
      </c>
      <c r="V117" s="136">
        <f>IF(SUM($E154:V154)='1.1 Control Panel'!$E$727,2,0)</f>
        <v>0</v>
      </c>
      <c r="W117" s="136">
        <f>IF(SUM($E154:W154)='1.1 Control Panel'!$E$727,2,0)</f>
        <v>0</v>
      </c>
      <c r="X117" s="136">
        <f>IF(SUM($E154:X154)='1.1 Control Panel'!$E$727,2,0)</f>
        <v>0</v>
      </c>
      <c r="Y117" s="136">
        <f>IF(SUM($E154:Y154)='1.1 Control Panel'!$E$727,2,0)</f>
        <v>0</v>
      </c>
      <c r="Z117" s="136">
        <f>IF(SUM($E154:Z154)='1.1 Control Panel'!$E$727,2,0)</f>
        <v>2</v>
      </c>
      <c r="AA117" s="136">
        <f>IF(SUM($E154:AA154)='1.1 Control Panel'!$E$727,2,0)</f>
        <v>0</v>
      </c>
      <c r="AB117" s="136">
        <f>IF(SUM($E154:AB154)='1.1 Control Panel'!$E$727,2,0)</f>
        <v>0</v>
      </c>
      <c r="AC117" s="136">
        <f>IF(SUM($E154:AC154)='1.1 Control Panel'!$E$727,2,0)</f>
        <v>0</v>
      </c>
      <c r="AD117" s="136">
        <f>IF(SUM($E154:AD154)='1.1 Control Panel'!$E$727,2,0)</f>
        <v>0</v>
      </c>
      <c r="AE117" s="136">
        <f>IF(SUM($E154:AE154)='1.1 Control Panel'!$E$727,2,0)</f>
        <v>0</v>
      </c>
      <c r="AF117" s="136">
        <f>IF(SUM($E154:AF154)='1.1 Control Panel'!$E$727,2,0)</f>
        <v>0</v>
      </c>
      <c r="AG117" s="136">
        <f>IF(SUM($E154:AG154)='1.1 Control Panel'!$E$727,2,0)</f>
        <v>0</v>
      </c>
      <c r="AH117" s="136">
        <f>IF(SUM($E154:AH154)='1.1 Control Panel'!$E$727,2,0)</f>
        <v>0</v>
      </c>
      <c r="AI117" s="136">
        <f>IF(SUM($E154:AI154)='1.1 Control Panel'!$E$727,2,0)</f>
        <v>0</v>
      </c>
      <c r="AJ117" s="136">
        <f>IF(SUM($E154:AJ154)='1.1 Control Panel'!$E$727,2,0)</f>
        <v>0</v>
      </c>
      <c r="AK117" s="136">
        <f>IF(SUM($E154:AK154)='1.1 Control Panel'!$E$727,2,0)</f>
        <v>0</v>
      </c>
      <c r="AL117" s="136">
        <f>IF(SUM($E154:AL154)='1.1 Control Panel'!$E$727,2,0)</f>
        <v>0</v>
      </c>
      <c r="AM117" s="136">
        <f>IF(SUM($E154:AM154)='1.1 Control Panel'!$E$727,2,0)</f>
        <v>0</v>
      </c>
      <c r="AN117" s="136">
        <f>IF(SUM($E154:AN154)='1.1 Control Panel'!$E$727,2,0)</f>
        <v>0</v>
      </c>
    </row>
    <row r="118" spans="17:40" x14ac:dyDescent="0.25">
      <c r="V118" s="136">
        <v>1</v>
      </c>
      <c r="W118" s="136">
        <f>IF(SUM($E155:W155)='1.1 Control Panel'!$E$727,2,0)</f>
        <v>0</v>
      </c>
      <c r="X118" s="136">
        <f>IF(SUM($E155:X155)='1.1 Control Panel'!$E$727,2,0)</f>
        <v>0</v>
      </c>
      <c r="Y118" s="136">
        <f>IF(SUM($E155:Y155)='1.1 Control Panel'!$E$727,2,0)</f>
        <v>0</v>
      </c>
      <c r="Z118" s="136">
        <f>IF(SUM($E155:Z155)='1.1 Control Panel'!$E$727,2,0)</f>
        <v>0</v>
      </c>
      <c r="AA118" s="136">
        <f>IF(SUM($E155:AA155)='1.1 Control Panel'!$E$727,2,0)</f>
        <v>2</v>
      </c>
      <c r="AB118" s="136">
        <f>IF(SUM($E155:AB155)='1.1 Control Panel'!$E$727,2,0)</f>
        <v>0</v>
      </c>
      <c r="AC118" s="136">
        <f>IF(SUM($E155:AC155)='1.1 Control Panel'!$E$727,2,0)</f>
        <v>0</v>
      </c>
      <c r="AD118" s="136">
        <f>IF(SUM($E155:AD155)='1.1 Control Panel'!$E$727,2,0)</f>
        <v>0</v>
      </c>
      <c r="AE118" s="136">
        <f>IF(SUM($E155:AE155)='1.1 Control Panel'!$E$727,2,0)</f>
        <v>0</v>
      </c>
      <c r="AF118" s="136">
        <f>IF(SUM($E155:AF155)='1.1 Control Panel'!$E$727,2,0)</f>
        <v>0</v>
      </c>
      <c r="AG118" s="136">
        <f>IF(SUM($E155:AG155)='1.1 Control Panel'!$E$727,2,0)</f>
        <v>0</v>
      </c>
      <c r="AH118" s="136">
        <f>IF(SUM($E155:AH155)='1.1 Control Panel'!$E$727,2,0)</f>
        <v>0</v>
      </c>
      <c r="AI118" s="136">
        <f>IF(SUM($E155:AI155)='1.1 Control Panel'!$E$727,2,0)</f>
        <v>0</v>
      </c>
      <c r="AJ118" s="136">
        <f>IF(SUM($E155:AJ155)='1.1 Control Panel'!$E$727,2,0)</f>
        <v>0</v>
      </c>
      <c r="AK118" s="136">
        <f>IF(SUM($E155:AK155)='1.1 Control Panel'!$E$727,2,0)</f>
        <v>0</v>
      </c>
      <c r="AL118" s="136">
        <f>IF(SUM($E155:AL155)='1.1 Control Panel'!$E$727,2,0)</f>
        <v>0</v>
      </c>
      <c r="AM118" s="136">
        <f>IF(SUM($E155:AM155)='1.1 Control Panel'!$E$727,2,0)</f>
        <v>0</v>
      </c>
      <c r="AN118" s="136">
        <f>IF(SUM($E155:AN155)='1.1 Control Panel'!$E$727,2,0)</f>
        <v>0</v>
      </c>
    </row>
    <row r="119" spans="17:40" x14ac:dyDescent="0.25">
      <c r="W119" s="136">
        <v>1</v>
      </c>
      <c r="X119" s="136">
        <f>IF(SUM($E156:X156)='1.1 Control Panel'!$E$727,2,0)</f>
        <v>0</v>
      </c>
      <c r="Y119" s="136">
        <f>IF(SUM($E156:Y156)='1.1 Control Panel'!$E$727,2,0)</f>
        <v>0</v>
      </c>
      <c r="Z119" s="136">
        <f>IF(SUM($E156:Z156)='1.1 Control Panel'!$E$727,2,0)</f>
        <v>0</v>
      </c>
      <c r="AA119" s="136">
        <f>IF(SUM($E156:AA156)='1.1 Control Panel'!$E$727,2,0)</f>
        <v>0</v>
      </c>
      <c r="AB119" s="136">
        <f>IF(SUM($E156:AB156)='1.1 Control Panel'!$E$727,2,0)</f>
        <v>2</v>
      </c>
      <c r="AC119" s="136">
        <f>IF(SUM($E156:AC156)='1.1 Control Panel'!$E$727,2,0)</f>
        <v>0</v>
      </c>
      <c r="AD119" s="136">
        <f>IF(SUM($E156:AD156)='1.1 Control Panel'!$E$727,2,0)</f>
        <v>0</v>
      </c>
      <c r="AE119" s="136">
        <f>IF(SUM($E156:AE156)='1.1 Control Panel'!$E$727,2,0)</f>
        <v>0</v>
      </c>
      <c r="AF119" s="136">
        <f>IF(SUM($E156:AF156)='1.1 Control Panel'!$E$727,2,0)</f>
        <v>0</v>
      </c>
      <c r="AG119" s="136">
        <f>IF(SUM($E156:AG156)='1.1 Control Panel'!$E$727,2,0)</f>
        <v>0</v>
      </c>
      <c r="AH119" s="136">
        <f>IF(SUM($E156:AH156)='1.1 Control Panel'!$E$727,2,0)</f>
        <v>0</v>
      </c>
      <c r="AI119" s="136">
        <f>IF(SUM($E156:AI156)='1.1 Control Panel'!$E$727,2,0)</f>
        <v>0</v>
      </c>
      <c r="AJ119" s="136">
        <f>IF(SUM($E156:AJ156)='1.1 Control Panel'!$E$727,2,0)</f>
        <v>0</v>
      </c>
      <c r="AK119" s="136">
        <f>IF(SUM($E156:AK156)='1.1 Control Panel'!$E$727,2,0)</f>
        <v>0</v>
      </c>
      <c r="AL119" s="136">
        <f>IF(SUM($E156:AL156)='1.1 Control Panel'!$E$727,2,0)</f>
        <v>0</v>
      </c>
      <c r="AM119" s="136">
        <f>IF(SUM($E156:AM156)='1.1 Control Panel'!$E$727,2,0)</f>
        <v>0</v>
      </c>
      <c r="AN119" s="136">
        <f>IF(SUM($E156:AN156)='1.1 Control Panel'!$E$727,2,0)</f>
        <v>0</v>
      </c>
    </row>
    <row r="120" spans="17:40" x14ac:dyDescent="0.25">
      <c r="X120" s="136">
        <v>1</v>
      </c>
      <c r="Y120" s="136">
        <f>IF(SUM($E157:Y157)='1.1 Control Panel'!$E$727,2,0)</f>
        <v>0</v>
      </c>
      <c r="Z120" s="136">
        <f>IF(SUM($E157:Z157)='1.1 Control Panel'!$E$727,2,0)</f>
        <v>0</v>
      </c>
      <c r="AA120" s="136">
        <f>IF(SUM($E157:AA157)='1.1 Control Panel'!$E$727,2,0)</f>
        <v>0</v>
      </c>
      <c r="AB120" s="136">
        <f>IF(SUM($E157:AB157)='1.1 Control Panel'!$E$727,2,0)</f>
        <v>0</v>
      </c>
      <c r="AC120" s="136">
        <f>IF(SUM($E157:AC157)='1.1 Control Panel'!$E$727,2,0)</f>
        <v>2</v>
      </c>
      <c r="AD120" s="136">
        <f>IF(SUM($E157:AD157)='1.1 Control Panel'!$E$727,2,0)</f>
        <v>0</v>
      </c>
      <c r="AE120" s="136">
        <f>IF(SUM($E157:AE157)='1.1 Control Panel'!$E$727,2,0)</f>
        <v>0</v>
      </c>
      <c r="AF120" s="136">
        <f>IF(SUM($E157:AF157)='1.1 Control Panel'!$E$727,2,0)</f>
        <v>0</v>
      </c>
      <c r="AG120" s="136">
        <f>IF(SUM($E157:AG157)='1.1 Control Panel'!$E$727,2,0)</f>
        <v>0</v>
      </c>
      <c r="AH120" s="136">
        <f>IF(SUM($E157:AH157)='1.1 Control Panel'!$E$727,2,0)</f>
        <v>0</v>
      </c>
      <c r="AI120" s="136">
        <f>IF(SUM($E157:AI157)='1.1 Control Panel'!$E$727,2,0)</f>
        <v>0</v>
      </c>
      <c r="AJ120" s="136">
        <f>IF(SUM($E157:AJ157)='1.1 Control Panel'!$E$727,2,0)</f>
        <v>0</v>
      </c>
      <c r="AK120" s="136">
        <f>IF(SUM($E157:AK157)='1.1 Control Panel'!$E$727,2,0)</f>
        <v>0</v>
      </c>
      <c r="AL120" s="136">
        <f>IF(SUM($E157:AL157)='1.1 Control Panel'!$E$727,2,0)</f>
        <v>0</v>
      </c>
      <c r="AM120" s="136">
        <f>IF(SUM($E157:AM157)='1.1 Control Panel'!$E$727,2,0)</f>
        <v>0</v>
      </c>
      <c r="AN120" s="136">
        <f>IF(SUM($E157:AN157)='1.1 Control Panel'!$E$727,2,0)</f>
        <v>0</v>
      </c>
    </row>
    <row r="121" spans="17:40" x14ac:dyDescent="0.25">
      <c r="Y121" s="136">
        <v>1</v>
      </c>
      <c r="Z121" s="136">
        <f>IF(SUM($E158:Z158)='1.1 Control Panel'!$E$727,2,0)</f>
        <v>0</v>
      </c>
      <c r="AA121" s="136">
        <f>IF(SUM($E158:AA158)='1.1 Control Panel'!$E$727,2,0)</f>
        <v>0</v>
      </c>
      <c r="AB121" s="136">
        <f>IF(SUM($E158:AB158)='1.1 Control Panel'!$E$727,2,0)</f>
        <v>0</v>
      </c>
      <c r="AC121" s="136">
        <f>IF(SUM($E158:AC158)='1.1 Control Panel'!$E$727,2,0)</f>
        <v>0</v>
      </c>
      <c r="AD121" s="136">
        <f>IF(SUM($E158:AD158)='1.1 Control Panel'!$E$727,2,0)</f>
        <v>2</v>
      </c>
      <c r="AE121" s="136">
        <f>IF(SUM($E158:AE158)='1.1 Control Panel'!$E$727,2,0)</f>
        <v>0</v>
      </c>
      <c r="AF121" s="136">
        <f>IF(SUM($E158:AF158)='1.1 Control Panel'!$E$727,2,0)</f>
        <v>0</v>
      </c>
      <c r="AG121" s="136">
        <f>IF(SUM($E158:AG158)='1.1 Control Panel'!$E$727,2,0)</f>
        <v>0</v>
      </c>
      <c r="AH121" s="136">
        <f>IF(SUM($E158:AH158)='1.1 Control Panel'!$E$727,2,0)</f>
        <v>0</v>
      </c>
      <c r="AI121" s="136">
        <f>IF(SUM($E158:AI158)='1.1 Control Panel'!$E$727,2,0)</f>
        <v>0</v>
      </c>
      <c r="AJ121" s="136">
        <f>IF(SUM($E158:AJ158)='1.1 Control Panel'!$E$727,2,0)</f>
        <v>0</v>
      </c>
      <c r="AK121" s="136">
        <f>IF(SUM($E158:AK158)='1.1 Control Panel'!$E$727,2,0)</f>
        <v>0</v>
      </c>
      <c r="AL121" s="136">
        <f>IF(SUM($E158:AL158)='1.1 Control Panel'!$E$727,2,0)</f>
        <v>0</v>
      </c>
      <c r="AM121" s="136">
        <f>IF(SUM($E158:AM158)='1.1 Control Panel'!$E$727,2,0)</f>
        <v>0</v>
      </c>
      <c r="AN121" s="136">
        <f>IF(SUM($E158:AN158)='1.1 Control Panel'!$E$727,2,0)</f>
        <v>0</v>
      </c>
    </row>
    <row r="122" spans="17:40" x14ac:dyDescent="0.25">
      <c r="Z122" s="136">
        <v>1</v>
      </c>
      <c r="AA122" s="136">
        <f>IF(SUM($E159:AA159)='1.1 Control Panel'!$E$727,2,0)</f>
        <v>0</v>
      </c>
      <c r="AB122" s="136">
        <f>IF(SUM($E159:AB159)='1.1 Control Panel'!$E$727,2,0)</f>
        <v>0</v>
      </c>
      <c r="AC122" s="136">
        <f>IF(SUM($E159:AC159)='1.1 Control Panel'!$E$727,2,0)</f>
        <v>0</v>
      </c>
      <c r="AD122" s="136">
        <f>IF(SUM($E159:AD159)='1.1 Control Panel'!$E$727,2,0)</f>
        <v>0</v>
      </c>
      <c r="AE122" s="136">
        <f>IF(SUM($E159:AE159)='1.1 Control Panel'!$E$727,2,0)</f>
        <v>2</v>
      </c>
      <c r="AF122" s="136">
        <f>IF(SUM($E159:AF159)='1.1 Control Panel'!$E$727,2,0)</f>
        <v>0</v>
      </c>
      <c r="AG122" s="136">
        <f>IF(SUM($E159:AG159)='1.1 Control Panel'!$E$727,2,0)</f>
        <v>0</v>
      </c>
      <c r="AH122" s="136">
        <f>IF(SUM($E159:AH159)='1.1 Control Panel'!$E$727,2,0)</f>
        <v>0</v>
      </c>
      <c r="AI122" s="136">
        <f>IF(SUM($E159:AI159)='1.1 Control Panel'!$E$727,2,0)</f>
        <v>0</v>
      </c>
      <c r="AJ122" s="136">
        <f>IF(SUM($E159:AJ159)='1.1 Control Panel'!$E$727,2,0)</f>
        <v>0</v>
      </c>
      <c r="AK122" s="136">
        <f>IF(SUM($E159:AK159)='1.1 Control Panel'!$E$727,2,0)</f>
        <v>0</v>
      </c>
      <c r="AL122" s="136">
        <f>IF(SUM($E159:AL159)='1.1 Control Panel'!$E$727,2,0)</f>
        <v>0</v>
      </c>
      <c r="AM122" s="136">
        <f>IF(SUM($E159:AM159)='1.1 Control Panel'!$E$727,2,0)</f>
        <v>0</v>
      </c>
      <c r="AN122" s="136">
        <f>IF(SUM($E159:AN159)='1.1 Control Panel'!$E$727,2,0)</f>
        <v>0</v>
      </c>
    </row>
    <row r="123" spans="17:40" x14ac:dyDescent="0.25">
      <c r="AA123" s="136">
        <v>1</v>
      </c>
      <c r="AB123" s="136">
        <f>IF(SUM($E160:AB160)='1.1 Control Panel'!$E$727,2,0)</f>
        <v>0</v>
      </c>
      <c r="AC123" s="136">
        <f>IF(SUM($E160:AC160)='1.1 Control Panel'!$E$727,2,0)</f>
        <v>0</v>
      </c>
      <c r="AD123" s="136">
        <f>IF(SUM($E160:AD160)='1.1 Control Panel'!$E$727,2,0)</f>
        <v>0</v>
      </c>
      <c r="AE123" s="136">
        <f>IF(SUM($E160:AE160)='1.1 Control Panel'!$E$727,2,0)</f>
        <v>0</v>
      </c>
      <c r="AF123" s="136">
        <f>IF(SUM($E160:AF160)='1.1 Control Panel'!$E$727,2,0)</f>
        <v>2</v>
      </c>
      <c r="AG123" s="136">
        <f>IF(SUM($E160:AG160)='1.1 Control Panel'!$E$727,2,0)</f>
        <v>0</v>
      </c>
      <c r="AH123" s="136">
        <f>IF(SUM($E160:AH160)='1.1 Control Panel'!$E$727,2,0)</f>
        <v>0</v>
      </c>
      <c r="AI123" s="136">
        <f>IF(SUM($E160:AI160)='1.1 Control Panel'!$E$727,2,0)</f>
        <v>0</v>
      </c>
      <c r="AJ123" s="136">
        <f>IF(SUM($E160:AJ160)='1.1 Control Panel'!$E$727,2,0)</f>
        <v>0</v>
      </c>
      <c r="AK123" s="136">
        <f>IF(SUM($E160:AK160)='1.1 Control Panel'!$E$727,2,0)</f>
        <v>0</v>
      </c>
      <c r="AL123" s="136">
        <f>IF(SUM($E160:AL160)='1.1 Control Panel'!$E$727,2,0)</f>
        <v>0</v>
      </c>
      <c r="AM123" s="136">
        <f>IF(SUM($E160:AM160)='1.1 Control Panel'!$E$727,2,0)</f>
        <v>0</v>
      </c>
      <c r="AN123" s="136">
        <f>IF(SUM($E160:AN160)='1.1 Control Panel'!$E$727,2,0)</f>
        <v>0</v>
      </c>
    </row>
    <row r="124" spans="17:40" x14ac:dyDescent="0.25">
      <c r="AB124" s="136">
        <v>1</v>
      </c>
      <c r="AC124" s="136">
        <f>IF(SUM($E161:AC161)='1.1 Control Panel'!$E$727,2,0)</f>
        <v>0</v>
      </c>
      <c r="AD124" s="136">
        <f>IF(SUM($E161:AD161)='1.1 Control Panel'!$E$727,2,0)</f>
        <v>0</v>
      </c>
      <c r="AE124" s="136">
        <f>IF(SUM($E161:AE161)='1.1 Control Panel'!$E$727,2,0)</f>
        <v>0</v>
      </c>
      <c r="AF124" s="136">
        <f>IF(SUM($E161:AF161)='1.1 Control Panel'!$E$727,2,0)</f>
        <v>0</v>
      </c>
      <c r="AG124" s="136">
        <f>IF(SUM($E161:AG161)='1.1 Control Panel'!$E$727,2,0)</f>
        <v>2</v>
      </c>
      <c r="AH124" s="136">
        <f>IF(SUM($E161:AH161)='1.1 Control Panel'!$E$727,2,0)</f>
        <v>0</v>
      </c>
      <c r="AI124" s="136">
        <f>IF(SUM($E161:AI161)='1.1 Control Panel'!$E$727,2,0)</f>
        <v>0</v>
      </c>
      <c r="AJ124" s="136">
        <f>IF(SUM($E161:AJ161)='1.1 Control Panel'!$E$727,2,0)</f>
        <v>0</v>
      </c>
      <c r="AK124" s="136">
        <f>IF(SUM($E161:AK161)='1.1 Control Panel'!$E$727,2,0)</f>
        <v>0</v>
      </c>
      <c r="AL124" s="136">
        <f>IF(SUM($E161:AL161)='1.1 Control Panel'!$E$727,2,0)</f>
        <v>0</v>
      </c>
      <c r="AM124" s="136">
        <f>IF(SUM($E161:AM161)='1.1 Control Panel'!$E$727,2,0)</f>
        <v>0</v>
      </c>
      <c r="AN124" s="136">
        <f>IF(SUM($E161:AN161)='1.1 Control Panel'!$E$727,2,0)</f>
        <v>0</v>
      </c>
    </row>
    <row r="125" spans="17:40" x14ac:dyDescent="0.25">
      <c r="AC125" s="136">
        <v>1</v>
      </c>
      <c r="AD125" s="136">
        <f>IF(SUM($E162:AD162)='1.1 Control Panel'!$E$727,2,0)</f>
        <v>0</v>
      </c>
      <c r="AE125" s="136">
        <f>IF(SUM($E162:AE162)='1.1 Control Panel'!$E$727,2,0)</f>
        <v>0</v>
      </c>
      <c r="AF125" s="136">
        <f>IF(SUM($E162:AF162)='1.1 Control Panel'!$E$727,2,0)</f>
        <v>0</v>
      </c>
      <c r="AG125" s="136">
        <f>IF(SUM($E162:AG162)='1.1 Control Panel'!$E$727,2,0)</f>
        <v>0</v>
      </c>
      <c r="AH125" s="136">
        <f>IF(SUM($E162:AH162)='1.1 Control Panel'!$E$727,2,0)</f>
        <v>2</v>
      </c>
      <c r="AI125" s="136">
        <f>IF(SUM($E162:AI162)='1.1 Control Panel'!$E$727,2,0)</f>
        <v>0</v>
      </c>
      <c r="AJ125" s="136">
        <f>IF(SUM($E162:AJ162)='1.1 Control Panel'!$E$727,2,0)</f>
        <v>0</v>
      </c>
      <c r="AK125" s="136">
        <f>IF(SUM($E162:AK162)='1.1 Control Panel'!$E$727,2,0)</f>
        <v>0</v>
      </c>
      <c r="AL125" s="136">
        <f>IF(SUM($E162:AL162)='1.1 Control Panel'!$E$727,2,0)</f>
        <v>0</v>
      </c>
      <c r="AM125" s="136">
        <f>IF(SUM($E162:AM162)='1.1 Control Panel'!$E$727,2,0)</f>
        <v>0</v>
      </c>
      <c r="AN125" s="136">
        <f>IF(SUM($E162:AN162)='1.1 Control Panel'!$E$727,2,0)</f>
        <v>0</v>
      </c>
    </row>
    <row r="126" spans="17:40" x14ac:dyDescent="0.25">
      <c r="AD126" s="136">
        <v>1</v>
      </c>
      <c r="AE126" s="136">
        <f>IF(SUM($E163:AE163)='1.1 Control Panel'!$E$727,2,0)</f>
        <v>0</v>
      </c>
      <c r="AF126" s="136">
        <f>IF(SUM($E163:AF163)='1.1 Control Panel'!$E$727,2,0)</f>
        <v>0</v>
      </c>
      <c r="AG126" s="136">
        <f>IF(SUM($E163:AG163)='1.1 Control Panel'!$E$727,2,0)</f>
        <v>0</v>
      </c>
      <c r="AH126" s="136">
        <f>IF(SUM($E163:AH163)='1.1 Control Panel'!$E$727,2,0)</f>
        <v>0</v>
      </c>
      <c r="AI126" s="136">
        <f>IF(SUM($E163:AI163)='1.1 Control Panel'!$E$727,2,0)</f>
        <v>2</v>
      </c>
      <c r="AJ126" s="136">
        <f>IF(SUM($E163:AJ163)='1.1 Control Panel'!$E$727,2,0)</f>
        <v>0</v>
      </c>
      <c r="AK126" s="136">
        <f>IF(SUM($E163:AK163)='1.1 Control Panel'!$E$727,2,0)</f>
        <v>0</v>
      </c>
      <c r="AL126" s="136">
        <f>IF(SUM($E163:AL163)='1.1 Control Panel'!$E$727,2,0)</f>
        <v>0</v>
      </c>
      <c r="AM126" s="136">
        <f>IF(SUM($E163:AM163)='1.1 Control Panel'!$E$727,2,0)</f>
        <v>0</v>
      </c>
      <c r="AN126" s="136">
        <f>IF(SUM($E163:AN163)='1.1 Control Panel'!$E$727,2,0)</f>
        <v>0</v>
      </c>
    </row>
    <row r="127" spans="17:40" x14ac:dyDescent="0.25">
      <c r="AE127" s="136">
        <v>1</v>
      </c>
      <c r="AF127" s="136">
        <f>IF(SUM($E164:AF164)='1.1 Control Panel'!$E$727,2,0)</f>
        <v>0</v>
      </c>
      <c r="AG127" s="136">
        <f>IF(SUM($E164:AG164)='1.1 Control Panel'!$E$727,2,0)</f>
        <v>0</v>
      </c>
      <c r="AH127" s="136">
        <f>IF(SUM($E164:AH164)='1.1 Control Panel'!$E$727,2,0)</f>
        <v>0</v>
      </c>
      <c r="AI127" s="136">
        <f>IF(SUM($E164:AI164)='1.1 Control Panel'!$E$727,2,0)</f>
        <v>0</v>
      </c>
      <c r="AJ127" s="136">
        <f>IF(SUM($E164:AJ164)='1.1 Control Panel'!$E$727,2,0)</f>
        <v>2</v>
      </c>
      <c r="AK127" s="136">
        <f>IF(SUM($E164:AK164)='1.1 Control Panel'!$E$727,2,0)</f>
        <v>0</v>
      </c>
      <c r="AL127" s="136">
        <f>IF(SUM($E164:AL164)='1.1 Control Panel'!$E$727,2,0)</f>
        <v>0</v>
      </c>
      <c r="AM127" s="136">
        <f>IF(SUM($E164:AM164)='1.1 Control Panel'!$E$727,2,0)</f>
        <v>0</v>
      </c>
      <c r="AN127" s="136">
        <f>IF(SUM($E164:AN164)='1.1 Control Panel'!$E$727,2,0)</f>
        <v>0</v>
      </c>
    </row>
    <row r="128" spans="17:40" x14ac:dyDescent="0.25">
      <c r="AF128" s="136">
        <v>1</v>
      </c>
      <c r="AG128" s="136">
        <f>IF(SUM($E165:AG165)='1.1 Control Panel'!$E$727,2,0)</f>
        <v>0</v>
      </c>
      <c r="AH128" s="136">
        <f>IF(SUM($E165:AH165)='1.1 Control Panel'!$E$727,2,0)</f>
        <v>0</v>
      </c>
      <c r="AI128" s="136">
        <f>IF(SUM($E165:AI165)='1.1 Control Panel'!$E$727,2,0)</f>
        <v>0</v>
      </c>
      <c r="AJ128" s="136">
        <f>IF(SUM($E165:AJ165)='1.1 Control Panel'!$E$727,2,0)</f>
        <v>0</v>
      </c>
      <c r="AK128" s="136">
        <f>IF(SUM($E165:AK165)='1.1 Control Panel'!$E$727,2,0)</f>
        <v>2</v>
      </c>
      <c r="AL128" s="136">
        <f>IF(SUM($E165:AL165)='1.1 Control Panel'!$E$727,2,0)</f>
        <v>0</v>
      </c>
      <c r="AM128" s="136">
        <f>IF(SUM($E165:AM165)='1.1 Control Panel'!$E$727,2,0)</f>
        <v>0</v>
      </c>
      <c r="AN128" s="136">
        <f>IF(SUM($E165:AN165)='1.1 Control Panel'!$E$727,2,0)</f>
        <v>0</v>
      </c>
    </row>
    <row r="129" spans="3:40" x14ac:dyDescent="0.25">
      <c r="AG129" s="136">
        <v>1</v>
      </c>
      <c r="AH129" s="136">
        <f>IF(SUM($E166:AH166)='1.1 Control Panel'!$E$727,2,0)</f>
        <v>0</v>
      </c>
      <c r="AI129" s="136">
        <f>IF(SUM($E166:AI166)='1.1 Control Panel'!$E$727,2,0)</f>
        <v>0</v>
      </c>
      <c r="AJ129" s="136">
        <f>IF(SUM($E166:AJ166)='1.1 Control Panel'!$E$727,2,0)</f>
        <v>0</v>
      </c>
      <c r="AK129" s="136">
        <f>IF(SUM($E166:AK166)='1.1 Control Panel'!$E$727,2,0)</f>
        <v>0</v>
      </c>
      <c r="AL129" s="136">
        <f>IF(SUM($E166:AL166)='1.1 Control Panel'!$E$727,2,0)</f>
        <v>2</v>
      </c>
      <c r="AM129" s="136">
        <f>IF(SUM($E166:AM166)='1.1 Control Panel'!$E$727,2,0)</f>
        <v>0</v>
      </c>
      <c r="AN129" s="136">
        <f>IF(SUM($E166:AN166)='1.1 Control Panel'!$E$727,2,0)</f>
        <v>0</v>
      </c>
    </row>
    <row r="130" spans="3:40" x14ac:dyDescent="0.25">
      <c r="AH130" s="136">
        <v>1</v>
      </c>
      <c r="AI130" s="136">
        <f>IF(SUM($E167:AI167)='1.1 Control Panel'!$E$727,2,0)</f>
        <v>0</v>
      </c>
      <c r="AJ130" s="136">
        <f>IF(SUM($E167:AJ167)='1.1 Control Panel'!$E$727,2,0)</f>
        <v>0</v>
      </c>
      <c r="AK130" s="136">
        <f>IF(SUM($E167:AK167)='1.1 Control Panel'!$E$727,2,0)</f>
        <v>0</v>
      </c>
      <c r="AL130" s="136">
        <f>IF(SUM($E167:AL167)='1.1 Control Panel'!$E$727,2,0)</f>
        <v>0</v>
      </c>
      <c r="AM130" s="136">
        <f>IF(SUM($E167:AM167)='1.1 Control Panel'!$E$727,2,0)</f>
        <v>2</v>
      </c>
      <c r="AN130" s="136">
        <f>IF(SUM($E167:AN167)='1.1 Control Panel'!$E$727,2,0)</f>
        <v>0</v>
      </c>
    </row>
    <row r="131" spans="3:40" x14ac:dyDescent="0.25">
      <c r="AI131" s="136">
        <v>1</v>
      </c>
      <c r="AJ131" s="136">
        <f>IF(SUM($E168:AJ168)='1.1 Control Panel'!$E$727,2,0)</f>
        <v>0</v>
      </c>
      <c r="AK131" s="136">
        <f>IF(SUM($E168:AK168)='1.1 Control Panel'!$E$727,2,0)</f>
        <v>0</v>
      </c>
      <c r="AL131" s="136">
        <f>IF(SUM($E168:AL168)='1.1 Control Panel'!$E$727,2,0)</f>
        <v>0</v>
      </c>
      <c r="AM131" s="136">
        <f>IF(SUM($E168:AM168)='1.1 Control Panel'!$E$727,2,0)</f>
        <v>0</v>
      </c>
      <c r="AN131" s="136">
        <f>IF(SUM($E168:AN168)='1.1 Control Panel'!$E$727,2,0)</f>
        <v>2</v>
      </c>
    </row>
    <row r="132" spans="3:40" x14ac:dyDescent="0.25">
      <c r="AJ132" s="136">
        <v>1</v>
      </c>
      <c r="AK132" s="136">
        <f>IF(SUM($E169:AK169)='1.1 Control Panel'!$E$727,2,0)</f>
        <v>0</v>
      </c>
      <c r="AL132" s="136">
        <f>IF(SUM($E169:AL169)='1.1 Control Panel'!$E$727,2,0)</f>
        <v>0</v>
      </c>
      <c r="AM132" s="136">
        <f>IF(SUM($E169:AM169)='1.1 Control Panel'!$E$727,2,0)</f>
        <v>0</v>
      </c>
      <c r="AN132" s="136">
        <f>IF(SUM($E169:AN169)='1.1 Control Panel'!$E$727,2,0)</f>
        <v>0</v>
      </c>
    </row>
    <row r="133" spans="3:40" x14ac:dyDescent="0.25">
      <c r="AK133" s="136">
        <v>1</v>
      </c>
      <c r="AL133" s="136">
        <f>IF(SUM($E170:AL170)='1.1 Control Panel'!$E$727,2,0)</f>
        <v>0</v>
      </c>
      <c r="AM133" s="136">
        <f>IF(SUM($E170:AM170)='1.1 Control Panel'!$E$727,2,0)</f>
        <v>0</v>
      </c>
      <c r="AN133" s="136">
        <f>IF(SUM($E170:AN170)='1.1 Control Panel'!$E$727,2,0)</f>
        <v>0</v>
      </c>
    </row>
    <row r="134" spans="3:40" x14ac:dyDescent="0.25">
      <c r="AL134" s="136">
        <v>1</v>
      </c>
      <c r="AM134" s="136">
        <f>IF(SUM($E171:AM171)='1.1 Control Panel'!$E$727,2,0)</f>
        <v>0</v>
      </c>
      <c r="AN134" s="136">
        <f>IF(SUM($E171:AN171)='1.1 Control Panel'!$E$727,2,0)</f>
        <v>0</v>
      </c>
    </row>
    <row r="135" spans="3:40" x14ac:dyDescent="0.25">
      <c r="AM135" s="136">
        <v>1</v>
      </c>
      <c r="AN135" s="136">
        <f>IF(SUM($E172:AN172)='1.1 Control Panel'!$E$727,2,0)</f>
        <v>0</v>
      </c>
    </row>
    <row r="136" spans="3:40" x14ac:dyDescent="0.25">
      <c r="AN136" s="136">
        <v>1</v>
      </c>
    </row>
    <row r="138" spans="3:40" x14ac:dyDescent="0.25">
      <c r="C138" s="136" t="s">
        <v>747</v>
      </c>
      <c r="E138" s="136">
        <v>1</v>
      </c>
      <c r="F138" s="136">
        <v>1</v>
      </c>
      <c r="G138" s="136">
        <v>1</v>
      </c>
      <c r="H138" s="136">
        <v>1</v>
      </c>
      <c r="I138" s="136">
        <v>1</v>
      </c>
      <c r="J138" s="136">
        <v>1</v>
      </c>
      <c r="K138" s="136">
        <v>1</v>
      </c>
      <c r="L138" s="136">
        <v>1</v>
      </c>
      <c r="M138" s="136">
        <v>1</v>
      </c>
      <c r="N138" s="136">
        <v>1</v>
      </c>
      <c r="O138" s="136">
        <v>1</v>
      </c>
      <c r="P138" s="136">
        <v>1</v>
      </c>
    </row>
    <row r="139" spans="3:40" x14ac:dyDescent="0.25">
      <c r="F139" s="136">
        <v>1</v>
      </c>
      <c r="G139" s="136">
        <v>1</v>
      </c>
      <c r="H139" s="136">
        <v>1</v>
      </c>
      <c r="I139" s="136">
        <v>1</v>
      </c>
      <c r="J139" s="136">
        <v>1</v>
      </c>
      <c r="K139" s="136">
        <v>1</v>
      </c>
      <c r="L139" s="136">
        <v>1</v>
      </c>
      <c r="M139" s="136">
        <v>1</v>
      </c>
      <c r="N139" s="136">
        <v>1</v>
      </c>
      <c r="O139" s="136">
        <v>1</v>
      </c>
      <c r="P139" s="136">
        <v>1</v>
      </c>
      <c r="Q139" s="136">
        <v>1</v>
      </c>
    </row>
    <row r="140" spans="3:40" x14ac:dyDescent="0.25">
      <c r="G140" s="136">
        <v>1</v>
      </c>
      <c r="H140" s="136">
        <v>1</v>
      </c>
      <c r="I140" s="136">
        <v>1</v>
      </c>
      <c r="J140" s="136">
        <v>1</v>
      </c>
      <c r="K140" s="136">
        <v>1</v>
      </c>
      <c r="L140" s="136">
        <v>1</v>
      </c>
      <c r="M140" s="136">
        <v>1</v>
      </c>
      <c r="N140" s="136">
        <v>1</v>
      </c>
      <c r="O140" s="136">
        <v>1</v>
      </c>
      <c r="P140" s="136">
        <v>1</v>
      </c>
      <c r="Q140" s="136">
        <v>1</v>
      </c>
      <c r="R140" s="136">
        <v>1</v>
      </c>
    </row>
    <row r="141" spans="3:40" x14ac:dyDescent="0.25">
      <c r="H141" s="136">
        <v>1</v>
      </c>
      <c r="I141" s="136">
        <v>1</v>
      </c>
      <c r="J141" s="136">
        <v>1</v>
      </c>
      <c r="K141" s="136">
        <v>1</v>
      </c>
      <c r="L141" s="136">
        <v>1</v>
      </c>
      <c r="M141" s="136">
        <v>1</v>
      </c>
      <c r="N141" s="136">
        <v>1</v>
      </c>
      <c r="O141" s="136">
        <v>1</v>
      </c>
      <c r="P141" s="136">
        <v>1</v>
      </c>
      <c r="Q141" s="136">
        <v>1</v>
      </c>
      <c r="R141" s="136">
        <v>1</v>
      </c>
      <c r="S141" s="136">
        <v>1</v>
      </c>
    </row>
    <row r="142" spans="3:40" x14ac:dyDescent="0.25">
      <c r="I142" s="136">
        <v>1</v>
      </c>
      <c r="J142" s="136">
        <v>1</v>
      </c>
      <c r="K142" s="136">
        <v>1</v>
      </c>
      <c r="L142" s="136">
        <v>1</v>
      </c>
      <c r="M142" s="136">
        <v>1</v>
      </c>
      <c r="N142" s="136">
        <v>1</v>
      </c>
      <c r="O142" s="136">
        <v>1</v>
      </c>
      <c r="P142" s="136">
        <v>1</v>
      </c>
      <c r="Q142" s="136">
        <v>1</v>
      </c>
      <c r="R142" s="136">
        <v>1</v>
      </c>
      <c r="S142" s="136">
        <v>1</v>
      </c>
      <c r="T142" s="136">
        <v>1</v>
      </c>
    </row>
    <row r="143" spans="3:40" x14ac:dyDescent="0.25">
      <c r="J143" s="136">
        <v>1</v>
      </c>
      <c r="K143" s="136">
        <v>1</v>
      </c>
      <c r="L143" s="136">
        <v>1</v>
      </c>
      <c r="M143" s="136">
        <v>1</v>
      </c>
      <c r="N143" s="136">
        <v>1</v>
      </c>
      <c r="O143" s="136">
        <v>1</v>
      </c>
      <c r="P143" s="136">
        <v>1</v>
      </c>
      <c r="Q143" s="136">
        <v>1</v>
      </c>
      <c r="R143" s="136">
        <v>1</v>
      </c>
      <c r="S143" s="136">
        <v>1</v>
      </c>
      <c r="T143" s="136">
        <v>1</v>
      </c>
      <c r="U143" s="136">
        <v>1</v>
      </c>
    </row>
    <row r="144" spans="3:40" x14ac:dyDescent="0.25">
      <c r="K144" s="136">
        <v>1</v>
      </c>
      <c r="L144" s="136">
        <v>1</v>
      </c>
      <c r="M144" s="136">
        <v>1</v>
      </c>
      <c r="N144" s="136">
        <v>1</v>
      </c>
      <c r="O144" s="136">
        <v>1</v>
      </c>
      <c r="P144" s="136">
        <v>1</v>
      </c>
      <c r="Q144" s="136">
        <v>1</v>
      </c>
      <c r="R144" s="136">
        <v>1</v>
      </c>
      <c r="S144" s="136">
        <v>1</v>
      </c>
      <c r="T144" s="136">
        <v>1</v>
      </c>
      <c r="U144" s="136">
        <v>1</v>
      </c>
      <c r="V144" s="136">
        <v>1</v>
      </c>
    </row>
    <row r="145" spans="12:38" x14ac:dyDescent="0.25">
      <c r="L145" s="136">
        <v>1</v>
      </c>
      <c r="M145" s="136">
        <v>1</v>
      </c>
      <c r="N145" s="136">
        <v>1</v>
      </c>
      <c r="O145" s="136">
        <v>1</v>
      </c>
      <c r="P145" s="136">
        <v>1</v>
      </c>
      <c r="Q145" s="136">
        <v>1</v>
      </c>
      <c r="R145" s="136">
        <v>1</v>
      </c>
      <c r="S145" s="136">
        <v>1</v>
      </c>
      <c r="T145" s="136">
        <v>1</v>
      </c>
      <c r="U145" s="136">
        <v>1</v>
      </c>
      <c r="V145" s="136">
        <v>1</v>
      </c>
      <c r="W145" s="136">
        <v>1</v>
      </c>
    </row>
    <row r="146" spans="12:38" x14ac:dyDescent="0.25">
      <c r="M146" s="136">
        <v>1</v>
      </c>
      <c r="N146" s="136">
        <v>1</v>
      </c>
      <c r="O146" s="136">
        <v>1</v>
      </c>
      <c r="P146" s="136">
        <v>1</v>
      </c>
      <c r="Q146" s="136">
        <v>1</v>
      </c>
      <c r="R146" s="136">
        <v>1</v>
      </c>
      <c r="S146" s="136">
        <v>1</v>
      </c>
      <c r="T146" s="136">
        <v>1</v>
      </c>
      <c r="U146" s="136">
        <v>1</v>
      </c>
      <c r="V146" s="136">
        <v>1</v>
      </c>
      <c r="W146" s="136">
        <v>1</v>
      </c>
      <c r="X146" s="136">
        <v>1</v>
      </c>
    </row>
    <row r="147" spans="12:38" x14ac:dyDescent="0.25">
      <c r="N147" s="136">
        <v>1</v>
      </c>
      <c r="O147" s="136">
        <v>1</v>
      </c>
      <c r="P147" s="136">
        <v>1</v>
      </c>
      <c r="Q147" s="136">
        <v>1</v>
      </c>
      <c r="R147" s="136">
        <v>1</v>
      </c>
      <c r="S147" s="136">
        <v>1</v>
      </c>
      <c r="T147" s="136">
        <v>1</v>
      </c>
      <c r="U147" s="136">
        <v>1</v>
      </c>
      <c r="V147" s="136">
        <v>1</v>
      </c>
      <c r="W147" s="136">
        <v>1</v>
      </c>
      <c r="X147" s="136">
        <v>1</v>
      </c>
      <c r="Y147" s="136">
        <v>1</v>
      </c>
    </row>
    <row r="148" spans="12:38" x14ac:dyDescent="0.25">
      <c r="O148" s="136">
        <v>1</v>
      </c>
      <c r="P148" s="136">
        <v>1</v>
      </c>
      <c r="Q148" s="136">
        <v>1</v>
      </c>
      <c r="R148" s="136">
        <v>1</v>
      </c>
      <c r="S148" s="136">
        <v>1</v>
      </c>
      <c r="T148" s="136">
        <v>1</v>
      </c>
      <c r="U148" s="136">
        <v>1</v>
      </c>
      <c r="V148" s="136">
        <v>1</v>
      </c>
      <c r="W148" s="136">
        <v>1</v>
      </c>
      <c r="X148" s="136">
        <v>1</v>
      </c>
      <c r="Y148" s="136">
        <v>1</v>
      </c>
      <c r="Z148" s="136">
        <v>1</v>
      </c>
    </row>
    <row r="149" spans="12:38" x14ac:dyDescent="0.25">
      <c r="P149" s="136">
        <v>1</v>
      </c>
      <c r="Q149" s="136">
        <v>1</v>
      </c>
      <c r="R149" s="136">
        <v>1</v>
      </c>
      <c r="S149" s="136">
        <v>1</v>
      </c>
      <c r="T149" s="136">
        <v>1</v>
      </c>
      <c r="U149" s="136">
        <v>1</v>
      </c>
      <c r="V149" s="136">
        <v>1</v>
      </c>
      <c r="W149" s="136">
        <v>1</v>
      </c>
      <c r="X149" s="136">
        <v>1</v>
      </c>
      <c r="Y149" s="136">
        <v>1</v>
      </c>
      <c r="Z149" s="136">
        <v>1</v>
      </c>
      <c r="AA149" s="136">
        <v>1</v>
      </c>
    </row>
    <row r="150" spans="12:38" x14ac:dyDescent="0.25">
      <c r="Q150" s="136">
        <v>1</v>
      </c>
      <c r="R150" s="136">
        <v>1</v>
      </c>
      <c r="S150" s="136">
        <v>1</v>
      </c>
      <c r="T150" s="136">
        <v>1</v>
      </c>
      <c r="U150" s="136">
        <v>1</v>
      </c>
      <c r="V150" s="136">
        <v>1</v>
      </c>
      <c r="W150" s="136">
        <v>1</v>
      </c>
      <c r="X150" s="136">
        <v>1</v>
      </c>
      <c r="Y150" s="136">
        <v>1</v>
      </c>
      <c r="Z150" s="136">
        <v>1</v>
      </c>
      <c r="AA150" s="136">
        <v>1</v>
      </c>
      <c r="AB150" s="136">
        <v>1</v>
      </c>
    </row>
    <row r="151" spans="12:38" x14ac:dyDescent="0.25">
      <c r="R151" s="136">
        <v>1</v>
      </c>
      <c r="S151" s="136">
        <v>1</v>
      </c>
      <c r="T151" s="136">
        <v>1</v>
      </c>
      <c r="U151" s="136">
        <v>1</v>
      </c>
      <c r="V151" s="136">
        <v>1</v>
      </c>
      <c r="W151" s="136">
        <v>1</v>
      </c>
      <c r="X151" s="136">
        <v>1</v>
      </c>
      <c r="Y151" s="136">
        <v>1</v>
      </c>
      <c r="Z151" s="136">
        <v>1</v>
      </c>
      <c r="AA151" s="136">
        <v>1</v>
      </c>
      <c r="AB151" s="136">
        <v>1</v>
      </c>
      <c r="AC151" s="136">
        <v>1</v>
      </c>
    </row>
    <row r="152" spans="12:38" x14ac:dyDescent="0.25">
      <c r="S152" s="136">
        <v>1</v>
      </c>
      <c r="T152" s="136">
        <v>1</v>
      </c>
      <c r="U152" s="136">
        <v>1</v>
      </c>
      <c r="V152" s="136">
        <v>1</v>
      </c>
      <c r="W152" s="136">
        <v>1</v>
      </c>
      <c r="X152" s="136">
        <v>1</v>
      </c>
      <c r="Y152" s="136">
        <v>1</v>
      </c>
      <c r="Z152" s="136">
        <v>1</v>
      </c>
      <c r="AA152" s="136">
        <v>1</v>
      </c>
      <c r="AB152" s="136">
        <v>1</v>
      </c>
      <c r="AC152" s="136">
        <v>1</v>
      </c>
      <c r="AD152" s="136">
        <v>1</v>
      </c>
    </row>
    <row r="153" spans="12:38" x14ac:dyDescent="0.25">
      <c r="T153" s="136">
        <v>1</v>
      </c>
      <c r="U153" s="136">
        <v>1</v>
      </c>
      <c r="V153" s="136">
        <v>1</v>
      </c>
      <c r="W153" s="136">
        <v>1</v>
      </c>
      <c r="X153" s="136">
        <v>1</v>
      </c>
      <c r="Y153" s="136">
        <v>1</v>
      </c>
      <c r="Z153" s="136">
        <v>1</v>
      </c>
      <c r="AA153" s="136">
        <v>1</v>
      </c>
      <c r="AB153" s="136">
        <v>1</v>
      </c>
      <c r="AC153" s="136">
        <v>1</v>
      </c>
      <c r="AD153" s="136">
        <v>1</v>
      </c>
      <c r="AE153" s="136">
        <v>1</v>
      </c>
    </row>
    <row r="154" spans="12:38" x14ac:dyDescent="0.25">
      <c r="U154" s="136">
        <v>1</v>
      </c>
      <c r="V154" s="136">
        <v>1</v>
      </c>
      <c r="W154" s="136">
        <v>1</v>
      </c>
      <c r="X154" s="136">
        <v>1</v>
      </c>
      <c r="Y154" s="136">
        <v>1</v>
      </c>
      <c r="Z154" s="136">
        <v>1</v>
      </c>
      <c r="AA154" s="136">
        <v>1</v>
      </c>
      <c r="AB154" s="136">
        <v>1</v>
      </c>
      <c r="AC154" s="136">
        <v>1</v>
      </c>
      <c r="AD154" s="136">
        <v>1</v>
      </c>
      <c r="AE154" s="136">
        <v>1</v>
      </c>
      <c r="AF154" s="136">
        <v>1</v>
      </c>
    </row>
    <row r="155" spans="12:38" x14ac:dyDescent="0.25">
      <c r="V155" s="136">
        <v>1</v>
      </c>
      <c r="W155" s="136">
        <v>1</v>
      </c>
      <c r="X155" s="136">
        <v>1</v>
      </c>
      <c r="Y155" s="136">
        <v>1</v>
      </c>
      <c r="Z155" s="136">
        <v>1</v>
      </c>
      <c r="AA155" s="136">
        <v>1</v>
      </c>
      <c r="AB155" s="136">
        <v>1</v>
      </c>
      <c r="AC155" s="136">
        <v>1</v>
      </c>
      <c r="AD155" s="136">
        <v>1</v>
      </c>
      <c r="AE155" s="136">
        <v>1</v>
      </c>
      <c r="AF155" s="136">
        <v>1</v>
      </c>
      <c r="AG155" s="136">
        <v>1</v>
      </c>
    </row>
    <row r="156" spans="12:38" x14ac:dyDescent="0.25">
      <c r="W156" s="136">
        <v>1</v>
      </c>
      <c r="X156" s="136">
        <v>1</v>
      </c>
      <c r="Y156" s="136">
        <v>1</v>
      </c>
      <c r="Z156" s="136">
        <v>1</v>
      </c>
      <c r="AA156" s="136">
        <v>1</v>
      </c>
      <c r="AB156" s="136">
        <v>1</v>
      </c>
      <c r="AC156" s="136">
        <v>1</v>
      </c>
      <c r="AD156" s="136">
        <v>1</v>
      </c>
      <c r="AE156" s="136">
        <v>1</v>
      </c>
      <c r="AF156" s="136">
        <v>1</v>
      </c>
      <c r="AG156" s="136">
        <v>1</v>
      </c>
      <c r="AH156" s="136">
        <v>1</v>
      </c>
    </row>
    <row r="157" spans="12:38" x14ac:dyDescent="0.25">
      <c r="X157" s="136">
        <v>1</v>
      </c>
      <c r="Y157" s="136">
        <v>1</v>
      </c>
      <c r="Z157" s="136">
        <v>1</v>
      </c>
      <c r="AA157" s="136">
        <v>1</v>
      </c>
      <c r="AB157" s="136">
        <v>1</v>
      </c>
      <c r="AC157" s="136">
        <v>1</v>
      </c>
      <c r="AD157" s="136">
        <v>1</v>
      </c>
      <c r="AE157" s="136">
        <v>1</v>
      </c>
      <c r="AF157" s="136">
        <v>1</v>
      </c>
      <c r="AG157" s="136">
        <v>1</v>
      </c>
      <c r="AH157" s="136">
        <v>1</v>
      </c>
      <c r="AI157" s="136">
        <v>1</v>
      </c>
    </row>
    <row r="158" spans="12:38" x14ac:dyDescent="0.25">
      <c r="Y158" s="136">
        <v>1</v>
      </c>
      <c r="Z158" s="136">
        <v>1</v>
      </c>
      <c r="AA158" s="136">
        <v>1</v>
      </c>
      <c r="AB158" s="136">
        <v>1</v>
      </c>
      <c r="AC158" s="136">
        <v>1</v>
      </c>
      <c r="AD158" s="136">
        <v>1</v>
      </c>
      <c r="AE158" s="136">
        <v>1</v>
      </c>
      <c r="AF158" s="136">
        <v>1</v>
      </c>
      <c r="AG158" s="136">
        <v>1</v>
      </c>
      <c r="AH158" s="136">
        <v>1</v>
      </c>
      <c r="AI158" s="136">
        <v>1</v>
      </c>
      <c r="AJ158" s="136">
        <v>1</v>
      </c>
    </row>
    <row r="159" spans="12:38" x14ac:dyDescent="0.25">
      <c r="Z159" s="136">
        <v>1</v>
      </c>
      <c r="AA159" s="136">
        <v>1</v>
      </c>
      <c r="AB159" s="136">
        <v>1</v>
      </c>
      <c r="AC159" s="136">
        <v>1</v>
      </c>
      <c r="AD159" s="136">
        <v>1</v>
      </c>
      <c r="AE159" s="136">
        <v>1</v>
      </c>
      <c r="AF159" s="136">
        <v>1</v>
      </c>
      <c r="AG159" s="136">
        <v>1</v>
      </c>
      <c r="AH159" s="136">
        <v>1</v>
      </c>
      <c r="AI159" s="136">
        <v>1</v>
      </c>
      <c r="AJ159" s="136">
        <v>1</v>
      </c>
      <c r="AK159" s="136">
        <v>1</v>
      </c>
    </row>
    <row r="160" spans="12:38" x14ac:dyDescent="0.25">
      <c r="AA160" s="136">
        <v>1</v>
      </c>
      <c r="AB160" s="136">
        <v>1</v>
      </c>
      <c r="AC160" s="136">
        <v>1</v>
      </c>
      <c r="AD160" s="136">
        <v>1</v>
      </c>
      <c r="AE160" s="136">
        <v>1</v>
      </c>
      <c r="AF160" s="136">
        <v>1</v>
      </c>
      <c r="AG160" s="136">
        <v>1</v>
      </c>
      <c r="AH160" s="136">
        <v>1</v>
      </c>
      <c r="AI160" s="136">
        <v>1</v>
      </c>
      <c r="AJ160" s="136">
        <v>1</v>
      </c>
      <c r="AK160" s="136">
        <v>1</v>
      </c>
      <c r="AL160" s="136">
        <v>1</v>
      </c>
    </row>
    <row r="161" spans="28:42" x14ac:dyDescent="0.25">
      <c r="AB161" s="136">
        <v>1</v>
      </c>
      <c r="AC161" s="136">
        <v>1</v>
      </c>
      <c r="AD161" s="136">
        <v>1</v>
      </c>
      <c r="AE161" s="136">
        <v>1</v>
      </c>
      <c r="AF161" s="136">
        <v>1</v>
      </c>
      <c r="AG161" s="136">
        <v>1</v>
      </c>
      <c r="AH161" s="136">
        <v>1</v>
      </c>
      <c r="AI161" s="136">
        <v>1</v>
      </c>
      <c r="AJ161" s="136">
        <v>1</v>
      </c>
      <c r="AK161" s="136">
        <v>1</v>
      </c>
      <c r="AL161" s="136">
        <v>1</v>
      </c>
      <c r="AM161" s="136">
        <v>1</v>
      </c>
    </row>
    <row r="162" spans="28:42" x14ac:dyDescent="0.25">
      <c r="AC162" s="136">
        <v>1</v>
      </c>
      <c r="AD162" s="136">
        <v>1</v>
      </c>
      <c r="AE162" s="136">
        <v>1</v>
      </c>
      <c r="AF162" s="136">
        <v>1</v>
      </c>
      <c r="AG162" s="136">
        <v>1</v>
      </c>
      <c r="AH162" s="136">
        <v>1</v>
      </c>
      <c r="AI162" s="136">
        <v>1</v>
      </c>
      <c r="AJ162" s="136">
        <v>1</v>
      </c>
      <c r="AK162" s="136">
        <v>1</v>
      </c>
      <c r="AL162" s="136">
        <v>1</v>
      </c>
      <c r="AM162" s="136">
        <v>1</v>
      </c>
      <c r="AN162" s="136">
        <v>1</v>
      </c>
    </row>
    <row r="163" spans="28:42" x14ac:dyDescent="0.25">
      <c r="AD163" s="136">
        <v>1</v>
      </c>
      <c r="AE163" s="136">
        <v>1</v>
      </c>
      <c r="AF163" s="136">
        <v>1</v>
      </c>
      <c r="AG163" s="136">
        <v>1</v>
      </c>
      <c r="AH163" s="136">
        <v>1</v>
      </c>
      <c r="AI163" s="136">
        <v>1</v>
      </c>
      <c r="AJ163" s="136">
        <v>1</v>
      </c>
      <c r="AK163" s="136">
        <v>1</v>
      </c>
      <c r="AL163" s="136">
        <v>1</v>
      </c>
      <c r="AM163" s="136">
        <v>1</v>
      </c>
      <c r="AN163" s="136">
        <v>1</v>
      </c>
      <c r="AO163" s="136"/>
    </row>
    <row r="164" spans="28:42" x14ac:dyDescent="0.25">
      <c r="AE164" s="136">
        <v>1</v>
      </c>
      <c r="AF164" s="136">
        <v>1</v>
      </c>
      <c r="AG164" s="136">
        <v>1</v>
      </c>
      <c r="AH164" s="136">
        <v>1</v>
      </c>
      <c r="AI164" s="136">
        <v>1</v>
      </c>
      <c r="AJ164" s="136">
        <v>1</v>
      </c>
      <c r="AK164" s="136">
        <v>1</v>
      </c>
      <c r="AL164" s="136">
        <v>1</v>
      </c>
      <c r="AM164" s="136">
        <v>1</v>
      </c>
      <c r="AN164" s="136">
        <v>1</v>
      </c>
      <c r="AO164" s="136"/>
      <c r="AP164" s="136"/>
    </row>
    <row r="165" spans="28:42" x14ac:dyDescent="0.25">
      <c r="AF165" s="136">
        <v>1</v>
      </c>
      <c r="AG165" s="136">
        <v>1</v>
      </c>
      <c r="AH165" s="136">
        <v>1</v>
      </c>
      <c r="AI165" s="136">
        <v>1</v>
      </c>
      <c r="AJ165" s="136">
        <v>1</v>
      </c>
      <c r="AK165" s="136">
        <v>1</v>
      </c>
      <c r="AL165" s="136">
        <v>1</v>
      </c>
      <c r="AM165" s="136">
        <v>1</v>
      </c>
      <c r="AN165" s="136">
        <v>1</v>
      </c>
      <c r="AO165" s="136"/>
    </row>
    <row r="166" spans="28:42" x14ac:dyDescent="0.25">
      <c r="AG166" s="136">
        <v>1</v>
      </c>
      <c r="AH166" s="136">
        <v>1</v>
      </c>
      <c r="AI166" s="136">
        <v>1</v>
      </c>
      <c r="AJ166" s="136">
        <v>1</v>
      </c>
      <c r="AK166" s="136">
        <v>1</v>
      </c>
      <c r="AL166" s="136">
        <v>1</v>
      </c>
      <c r="AM166" s="136">
        <v>1</v>
      </c>
      <c r="AN166" s="136">
        <v>1</v>
      </c>
    </row>
    <row r="167" spans="28:42" x14ac:dyDescent="0.25">
      <c r="AH167" s="136">
        <v>1</v>
      </c>
      <c r="AI167" s="136">
        <v>1</v>
      </c>
      <c r="AJ167" s="136">
        <v>1</v>
      </c>
      <c r="AK167" s="136">
        <v>1</v>
      </c>
      <c r="AL167" s="136">
        <v>1</v>
      </c>
      <c r="AM167" s="136">
        <v>1</v>
      </c>
      <c r="AN167" s="136">
        <v>1</v>
      </c>
    </row>
    <row r="168" spans="28:42" x14ac:dyDescent="0.25">
      <c r="AI168" s="136">
        <v>1</v>
      </c>
      <c r="AJ168" s="136">
        <v>1</v>
      </c>
      <c r="AK168" s="136">
        <v>1</v>
      </c>
      <c r="AL168" s="136">
        <v>1</v>
      </c>
      <c r="AM168" s="136">
        <v>1</v>
      </c>
      <c r="AN168" s="136">
        <v>1</v>
      </c>
    </row>
    <row r="169" spans="28:42" x14ac:dyDescent="0.25">
      <c r="AJ169" s="136">
        <v>1</v>
      </c>
      <c r="AK169" s="136">
        <v>1</v>
      </c>
      <c r="AL169" s="136">
        <v>1</v>
      </c>
      <c r="AM169" s="136">
        <v>1</v>
      </c>
      <c r="AN169" s="136">
        <v>1</v>
      </c>
      <c r="AO169" s="136"/>
    </row>
    <row r="170" spans="28:42" x14ac:dyDescent="0.25">
      <c r="AK170" s="136">
        <v>1</v>
      </c>
      <c r="AL170" s="136">
        <v>1</v>
      </c>
      <c r="AM170" s="136">
        <v>1</v>
      </c>
      <c r="AN170" s="136">
        <v>1</v>
      </c>
    </row>
    <row r="171" spans="28:42" x14ac:dyDescent="0.25">
      <c r="AL171" s="136">
        <v>1</v>
      </c>
      <c r="AM171" s="136">
        <v>1</v>
      </c>
      <c r="AN171" s="136">
        <v>1</v>
      </c>
    </row>
    <row r="172" spans="28:42" x14ac:dyDescent="0.25">
      <c r="AM172" s="136">
        <v>1</v>
      </c>
      <c r="AN172" s="136">
        <v>1</v>
      </c>
    </row>
    <row r="173" spans="28:42" x14ac:dyDescent="0.25">
      <c r="AN173" s="136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F4193-8E03-45F2-BD3A-604D7492FBA8}">
  <dimension ref="A1:AQ108"/>
  <sheetViews>
    <sheetView showGridLines="0" zoomScale="70" zoomScaleNormal="70" workbookViewId="0"/>
  </sheetViews>
  <sheetFormatPr defaultColWidth="0" defaultRowHeight="11.5" customHeight="1" zeroHeight="1" x14ac:dyDescent="0.25"/>
  <cols>
    <col min="1" max="2" width="3.6328125" style="3" customWidth="1"/>
    <col min="3" max="3" width="50.6328125" style="3" customWidth="1"/>
    <col min="4" max="4" width="8.6328125" style="236" customWidth="1"/>
    <col min="5" max="40" width="12.6328125" style="136" customWidth="1"/>
    <col min="41" max="41" width="0.453125" style="3" customWidth="1"/>
    <col min="42" max="42" width="50.6328125" style="3" customWidth="1"/>
    <col min="43" max="43" width="3.6328125" style="3" customWidth="1"/>
    <col min="44" max="16384" width="8.7265625" style="3" hidden="1"/>
  </cols>
  <sheetData>
    <row r="1" spans="1:42" s="4" customFormat="1" ht="14" x14ac:dyDescent="0.3">
      <c r="A1" s="103" t="str">
        <f ca="1">MID(CELL("filename",A1),FIND("]",CELL("filename",A1))+1,255)</f>
        <v>3.4 OpEx</v>
      </c>
      <c r="D1" s="524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5"/>
    </row>
    <row r="2" spans="1:42" s="5" customFormat="1" x14ac:dyDescent="0.25">
      <c r="A2" s="7" t="s">
        <v>970</v>
      </c>
      <c r="D2" s="525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</row>
    <row r="3" spans="1:42" ht="11.5" customHeight="1" x14ac:dyDescent="0.25">
      <c r="C3" s="2"/>
    </row>
    <row r="4" spans="1:42" ht="11.5" customHeight="1" x14ac:dyDescent="0.25">
      <c r="B4" s="6" t="s">
        <v>0</v>
      </c>
      <c r="C4" s="10" t="s">
        <v>15</v>
      </c>
      <c r="D4" s="29" t="s">
        <v>14</v>
      </c>
      <c r="E4" s="252">
        <v>45688</v>
      </c>
      <c r="F4" s="252">
        <v>45716</v>
      </c>
      <c r="G4" s="252">
        <v>45747</v>
      </c>
      <c r="H4" s="252">
        <v>45777</v>
      </c>
      <c r="I4" s="252">
        <v>45808</v>
      </c>
      <c r="J4" s="252">
        <v>45838</v>
      </c>
      <c r="K4" s="252">
        <v>45869</v>
      </c>
      <c r="L4" s="252">
        <v>45900</v>
      </c>
      <c r="M4" s="252">
        <v>45930</v>
      </c>
      <c r="N4" s="252">
        <v>45961</v>
      </c>
      <c r="O4" s="252">
        <v>45991</v>
      </c>
      <c r="P4" s="252">
        <v>46022</v>
      </c>
      <c r="Q4" s="252">
        <f>E4+365.25</f>
        <v>46053.25</v>
      </c>
      <c r="R4" s="252">
        <f t="shared" ref="R4:AN4" si="0">F4+365.25</f>
        <v>46081.25</v>
      </c>
      <c r="S4" s="252">
        <f t="shared" si="0"/>
        <v>46112.25</v>
      </c>
      <c r="T4" s="252">
        <f t="shared" si="0"/>
        <v>46142.25</v>
      </c>
      <c r="U4" s="252">
        <f t="shared" si="0"/>
        <v>46173.25</v>
      </c>
      <c r="V4" s="252">
        <f t="shared" si="0"/>
        <v>46203.25</v>
      </c>
      <c r="W4" s="252">
        <f t="shared" si="0"/>
        <v>46234.25</v>
      </c>
      <c r="X4" s="252">
        <f t="shared" si="0"/>
        <v>46265.25</v>
      </c>
      <c r="Y4" s="252">
        <f t="shared" si="0"/>
        <v>46295.25</v>
      </c>
      <c r="Z4" s="252">
        <f t="shared" si="0"/>
        <v>46326.25</v>
      </c>
      <c r="AA4" s="252">
        <f t="shared" si="0"/>
        <v>46356.25</v>
      </c>
      <c r="AB4" s="252">
        <f t="shared" si="0"/>
        <v>46387.25</v>
      </c>
      <c r="AC4" s="252">
        <f t="shared" si="0"/>
        <v>46418.5</v>
      </c>
      <c r="AD4" s="252">
        <f t="shared" si="0"/>
        <v>46446.5</v>
      </c>
      <c r="AE4" s="252">
        <f t="shared" si="0"/>
        <v>46477.5</v>
      </c>
      <c r="AF4" s="252">
        <f t="shared" si="0"/>
        <v>46507.5</v>
      </c>
      <c r="AG4" s="252">
        <f t="shared" si="0"/>
        <v>46538.5</v>
      </c>
      <c r="AH4" s="252">
        <f t="shared" si="0"/>
        <v>46568.5</v>
      </c>
      <c r="AI4" s="252">
        <f t="shared" si="0"/>
        <v>46599.5</v>
      </c>
      <c r="AJ4" s="252">
        <f t="shared" si="0"/>
        <v>46630.5</v>
      </c>
      <c r="AK4" s="252">
        <f t="shared" si="0"/>
        <v>46660.5</v>
      </c>
      <c r="AL4" s="252">
        <f t="shared" si="0"/>
        <v>46691.5</v>
      </c>
      <c r="AM4" s="252">
        <f t="shared" si="0"/>
        <v>46721.5</v>
      </c>
      <c r="AN4" s="252">
        <f t="shared" si="0"/>
        <v>46752.5</v>
      </c>
      <c r="AO4" s="74"/>
      <c r="AP4" s="100" t="s">
        <v>45</v>
      </c>
    </row>
    <row r="5" spans="1:42" ht="11.5" customHeight="1" x14ac:dyDescent="0.25">
      <c r="C5" s="28" t="s">
        <v>754</v>
      </c>
      <c r="D5" s="270" t="s">
        <v>46</v>
      </c>
      <c r="E5" s="131">
        <f>E15</f>
        <v>219000</v>
      </c>
      <c r="F5" s="131">
        <f t="shared" ref="F5:AN5" si="1">F15</f>
        <v>27000</v>
      </c>
      <c r="G5" s="131">
        <f t="shared" si="1"/>
        <v>27000</v>
      </c>
      <c r="H5" s="131">
        <f t="shared" si="1"/>
        <v>27000</v>
      </c>
      <c r="I5" s="131">
        <f t="shared" si="1"/>
        <v>99000</v>
      </c>
      <c r="J5" s="131">
        <f t="shared" si="1"/>
        <v>123000</v>
      </c>
      <c r="K5" s="131">
        <f t="shared" si="1"/>
        <v>27000</v>
      </c>
      <c r="L5" s="131">
        <f t="shared" si="1"/>
        <v>27000</v>
      </c>
      <c r="M5" s="131">
        <f t="shared" si="1"/>
        <v>124000</v>
      </c>
      <c r="N5" s="131">
        <f t="shared" si="1"/>
        <v>76000</v>
      </c>
      <c r="O5" s="131">
        <f t="shared" si="1"/>
        <v>76000</v>
      </c>
      <c r="P5" s="28">
        <f t="shared" si="1"/>
        <v>76000</v>
      </c>
      <c r="Q5" s="28">
        <f t="shared" si="1"/>
        <v>408500</v>
      </c>
      <c r="R5" s="28">
        <f t="shared" si="1"/>
        <v>144500</v>
      </c>
      <c r="S5" s="28">
        <f t="shared" si="1"/>
        <v>144500</v>
      </c>
      <c r="T5" s="28">
        <f t="shared" si="1"/>
        <v>144500</v>
      </c>
      <c r="U5" s="28">
        <f t="shared" si="1"/>
        <v>548000</v>
      </c>
      <c r="V5" s="28">
        <f t="shared" si="1"/>
        <v>212000</v>
      </c>
      <c r="W5" s="28">
        <f t="shared" si="1"/>
        <v>212000</v>
      </c>
      <c r="X5" s="28">
        <f t="shared" si="1"/>
        <v>212000</v>
      </c>
      <c r="Y5" s="28">
        <f t="shared" si="1"/>
        <v>388000</v>
      </c>
      <c r="Z5" s="28">
        <f t="shared" si="1"/>
        <v>292000</v>
      </c>
      <c r="AA5" s="28">
        <f t="shared" si="1"/>
        <v>292000</v>
      </c>
      <c r="AB5" s="28">
        <f t="shared" si="1"/>
        <v>292000</v>
      </c>
      <c r="AC5" s="28">
        <f t="shared" si="1"/>
        <v>1250500</v>
      </c>
      <c r="AD5" s="28">
        <f t="shared" si="1"/>
        <v>434500</v>
      </c>
      <c r="AE5" s="28">
        <f t="shared" si="1"/>
        <v>434500</v>
      </c>
      <c r="AF5" s="28">
        <f t="shared" si="1"/>
        <v>434500</v>
      </c>
      <c r="AG5" s="28">
        <f t="shared" si="1"/>
        <v>1587500</v>
      </c>
      <c r="AH5" s="28">
        <f t="shared" si="1"/>
        <v>699500</v>
      </c>
      <c r="AI5" s="28">
        <f t="shared" si="1"/>
        <v>699500</v>
      </c>
      <c r="AJ5" s="28">
        <f t="shared" si="1"/>
        <v>699500</v>
      </c>
      <c r="AK5" s="28">
        <f t="shared" si="1"/>
        <v>1568000</v>
      </c>
      <c r="AL5" s="28">
        <f t="shared" si="1"/>
        <v>872000</v>
      </c>
      <c r="AM5" s="28">
        <f t="shared" si="1"/>
        <v>872000</v>
      </c>
      <c r="AN5" s="28">
        <f t="shared" si="1"/>
        <v>872000</v>
      </c>
      <c r="AP5" s="20"/>
    </row>
    <row r="6" spans="1:42" ht="11.5" customHeight="1" x14ac:dyDescent="0.25">
      <c r="C6" s="21" t="s">
        <v>753</v>
      </c>
      <c r="D6" s="38" t="s">
        <v>46</v>
      </c>
      <c r="E6" s="406">
        <f>E26</f>
        <v>2800</v>
      </c>
      <c r="F6" s="406">
        <f t="shared" ref="F6:AN6" si="2">F26</f>
        <v>2800</v>
      </c>
      <c r="G6" s="406">
        <f t="shared" si="2"/>
        <v>2800</v>
      </c>
      <c r="H6" s="406">
        <f t="shared" si="2"/>
        <v>2800</v>
      </c>
      <c r="I6" s="406">
        <f t="shared" si="2"/>
        <v>2800</v>
      </c>
      <c r="J6" s="406">
        <f t="shared" si="2"/>
        <v>2800</v>
      </c>
      <c r="K6" s="406">
        <f t="shared" si="2"/>
        <v>2800</v>
      </c>
      <c r="L6" s="406">
        <f t="shared" si="2"/>
        <v>2800</v>
      </c>
      <c r="M6" s="406">
        <f t="shared" si="2"/>
        <v>2800</v>
      </c>
      <c r="N6" s="406">
        <f t="shared" si="2"/>
        <v>2800</v>
      </c>
      <c r="O6" s="406">
        <f t="shared" si="2"/>
        <v>2800</v>
      </c>
      <c r="P6" s="376">
        <f t="shared" si="2"/>
        <v>2800</v>
      </c>
      <c r="Q6" s="376">
        <f t="shared" si="2"/>
        <v>2800</v>
      </c>
      <c r="R6" s="376">
        <f t="shared" si="2"/>
        <v>2800</v>
      </c>
      <c r="S6" s="376">
        <f t="shared" si="2"/>
        <v>2800</v>
      </c>
      <c r="T6" s="376">
        <f t="shared" si="2"/>
        <v>2800</v>
      </c>
      <c r="U6" s="376">
        <f t="shared" si="2"/>
        <v>2800</v>
      </c>
      <c r="V6" s="376">
        <f t="shared" si="2"/>
        <v>2800</v>
      </c>
      <c r="W6" s="376">
        <f t="shared" si="2"/>
        <v>2800</v>
      </c>
      <c r="X6" s="376">
        <f t="shared" si="2"/>
        <v>2800</v>
      </c>
      <c r="Y6" s="376">
        <f t="shared" si="2"/>
        <v>2800</v>
      </c>
      <c r="Z6" s="376">
        <f t="shared" si="2"/>
        <v>2800</v>
      </c>
      <c r="AA6" s="376">
        <f t="shared" si="2"/>
        <v>2800</v>
      </c>
      <c r="AB6" s="376">
        <f t="shared" si="2"/>
        <v>2800</v>
      </c>
      <c r="AC6" s="376">
        <f t="shared" si="2"/>
        <v>2800</v>
      </c>
      <c r="AD6" s="376">
        <f t="shared" si="2"/>
        <v>2800</v>
      </c>
      <c r="AE6" s="376">
        <f t="shared" si="2"/>
        <v>2800</v>
      </c>
      <c r="AF6" s="376">
        <f t="shared" si="2"/>
        <v>2800</v>
      </c>
      <c r="AG6" s="376">
        <f t="shared" si="2"/>
        <v>2800</v>
      </c>
      <c r="AH6" s="376">
        <f t="shared" si="2"/>
        <v>2800</v>
      </c>
      <c r="AI6" s="376">
        <f t="shared" si="2"/>
        <v>2800</v>
      </c>
      <c r="AJ6" s="376">
        <f t="shared" si="2"/>
        <v>2800</v>
      </c>
      <c r="AK6" s="376">
        <f t="shared" si="2"/>
        <v>2800</v>
      </c>
      <c r="AL6" s="376">
        <f t="shared" si="2"/>
        <v>2800</v>
      </c>
      <c r="AM6" s="376">
        <f t="shared" si="2"/>
        <v>2800</v>
      </c>
      <c r="AN6" s="376">
        <f t="shared" si="2"/>
        <v>2800</v>
      </c>
      <c r="AP6" s="21"/>
    </row>
    <row r="7" spans="1:42" ht="11.5" customHeight="1" x14ac:dyDescent="0.25">
      <c r="C7" s="22" t="s">
        <v>793</v>
      </c>
      <c r="D7" s="38" t="s">
        <v>46</v>
      </c>
      <c r="E7" s="479">
        <f>E59</f>
        <v>2366</v>
      </c>
      <c r="F7" s="479">
        <f t="shared" ref="F7:AN7" si="3">F59</f>
        <v>2776</v>
      </c>
      <c r="G7" s="479">
        <f t="shared" si="3"/>
        <v>3127.6000000000004</v>
      </c>
      <c r="H7" s="479">
        <f t="shared" si="3"/>
        <v>3391.48</v>
      </c>
      <c r="I7" s="479">
        <f t="shared" si="3"/>
        <v>4937.2640000000001</v>
      </c>
      <c r="J7" s="479">
        <f t="shared" si="3"/>
        <v>6889.883200000002</v>
      </c>
      <c r="K7" s="479">
        <f t="shared" si="3"/>
        <v>7140.1065600000002</v>
      </c>
      <c r="L7" s="479">
        <f t="shared" si="3"/>
        <v>7340.6852480000016</v>
      </c>
      <c r="M7" s="479">
        <f t="shared" si="3"/>
        <v>8955.2905984000026</v>
      </c>
      <c r="N7" s="479">
        <f t="shared" si="3"/>
        <v>9518.4552627200028</v>
      </c>
      <c r="O7" s="479">
        <f t="shared" si="3"/>
        <v>10059.152502784002</v>
      </c>
      <c r="P7" s="479">
        <f t="shared" si="3"/>
        <v>10585.112636313601</v>
      </c>
      <c r="Q7" s="479">
        <f t="shared" si="3"/>
        <v>16327.973430292481</v>
      </c>
      <c r="R7" s="479">
        <f t="shared" si="3"/>
        <v>16433.578744233986</v>
      </c>
      <c r="S7" s="479">
        <f t="shared" si="3"/>
        <v>16518.06299538719</v>
      </c>
      <c r="T7" s="479">
        <f t="shared" si="3"/>
        <v>16585.450396309752</v>
      </c>
      <c r="U7" s="479">
        <f t="shared" si="3"/>
        <v>23620.614048778421</v>
      </c>
      <c r="V7" s="479">
        <f t="shared" si="3"/>
        <v>23681.091239022739</v>
      </c>
      <c r="W7" s="479">
        <f t="shared" si="3"/>
        <v>23729.072991218192</v>
      </c>
      <c r="X7" s="479">
        <f t="shared" si="3"/>
        <v>23767.858392974551</v>
      </c>
      <c r="Y7" s="479">
        <f t="shared" si="3"/>
        <v>25441.52210685661</v>
      </c>
      <c r="Z7" s="479">
        <f t="shared" si="3"/>
        <v>25467.217685485288</v>
      </c>
      <c r="AA7" s="479">
        <f t="shared" si="3"/>
        <v>25487.974148388232</v>
      </c>
      <c r="AB7" s="479">
        <f t="shared" si="3"/>
        <v>25504.779318710585</v>
      </c>
      <c r="AC7" s="479">
        <f t="shared" si="3"/>
        <v>41610.186297967666</v>
      </c>
      <c r="AD7" s="479">
        <f t="shared" si="3"/>
        <v>41628.149038374133</v>
      </c>
      <c r="AE7" s="479">
        <f t="shared" si="3"/>
        <v>41641.719230699309</v>
      </c>
      <c r="AF7" s="479">
        <f t="shared" si="3"/>
        <v>41653.575384559459</v>
      </c>
      <c r="AG7" s="479">
        <f t="shared" si="3"/>
        <v>58827.329637080969</v>
      </c>
      <c r="AH7" s="479">
        <f t="shared" si="3"/>
        <v>58836.863709664758</v>
      </c>
      <c r="AI7" s="479">
        <f t="shared" si="3"/>
        <v>58844.490967731814</v>
      </c>
      <c r="AJ7" s="479">
        <f t="shared" si="3"/>
        <v>58851.592774185468</v>
      </c>
      <c r="AK7" s="479">
        <f t="shared" si="3"/>
        <v>71809.706920220808</v>
      </c>
      <c r="AL7" s="479">
        <f t="shared" si="3"/>
        <v>71814.365536176658</v>
      </c>
      <c r="AM7" s="479">
        <f t="shared" si="3"/>
        <v>71818.092428941323</v>
      </c>
      <c r="AN7" s="479">
        <f t="shared" si="3"/>
        <v>71821.073943153067</v>
      </c>
      <c r="AP7" s="22"/>
    </row>
    <row r="8" spans="1:42" ht="11.5" customHeight="1" x14ac:dyDescent="0.25">
      <c r="C8" s="22" t="s">
        <v>758</v>
      </c>
      <c r="D8" s="96" t="s">
        <v>46</v>
      </c>
      <c r="E8" s="479">
        <f>E62</f>
        <v>13513.285400000002</v>
      </c>
      <c r="F8" s="479">
        <f t="shared" ref="F8:AN8" ca="1" si="4">F62</f>
        <v>17724.896699999998</v>
      </c>
      <c r="G8" s="479">
        <f t="shared" ca="1" si="4"/>
        <v>21553.726900000001</v>
      </c>
      <c r="H8" s="479">
        <f t="shared" ca="1" si="4"/>
        <v>24713.217199999999</v>
      </c>
      <c r="I8" s="479">
        <f t="shared" ca="1" si="4"/>
        <v>35580.228300000002</v>
      </c>
      <c r="J8" s="479">
        <f t="shared" ca="1" si="4"/>
        <v>58439.215400000001</v>
      </c>
      <c r="K8" s="479">
        <f t="shared" ca="1" si="4"/>
        <v>76649.615000000005</v>
      </c>
      <c r="L8" s="479">
        <f t="shared" ca="1" si="4"/>
        <v>93304.622600000002</v>
      </c>
      <c r="M8" s="479">
        <f t="shared" ca="1" si="4"/>
        <v>117392.7004</v>
      </c>
      <c r="N8" s="479">
        <f t="shared" ca="1" si="4"/>
        <v>140333.39170000001</v>
      </c>
      <c r="O8" s="479">
        <f t="shared" ca="1" si="4"/>
        <v>171161.03630000001</v>
      </c>
      <c r="P8" s="530">
        <f t="shared" ca="1" si="4"/>
        <v>201127.4013</v>
      </c>
      <c r="Q8" s="530">
        <f t="shared" ca="1" si="4"/>
        <v>268153.86570000002</v>
      </c>
      <c r="R8" s="530">
        <f t="shared" ca="1" si="4"/>
        <v>299440.07055</v>
      </c>
      <c r="S8" s="530">
        <f t="shared" ca="1" si="4"/>
        <v>330719.02777499997</v>
      </c>
      <c r="T8" s="530">
        <f t="shared" ca="1" si="4"/>
        <v>359540.15767500002</v>
      </c>
      <c r="U8" s="530">
        <f t="shared" ca="1" si="4"/>
        <v>429425.023575</v>
      </c>
      <c r="V8" s="530">
        <f t="shared" ca="1" si="4"/>
        <v>467928.51824999996</v>
      </c>
      <c r="W8" s="530">
        <f t="shared" ca="1" si="4"/>
        <v>513189.82034999999</v>
      </c>
      <c r="X8" s="530">
        <f t="shared" ca="1" si="4"/>
        <v>550557.77055000002</v>
      </c>
      <c r="Y8" s="530">
        <f t="shared" ca="1" si="4"/>
        <v>592022.3628</v>
      </c>
      <c r="Z8" s="530">
        <f t="shared" ca="1" si="4"/>
        <v>642260.15977499995</v>
      </c>
      <c r="AA8" s="530">
        <f t="shared" ca="1" si="4"/>
        <v>691006.17922499997</v>
      </c>
      <c r="AB8" s="530">
        <f t="shared" ca="1" si="4"/>
        <v>734397.8469</v>
      </c>
      <c r="AC8" s="530">
        <f t="shared" ca="1" si="4"/>
        <v>908025.58884374995</v>
      </c>
      <c r="AD8" s="530">
        <f t="shared" ca="1" si="4"/>
        <v>956956.00955624995</v>
      </c>
      <c r="AE8" s="530">
        <f t="shared" ca="1" si="4"/>
        <v>1002322.66175625</v>
      </c>
      <c r="AF8" s="530">
        <f t="shared" ca="1" si="4"/>
        <v>1040319.0438</v>
      </c>
      <c r="AG8" s="530">
        <f t="shared" ca="1" si="4"/>
        <v>1177631.3439937499</v>
      </c>
      <c r="AH8" s="530">
        <f t="shared" ca="1" si="4"/>
        <v>1260663.231525</v>
      </c>
      <c r="AI8" s="530">
        <f t="shared" ca="1" si="4"/>
        <v>1374956.8751437501</v>
      </c>
      <c r="AJ8" s="530">
        <f t="shared" ca="1" si="4"/>
        <v>1473192.0879375001</v>
      </c>
      <c r="AK8" s="530">
        <f t="shared" ca="1" si="4"/>
        <v>1641083.786475</v>
      </c>
      <c r="AL8" s="530">
        <f t="shared" ca="1" si="4"/>
        <v>1764159.9901312501</v>
      </c>
      <c r="AM8" s="530">
        <f t="shared" ca="1" si="4"/>
        <v>1914681.5470312501</v>
      </c>
      <c r="AN8" s="530">
        <f t="shared" ca="1" si="4"/>
        <v>2044175.8783125</v>
      </c>
      <c r="AP8" s="22"/>
    </row>
    <row r="9" spans="1:42" ht="11.5" customHeight="1" x14ac:dyDescent="0.25">
      <c r="C9" s="22" t="s">
        <v>756</v>
      </c>
      <c r="D9" s="96" t="s">
        <v>46</v>
      </c>
      <c r="E9" s="479">
        <f>E65</f>
        <v>147751.42800000001</v>
      </c>
      <c r="F9" s="479">
        <f t="shared" ref="F9:AN9" ca="1" si="5">F65</f>
        <v>196317.99400000001</v>
      </c>
      <c r="G9" s="479">
        <f t="shared" ca="1" si="5"/>
        <v>242824.95799999998</v>
      </c>
      <c r="H9" s="479">
        <f t="shared" ca="1" si="5"/>
        <v>276751.304</v>
      </c>
      <c r="I9" s="479">
        <f t="shared" ca="1" si="5"/>
        <v>391509.50600000005</v>
      </c>
      <c r="J9" s="479">
        <f t="shared" ca="1" si="5"/>
        <v>610344.02799999993</v>
      </c>
      <c r="K9" s="479">
        <f t="shared" ca="1" si="5"/>
        <v>752999.3</v>
      </c>
      <c r="L9" s="479">
        <f t="shared" ca="1" si="5"/>
        <v>883281.1320000001</v>
      </c>
      <c r="M9" s="479">
        <f t="shared" ca="1" si="5"/>
        <v>1087986.7280000001</v>
      </c>
      <c r="N9" s="479">
        <f t="shared" ca="1" si="5"/>
        <v>1262878.8940000001</v>
      </c>
      <c r="O9" s="479">
        <f t="shared" ca="1" si="5"/>
        <v>1488020.0660000001</v>
      </c>
      <c r="P9" s="530">
        <f t="shared" ca="1" si="5"/>
        <v>1707504.3660000002</v>
      </c>
      <c r="Q9" s="530">
        <f t="shared" ca="1" si="5"/>
        <v>2289461.574</v>
      </c>
      <c r="R9" s="530">
        <f t="shared" ca="1" si="5"/>
        <v>2521027.4010000005</v>
      </c>
      <c r="S9" s="530">
        <f t="shared" ca="1" si="5"/>
        <v>2747330.0504999999</v>
      </c>
      <c r="T9" s="530">
        <f t="shared" ca="1" si="5"/>
        <v>2964368.4685</v>
      </c>
      <c r="U9" s="530">
        <f t="shared" ca="1" si="5"/>
        <v>3570886.4065</v>
      </c>
      <c r="V9" s="530">
        <f t="shared" ca="1" si="5"/>
        <v>3865188.2149999999</v>
      </c>
      <c r="W9" s="530">
        <f t="shared" ca="1" si="5"/>
        <v>4189936.0370000005</v>
      </c>
      <c r="X9" s="530">
        <f t="shared" ca="1" si="5"/>
        <v>4460241.4010000005</v>
      </c>
      <c r="Y9" s="530">
        <f t="shared" ca="1" si="5"/>
        <v>4768404.2960000001</v>
      </c>
      <c r="Z9" s="530">
        <f t="shared" ca="1" si="5"/>
        <v>5117950.2905000001</v>
      </c>
      <c r="AA9" s="530">
        <f t="shared" ca="1" si="5"/>
        <v>5453806.6895000003</v>
      </c>
      <c r="AB9" s="530">
        <f t="shared" ca="1" si="5"/>
        <v>5752723.358</v>
      </c>
      <c r="AC9" s="530">
        <f t="shared" ca="1" si="5"/>
        <v>7169888.5706249997</v>
      </c>
      <c r="AD9" s="530">
        <f t="shared" ca="1" si="5"/>
        <v>7558532.5173749998</v>
      </c>
      <c r="AE9" s="530">
        <f t="shared" ca="1" si="5"/>
        <v>7913635.5213750005</v>
      </c>
      <c r="AF9" s="530">
        <f t="shared" ca="1" si="5"/>
        <v>8213743.716</v>
      </c>
      <c r="AG9" s="530">
        <f t="shared" ca="1" si="5"/>
        <v>9412489.9436249994</v>
      </c>
      <c r="AH9" s="530">
        <f t="shared" ca="1" si="5"/>
        <v>10048055.875500001</v>
      </c>
      <c r="AI9" s="530">
        <f t="shared" ca="1" si="5"/>
        <v>10873763.636624999</v>
      </c>
      <c r="AJ9" s="530">
        <f t="shared" ca="1" si="5"/>
        <v>11584078.796250001</v>
      </c>
      <c r="AK9" s="530">
        <f t="shared" ca="1" si="5"/>
        <v>12927556.884500001</v>
      </c>
      <c r="AL9" s="530">
        <f t="shared" ca="1" si="5"/>
        <v>13834380.663875001</v>
      </c>
      <c r="AM9" s="530">
        <f t="shared" ca="1" si="5"/>
        <v>14901856.221875001</v>
      </c>
      <c r="AN9" s="530">
        <f t="shared" ca="1" si="5"/>
        <v>15818344.778750001</v>
      </c>
      <c r="AP9" s="22"/>
    </row>
    <row r="10" spans="1:42" ht="11.5" customHeight="1" x14ac:dyDescent="0.25">
      <c r="C10" s="22" t="s">
        <v>755</v>
      </c>
      <c r="D10" s="96" t="s">
        <v>46</v>
      </c>
      <c r="E10" s="479">
        <f>E69</f>
        <v>60952.797821647378</v>
      </c>
      <c r="F10" s="479">
        <f t="shared" ref="F10:AN10" si="6">F69</f>
        <v>19620</v>
      </c>
      <c r="G10" s="479">
        <f t="shared" si="6"/>
        <v>19620</v>
      </c>
      <c r="H10" s="479">
        <f t="shared" si="6"/>
        <v>19620</v>
      </c>
      <c r="I10" s="479">
        <f t="shared" si="6"/>
        <v>23940</v>
      </c>
      <c r="J10" s="479">
        <f t="shared" si="6"/>
        <v>25380</v>
      </c>
      <c r="K10" s="479">
        <f t="shared" si="6"/>
        <v>24620</v>
      </c>
      <c r="L10" s="479">
        <f t="shared" si="6"/>
        <v>24620</v>
      </c>
      <c r="M10" s="479">
        <f t="shared" si="6"/>
        <v>56549.598366235536</v>
      </c>
      <c r="N10" s="479">
        <f t="shared" si="6"/>
        <v>42560</v>
      </c>
      <c r="O10" s="479">
        <f t="shared" si="6"/>
        <v>42560</v>
      </c>
      <c r="P10" s="530">
        <f t="shared" si="6"/>
        <v>62560</v>
      </c>
      <c r="Q10" s="530">
        <f t="shared" si="6"/>
        <v>144838.79509870661</v>
      </c>
      <c r="R10" s="530">
        <f t="shared" si="6"/>
        <v>91670</v>
      </c>
      <c r="S10" s="530">
        <f t="shared" si="6"/>
        <v>91670</v>
      </c>
      <c r="T10" s="530">
        <f t="shared" si="6"/>
        <v>91670</v>
      </c>
      <c r="U10" s="530">
        <f t="shared" si="6"/>
        <v>168099.19673247106</v>
      </c>
      <c r="V10" s="530">
        <f t="shared" si="6"/>
        <v>125720</v>
      </c>
      <c r="W10" s="530">
        <f t="shared" si="6"/>
        <v>125720</v>
      </c>
      <c r="X10" s="530">
        <f t="shared" si="6"/>
        <v>125720</v>
      </c>
      <c r="Y10" s="530">
        <f t="shared" si="6"/>
        <v>188499.19673247106</v>
      </c>
      <c r="Z10" s="530">
        <f t="shared" si="6"/>
        <v>160520</v>
      </c>
      <c r="AA10" s="530">
        <f t="shared" si="6"/>
        <v>160520</v>
      </c>
      <c r="AB10" s="530">
        <f t="shared" si="6"/>
        <v>180520</v>
      </c>
      <c r="AC10" s="530">
        <f t="shared" si="6"/>
        <v>367390.78965282504</v>
      </c>
      <c r="AD10" s="530">
        <f t="shared" si="6"/>
        <v>244070</v>
      </c>
      <c r="AE10" s="530">
        <f t="shared" si="6"/>
        <v>244070</v>
      </c>
      <c r="AF10" s="530">
        <f t="shared" si="6"/>
        <v>244070</v>
      </c>
      <c r="AG10" s="530">
        <f t="shared" si="6"/>
        <v>522126.78692988429</v>
      </c>
      <c r="AH10" s="530">
        <f t="shared" si="6"/>
        <v>379970</v>
      </c>
      <c r="AI10" s="530">
        <f t="shared" si="6"/>
        <v>379970</v>
      </c>
      <c r="AJ10" s="530">
        <f t="shared" si="6"/>
        <v>379970</v>
      </c>
      <c r="AK10" s="530">
        <f t="shared" si="6"/>
        <v>573737.59019741323</v>
      </c>
      <c r="AL10" s="530">
        <f t="shared" si="6"/>
        <v>465320</v>
      </c>
      <c r="AM10" s="530">
        <f t="shared" si="6"/>
        <v>465320</v>
      </c>
      <c r="AN10" s="530">
        <f t="shared" si="6"/>
        <v>485320</v>
      </c>
      <c r="AP10" s="22"/>
    </row>
    <row r="11" spans="1:42" ht="11.5" customHeight="1" x14ac:dyDescent="0.25">
      <c r="C11" s="134" t="s">
        <v>757</v>
      </c>
      <c r="D11" s="153" t="s">
        <v>46</v>
      </c>
      <c r="E11" s="480">
        <f>E76</f>
        <v>18875.714000000004</v>
      </c>
      <c r="F11" s="480">
        <f t="shared" ref="F11:AN11" ca="1" si="7">F76</f>
        <v>33158.996999999996</v>
      </c>
      <c r="G11" s="480">
        <f t="shared" ca="1" si="7"/>
        <v>46412.478999999999</v>
      </c>
      <c r="H11" s="480">
        <f t="shared" ca="1" si="7"/>
        <v>58375.652000000002</v>
      </c>
      <c r="I11" s="480">
        <f t="shared" ca="1" si="7"/>
        <v>80754.753000000012</v>
      </c>
      <c r="J11" s="480">
        <f t="shared" ca="1" si="7"/>
        <v>140172.014</v>
      </c>
      <c r="K11" s="480">
        <f t="shared" ca="1" si="7"/>
        <v>206499.65000000002</v>
      </c>
      <c r="L11" s="480">
        <f t="shared" ca="1" si="7"/>
        <v>266640.56600000005</v>
      </c>
      <c r="M11" s="480">
        <f t="shared" ca="1" si="7"/>
        <v>333993.36400000006</v>
      </c>
      <c r="N11" s="480">
        <f t="shared" ca="1" si="7"/>
        <v>411439.44700000004</v>
      </c>
      <c r="O11" s="480">
        <f t="shared" ca="1" si="7"/>
        <v>514010.03300000005</v>
      </c>
      <c r="P11" s="377">
        <f t="shared" ca="1" si="7"/>
        <v>613752.18300000008</v>
      </c>
      <c r="Q11" s="377">
        <f t="shared" ca="1" si="7"/>
        <v>769730.78700000001</v>
      </c>
      <c r="R11" s="377">
        <f t="shared" ca="1" si="7"/>
        <v>885513.70050000015</v>
      </c>
      <c r="S11" s="377">
        <f t="shared" ca="1" si="7"/>
        <v>998665.02524999995</v>
      </c>
      <c r="T11" s="377">
        <f t="shared" ca="1" si="7"/>
        <v>1102184.23425</v>
      </c>
      <c r="U11" s="377">
        <f t="shared" ca="1" si="7"/>
        <v>1255443.20325</v>
      </c>
      <c r="V11" s="377">
        <f t="shared" ca="1" si="7"/>
        <v>1397594.1074999999</v>
      </c>
      <c r="W11" s="377">
        <f t="shared" ca="1" si="7"/>
        <v>1559968.0185000002</v>
      </c>
      <c r="X11" s="377">
        <f t="shared" ca="1" si="7"/>
        <v>1695120.7005</v>
      </c>
      <c r="Y11" s="377">
        <f t="shared" ca="1" si="7"/>
        <v>1819202.148</v>
      </c>
      <c r="Z11" s="377">
        <f t="shared" ca="1" si="7"/>
        <v>1993975.1452500001</v>
      </c>
      <c r="AA11" s="377">
        <f t="shared" ca="1" si="7"/>
        <v>2161903.3447500002</v>
      </c>
      <c r="AB11" s="377">
        <f t="shared" ca="1" si="7"/>
        <v>2311361.679</v>
      </c>
      <c r="AC11" s="377">
        <f t="shared" ca="1" si="7"/>
        <v>2684944.2853124999</v>
      </c>
      <c r="AD11" s="377">
        <f t="shared" ca="1" si="7"/>
        <v>2879266.2586874999</v>
      </c>
      <c r="AE11" s="377">
        <f t="shared" ca="1" si="7"/>
        <v>3056817.7606875002</v>
      </c>
      <c r="AF11" s="377">
        <f t="shared" ca="1" si="7"/>
        <v>3206871.858</v>
      </c>
      <c r="AG11" s="377">
        <f t="shared" ca="1" si="7"/>
        <v>3461244.9718125002</v>
      </c>
      <c r="AH11" s="377">
        <f t="shared" ca="1" si="7"/>
        <v>3779027.93775</v>
      </c>
      <c r="AI11" s="377">
        <f t="shared" ca="1" si="7"/>
        <v>4191881.8183124997</v>
      </c>
      <c r="AJ11" s="377">
        <f t="shared" ca="1" si="7"/>
        <v>4547039.3981250003</v>
      </c>
      <c r="AK11" s="377">
        <f t="shared" ca="1" si="7"/>
        <v>4968778.4422500003</v>
      </c>
      <c r="AL11" s="377">
        <f t="shared" ca="1" si="7"/>
        <v>5422190.3319375003</v>
      </c>
      <c r="AM11" s="377">
        <f t="shared" ca="1" si="7"/>
        <v>5955928.1109375004</v>
      </c>
      <c r="AN11" s="377">
        <f t="shared" ca="1" si="7"/>
        <v>6414172.3893750003</v>
      </c>
      <c r="AP11" s="27"/>
    </row>
    <row r="12" spans="1:42" ht="11.5" customHeight="1" x14ac:dyDescent="0.25">
      <c r="C12" s="446" t="s">
        <v>759</v>
      </c>
      <c r="D12" s="445" t="s">
        <v>46</v>
      </c>
      <c r="E12" s="764">
        <f>SUM(E5:E11)</f>
        <v>465259.22522164736</v>
      </c>
      <c r="F12" s="474">
        <f t="shared" ref="F12:AN12" ca="1" si="8">SUM(F5:F11)</f>
        <v>299397.88769999996</v>
      </c>
      <c r="G12" s="474">
        <f t="shared" ca="1" si="8"/>
        <v>363338.76389999996</v>
      </c>
      <c r="H12" s="474">
        <f t="shared" ca="1" si="8"/>
        <v>412651.6532</v>
      </c>
      <c r="I12" s="474">
        <f t="shared" ca="1" si="8"/>
        <v>638521.75130000012</v>
      </c>
      <c r="J12" s="474">
        <f t="shared" ca="1" si="8"/>
        <v>967025.14059999993</v>
      </c>
      <c r="K12" s="474">
        <f t="shared" ca="1" si="8"/>
        <v>1097708.6715600002</v>
      </c>
      <c r="L12" s="474">
        <f t="shared" ca="1" si="8"/>
        <v>1304987.0058480001</v>
      </c>
      <c r="M12" s="474">
        <f t="shared" ca="1" si="8"/>
        <v>1731677.6813646357</v>
      </c>
      <c r="N12" s="474">
        <f t="shared" ca="1" si="8"/>
        <v>1945530.1879627202</v>
      </c>
      <c r="O12" s="474">
        <f t="shared" ca="1" si="8"/>
        <v>2304610.2878027842</v>
      </c>
      <c r="P12" s="474">
        <f t="shared" ca="1" si="8"/>
        <v>2674329.0629363139</v>
      </c>
      <c r="Q12" s="474">
        <f t="shared" ca="1" si="8"/>
        <v>3899812.9952289993</v>
      </c>
      <c r="R12" s="474">
        <f t="shared" ca="1" si="8"/>
        <v>3961384.7507942347</v>
      </c>
      <c r="S12" s="474">
        <f t="shared" ca="1" si="8"/>
        <v>4332202.1665203869</v>
      </c>
      <c r="T12" s="474">
        <f t="shared" ca="1" si="8"/>
        <v>4681648.3108213097</v>
      </c>
      <c r="U12" s="474">
        <f t="shared" ca="1" si="8"/>
        <v>5998274.4441062491</v>
      </c>
      <c r="V12" s="474">
        <f t="shared" ca="1" si="8"/>
        <v>6094911.9319890225</v>
      </c>
      <c r="W12" s="474">
        <f t="shared" ca="1" si="8"/>
        <v>6627342.9488412188</v>
      </c>
      <c r="X12" s="474">
        <f t="shared" ca="1" si="8"/>
        <v>7070207.7304429756</v>
      </c>
      <c r="Y12" s="474">
        <f t="shared" ca="1" si="8"/>
        <v>7784369.5256393272</v>
      </c>
      <c r="Z12" s="474">
        <f t="shared" ca="1" si="8"/>
        <v>8234972.8132104855</v>
      </c>
      <c r="AA12" s="474">
        <f t="shared" ca="1" si="8"/>
        <v>8787524.1876233891</v>
      </c>
      <c r="AB12" s="474">
        <f t="shared" ca="1" si="8"/>
        <v>9299307.6632187106</v>
      </c>
      <c r="AC12" s="474">
        <f t="shared" ca="1" si="8"/>
        <v>12425159.420732042</v>
      </c>
      <c r="AD12" s="474">
        <f t="shared" ca="1" si="8"/>
        <v>12117752.934657123</v>
      </c>
      <c r="AE12" s="474">
        <f t="shared" ca="1" si="8"/>
        <v>12695787.66304945</v>
      </c>
      <c r="AF12" s="474">
        <f t="shared" ca="1" si="8"/>
        <v>13183958.193184558</v>
      </c>
      <c r="AG12" s="474">
        <f t="shared" ca="1" si="8"/>
        <v>16222620.375998214</v>
      </c>
      <c r="AH12" s="474">
        <f t="shared" ca="1" si="8"/>
        <v>16228853.908484666</v>
      </c>
      <c r="AI12" s="474">
        <f t="shared" ca="1" si="8"/>
        <v>17581716.821048982</v>
      </c>
      <c r="AJ12" s="474">
        <f t="shared" ca="1" si="8"/>
        <v>18745431.875086688</v>
      </c>
      <c r="AK12" s="474">
        <f t="shared" ca="1" si="8"/>
        <v>21753766.410342634</v>
      </c>
      <c r="AL12" s="474">
        <f t="shared" ca="1" si="8"/>
        <v>22432665.351479925</v>
      </c>
      <c r="AM12" s="474">
        <f t="shared" ca="1" si="8"/>
        <v>24184403.972272694</v>
      </c>
      <c r="AN12" s="474">
        <f t="shared" ca="1" si="8"/>
        <v>25708634.120380655</v>
      </c>
      <c r="AO12" s="266"/>
      <c r="AP12" s="446"/>
    </row>
    <row r="13" spans="1:42" ht="3" customHeight="1" x14ac:dyDescent="0.25"/>
    <row r="14" spans="1:42" s="12" customFormat="1" ht="11.5" customHeight="1" x14ac:dyDescent="0.25">
      <c r="B14" s="13" t="s">
        <v>0</v>
      </c>
      <c r="C14" s="14" t="s">
        <v>16</v>
      </c>
      <c r="D14" s="253" t="s">
        <v>14</v>
      </c>
      <c r="E14" s="254">
        <v>45688</v>
      </c>
      <c r="F14" s="254">
        <v>45716</v>
      </c>
      <c r="G14" s="254">
        <v>45747</v>
      </c>
      <c r="H14" s="254">
        <v>45777</v>
      </c>
      <c r="I14" s="254">
        <v>45808</v>
      </c>
      <c r="J14" s="254">
        <v>45838</v>
      </c>
      <c r="K14" s="254">
        <v>45869</v>
      </c>
      <c r="L14" s="254">
        <v>45900</v>
      </c>
      <c r="M14" s="254">
        <v>45930</v>
      </c>
      <c r="N14" s="254">
        <v>45961</v>
      </c>
      <c r="O14" s="254">
        <v>45991</v>
      </c>
      <c r="P14" s="254">
        <v>46022</v>
      </c>
      <c r="Q14" s="254">
        <f>E14+365.25</f>
        <v>46053.25</v>
      </c>
      <c r="R14" s="254">
        <f t="shared" ref="R14" si="9">F14+365.25</f>
        <v>46081.25</v>
      </c>
      <c r="S14" s="254">
        <f t="shared" ref="S14" si="10">G14+365.25</f>
        <v>46112.25</v>
      </c>
      <c r="T14" s="254">
        <f t="shared" ref="T14" si="11">H14+365.25</f>
        <v>46142.25</v>
      </c>
      <c r="U14" s="254">
        <f t="shared" ref="U14" si="12">I14+365.25</f>
        <v>46173.25</v>
      </c>
      <c r="V14" s="254">
        <f t="shared" ref="V14" si="13">J14+365.25</f>
        <v>46203.25</v>
      </c>
      <c r="W14" s="254">
        <f t="shared" ref="W14" si="14">K14+365.25</f>
        <v>46234.25</v>
      </c>
      <c r="X14" s="254">
        <f t="shared" ref="X14" si="15">L14+365.25</f>
        <v>46265.25</v>
      </c>
      <c r="Y14" s="254">
        <f t="shared" ref="Y14" si="16">M14+365.25</f>
        <v>46295.25</v>
      </c>
      <c r="Z14" s="254">
        <f t="shared" ref="Z14" si="17">N14+365.25</f>
        <v>46326.25</v>
      </c>
      <c r="AA14" s="254">
        <f t="shared" ref="AA14" si="18">O14+365.25</f>
        <v>46356.25</v>
      </c>
      <c r="AB14" s="254">
        <f t="shared" ref="AB14" si="19">P14+365.25</f>
        <v>46387.25</v>
      </c>
      <c r="AC14" s="254">
        <f t="shared" ref="AC14" si="20">Q14+365.25</f>
        <v>46418.5</v>
      </c>
      <c r="AD14" s="254">
        <f t="shared" ref="AD14" si="21">R14+365.25</f>
        <v>46446.5</v>
      </c>
      <c r="AE14" s="254">
        <f t="shared" ref="AE14" si="22">S14+365.25</f>
        <v>46477.5</v>
      </c>
      <c r="AF14" s="254">
        <f t="shared" ref="AF14" si="23">T14+365.25</f>
        <v>46507.5</v>
      </c>
      <c r="AG14" s="254">
        <f t="shared" ref="AG14" si="24">U14+365.25</f>
        <v>46538.5</v>
      </c>
      <c r="AH14" s="254">
        <f t="shared" ref="AH14" si="25">V14+365.25</f>
        <v>46568.5</v>
      </c>
      <c r="AI14" s="254">
        <f t="shared" ref="AI14" si="26">W14+365.25</f>
        <v>46599.5</v>
      </c>
      <c r="AJ14" s="254">
        <f t="shared" ref="AJ14" si="27">X14+365.25</f>
        <v>46630.5</v>
      </c>
      <c r="AK14" s="254">
        <f t="shared" ref="AK14" si="28">Y14+365.25</f>
        <v>46660.5</v>
      </c>
      <c r="AL14" s="254">
        <f t="shared" ref="AL14" si="29">Z14+365.25</f>
        <v>46691.5</v>
      </c>
      <c r="AM14" s="254">
        <f t="shared" ref="AM14" si="30">AA14+365.25</f>
        <v>46721.5</v>
      </c>
      <c r="AN14" s="254">
        <f t="shared" ref="AN14" si="31">AB14+365.25</f>
        <v>46752.5</v>
      </c>
      <c r="AP14" s="15"/>
    </row>
    <row r="15" spans="1:42" ht="11.5" customHeight="1" x14ac:dyDescent="0.25">
      <c r="B15" s="33" t="s">
        <v>9</v>
      </c>
      <c r="C15" s="520" t="s">
        <v>754</v>
      </c>
      <c r="D15" s="528" t="s">
        <v>46</v>
      </c>
      <c r="E15" s="565">
        <f t="shared" ref="E15:AN15" si="32">SUM(E16:E25)</f>
        <v>219000</v>
      </c>
      <c r="F15" s="531">
        <f t="shared" si="32"/>
        <v>27000</v>
      </c>
      <c r="G15" s="531">
        <f t="shared" si="32"/>
        <v>27000</v>
      </c>
      <c r="H15" s="531">
        <f t="shared" si="32"/>
        <v>27000</v>
      </c>
      <c r="I15" s="531">
        <f t="shared" si="32"/>
        <v>99000</v>
      </c>
      <c r="J15" s="531">
        <f t="shared" si="32"/>
        <v>123000</v>
      </c>
      <c r="K15" s="531">
        <f t="shared" si="32"/>
        <v>27000</v>
      </c>
      <c r="L15" s="531">
        <f t="shared" si="32"/>
        <v>27000</v>
      </c>
      <c r="M15" s="531">
        <f t="shared" si="32"/>
        <v>124000</v>
      </c>
      <c r="N15" s="531">
        <f t="shared" si="32"/>
        <v>76000</v>
      </c>
      <c r="O15" s="531">
        <f t="shared" si="32"/>
        <v>76000</v>
      </c>
      <c r="P15" s="531">
        <f t="shared" si="32"/>
        <v>76000</v>
      </c>
      <c r="Q15" s="531">
        <f t="shared" si="32"/>
        <v>408500</v>
      </c>
      <c r="R15" s="531">
        <f t="shared" si="32"/>
        <v>144500</v>
      </c>
      <c r="S15" s="531">
        <f t="shared" si="32"/>
        <v>144500</v>
      </c>
      <c r="T15" s="531">
        <f t="shared" si="32"/>
        <v>144500</v>
      </c>
      <c r="U15" s="531">
        <f t="shared" si="32"/>
        <v>548000</v>
      </c>
      <c r="V15" s="531">
        <f t="shared" si="32"/>
        <v>212000</v>
      </c>
      <c r="W15" s="531">
        <f t="shared" si="32"/>
        <v>212000</v>
      </c>
      <c r="X15" s="531">
        <f t="shared" si="32"/>
        <v>212000</v>
      </c>
      <c r="Y15" s="531">
        <f t="shared" si="32"/>
        <v>388000</v>
      </c>
      <c r="Z15" s="531">
        <f t="shared" si="32"/>
        <v>292000</v>
      </c>
      <c r="AA15" s="531">
        <f t="shared" si="32"/>
        <v>292000</v>
      </c>
      <c r="AB15" s="531">
        <f t="shared" si="32"/>
        <v>292000</v>
      </c>
      <c r="AC15" s="531">
        <f t="shared" si="32"/>
        <v>1250500</v>
      </c>
      <c r="AD15" s="531">
        <f t="shared" si="32"/>
        <v>434500</v>
      </c>
      <c r="AE15" s="531">
        <f t="shared" si="32"/>
        <v>434500</v>
      </c>
      <c r="AF15" s="531">
        <f t="shared" si="32"/>
        <v>434500</v>
      </c>
      <c r="AG15" s="531">
        <f t="shared" si="32"/>
        <v>1587500</v>
      </c>
      <c r="AH15" s="531">
        <f t="shared" si="32"/>
        <v>699500</v>
      </c>
      <c r="AI15" s="531">
        <f t="shared" si="32"/>
        <v>699500</v>
      </c>
      <c r="AJ15" s="531">
        <f t="shared" si="32"/>
        <v>699500</v>
      </c>
      <c r="AK15" s="531">
        <f t="shared" si="32"/>
        <v>1568000</v>
      </c>
      <c r="AL15" s="531">
        <f t="shared" si="32"/>
        <v>872000</v>
      </c>
      <c r="AM15" s="531">
        <f t="shared" si="32"/>
        <v>872000</v>
      </c>
      <c r="AN15" s="531">
        <f t="shared" si="32"/>
        <v>872000</v>
      </c>
      <c r="AO15" s="269"/>
      <c r="AP15" s="521"/>
    </row>
    <row r="16" spans="1:42" ht="11.5" customHeight="1" x14ac:dyDescent="0.25">
      <c r="C16" s="20" t="s">
        <v>802</v>
      </c>
      <c r="D16" s="34" t="s">
        <v>46</v>
      </c>
      <c r="E16" s="28">
        <f>'1.1 Control Panel'!E778+'1.1 Control Panel'!E779</f>
        <v>2000</v>
      </c>
      <c r="F16" s="28">
        <f>'1.1 Control Panel'!F778+'1.1 Control Panel'!F779</f>
        <v>2000</v>
      </c>
      <c r="G16" s="28">
        <f>'1.1 Control Panel'!G778+'1.1 Control Panel'!G779</f>
        <v>2000</v>
      </c>
      <c r="H16" s="28">
        <f>'1.1 Control Panel'!H778+'1.1 Control Panel'!H779</f>
        <v>2000</v>
      </c>
      <c r="I16" s="28">
        <f>'1.1 Control Panel'!I778+'1.1 Control Panel'!I779</f>
        <v>2000</v>
      </c>
      <c r="J16" s="28">
        <f>'1.1 Control Panel'!J778+'1.1 Control Panel'!J779</f>
        <v>2000</v>
      </c>
      <c r="K16" s="28">
        <f>'1.1 Control Panel'!K778+'1.1 Control Panel'!K779</f>
        <v>2000</v>
      </c>
      <c r="L16" s="28">
        <f>'1.1 Control Panel'!L778+'1.1 Control Panel'!L779</f>
        <v>2000</v>
      </c>
      <c r="M16" s="28">
        <f>'1.1 Control Panel'!M778+'1.1 Control Panel'!M779</f>
        <v>2000</v>
      </c>
      <c r="N16" s="28">
        <f>'1.1 Control Panel'!N778+'1.1 Control Panel'!N779</f>
        <v>2000</v>
      </c>
      <c r="O16" s="28">
        <f>'1.1 Control Panel'!O778+'1.1 Control Panel'!O779</f>
        <v>2000</v>
      </c>
      <c r="P16" s="28">
        <f>'1.1 Control Panel'!P778+'1.1 Control Panel'!P779</f>
        <v>2000</v>
      </c>
      <c r="Q16" s="28">
        <f>'1.1 Control Panel'!Q778+'1.1 Control Panel'!Q779</f>
        <v>2000</v>
      </c>
      <c r="R16" s="28">
        <f>'1.1 Control Panel'!R778+'1.1 Control Panel'!R779</f>
        <v>2000</v>
      </c>
      <c r="S16" s="28">
        <f>'1.1 Control Panel'!S778+'1.1 Control Panel'!S779</f>
        <v>2000</v>
      </c>
      <c r="T16" s="28">
        <f>'1.1 Control Panel'!T778+'1.1 Control Panel'!T779</f>
        <v>2000</v>
      </c>
      <c r="U16" s="28">
        <f>'1.1 Control Panel'!U778+'1.1 Control Panel'!U779</f>
        <v>2000</v>
      </c>
      <c r="V16" s="28">
        <f>'1.1 Control Panel'!V778+'1.1 Control Panel'!V779</f>
        <v>2000</v>
      </c>
      <c r="W16" s="28">
        <f>'1.1 Control Panel'!W778+'1.1 Control Panel'!W779</f>
        <v>2000</v>
      </c>
      <c r="X16" s="28">
        <f>'1.1 Control Panel'!X778+'1.1 Control Panel'!X779</f>
        <v>2000</v>
      </c>
      <c r="Y16" s="28">
        <f>'1.1 Control Panel'!Y778+'1.1 Control Panel'!Y779</f>
        <v>2000</v>
      </c>
      <c r="Z16" s="28">
        <f>'1.1 Control Panel'!Z778+'1.1 Control Panel'!Z779</f>
        <v>2000</v>
      </c>
      <c r="AA16" s="28">
        <f>'1.1 Control Panel'!AA778+'1.1 Control Panel'!AA779</f>
        <v>2000</v>
      </c>
      <c r="AB16" s="28">
        <f>'1.1 Control Panel'!AB778+'1.1 Control Panel'!AB779</f>
        <v>2000</v>
      </c>
      <c r="AC16" s="28">
        <f>'1.1 Control Panel'!AC778+'1.1 Control Panel'!AC779</f>
        <v>2000</v>
      </c>
      <c r="AD16" s="28">
        <f>'1.1 Control Panel'!AD778+'1.1 Control Panel'!AD779</f>
        <v>2000</v>
      </c>
      <c r="AE16" s="28">
        <f>'1.1 Control Panel'!AE778+'1.1 Control Panel'!AE779</f>
        <v>2000</v>
      </c>
      <c r="AF16" s="28">
        <f>'1.1 Control Panel'!AF778+'1.1 Control Panel'!AF779</f>
        <v>2000</v>
      </c>
      <c r="AG16" s="28">
        <f>'1.1 Control Panel'!AG778+'1.1 Control Panel'!AG779</f>
        <v>2000</v>
      </c>
      <c r="AH16" s="28">
        <f>'1.1 Control Panel'!AH778+'1.1 Control Panel'!AH779</f>
        <v>2000</v>
      </c>
      <c r="AI16" s="28">
        <f>'1.1 Control Panel'!AI778+'1.1 Control Panel'!AI779</f>
        <v>2000</v>
      </c>
      <c r="AJ16" s="28">
        <f>'1.1 Control Panel'!AJ778+'1.1 Control Panel'!AJ779</f>
        <v>2000</v>
      </c>
      <c r="AK16" s="28">
        <f>'1.1 Control Panel'!AK778+'1.1 Control Panel'!AK779</f>
        <v>2000</v>
      </c>
      <c r="AL16" s="28">
        <f>'1.1 Control Panel'!AL778+'1.1 Control Panel'!AL779</f>
        <v>2000</v>
      </c>
      <c r="AM16" s="28">
        <f>'1.1 Control Panel'!AM778+'1.1 Control Panel'!AM779</f>
        <v>2000</v>
      </c>
      <c r="AN16" s="28">
        <f>'1.1 Control Panel'!AN778+'1.1 Control Panel'!AN779</f>
        <v>2000</v>
      </c>
      <c r="AP16" s="20"/>
    </row>
    <row r="17" spans="2:42" ht="11.5" customHeight="1" x14ac:dyDescent="0.25">
      <c r="C17" s="20" t="s">
        <v>795</v>
      </c>
      <c r="D17" s="34" t="s">
        <v>46</v>
      </c>
      <c r="E17" s="28">
        <f>SUMPRODUCT('3.5 Staff'!E19:E21,'1.1 Control Panel'!E781:E783)</f>
        <v>2500</v>
      </c>
      <c r="F17" s="28">
        <f>SUMPRODUCT('3.5 Staff'!F19:F21,'1.1 Control Panel'!F781:F783)</f>
        <v>2500</v>
      </c>
      <c r="G17" s="28">
        <f>SUMPRODUCT('3.5 Staff'!G19:G21,'1.1 Control Panel'!G781:G783)</f>
        <v>2500</v>
      </c>
      <c r="H17" s="28">
        <f>SUMPRODUCT('3.5 Staff'!H19:H21,'1.1 Control Panel'!H781:H783)</f>
        <v>2500</v>
      </c>
      <c r="I17" s="28">
        <f>SUMPRODUCT('3.5 Staff'!I19:I21,'1.1 Control Panel'!I781:I783)</f>
        <v>2500</v>
      </c>
      <c r="J17" s="28">
        <f>SUMPRODUCT('3.5 Staff'!J19:J21,'1.1 Control Panel'!J781:J783)</f>
        <v>2500</v>
      </c>
      <c r="K17" s="28">
        <f>SUMPRODUCT('3.5 Staff'!K19:K21,'1.1 Control Panel'!K781:K783)</f>
        <v>2500</v>
      </c>
      <c r="L17" s="28">
        <f>SUMPRODUCT('3.5 Staff'!L19:L21,'1.1 Control Panel'!L781:L783)</f>
        <v>2500</v>
      </c>
      <c r="M17" s="28">
        <f>SUMPRODUCT('3.5 Staff'!M19:M21,'1.1 Control Panel'!M781:M783)</f>
        <v>5000</v>
      </c>
      <c r="N17" s="28">
        <f>SUMPRODUCT('3.5 Staff'!N19:N21,'1.1 Control Panel'!N781:N783)</f>
        <v>5000</v>
      </c>
      <c r="O17" s="28">
        <f>SUMPRODUCT('3.5 Staff'!O19:O21,'1.1 Control Panel'!O781:O783)</f>
        <v>5000</v>
      </c>
      <c r="P17" s="28">
        <f>SUMPRODUCT('3.5 Staff'!P19:P21,'1.1 Control Panel'!P781:P783)</f>
        <v>5000</v>
      </c>
      <c r="Q17" s="28">
        <f>SUMPRODUCT('3.5 Staff'!Q19:Q21,'1.1 Control Panel'!Q781:Q783)</f>
        <v>14250</v>
      </c>
      <c r="R17" s="28">
        <f>SUMPRODUCT('3.5 Staff'!R19:R21,'1.1 Control Panel'!R781:R783)</f>
        <v>14250</v>
      </c>
      <c r="S17" s="28">
        <f>SUMPRODUCT('3.5 Staff'!S19:S21,'1.1 Control Panel'!S781:S783)</f>
        <v>14250</v>
      </c>
      <c r="T17" s="28">
        <f>SUMPRODUCT('3.5 Staff'!T19:T21,'1.1 Control Panel'!T781:T783)</f>
        <v>14250</v>
      </c>
      <c r="U17" s="28">
        <f>SUMPRODUCT('3.5 Staff'!U19:U21,'1.1 Control Panel'!U781:U783)</f>
        <v>21000</v>
      </c>
      <c r="V17" s="28">
        <f>SUMPRODUCT('3.5 Staff'!V19:V21,'1.1 Control Panel'!V781:V783)</f>
        <v>21000</v>
      </c>
      <c r="W17" s="28">
        <f>SUMPRODUCT('3.5 Staff'!W19:W21,'1.1 Control Panel'!W781:W783)</f>
        <v>21000</v>
      </c>
      <c r="X17" s="28">
        <f>SUMPRODUCT('3.5 Staff'!X19:X21,'1.1 Control Panel'!X781:X783)</f>
        <v>21000</v>
      </c>
      <c r="Y17" s="28">
        <f>SUMPRODUCT('3.5 Staff'!Y19:Y21,'1.1 Control Panel'!Y781:Y783)</f>
        <v>29000</v>
      </c>
      <c r="Z17" s="28">
        <f>SUMPRODUCT('3.5 Staff'!Z19:Z21,'1.1 Control Panel'!Z781:Z783)</f>
        <v>29000</v>
      </c>
      <c r="AA17" s="28">
        <f>SUMPRODUCT('3.5 Staff'!AA19:AA21,'1.1 Control Panel'!AA781:AA783)</f>
        <v>29000</v>
      </c>
      <c r="AB17" s="28">
        <f>SUMPRODUCT('3.5 Staff'!AB19:AB21,'1.1 Control Panel'!AB781:AB783)</f>
        <v>29000</v>
      </c>
      <c r="AC17" s="28">
        <f>SUMPRODUCT('3.5 Staff'!AC19:AC21,'1.1 Control Panel'!AC781:AC783)</f>
        <v>43250</v>
      </c>
      <c r="AD17" s="28">
        <f>SUMPRODUCT('3.5 Staff'!AD19:AD21,'1.1 Control Panel'!AD781:AD783)</f>
        <v>43250</v>
      </c>
      <c r="AE17" s="28">
        <f>SUMPRODUCT('3.5 Staff'!AE19:AE21,'1.1 Control Panel'!AE781:AE783)</f>
        <v>43250</v>
      </c>
      <c r="AF17" s="28">
        <f>SUMPRODUCT('3.5 Staff'!AF19:AF21,'1.1 Control Panel'!AF781:AF783)</f>
        <v>43250</v>
      </c>
      <c r="AG17" s="28">
        <f>SUMPRODUCT('3.5 Staff'!AG19:AG21,'1.1 Control Panel'!AG781:AG783)</f>
        <v>69750</v>
      </c>
      <c r="AH17" s="28">
        <f>SUMPRODUCT('3.5 Staff'!AH19:AH21,'1.1 Control Panel'!AH781:AH783)</f>
        <v>69750</v>
      </c>
      <c r="AI17" s="28">
        <f>SUMPRODUCT('3.5 Staff'!AI19:AI21,'1.1 Control Panel'!AI781:AI783)</f>
        <v>69750</v>
      </c>
      <c r="AJ17" s="28">
        <f>SUMPRODUCT('3.5 Staff'!AJ19:AJ21,'1.1 Control Panel'!AJ781:AJ783)</f>
        <v>69750</v>
      </c>
      <c r="AK17" s="28">
        <f>SUMPRODUCT('3.5 Staff'!AK19:AK21,'1.1 Control Panel'!AK781:AK783)</f>
        <v>87000</v>
      </c>
      <c r="AL17" s="28">
        <f>SUMPRODUCT('3.5 Staff'!AL19:AL21,'1.1 Control Panel'!AL781:AL783)</f>
        <v>87000</v>
      </c>
      <c r="AM17" s="28">
        <f>SUMPRODUCT('3.5 Staff'!AM19:AM21,'1.1 Control Panel'!AM781:AM783)</f>
        <v>87000</v>
      </c>
      <c r="AN17" s="28">
        <f>SUMPRODUCT('3.5 Staff'!AN19:AN21,'1.1 Control Panel'!AN781:AN783)</f>
        <v>87000</v>
      </c>
      <c r="AP17" s="20"/>
    </row>
    <row r="18" spans="2:42" ht="11.5" customHeight="1" x14ac:dyDescent="0.25">
      <c r="C18" s="20" t="s">
        <v>794</v>
      </c>
      <c r="D18" s="38" t="s">
        <v>46</v>
      </c>
      <c r="E18" s="28">
        <f>SUMPRODUCT('3.5 Staff'!E23:E25,'1.1 Control Panel'!E785:E787)</f>
        <v>2500</v>
      </c>
      <c r="F18" s="28">
        <f>SUMPRODUCT('3.5 Staff'!F23:F25,'1.1 Control Panel'!F785:F787)</f>
        <v>2500</v>
      </c>
      <c r="G18" s="28">
        <f>SUMPRODUCT('3.5 Staff'!G23:G25,'1.1 Control Panel'!G785:G787)</f>
        <v>2500</v>
      </c>
      <c r="H18" s="28">
        <f>SUMPRODUCT('3.5 Staff'!H23:H25,'1.1 Control Panel'!H785:H787)</f>
        <v>2500</v>
      </c>
      <c r="I18" s="28">
        <f>SUMPRODUCT('3.5 Staff'!I23:I25,'1.1 Control Panel'!I785:I787)</f>
        <v>2500</v>
      </c>
      <c r="J18" s="28">
        <f>SUMPRODUCT('3.5 Staff'!J23:J25,'1.1 Control Panel'!J785:J787)</f>
        <v>2500</v>
      </c>
      <c r="K18" s="28">
        <f>SUMPRODUCT('3.5 Staff'!K23:K25,'1.1 Control Panel'!K785:K787)</f>
        <v>2500</v>
      </c>
      <c r="L18" s="28">
        <f>SUMPRODUCT('3.5 Staff'!L23:L25,'1.1 Control Panel'!L785:L787)</f>
        <v>2500</v>
      </c>
      <c r="M18" s="28">
        <f>SUMPRODUCT('3.5 Staff'!M23:M25,'1.1 Control Panel'!M785:M787)</f>
        <v>5000</v>
      </c>
      <c r="N18" s="28">
        <f>SUMPRODUCT('3.5 Staff'!N23:N25,'1.1 Control Panel'!N785:N787)</f>
        <v>5000</v>
      </c>
      <c r="O18" s="28">
        <f>SUMPRODUCT('3.5 Staff'!O23:O25,'1.1 Control Panel'!O785:O787)</f>
        <v>5000</v>
      </c>
      <c r="P18" s="28">
        <f>SUMPRODUCT('3.5 Staff'!P23:P25,'1.1 Control Panel'!P785:P787)</f>
        <v>5000</v>
      </c>
      <c r="Q18" s="28">
        <f>SUMPRODUCT('3.5 Staff'!Q23:Q25,'1.1 Control Panel'!Q785:Q787)</f>
        <v>14250</v>
      </c>
      <c r="R18" s="28">
        <f>SUMPRODUCT('3.5 Staff'!R23:R25,'1.1 Control Panel'!R785:R787)</f>
        <v>14250</v>
      </c>
      <c r="S18" s="28">
        <f>SUMPRODUCT('3.5 Staff'!S23:S25,'1.1 Control Panel'!S785:S787)</f>
        <v>14250</v>
      </c>
      <c r="T18" s="28">
        <f>SUMPRODUCT('3.5 Staff'!T23:T25,'1.1 Control Panel'!T785:T787)</f>
        <v>14250</v>
      </c>
      <c r="U18" s="28">
        <f>SUMPRODUCT('3.5 Staff'!U23:U25,'1.1 Control Panel'!U785:U787)</f>
        <v>21000</v>
      </c>
      <c r="V18" s="28">
        <f>SUMPRODUCT('3.5 Staff'!V23:V25,'1.1 Control Panel'!V785:V787)</f>
        <v>21000</v>
      </c>
      <c r="W18" s="28">
        <f>SUMPRODUCT('3.5 Staff'!W23:W25,'1.1 Control Panel'!W785:W787)</f>
        <v>21000</v>
      </c>
      <c r="X18" s="28">
        <f>SUMPRODUCT('3.5 Staff'!X23:X25,'1.1 Control Panel'!X785:X787)</f>
        <v>21000</v>
      </c>
      <c r="Y18" s="28">
        <f>SUMPRODUCT('3.5 Staff'!Y23:Y25,'1.1 Control Panel'!Y785:Y787)</f>
        <v>29000</v>
      </c>
      <c r="Z18" s="28">
        <f>SUMPRODUCT('3.5 Staff'!Z23:Z25,'1.1 Control Panel'!Z785:Z787)</f>
        <v>29000</v>
      </c>
      <c r="AA18" s="28">
        <f>SUMPRODUCT('3.5 Staff'!AA23:AA25,'1.1 Control Panel'!AA785:AA787)</f>
        <v>29000</v>
      </c>
      <c r="AB18" s="28">
        <f>SUMPRODUCT('3.5 Staff'!AB23:AB25,'1.1 Control Panel'!AB785:AB787)</f>
        <v>29000</v>
      </c>
      <c r="AC18" s="28">
        <f>SUMPRODUCT('3.5 Staff'!AC23:AC25,'1.1 Control Panel'!AC785:AC787)</f>
        <v>43250</v>
      </c>
      <c r="AD18" s="28">
        <f>SUMPRODUCT('3.5 Staff'!AD23:AD25,'1.1 Control Panel'!AD785:AD787)</f>
        <v>43250</v>
      </c>
      <c r="AE18" s="28">
        <f>SUMPRODUCT('3.5 Staff'!AE23:AE25,'1.1 Control Panel'!AE785:AE787)</f>
        <v>43250</v>
      </c>
      <c r="AF18" s="28">
        <f>SUMPRODUCT('3.5 Staff'!AF23:AF25,'1.1 Control Panel'!AF785:AF787)</f>
        <v>43250</v>
      </c>
      <c r="AG18" s="28">
        <f>SUMPRODUCT('3.5 Staff'!AG23:AG25,'1.1 Control Panel'!AG785:AG787)</f>
        <v>69750</v>
      </c>
      <c r="AH18" s="28">
        <f>SUMPRODUCT('3.5 Staff'!AH23:AH25,'1.1 Control Panel'!AH785:AH787)</f>
        <v>69750</v>
      </c>
      <c r="AI18" s="28">
        <f>SUMPRODUCT('3.5 Staff'!AI23:AI25,'1.1 Control Panel'!AI785:AI787)</f>
        <v>69750</v>
      </c>
      <c r="AJ18" s="28">
        <f>SUMPRODUCT('3.5 Staff'!AJ23:AJ25,'1.1 Control Panel'!AJ785:AJ787)</f>
        <v>69750</v>
      </c>
      <c r="AK18" s="28">
        <f>SUMPRODUCT('3.5 Staff'!AK23:AK25,'1.1 Control Panel'!AK785:AK787)</f>
        <v>87000</v>
      </c>
      <c r="AL18" s="28">
        <f>SUMPRODUCT('3.5 Staff'!AL23:AL25,'1.1 Control Panel'!AL785:AL787)</f>
        <v>87000</v>
      </c>
      <c r="AM18" s="28">
        <f>SUMPRODUCT('3.5 Staff'!AM23:AM25,'1.1 Control Panel'!AM785:AM787)</f>
        <v>87000</v>
      </c>
      <c r="AN18" s="28">
        <f>SUMPRODUCT('3.5 Staff'!AN23:AN25,'1.1 Control Panel'!AN785:AN787)</f>
        <v>87000</v>
      </c>
      <c r="AP18" s="20"/>
    </row>
    <row r="19" spans="2:42" ht="11.5" customHeight="1" x14ac:dyDescent="0.25">
      <c r="C19" s="20" t="s">
        <v>801</v>
      </c>
      <c r="D19" s="38" t="s">
        <v>46</v>
      </c>
      <c r="E19" s="28">
        <f>SUMPRODUCT('3.5 Staff'!E27:E29,'1.1 Control Panel'!E789:E791)</f>
        <v>2500</v>
      </c>
      <c r="F19" s="28">
        <f>SUMPRODUCT('3.5 Staff'!F27:F29,'1.1 Control Panel'!F789:F791)</f>
        <v>2500</v>
      </c>
      <c r="G19" s="28">
        <f>SUMPRODUCT('3.5 Staff'!G27:G29,'1.1 Control Panel'!G789:G791)</f>
        <v>2500</v>
      </c>
      <c r="H19" s="28">
        <f>SUMPRODUCT('3.5 Staff'!H27:H29,'1.1 Control Panel'!H789:H791)</f>
        <v>2500</v>
      </c>
      <c r="I19" s="28">
        <f>SUMPRODUCT('3.5 Staff'!I27:I29,'1.1 Control Panel'!I789:I791)</f>
        <v>2500</v>
      </c>
      <c r="J19" s="28">
        <f>SUMPRODUCT('3.5 Staff'!J27:J29,'1.1 Control Panel'!J789:J791)</f>
        <v>2500</v>
      </c>
      <c r="K19" s="28">
        <f>SUMPRODUCT('3.5 Staff'!K27:K29,'1.1 Control Panel'!K789:K791)</f>
        <v>2500</v>
      </c>
      <c r="L19" s="28">
        <f>SUMPRODUCT('3.5 Staff'!L27:L29,'1.1 Control Panel'!L789:L791)</f>
        <v>2500</v>
      </c>
      <c r="M19" s="28">
        <f>SUMPRODUCT('3.5 Staff'!M27:M29,'1.1 Control Panel'!M789:M791)</f>
        <v>5000</v>
      </c>
      <c r="N19" s="28">
        <f>SUMPRODUCT('3.5 Staff'!N27:N29,'1.1 Control Panel'!N789:N791)</f>
        <v>5000</v>
      </c>
      <c r="O19" s="28">
        <f>SUMPRODUCT('3.5 Staff'!O27:O29,'1.1 Control Panel'!O789:O791)</f>
        <v>5000</v>
      </c>
      <c r="P19" s="28">
        <f>SUMPRODUCT('3.5 Staff'!P27:P29,'1.1 Control Panel'!P789:P791)</f>
        <v>5000</v>
      </c>
      <c r="Q19" s="28">
        <f>SUMPRODUCT('3.5 Staff'!Q27:Q29,'1.1 Control Panel'!Q789:Q791)</f>
        <v>14250</v>
      </c>
      <c r="R19" s="28">
        <f>SUMPRODUCT('3.5 Staff'!R27:R29,'1.1 Control Panel'!R789:R791)</f>
        <v>14250</v>
      </c>
      <c r="S19" s="28">
        <f>SUMPRODUCT('3.5 Staff'!S27:S29,'1.1 Control Panel'!S789:S791)</f>
        <v>14250</v>
      </c>
      <c r="T19" s="28">
        <f>SUMPRODUCT('3.5 Staff'!T27:T29,'1.1 Control Panel'!T789:T791)</f>
        <v>14250</v>
      </c>
      <c r="U19" s="28">
        <f>SUMPRODUCT('3.5 Staff'!U27:U29,'1.1 Control Panel'!U789:U791)</f>
        <v>21000</v>
      </c>
      <c r="V19" s="28">
        <f>SUMPRODUCT('3.5 Staff'!V27:V29,'1.1 Control Panel'!V789:V791)</f>
        <v>21000</v>
      </c>
      <c r="W19" s="28">
        <f>SUMPRODUCT('3.5 Staff'!W27:W29,'1.1 Control Panel'!W789:W791)</f>
        <v>21000</v>
      </c>
      <c r="X19" s="28">
        <f>SUMPRODUCT('3.5 Staff'!X27:X29,'1.1 Control Panel'!X789:X791)</f>
        <v>21000</v>
      </c>
      <c r="Y19" s="28">
        <f>SUMPRODUCT('3.5 Staff'!Y27:Y29,'1.1 Control Panel'!Y789:Y791)</f>
        <v>29000</v>
      </c>
      <c r="Z19" s="28">
        <f>SUMPRODUCT('3.5 Staff'!Z27:Z29,'1.1 Control Panel'!Z789:Z791)</f>
        <v>29000</v>
      </c>
      <c r="AA19" s="28">
        <f>SUMPRODUCT('3.5 Staff'!AA27:AA29,'1.1 Control Panel'!AA789:AA791)</f>
        <v>29000</v>
      </c>
      <c r="AB19" s="28">
        <f>SUMPRODUCT('3.5 Staff'!AB27:AB29,'1.1 Control Panel'!AB789:AB791)</f>
        <v>29000</v>
      </c>
      <c r="AC19" s="28">
        <f>SUMPRODUCT('3.5 Staff'!AC27:AC29,'1.1 Control Panel'!AC789:AC791)</f>
        <v>43250</v>
      </c>
      <c r="AD19" s="28">
        <f>SUMPRODUCT('3.5 Staff'!AD27:AD29,'1.1 Control Panel'!AD789:AD791)</f>
        <v>43250</v>
      </c>
      <c r="AE19" s="28">
        <f>SUMPRODUCT('3.5 Staff'!AE27:AE29,'1.1 Control Panel'!AE789:AE791)</f>
        <v>43250</v>
      </c>
      <c r="AF19" s="28">
        <f>SUMPRODUCT('3.5 Staff'!AF27:AF29,'1.1 Control Panel'!AF789:AF791)</f>
        <v>43250</v>
      </c>
      <c r="AG19" s="28">
        <f>SUMPRODUCT('3.5 Staff'!AG27:AG29,'1.1 Control Panel'!AG789:AG791)</f>
        <v>69750</v>
      </c>
      <c r="AH19" s="28">
        <f>SUMPRODUCT('3.5 Staff'!AH27:AH29,'1.1 Control Panel'!AH789:AH791)</f>
        <v>69750</v>
      </c>
      <c r="AI19" s="28">
        <f>SUMPRODUCT('3.5 Staff'!AI27:AI29,'1.1 Control Panel'!AI789:AI791)</f>
        <v>69750</v>
      </c>
      <c r="AJ19" s="28">
        <f>SUMPRODUCT('3.5 Staff'!AJ27:AJ29,'1.1 Control Panel'!AJ789:AJ791)</f>
        <v>69750</v>
      </c>
      <c r="AK19" s="28">
        <f>SUMPRODUCT('3.5 Staff'!AK27:AK29,'1.1 Control Panel'!AK789:AK791)</f>
        <v>87000</v>
      </c>
      <c r="AL19" s="28">
        <f>SUMPRODUCT('3.5 Staff'!AL27:AL29,'1.1 Control Panel'!AL789:AL791)</f>
        <v>87000</v>
      </c>
      <c r="AM19" s="28">
        <f>SUMPRODUCT('3.5 Staff'!AM27:AM29,'1.1 Control Panel'!AM789:AM791)</f>
        <v>87000</v>
      </c>
      <c r="AN19" s="28">
        <f>SUMPRODUCT('3.5 Staff'!AN27:AN29,'1.1 Control Panel'!AN789:AN791)</f>
        <v>87000</v>
      </c>
      <c r="AP19" s="20"/>
    </row>
    <row r="20" spans="2:42" ht="11.5" customHeight="1" x14ac:dyDescent="0.25">
      <c r="C20" s="20" t="s">
        <v>788</v>
      </c>
      <c r="D20" s="38" t="s">
        <v>46</v>
      </c>
      <c r="E20" s="28">
        <f>SUMPRODUCT('3.5 Staff'!E32:E34,'1.1 Control Panel'!E793:E795)+SUMPRODUCT('3.5 Staff'!E36:E38,'1.1 Control Panel'!E793:E795)+SUMPRODUCT('3.5 Staff'!E40:E42,'1.1 Control Panel'!E793:E795)</f>
        <v>7500</v>
      </c>
      <c r="F20" s="28">
        <f>SUMPRODUCT('3.5 Staff'!F32:F34,'1.1 Control Panel'!F793:F795)+SUMPRODUCT('3.5 Staff'!F36:F38,'1.1 Control Panel'!F793:F795)+SUMPRODUCT('3.5 Staff'!F40:F42,'1.1 Control Panel'!F793:F795)</f>
        <v>7500</v>
      </c>
      <c r="G20" s="28">
        <f>SUMPRODUCT('3.5 Staff'!G32:G34,'1.1 Control Panel'!G793:G795)+SUMPRODUCT('3.5 Staff'!G36:G38,'1.1 Control Panel'!G793:G795)+SUMPRODUCT('3.5 Staff'!G40:G42,'1.1 Control Panel'!G793:G795)</f>
        <v>7500</v>
      </c>
      <c r="H20" s="28">
        <f>SUMPRODUCT('3.5 Staff'!H32:H34,'1.1 Control Panel'!H793:H795)+SUMPRODUCT('3.5 Staff'!H36:H38,'1.1 Control Panel'!H793:H795)+SUMPRODUCT('3.5 Staff'!H40:H42,'1.1 Control Panel'!H793:H795)</f>
        <v>7500</v>
      </c>
      <c r="I20" s="28">
        <f>SUMPRODUCT('3.5 Staff'!I32:I34,'1.1 Control Panel'!I793:I795)+SUMPRODUCT('3.5 Staff'!I36:I38,'1.1 Control Panel'!I793:I795)+SUMPRODUCT('3.5 Staff'!I40:I42,'1.1 Control Panel'!I793:I795)</f>
        <v>7500</v>
      </c>
      <c r="J20" s="28">
        <f>SUMPRODUCT('3.5 Staff'!J32:J34,'1.1 Control Panel'!J793:J795)+SUMPRODUCT('3.5 Staff'!J36:J38,'1.1 Control Panel'!J793:J795)+SUMPRODUCT('3.5 Staff'!J40:J42,'1.1 Control Panel'!J793:J795)</f>
        <v>7500</v>
      </c>
      <c r="K20" s="28">
        <f>SUMPRODUCT('3.5 Staff'!K32:K34,'1.1 Control Panel'!K793:K795)+SUMPRODUCT('3.5 Staff'!K36:K38,'1.1 Control Panel'!K793:K795)+SUMPRODUCT('3.5 Staff'!K40:K42,'1.1 Control Panel'!K793:K795)</f>
        <v>7500</v>
      </c>
      <c r="L20" s="28">
        <f>SUMPRODUCT('3.5 Staff'!L32:L34,'1.1 Control Panel'!L793:L795)+SUMPRODUCT('3.5 Staff'!L36:L38,'1.1 Control Panel'!L793:L795)+SUMPRODUCT('3.5 Staff'!L40:L42,'1.1 Control Panel'!L793:L795)</f>
        <v>7500</v>
      </c>
      <c r="M20" s="28">
        <f>SUMPRODUCT('3.5 Staff'!M32:M34,'1.1 Control Panel'!M793:M795)+SUMPRODUCT('3.5 Staff'!M36:M38,'1.1 Control Panel'!M793:M795)+SUMPRODUCT('3.5 Staff'!M40:M42,'1.1 Control Panel'!M793:M795)</f>
        <v>15000</v>
      </c>
      <c r="N20" s="28">
        <f>SUMPRODUCT('3.5 Staff'!N32:N34,'1.1 Control Panel'!N793:N795)+SUMPRODUCT('3.5 Staff'!N36:N38,'1.1 Control Panel'!N793:N795)+SUMPRODUCT('3.5 Staff'!N40:N42,'1.1 Control Panel'!N793:N795)</f>
        <v>15000</v>
      </c>
      <c r="O20" s="28">
        <f>SUMPRODUCT('3.5 Staff'!O32:O34,'1.1 Control Panel'!O793:O795)+SUMPRODUCT('3.5 Staff'!O36:O38,'1.1 Control Panel'!O793:O795)+SUMPRODUCT('3.5 Staff'!O40:O42,'1.1 Control Panel'!O793:O795)</f>
        <v>15000</v>
      </c>
      <c r="P20" s="28">
        <f>SUMPRODUCT('3.5 Staff'!P32:P34,'1.1 Control Panel'!P793:P795)+SUMPRODUCT('3.5 Staff'!P36:P38,'1.1 Control Panel'!P793:P795)+SUMPRODUCT('3.5 Staff'!P40:P42,'1.1 Control Panel'!P793:P795)</f>
        <v>15000</v>
      </c>
      <c r="Q20" s="28">
        <f>SUMPRODUCT('3.5 Staff'!Q32:Q34,'1.1 Control Panel'!Q793:Q795)+SUMPRODUCT('3.5 Staff'!Q36:Q38,'1.1 Control Panel'!Q793:Q795)+SUMPRODUCT('3.5 Staff'!Q40:Q42,'1.1 Control Panel'!Q793:Q795)</f>
        <v>42750</v>
      </c>
      <c r="R20" s="28">
        <f>SUMPRODUCT('3.5 Staff'!R32:R34,'1.1 Control Panel'!R793:R795)+SUMPRODUCT('3.5 Staff'!R36:R38,'1.1 Control Panel'!R793:R795)+SUMPRODUCT('3.5 Staff'!R40:R42,'1.1 Control Panel'!R793:R795)</f>
        <v>42750</v>
      </c>
      <c r="S20" s="28">
        <f>SUMPRODUCT('3.5 Staff'!S32:S34,'1.1 Control Panel'!S793:S795)+SUMPRODUCT('3.5 Staff'!S36:S38,'1.1 Control Panel'!S793:S795)+SUMPRODUCT('3.5 Staff'!S40:S42,'1.1 Control Panel'!S793:S795)</f>
        <v>42750</v>
      </c>
      <c r="T20" s="28">
        <f>SUMPRODUCT('3.5 Staff'!T32:T34,'1.1 Control Panel'!T793:T795)+SUMPRODUCT('3.5 Staff'!T36:T38,'1.1 Control Panel'!T793:T795)+SUMPRODUCT('3.5 Staff'!T40:T42,'1.1 Control Panel'!T793:T795)</f>
        <v>42750</v>
      </c>
      <c r="U20" s="28">
        <f>SUMPRODUCT('3.5 Staff'!U32:U34,'1.1 Control Panel'!U793:U795)+SUMPRODUCT('3.5 Staff'!U36:U38,'1.1 Control Panel'!U793:U795)+SUMPRODUCT('3.5 Staff'!U40:U42,'1.1 Control Panel'!U793:U795)</f>
        <v>63000</v>
      </c>
      <c r="V20" s="28">
        <f>SUMPRODUCT('3.5 Staff'!V32:V34,'1.1 Control Panel'!V793:V795)+SUMPRODUCT('3.5 Staff'!V36:V38,'1.1 Control Panel'!V793:V795)+SUMPRODUCT('3.5 Staff'!V40:V42,'1.1 Control Panel'!V793:V795)</f>
        <v>63000</v>
      </c>
      <c r="W20" s="28">
        <f>SUMPRODUCT('3.5 Staff'!W32:W34,'1.1 Control Panel'!W793:W795)+SUMPRODUCT('3.5 Staff'!W36:W38,'1.1 Control Panel'!W793:W795)+SUMPRODUCT('3.5 Staff'!W40:W42,'1.1 Control Panel'!W793:W795)</f>
        <v>63000</v>
      </c>
      <c r="X20" s="28">
        <f>SUMPRODUCT('3.5 Staff'!X32:X34,'1.1 Control Panel'!X793:X795)+SUMPRODUCT('3.5 Staff'!X36:X38,'1.1 Control Panel'!X793:X795)+SUMPRODUCT('3.5 Staff'!X40:X42,'1.1 Control Panel'!X793:X795)</f>
        <v>63000</v>
      </c>
      <c r="Y20" s="28">
        <f>SUMPRODUCT('3.5 Staff'!Y32:Y34,'1.1 Control Panel'!Y793:Y795)+SUMPRODUCT('3.5 Staff'!Y36:Y38,'1.1 Control Panel'!Y793:Y795)+SUMPRODUCT('3.5 Staff'!Y40:Y42,'1.1 Control Panel'!Y793:Y795)</f>
        <v>87000</v>
      </c>
      <c r="Z20" s="28">
        <f>SUMPRODUCT('3.5 Staff'!Z32:Z34,'1.1 Control Panel'!Z793:Z795)+SUMPRODUCT('3.5 Staff'!Z36:Z38,'1.1 Control Panel'!Z793:Z795)+SUMPRODUCT('3.5 Staff'!Z40:Z42,'1.1 Control Panel'!Z793:Z795)</f>
        <v>87000</v>
      </c>
      <c r="AA20" s="28">
        <f>SUMPRODUCT('3.5 Staff'!AA32:AA34,'1.1 Control Panel'!AA793:AA795)+SUMPRODUCT('3.5 Staff'!AA36:AA38,'1.1 Control Panel'!AA793:AA795)+SUMPRODUCT('3.5 Staff'!AA40:AA42,'1.1 Control Panel'!AA793:AA795)</f>
        <v>87000</v>
      </c>
      <c r="AB20" s="28">
        <f>SUMPRODUCT('3.5 Staff'!AB32:AB34,'1.1 Control Panel'!AB793:AB795)+SUMPRODUCT('3.5 Staff'!AB36:AB38,'1.1 Control Panel'!AB793:AB795)+SUMPRODUCT('3.5 Staff'!AB40:AB42,'1.1 Control Panel'!AB793:AB795)</f>
        <v>87000</v>
      </c>
      <c r="AC20" s="28">
        <f>SUMPRODUCT('3.5 Staff'!AC32:AC34,'1.1 Control Panel'!AC793:AC795)+SUMPRODUCT('3.5 Staff'!AC36:AC38,'1.1 Control Panel'!AC793:AC795)+SUMPRODUCT('3.5 Staff'!AC40:AC42,'1.1 Control Panel'!AC793:AC795)</f>
        <v>129750</v>
      </c>
      <c r="AD20" s="28">
        <f>SUMPRODUCT('3.5 Staff'!AD32:AD34,'1.1 Control Panel'!AD793:AD795)+SUMPRODUCT('3.5 Staff'!AD36:AD38,'1.1 Control Panel'!AD793:AD795)+SUMPRODUCT('3.5 Staff'!AD40:AD42,'1.1 Control Panel'!AD793:AD795)</f>
        <v>129750</v>
      </c>
      <c r="AE20" s="28">
        <f>SUMPRODUCT('3.5 Staff'!AE32:AE34,'1.1 Control Panel'!AE793:AE795)+SUMPRODUCT('3.5 Staff'!AE36:AE38,'1.1 Control Panel'!AE793:AE795)+SUMPRODUCT('3.5 Staff'!AE40:AE42,'1.1 Control Panel'!AE793:AE795)</f>
        <v>129750</v>
      </c>
      <c r="AF20" s="28">
        <f>SUMPRODUCT('3.5 Staff'!AF32:AF34,'1.1 Control Panel'!AF793:AF795)+SUMPRODUCT('3.5 Staff'!AF36:AF38,'1.1 Control Panel'!AF793:AF795)+SUMPRODUCT('3.5 Staff'!AF40:AF42,'1.1 Control Panel'!AF793:AF795)</f>
        <v>129750</v>
      </c>
      <c r="AG20" s="28">
        <f>SUMPRODUCT('3.5 Staff'!AG32:AG34,'1.1 Control Panel'!AG793:AG795)+SUMPRODUCT('3.5 Staff'!AG36:AG38,'1.1 Control Panel'!AG793:AG795)+SUMPRODUCT('3.5 Staff'!AG40:AG42,'1.1 Control Panel'!AG793:AG795)</f>
        <v>209250</v>
      </c>
      <c r="AH20" s="28">
        <f>SUMPRODUCT('3.5 Staff'!AH32:AH34,'1.1 Control Panel'!AH793:AH795)+SUMPRODUCT('3.5 Staff'!AH36:AH38,'1.1 Control Panel'!AH793:AH795)+SUMPRODUCT('3.5 Staff'!AH40:AH42,'1.1 Control Panel'!AH793:AH795)</f>
        <v>209250</v>
      </c>
      <c r="AI20" s="28">
        <f>SUMPRODUCT('3.5 Staff'!AI32:AI34,'1.1 Control Panel'!AI793:AI795)+SUMPRODUCT('3.5 Staff'!AI36:AI38,'1.1 Control Panel'!AI793:AI795)+SUMPRODUCT('3.5 Staff'!AI40:AI42,'1.1 Control Panel'!AI793:AI795)</f>
        <v>209250</v>
      </c>
      <c r="AJ20" s="28">
        <f>SUMPRODUCT('3.5 Staff'!AJ32:AJ34,'1.1 Control Panel'!AJ793:AJ795)+SUMPRODUCT('3.5 Staff'!AJ36:AJ38,'1.1 Control Panel'!AJ793:AJ795)+SUMPRODUCT('3.5 Staff'!AJ40:AJ42,'1.1 Control Panel'!AJ793:AJ795)</f>
        <v>209250</v>
      </c>
      <c r="AK20" s="28">
        <f>SUMPRODUCT('3.5 Staff'!AK32:AK34,'1.1 Control Panel'!AK793:AK795)+SUMPRODUCT('3.5 Staff'!AK36:AK38,'1.1 Control Panel'!AK793:AK795)+SUMPRODUCT('3.5 Staff'!AK40:AK42,'1.1 Control Panel'!AK793:AK795)</f>
        <v>261000</v>
      </c>
      <c r="AL20" s="28">
        <f>SUMPRODUCT('3.5 Staff'!AL32:AL34,'1.1 Control Panel'!AL793:AL795)+SUMPRODUCT('3.5 Staff'!AL36:AL38,'1.1 Control Panel'!AL793:AL795)+SUMPRODUCT('3.5 Staff'!AL40:AL42,'1.1 Control Panel'!AL793:AL795)</f>
        <v>261000</v>
      </c>
      <c r="AM20" s="28">
        <f>SUMPRODUCT('3.5 Staff'!AM32:AM34,'1.1 Control Panel'!AM793:AM795)+SUMPRODUCT('3.5 Staff'!AM36:AM38,'1.1 Control Panel'!AM793:AM795)+SUMPRODUCT('3.5 Staff'!AM40:AM42,'1.1 Control Panel'!AM793:AM795)</f>
        <v>261000</v>
      </c>
      <c r="AN20" s="28">
        <f>SUMPRODUCT('3.5 Staff'!AN32:AN34,'1.1 Control Panel'!AN793:AN795)+SUMPRODUCT('3.5 Staff'!AN36:AN38,'1.1 Control Panel'!AN793:AN795)+SUMPRODUCT('3.5 Staff'!AN40:AN42,'1.1 Control Panel'!AN793:AN795)</f>
        <v>261000</v>
      </c>
      <c r="AP20" s="20"/>
    </row>
    <row r="21" spans="2:42" ht="11.5" customHeight="1" x14ac:dyDescent="0.25">
      <c r="C21" s="20" t="s">
        <v>796</v>
      </c>
      <c r="D21" s="38" t="s">
        <v>46</v>
      </c>
      <c r="E21" s="28">
        <f>SUMPRODUCT('3.5 Staff'!E44:E46,'1.1 Control Panel'!E797:E799)</f>
        <v>2500</v>
      </c>
      <c r="F21" s="28">
        <f>SUMPRODUCT('3.5 Staff'!F44:F46,'1.1 Control Panel'!F797:F799)</f>
        <v>2500</v>
      </c>
      <c r="G21" s="28">
        <f>SUMPRODUCT('3.5 Staff'!G44:G46,'1.1 Control Panel'!G797:G799)</f>
        <v>2500</v>
      </c>
      <c r="H21" s="28">
        <f>SUMPRODUCT('3.5 Staff'!H44:H46,'1.1 Control Panel'!H797:H799)</f>
        <v>2500</v>
      </c>
      <c r="I21" s="28">
        <f>SUMPRODUCT('3.5 Staff'!I44:I46,'1.1 Control Panel'!I797:I799)</f>
        <v>2500</v>
      </c>
      <c r="J21" s="28">
        <f>SUMPRODUCT('3.5 Staff'!J44:J46,'1.1 Control Panel'!J797:J799)</f>
        <v>2500</v>
      </c>
      <c r="K21" s="28">
        <f>SUMPRODUCT('3.5 Staff'!K44:K46,'1.1 Control Panel'!K797:K799)</f>
        <v>2500</v>
      </c>
      <c r="L21" s="28">
        <f>SUMPRODUCT('3.5 Staff'!L44:L46,'1.1 Control Panel'!L797:L799)</f>
        <v>2500</v>
      </c>
      <c r="M21" s="28">
        <f>SUMPRODUCT('3.5 Staff'!M44:M46,'1.1 Control Panel'!M797:M799)</f>
        <v>5000</v>
      </c>
      <c r="N21" s="28">
        <f>SUMPRODUCT('3.5 Staff'!N44:N46,'1.1 Control Panel'!N797:N799)</f>
        <v>5000</v>
      </c>
      <c r="O21" s="28">
        <f>SUMPRODUCT('3.5 Staff'!O44:O46,'1.1 Control Panel'!O797:O799)</f>
        <v>5000</v>
      </c>
      <c r="P21" s="28">
        <f>SUMPRODUCT('3.5 Staff'!P44:P46,'1.1 Control Panel'!P797:P799)</f>
        <v>5000</v>
      </c>
      <c r="Q21" s="28">
        <f>SUMPRODUCT('3.5 Staff'!Q44:Q46,'1.1 Control Panel'!Q797:Q799)</f>
        <v>14250</v>
      </c>
      <c r="R21" s="28">
        <f>SUMPRODUCT('3.5 Staff'!R44:R46,'1.1 Control Panel'!R797:R799)</f>
        <v>14250</v>
      </c>
      <c r="S21" s="28">
        <f>SUMPRODUCT('3.5 Staff'!S44:S46,'1.1 Control Panel'!S797:S799)</f>
        <v>14250</v>
      </c>
      <c r="T21" s="28">
        <f>SUMPRODUCT('3.5 Staff'!T44:T46,'1.1 Control Panel'!T797:T799)</f>
        <v>14250</v>
      </c>
      <c r="U21" s="28">
        <f>SUMPRODUCT('3.5 Staff'!U44:U46,'1.1 Control Panel'!U797:U799)</f>
        <v>21000</v>
      </c>
      <c r="V21" s="28">
        <f>SUMPRODUCT('3.5 Staff'!V44:V46,'1.1 Control Panel'!V797:V799)</f>
        <v>21000</v>
      </c>
      <c r="W21" s="28">
        <f>SUMPRODUCT('3.5 Staff'!W44:W46,'1.1 Control Panel'!W797:W799)</f>
        <v>21000</v>
      </c>
      <c r="X21" s="28">
        <f>SUMPRODUCT('3.5 Staff'!X44:X46,'1.1 Control Panel'!X797:X799)</f>
        <v>21000</v>
      </c>
      <c r="Y21" s="28">
        <f>SUMPRODUCT('3.5 Staff'!Y44:Y46,'1.1 Control Panel'!Y797:Y799)</f>
        <v>29000</v>
      </c>
      <c r="Z21" s="28">
        <f>SUMPRODUCT('3.5 Staff'!Z44:Z46,'1.1 Control Panel'!Z797:Z799)</f>
        <v>29000</v>
      </c>
      <c r="AA21" s="28">
        <f>SUMPRODUCT('3.5 Staff'!AA44:AA46,'1.1 Control Panel'!AA797:AA799)</f>
        <v>29000</v>
      </c>
      <c r="AB21" s="28">
        <f>SUMPRODUCT('3.5 Staff'!AB44:AB46,'1.1 Control Panel'!AB797:AB799)</f>
        <v>29000</v>
      </c>
      <c r="AC21" s="28">
        <f>SUMPRODUCT('3.5 Staff'!AC44:AC46,'1.1 Control Panel'!AC797:AC799)</f>
        <v>43250</v>
      </c>
      <c r="AD21" s="28">
        <f>SUMPRODUCT('3.5 Staff'!AD44:AD46,'1.1 Control Panel'!AD797:AD799)</f>
        <v>43250</v>
      </c>
      <c r="AE21" s="28">
        <f>SUMPRODUCT('3.5 Staff'!AE44:AE46,'1.1 Control Panel'!AE797:AE799)</f>
        <v>43250</v>
      </c>
      <c r="AF21" s="28">
        <f>SUMPRODUCT('3.5 Staff'!AF44:AF46,'1.1 Control Panel'!AF797:AF799)</f>
        <v>43250</v>
      </c>
      <c r="AG21" s="28">
        <f>SUMPRODUCT('3.5 Staff'!AG44:AG46,'1.1 Control Panel'!AG797:AG799)</f>
        <v>69750</v>
      </c>
      <c r="AH21" s="28">
        <f>SUMPRODUCT('3.5 Staff'!AH44:AH46,'1.1 Control Panel'!AH797:AH799)</f>
        <v>69750</v>
      </c>
      <c r="AI21" s="28">
        <f>SUMPRODUCT('3.5 Staff'!AI44:AI46,'1.1 Control Panel'!AI797:AI799)</f>
        <v>69750</v>
      </c>
      <c r="AJ21" s="28">
        <f>SUMPRODUCT('3.5 Staff'!AJ44:AJ46,'1.1 Control Panel'!AJ797:AJ799)</f>
        <v>69750</v>
      </c>
      <c r="AK21" s="28">
        <f>SUMPRODUCT('3.5 Staff'!AK44:AK46,'1.1 Control Panel'!AK797:AK799)</f>
        <v>87000</v>
      </c>
      <c r="AL21" s="28">
        <f>SUMPRODUCT('3.5 Staff'!AL44:AL46,'1.1 Control Panel'!AL797:AL799)</f>
        <v>87000</v>
      </c>
      <c r="AM21" s="28">
        <f>SUMPRODUCT('3.5 Staff'!AM44:AM46,'1.1 Control Panel'!AM797:AM799)</f>
        <v>87000</v>
      </c>
      <c r="AN21" s="28">
        <f>SUMPRODUCT('3.5 Staff'!AN44:AN46,'1.1 Control Panel'!AN797:AN799)</f>
        <v>87000</v>
      </c>
      <c r="AP21" s="20"/>
    </row>
    <row r="22" spans="2:42" ht="11.5" customHeight="1" x14ac:dyDescent="0.25">
      <c r="C22" s="21" t="s">
        <v>797</v>
      </c>
      <c r="D22" s="38" t="s">
        <v>46</v>
      </c>
      <c r="E22" s="376">
        <f>SUMPRODUCT('3.5 Staff'!E48:E50,'1.1 Control Panel'!E801:E803)</f>
        <v>2500</v>
      </c>
      <c r="F22" s="376">
        <f>SUMPRODUCT('3.5 Staff'!F48:F50,'1.1 Control Panel'!F801:F803)</f>
        <v>2500</v>
      </c>
      <c r="G22" s="376">
        <f>SUMPRODUCT('3.5 Staff'!G48:G50,'1.1 Control Panel'!G801:G803)</f>
        <v>2500</v>
      </c>
      <c r="H22" s="376">
        <f>SUMPRODUCT('3.5 Staff'!H48:H50,'1.1 Control Panel'!H801:H803)</f>
        <v>2500</v>
      </c>
      <c r="I22" s="376">
        <f>SUMPRODUCT('3.5 Staff'!I48:I50,'1.1 Control Panel'!I801:I803)</f>
        <v>2500</v>
      </c>
      <c r="J22" s="376">
        <f>SUMPRODUCT('3.5 Staff'!J48:J50,'1.1 Control Panel'!J801:J803)</f>
        <v>2500</v>
      </c>
      <c r="K22" s="376">
        <f>SUMPRODUCT('3.5 Staff'!K48:K50,'1.1 Control Panel'!K801:K803)</f>
        <v>2500</v>
      </c>
      <c r="L22" s="376">
        <f>SUMPRODUCT('3.5 Staff'!L48:L50,'1.1 Control Panel'!L801:L803)</f>
        <v>2500</v>
      </c>
      <c r="M22" s="376">
        <f>SUMPRODUCT('3.5 Staff'!M48:M50,'1.1 Control Panel'!M801:M803)</f>
        <v>5000</v>
      </c>
      <c r="N22" s="376">
        <f>SUMPRODUCT('3.5 Staff'!N48:N50,'1.1 Control Panel'!N801:N803)</f>
        <v>5000</v>
      </c>
      <c r="O22" s="376">
        <f>SUMPRODUCT('3.5 Staff'!O48:O50,'1.1 Control Panel'!O801:O803)</f>
        <v>5000</v>
      </c>
      <c r="P22" s="376">
        <f>SUMPRODUCT('3.5 Staff'!P48:P50,'1.1 Control Panel'!P801:P803)</f>
        <v>5000</v>
      </c>
      <c r="Q22" s="376">
        <f>SUMPRODUCT('3.5 Staff'!Q48:Q50,'1.1 Control Panel'!Q801:Q803)</f>
        <v>14250</v>
      </c>
      <c r="R22" s="376">
        <f>SUMPRODUCT('3.5 Staff'!R48:R50,'1.1 Control Panel'!R801:R803)</f>
        <v>14250</v>
      </c>
      <c r="S22" s="376">
        <f>SUMPRODUCT('3.5 Staff'!S48:S50,'1.1 Control Panel'!S801:S803)</f>
        <v>14250</v>
      </c>
      <c r="T22" s="376">
        <f>SUMPRODUCT('3.5 Staff'!T48:T50,'1.1 Control Panel'!T801:T803)</f>
        <v>14250</v>
      </c>
      <c r="U22" s="376">
        <f>SUMPRODUCT('3.5 Staff'!U48:U50,'1.1 Control Panel'!U801:U803)</f>
        <v>21000</v>
      </c>
      <c r="V22" s="376">
        <f>SUMPRODUCT('3.5 Staff'!V48:V50,'1.1 Control Panel'!V801:V803)</f>
        <v>21000</v>
      </c>
      <c r="W22" s="376">
        <f>SUMPRODUCT('3.5 Staff'!W48:W50,'1.1 Control Panel'!W801:W803)</f>
        <v>21000</v>
      </c>
      <c r="X22" s="376">
        <f>SUMPRODUCT('3.5 Staff'!X48:X50,'1.1 Control Panel'!X801:X803)</f>
        <v>21000</v>
      </c>
      <c r="Y22" s="376">
        <f>SUMPRODUCT('3.5 Staff'!Y48:Y50,'1.1 Control Panel'!Y801:Y803)</f>
        <v>29000</v>
      </c>
      <c r="Z22" s="376">
        <f>SUMPRODUCT('3.5 Staff'!Z48:Z50,'1.1 Control Panel'!Z801:Z803)</f>
        <v>29000</v>
      </c>
      <c r="AA22" s="376">
        <f>SUMPRODUCT('3.5 Staff'!AA48:AA50,'1.1 Control Panel'!AA801:AA803)</f>
        <v>29000</v>
      </c>
      <c r="AB22" s="376">
        <f>SUMPRODUCT('3.5 Staff'!AB48:AB50,'1.1 Control Panel'!AB801:AB803)</f>
        <v>29000</v>
      </c>
      <c r="AC22" s="376">
        <f>SUMPRODUCT('3.5 Staff'!AC48:AC50,'1.1 Control Panel'!AC801:AC803)</f>
        <v>43250</v>
      </c>
      <c r="AD22" s="376">
        <f>SUMPRODUCT('3.5 Staff'!AD48:AD50,'1.1 Control Panel'!AD801:AD803)</f>
        <v>43250</v>
      </c>
      <c r="AE22" s="376">
        <f>SUMPRODUCT('3.5 Staff'!AE48:AE50,'1.1 Control Panel'!AE801:AE803)</f>
        <v>43250</v>
      </c>
      <c r="AF22" s="376">
        <f>SUMPRODUCT('3.5 Staff'!AF48:AF50,'1.1 Control Panel'!AF801:AF803)</f>
        <v>43250</v>
      </c>
      <c r="AG22" s="376">
        <f>SUMPRODUCT('3.5 Staff'!AG48:AG50,'1.1 Control Panel'!AG801:AG803)</f>
        <v>69750</v>
      </c>
      <c r="AH22" s="376">
        <f>SUMPRODUCT('3.5 Staff'!AH48:AH50,'1.1 Control Panel'!AH801:AH803)</f>
        <v>69750</v>
      </c>
      <c r="AI22" s="376">
        <f>SUMPRODUCT('3.5 Staff'!AI48:AI50,'1.1 Control Panel'!AI801:AI803)</f>
        <v>69750</v>
      </c>
      <c r="AJ22" s="376">
        <f>SUMPRODUCT('3.5 Staff'!AJ48:AJ50,'1.1 Control Panel'!AJ801:AJ803)</f>
        <v>69750</v>
      </c>
      <c r="AK22" s="376">
        <f>SUMPRODUCT('3.5 Staff'!AK48:AK50,'1.1 Control Panel'!AK801:AK803)</f>
        <v>87000</v>
      </c>
      <c r="AL22" s="376">
        <f>SUMPRODUCT('3.5 Staff'!AL48:AL50,'1.1 Control Panel'!AL801:AL803)</f>
        <v>87000</v>
      </c>
      <c r="AM22" s="376">
        <f>SUMPRODUCT('3.5 Staff'!AM48:AM50,'1.1 Control Panel'!AM801:AM803)</f>
        <v>87000</v>
      </c>
      <c r="AN22" s="376">
        <f>SUMPRODUCT('3.5 Staff'!AN48:AN50,'1.1 Control Panel'!AN801:AN803)</f>
        <v>87000</v>
      </c>
      <c r="AP22" s="21"/>
    </row>
    <row r="23" spans="2:42" ht="11.5" customHeight="1" x14ac:dyDescent="0.25">
      <c r="C23" s="22" t="s">
        <v>798</v>
      </c>
      <c r="D23" s="38" t="s">
        <v>46</v>
      </c>
      <c r="E23" s="530">
        <f>SUMPRODUCT('3.5 Staff'!E52:E54,'1.1 Control Panel'!E805:E807)</f>
        <v>2500</v>
      </c>
      <c r="F23" s="530">
        <f>SUMPRODUCT('3.5 Staff'!F52:F54,'1.1 Control Panel'!F805:F807)</f>
        <v>2500</v>
      </c>
      <c r="G23" s="530">
        <f>SUMPRODUCT('3.5 Staff'!G52:G54,'1.1 Control Panel'!G805:G807)</f>
        <v>2500</v>
      </c>
      <c r="H23" s="530">
        <f>SUMPRODUCT('3.5 Staff'!H52:H54,'1.1 Control Panel'!H805:H807)</f>
        <v>2500</v>
      </c>
      <c r="I23" s="530">
        <f>SUMPRODUCT('3.5 Staff'!I52:I54,'1.1 Control Panel'!I805:I807)</f>
        <v>2500</v>
      </c>
      <c r="J23" s="530">
        <f>SUMPRODUCT('3.5 Staff'!J52:J54,'1.1 Control Panel'!J805:J807)</f>
        <v>2500</v>
      </c>
      <c r="K23" s="530">
        <f>SUMPRODUCT('3.5 Staff'!K52:K54,'1.1 Control Panel'!K805:K807)</f>
        <v>2500</v>
      </c>
      <c r="L23" s="530">
        <f>SUMPRODUCT('3.5 Staff'!L52:L54,'1.1 Control Panel'!L805:L807)</f>
        <v>2500</v>
      </c>
      <c r="M23" s="530">
        <f>SUMPRODUCT('3.5 Staff'!M52:M54,'1.1 Control Panel'!M805:M807)</f>
        <v>5000</v>
      </c>
      <c r="N23" s="530">
        <f>SUMPRODUCT('3.5 Staff'!N52:N54,'1.1 Control Panel'!N805:N807)</f>
        <v>5000</v>
      </c>
      <c r="O23" s="530">
        <f>SUMPRODUCT('3.5 Staff'!O52:O54,'1.1 Control Panel'!O805:O807)</f>
        <v>5000</v>
      </c>
      <c r="P23" s="530">
        <f>SUMPRODUCT('3.5 Staff'!P52:P54,'1.1 Control Panel'!P805:P807)</f>
        <v>5000</v>
      </c>
      <c r="Q23" s="530">
        <f>SUMPRODUCT('3.5 Staff'!Q52:Q54,'1.1 Control Panel'!Q805:Q807)</f>
        <v>14250</v>
      </c>
      <c r="R23" s="530">
        <f>SUMPRODUCT('3.5 Staff'!R52:R54,'1.1 Control Panel'!R805:R807)</f>
        <v>14250</v>
      </c>
      <c r="S23" s="530">
        <f>SUMPRODUCT('3.5 Staff'!S52:S54,'1.1 Control Panel'!S805:S807)</f>
        <v>14250</v>
      </c>
      <c r="T23" s="530">
        <f>SUMPRODUCT('3.5 Staff'!T52:T54,'1.1 Control Panel'!T805:T807)</f>
        <v>14250</v>
      </c>
      <c r="U23" s="530">
        <f>SUMPRODUCT('3.5 Staff'!U52:U54,'1.1 Control Panel'!U805:U807)</f>
        <v>21000</v>
      </c>
      <c r="V23" s="530">
        <f>SUMPRODUCT('3.5 Staff'!V52:V54,'1.1 Control Panel'!V805:V807)</f>
        <v>21000</v>
      </c>
      <c r="W23" s="530">
        <f>SUMPRODUCT('3.5 Staff'!W52:W54,'1.1 Control Panel'!W805:W807)</f>
        <v>21000</v>
      </c>
      <c r="X23" s="530">
        <f>SUMPRODUCT('3.5 Staff'!X52:X54,'1.1 Control Panel'!X805:X807)</f>
        <v>21000</v>
      </c>
      <c r="Y23" s="530">
        <f>SUMPRODUCT('3.5 Staff'!Y52:Y54,'1.1 Control Panel'!Y805:Y807)</f>
        <v>29000</v>
      </c>
      <c r="Z23" s="530">
        <f>SUMPRODUCT('3.5 Staff'!Z52:Z54,'1.1 Control Panel'!Z805:Z807)</f>
        <v>29000</v>
      </c>
      <c r="AA23" s="530">
        <f>SUMPRODUCT('3.5 Staff'!AA52:AA54,'1.1 Control Panel'!AA805:AA807)</f>
        <v>29000</v>
      </c>
      <c r="AB23" s="530">
        <f>SUMPRODUCT('3.5 Staff'!AB52:AB54,'1.1 Control Panel'!AB805:AB807)</f>
        <v>29000</v>
      </c>
      <c r="AC23" s="530">
        <f>SUMPRODUCT('3.5 Staff'!AC52:AC54,'1.1 Control Panel'!AC805:AC807)</f>
        <v>43250</v>
      </c>
      <c r="AD23" s="530">
        <f>SUMPRODUCT('3.5 Staff'!AD52:AD54,'1.1 Control Panel'!AD805:AD807)</f>
        <v>43250</v>
      </c>
      <c r="AE23" s="530">
        <f>SUMPRODUCT('3.5 Staff'!AE52:AE54,'1.1 Control Panel'!AE805:AE807)</f>
        <v>43250</v>
      </c>
      <c r="AF23" s="530">
        <f>SUMPRODUCT('3.5 Staff'!AF52:AF54,'1.1 Control Panel'!AF805:AF807)</f>
        <v>43250</v>
      </c>
      <c r="AG23" s="530">
        <f>SUMPRODUCT('3.5 Staff'!AG52:AG54,'1.1 Control Panel'!AG805:AG807)</f>
        <v>69750</v>
      </c>
      <c r="AH23" s="530">
        <f>SUMPRODUCT('3.5 Staff'!AH52:AH54,'1.1 Control Panel'!AH805:AH807)</f>
        <v>69750</v>
      </c>
      <c r="AI23" s="530">
        <f>SUMPRODUCT('3.5 Staff'!AI52:AI54,'1.1 Control Panel'!AI805:AI807)</f>
        <v>69750</v>
      </c>
      <c r="AJ23" s="530">
        <f>SUMPRODUCT('3.5 Staff'!AJ52:AJ54,'1.1 Control Panel'!AJ805:AJ807)</f>
        <v>69750</v>
      </c>
      <c r="AK23" s="530">
        <f>SUMPRODUCT('3.5 Staff'!AK52:AK54,'1.1 Control Panel'!AK805:AK807)</f>
        <v>87000</v>
      </c>
      <c r="AL23" s="530">
        <f>SUMPRODUCT('3.5 Staff'!AL52:AL54,'1.1 Control Panel'!AL805:AL807)</f>
        <v>87000</v>
      </c>
      <c r="AM23" s="530">
        <f>SUMPRODUCT('3.5 Staff'!AM52:AM54,'1.1 Control Panel'!AM805:AM807)</f>
        <v>87000</v>
      </c>
      <c r="AN23" s="530">
        <f>SUMPRODUCT('3.5 Staff'!AN52:AN54,'1.1 Control Panel'!AN805:AN807)</f>
        <v>87000</v>
      </c>
      <c r="AP23" s="22"/>
    </row>
    <row r="24" spans="2:42" ht="11.5" customHeight="1" x14ac:dyDescent="0.25">
      <c r="C24" s="22" t="s">
        <v>799</v>
      </c>
      <c r="D24" s="38" t="s">
        <v>46</v>
      </c>
      <c r="E24" s="530">
        <f>SUMPRODUCT('3.5 Staff'!E56:E58,'1.1 Control Panel'!E809:E811)</f>
        <v>2500</v>
      </c>
      <c r="F24" s="530">
        <f>SUMPRODUCT('3.5 Staff'!F56:F58,'1.1 Control Panel'!F809:F811)</f>
        <v>2500</v>
      </c>
      <c r="G24" s="530">
        <f>SUMPRODUCT('3.5 Staff'!G56:G58,'1.1 Control Panel'!G809:G811)</f>
        <v>2500</v>
      </c>
      <c r="H24" s="530">
        <f>SUMPRODUCT('3.5 Staff'!H56:H58,'1.1 Control Panel'!H809:H811)</f>
        <v>2500</v>
      </c>
      <c r="I24" s="530">
        <f>SUMPRODUCT('3.5 Staff'!I56:I58,'1.1 Control Panel'!I809:I811)</f>
        <v>2500</v>
      </c>
      <c r="J24" s="530">
        <f>SUMPRODUCT('3.5 Staff'!J56:J58,'1.1 Control Panel'!J809:J811)</f>
        <v>2500</v>
      </c>
      <c r="K24" s="530">
        <f>SUMPRODUCT('3.5 Staff'!K56:K58,'1.1 Control Panel'!K809:K811)</f>
        <v>2500</v>
      </c>
      <c r="L24" s="530">
        <f>SUMPRODUCT('3.5 Staff'!L56:L58,'1.1 Control Panel'!L809:L811)</f>
        <v>2500</v>
      </c>
      <c r="M24" s="530">
        <f>SUMPRODUCT('3.5 Staff'!M56:M58,'1.1 Control Panel'!M809:M811)</f>
        <v>5000</v>
      </c>
      <c r="N24" s="530">
        <f>SUMPRODUCT('3.5 Staff'!N56:N58,'1.1 Control Panel'!N809:N811)</f>
        <v>5000</v>
      </c>
      <c r="O24" s="530">
        <f>SUMPRODUCT('3.5 Staff'!O56:O58,'1.1 Control Panel'!O809:O811)</f>
        <v>5000</v>
      </c>
      <c r="P24" s="530">
        <f>SUMPRODUCT('3.5 Staff'!P56:P58,'1.1 Control Panel'!P809:P811)</f>
        <v>5000</v>
      </c>
      <c r="Q24" s="530">
        <f>SUMPRODUCT('3.5 Staff'!Q56:Q58,'1.1 Control Panel'!Q809:Q811)</f>
        <v>14250</v>
      </c>
      <c r="R24" s="530">
        <f>SUMPRODUCT('3.5 Staff'!R56:R58,'1.1 Control Panel'!R809:R811)</f>
        <v>14250</v>
      </c>
      <c r="S24" s="530">
        <f>SUMPRODUCT('3.5 Staff'!S56:S58,'1.1 Control Panel'!S809:S811)</f>
        <v>14250</v>
      </c>
      <c r="T24" s="530">
        <f>SUMPRODUCT('3.5 Staff'!T56:T58,'1.1 Control Panel'!T809:T811)</f>
        <v>14250</v>
      </c>
      <c r="U24" s="530">
        <f>SUMPRODUCT('3.5 Staff'!U56:U58,'1.1 Control Panel'!U809:U811)</f>
        <v>21000</v>
      </c>
      <c r="V24" s="530">
        <f>SUMPRODUCT('3.5 Staff'!V56:V58,'1.1 Control Panel'!V809:V811)</f>
        <v>21000</v>
      </c>
      <c r="W24" s="530">
        <f>SUMPRODUCT('3.5 Staff'!W56:W58,'1.1 Control Panel'!W809:W811)</f>
        <v>21000</v>
      </c>
      <c r="X24" s="530">
        <f>SUMPRODUCT('3.5 Staff'!X56:X58,'1.1 Control Panel'!X809:X811)</f>
        <v>21000</v>
      </c>
      <c r="Y24" s="530">
        <f>SUMPRODUCT('3.5 Staff'!Y56:Y58,'1.1 Control Panel'!Y809:Y811)</f>
        <v>29000</v>
      </c>
      <c r="Z24" s="530">
        <f>SUMPRODUCT('3.5 Staff'!Z56:Z58,'1.1 Control Panel'!Z809:Z811)</f>
        <v>29000</v>
      </c>
      <c r="AA24" s="530">
        <f>SUMPRODUCT('3.5 Staff'!AA56:AA58,'1.1 Control Panel'!AA809:AA811)</f>
        <v>29000</v>
      </c>
      <c r="AB24" s="530">
        <f>SUMPRODUCT('3.5 Staff'!AB56:AB58,'1.1 Control Panel'!AB809:AB811)</f>
        <v>29000</v>
      </c>
      <c r="AC24" s="530">
        <f>SUMPRODUCT('3.5 Staff'!AC56:AC58,'1.1 Control Panel'!AC809:AC811)</f>
        <v>43250</v>
      </c>
      <c r="AD24" s="530">
        <f>SUMPRODUCT('3.5 Staff'!AD56:AD58,'1.1 Control Panel'!AD809:AD811)</f>
        <v>43250</v>
      </c>
      <c r="AE24" s="530">
        <f>SUMPRODUCT('3.5 Staff'!AE56:AE58,'1.1 Control Panel'!AE809:AE811)</f>
        <v>43250</v>
      </c>
      <c r="AF24" s="530">
        <f>SUMPRODUCT('3.5 Staff'!AF56:AF58,'1.1 Control Panel'!AF809:AF811)</f>
        <v>43250</v>
      </c>
      <c r="AG24" s="530">
        <f>SUMPRODUCT('3.5 Staff'!AG56:AG58,'1.1 Control Panel'!AG809:AG811)</f>
        <v>69750</v>
      </c>
      <c r="AH24" s="530">
        <f>SUMPRODUCT('3.5 Staff'!AH56:AH58,'1.1 Control Panel'!AH809:AH811)</f>
        <v>69750</v>
      </c>
      <c r="AI24" s="530">
        <f>SUMPRODUCT('3.5 Staff'!AI56:AI58,'1.1 Control Panel'!AI809:AI811)</f>
        <v>69750</v>
      </c>
      <c r="AJ24" s="530">
        <f>SUMPRODUCT('3.5 Staff'!AJ56:AJ58,'1.1 Control Panel'!AJ809:AJ811)</f>
        <v>69750</v>
      </c>
      <c r="AK24" s="530">
        <f>SUMPRODUCT('3.5 Staff'!AK56:AK58,'1.1 Control Panel'!AK809:AK811)</f>
        <v>87000</v>
      </c>
      <c r="AL24" s="530">
        <f>SUMPRODUCT('3.5 Staff'!AL56:AL58,'1.1 Control Panel'!AL809:AL811)</f>
        <v>87000</v>
      </c>
      <c r="AM24" s="530">
        <f>SUMPRODUCT('3.5 Staff'!AM56:AM58,'1.1 Control Panel'!AM809:AM811)</f>
        <v>87000</v>
      </c>
      <c r="AN24" s="530">
        <f>SUMPRODUCT('3.5 Staff'!AN56:AN58,'1.1 Control Panel'!AN809:AN811)</f>
        <v>87000</v>
      </c>
      <c r="AP24" s="22"/>
    </row>
    <row r="25" spans="2:42" ht="11.5" customHeight="1" x14ac:dyDescent="0.25">
      <c r="C25" s="26" t="s">
        <v>800</v>
      </c>
      <c r="D25" s="319" t="s">
        <v>46</v>
      </c>
      <c r="E25" s="532">
        <f>E96</f>
        <v>192000</v>
      </c>
      <c r="F25" s="532">
        <f t="shared" ref="F25:AN25" si="33">F96</f>
        <v>0</v>
      </c>
      <c r="G25" s="532">
        <f t="shared" si="33"/>
        <v>0</v>
      </c>
      <c r="H25" s="532">
        <f t="shared" si="33"/>
        <v>0</v>
      </c>
      <c r="I25" s="532">
        <f t="shared" si="33"/>
        <v>72000</v>
      </c>
      <c r="J25" s="532">
        <f t="shared" si="33"/>
        <v>96000</v>
      </c>
      <c r="K25" s="532">
        <f t="shared" si="33"/>
        <v>0</v>
      </c>
      <c r="L25" s="532">
        <f t="shared" si="33"/>
        <v>0</v>
      </c>
      <c r="M25" s="532">
        <f t="shared" si="33"/>
        <v>72000</v>
      </c>
      <c r="N25" s="532">
        <f t="shared" si="33"/>
        <v>24000</v>
      </c>
      <c r="O25" s="532">
        <f t="shared" si="33"/>
        <v>24000</v>
      </c>
      <c r="P25" s="532">
        <f t="shared" si="33"/>
        <v>24000</v>
      </c>
      <c r="Q25" s="532">
        <f t="shared" si="33"/>
        <v>264000</v>
      </c>
      <c r="R25" s="532">
        <f t="shared" si="33"/>
        <v>0</v>
      </c>
      <c r="S25" s="532">
        <f t="shared" si="33"/>
        <v>0</v>
      </c>
      <c r="T25" s="532">
        <f t="shared" si="33"/>
        <v>0</v>
      </c>
      <c r="U25" s="532">
        <f t="shared" si="33"/>
        <v>336000</v>
      </c>
      <c r="V25" s="532">
        <f t="shared" si="33"/>
        <v>0</v>
      </c>
      <c r="W25" s="532">
        <f t="shared" si="33"/>
        <v>0</v>
      </c>
      <c r="X25" s="532">
        <f t="shared" si="33"/>
        <v>0</v>
      </c>
      <c r="Y25" s="532">
        <f t="shared" si="33"/>
        <v>96000</v>
      </c>
      <c r="Z25" s="532">
        <f t="shared" si="33"/>
        <v>0</v>
      </c>
      <c r="AA25" s="532">
        <f t="shared" si="33"/>
        <v>0</v>
      </c>
      <c r="AB25" s="532">
        <f t="shared" si="33"/>
        <v>0</v>
      </c>
      <c r="AC25" s="532">
        <f t="shared" si="33"/>
        <v>816000</v>
      </c>
      <c r="AD25" s="532">
        <f t="shared" si="33"/>
        <v>0</v>
      </c>
      <c r="AE25" s="532">
        <f t="shared" si="33"/>
        <v>0</v>
      </c>
      <c r="AF25" s="532">
        <f t="shared" si="33"/>
        <v>0</v>
      </c>
      <c r="AG25" s="532">
        <f t="shared" si="33"/>
        <v>888000</v>
      </c>
      <c r="AH25" s="532">
        <f t="shared" si="33"/>
        <v>0</v>
      </c>
      <c r="AI25" s="532">
        <f t="shared" si="33"/>
        <v>0</v>
      </c>
      <c r="AJ25" s="532">
        <f t="shared" si="33"/>
        <v>0</v>
      </c>
      <c r="AK25" s="532">
        <f t="shared" si="33"/>
        <v>696000</v>
      </c>
      <c r="AL25" s="532">
        <f t="shared" si="33"/>
        <v>0</v>
      </c>
      <c r="AM25" s="532">
        <f t="shared" si="33"/>
        <v>0</v>
      </c>
      <c r="AN25" s="532">
        <f t="shared" si="33"/>
        <v>0</v>
      </c>
      <c r="AP25" s="26"/>
    </row>
    <row r="26" spans="2:42" ht="11.5" customHeight="1" x14ac:dyDescent="0.25">
      <c r="B26" s="19" t="s">
        <v>9</v>
      </c>
      <c r="C26" s="523" t="s">
        <v>753</v>
      </c>
      <c r="D26" s="527" t="s">
        <v>46</v>
      </c>
      <c r="E26" s="579">
        <f t="shared" ref="E26:AN26" si="34">E27+E35+E43+E51</f>
        <v>2800</v>
      </c>
      <c r="F26" s="529">
        <f t="shared" si="34"/>
        <v>2800</v>
      </c>
      <c r="G26" s="529">
        <f t="shared" si="34"/>
        <v>2800</v>
      </c>
      <c r="H26" s="529">
        <f t="shared" si="34"/>
        <v>2800</v>
      </c>
      <c r="I26" s="529">
        <f t="shared" si="34"/>
        <v>2800</v>
      </c>
      <c r="J26" s="529">
        <f t="shared" si="34"/>
        <v>2800</v>
      </c>
      <c r="K26" s="529">
        <f t="shared" si="34"/>
        <v>2800</v>
      </c>
      <c r="L26" s="529">
        <f t="shared" si="34"/>
        <v>2800</v>
      </c>
      <c r="M26" s="529">
        <f t="shared" si="34"/>
        <v>2800</v>
      </c>
      <c r="N26" s="529">
        <f t="shared" si="34"/>
        <v>2800</v>
      </c>
      <c r="O26" s="529">
        <f t="shared" si="34"/>
        <v>2800</v>
      </c>
      <c r="P26" s="529">
        <f t="shared" si="34"/>
        <v>2800</v>
      </c>
      <c r="Q26" s="529">
        <f t="shared" si="34"/>
        <v>2800</v>
      </c>
      <c r="R26" s="529">
        <f t="shared" si="34"/>
        <v>2800</v>
      </c>
      <c r="S26" s="529">
        <f t="shared" si="34"/>
        <v>2800</v>
      </c>
      <c r="T26" s="529">
        <f t="shared" si="34"/>
        <v>2800</v>
      </c>
      <c r="U26" s="529">
        <f t="shared" si="34"/>
        <v>2800</v>
      </c>
      <c r="V26" s="529">
        <f t="shared" si="34"/>
        <v>2800</v>
      </c>
      <c r="W26" s="529">
        <f t="shared" si="34"/>
        <v>2800</v>
      </c>
      <c r="X26" s="529">
        <f t="shared" si="34"/>
        <v>2800</v>
      </c>
      <c r="Y26" s="529">
        <f t="shared" si="34"/>
        <v>2800</v>
      </c>
      <c r="Z26" s="529">
        <f t="shared" si="34"/>
        <v>2800</v>
      </c>
      <c r="AA26" s="529">
        <f t="shared" si="34"/>
        <v>2800</v>
      </c>
      <c r="AB26" s="529">
        <f t="shared" si="34"/>
        <v>2800</v>
      </c>
      <c r="AC26" s="529">
        <f t="shared" si="34"/>
        <v>2800</v>
      </c>
      <c r="AD26" s="529">
        <f t="shared" si="34"/>
        <v>2800</v>
      </c>
      <c r="AE26" s="529">
        <f t="shared" si="34"/>
        <v>2800</v>
      </c>
      <c r="AF26" s="529">
        <f t="shared" si="34"/>
        <v>2800</v>
      </c>
      <c r="AG26" s="529">
        <f t="shared" si="34"/>
        <v>2800</v>
      </c>
      <c r="AH26" s="529">
        <f t="shared" si="34"/>
        <v>2800</v>
      </c>
      <c r="AI26" s="529">
        <f t="shared" si="34"/>
        <v>2800</v>
      </c>
      <c r="AJ26" s="529">
        <f t="shared" si="34"/>
        <v>2800</v>
      </c>
      <c r="AK26" s="529">
        <f t="shared" si="34"/>
        <v>2800</v>
      </c>
      <c r="AL26" s="529">
        <f t="shared" si="34"/>
        <v>2800</v>
      </c>
      <c r="AM26" s="529">
        <f t="shared" si="34"/>
        <v>2800</v>
      </c>
      <c r="AN26" s="529">
        <f t="shared" si="34"/>
        <v>2800</v>
      </c>
      <c r="AP26" s="522"/>
    </row>
    <row r="27" spans="2:42" s="16" customFormat="1" ht="11.5" customHeight="1" x14ac:dyDescent="0.25">
      <c r="B27" s="19" t="s">
        <v>10</v>
      </c>
      <c r="C27" s="17" t="s">
        <v>682</v>
      </c>
      <c r="D27" s="526" t="s">
        <v>46</v>
      </c>
      <c r="E27" s="533">
        <f>SUM(E28:E34)</f>
        <v>700</v>
      </c>
      <c r="F27" s="533">
        <f t="shared" ref="F27:AN27" si="35">SUM(F28:F34)</f>
        <v>700</v>
      </c>
      <c r="G27" s="533">
        <f t="shared" si="35"/>
        <v>700</v>
      </c>
      <c r="H27" s="533">
        <f t="shared" si="35"/>
        <v>700</v>
      </c>
      <c r="I27" s="533">
        <f t="shared" si="35"/>
        <v>700</v>
      </c>
      <c r="J27" s="533">
        <f t="shared" si="35"/>
        <v>700</v>
      </c>
      <c r="K27" s="533">
        <f t="shared" si="35"/>
        <v>700</v>
      </c>
      <c r="L27" s="533">
        <f t="shared" si="35"/>
        <v>700</v>
      </c>
      <c r="M27" s="533">
        <f t="shared" si="35"/>
        <v>700</v>
      </c>
      <c r="N27" s="533">
        <f t="shared" si="35"/>
        <v>700</v>
      </c>
      <c r="O27" s="533">
        <f t="shared" si="35"/>
        <v>700</v>
      </c>
      <c r="P27" s="533">
        <f t="shared" si="35"/>
        <v>700</v>
      </c>
      <c r="Q27" s="533">
        <f t="shared" si="35"/>
        <v>700</v>
      </c>
      <c r="R27" s="533">
        <f t="shared" si="35"/>
        <v>700</v>
      </c>
      <c r="S27" s="533">
        <f t="shared" si="35"/>
        <v>700</v>
      </c>
      <c r="T27" s="533">
        <f t="shared" si="35"/>
        <v>700</v>
      </c>
      <c r="U27" s="533">
        <f t="shared" si="35"/>
        <v>700</v>
      </c>
      <c r="V27" s="533">
        <f t="shared" si="35"/>
        <v>700</v>
      </c>
      <c r="W27" s="533">
        <f t="shared" si="35"/>
        <v>700</v>
      </c>
      <c r="X27" s="533">
        <f t="shared" si="35"/>
        <v>700</v>
      </c>
      <c r="Y27" s="533">
        <f t="shared" si="35"/>
        <v>700</v>
      </c>
      <c r="Z27" s="533">
        <f t="shared" si="35"/>
        <v>700</v>
      </c>
      <c r="AA27" s="533">
        <f t="shared" si="35"/>
        <v>700</v>
      </c>
      <c r="AB27" s="533">
        <f t="shared" si="35"/>
        <v>700</v>
      </c>
      <c r="AC27" s="533">
        <f t="shared" si="35"/>
        <v>700</v>
      </c>
      <c r="AD27" s="533">
        <f t="shared" si="35"/>
        <v>700</v>
      </c>
      <c r="AE27" s="533">
        <f t="shared" si="35"/>
        <v>700</v>
      </c>
      <c r="AF27" s="533">
        <f t="shared" si="35"/>
        <v>700</v>
      </c>
      <c r="AG27" s="533">
        <f t="shared" si="35"/>
        <v>700</v>
      </c>
      <c r="AH27" s="533">
        <f t="shared" si="35"/>
        <v>700</v>
      </c>
      <c r="AI27" s="533">
        <f t="shared" si="35"/>
        <v>700</v>
      </c>
      <c r="AJ27" s="533">
        <f t="shared" si="35"/>
        <v>700</v>
      </c>
      <c r="AK27" s="533">
        <f t="shared" si="35"/>
        <v>700</v>
      </c>
      <c r="AL27" s="533">
        <f t="shared" si="35"/>
        <v>700</v>
      </c>
      <c r="AM27" s="533">
        <f t="shared" si="35"/>
        <v>700</v>
      </c>
      <c r="AN27" s="533">
        <f t="shared" si="35"/>
        <v>700</v>
      </c>
      <c r="AP27" s="17"/>
    </row>
    <row r="28" spans="2:42" ht="11.5" customHeight="1" x14ac:dyDescent="0.25">
      <c r="C28" s="20" t="s">
        <v>778</v>
      </c>
      <c r="D28" s="34" t="s">
        <v>46</v>
      </c>
      <c r="E28" s="28">
        <f>'1.1 Control Panel'!E825*'1.1 Control Panel'!E$817</f>
        <v>100</v>
      </c>
      <c r="F28" s="28">
        <f>'1.1 Control Panel'!F825*'1.1 Control Panel'!F$817</f>
        <v>100</v>
      </c>
      <c r="G28" s="28">
        <f>'1.1 Control Panel'!G825*'1.1 Control Panel'!G$817</f>
        <v>100</v>
      </c>
      <c r="H28" s="28">
        <f>'1.1 Control Panel'!H825*'1.1 Control Panel'!H$817</f>
        <v>100</v>
      </c>
      <c r="I28" s="28">
        <f>'1.1 Control Panel'!I825*'1.1 Control Panel'!I$817</f>
        <v>100</v>
      </c>
      <c r="J28" s="28">
        <f>'1.1 Control Panel'!J825*'1.1 Control Panel'!J$817</f>
        <v>100</v>
      </c>
      <c r="K28" s="28">
        <f>'1.1 Control Panel'!K825*'1.1 Control Panel'!K$817</f>
        <v>100</v>
      </c>
      <c r="L28" s="28">
        <f>'1.1 Control Panel'!L825*'1.1 Control Panel'!L$817</f>
        <v>100</v>
      </c>
      <c r="M28" s="28">
        <f>'1.1 Control Panel'!M825*'1.1 Control Panel'!M$817</f>
        <v>100</v>
      </c>
      <c r="N28" s="28">
        <f>'1.1 Control Panel'!N825*'1.1 Control Panel'!N$817</f>
        <v>100</v>
      </c>
      <c r="O28" s="28">
        <f>'1.1 Control Panel'!O825*'1.1 Control Panel'!O$817</f>
        <v>100</v>
      </c>
      <c r="P28" s="28">
        <f>'1.1 Control Panel'!P825*'1.1 Control Panel'!P$817</f>
        <v>100</v>
      </c>
      <c r="Q28" s="28">
        <f>'1.1 Control Panel'!Q825*'1.1 Control Panel'!Q$817</f>
        <v>100</v>
      </c>
      <c r="R28" s="28">
        <f>'1.1 Control Panel'!R825*'1.1 Control Panel'!R$817</f>
        <v>100</v>
      </c>
      <c r="S28" s="28">
        <f>'1.1 Control Panel'!S825*'1.1 Control Panel'!S$817</f>
        <v>100</v>
      </c>
      <c r="T28" s="28">
        <f>'1.1 Control Panel'!T825*'1.1 Control Panel'!T$817</f>
        <v>100</v>
      </c>
      <c r="U28" s="28">
        <f>'1.1 Control Panel'!U825*'1.1 Control Panel'!U$817</f>
        <v>100</v>
      </c>
      <c r="V28" s="28">
        <f>'1.1 Control Panel'!V825*'1.1 Control Panel'!V$817</f>
        <v>100</v>
      </c>
      <c r="W28" s="28">
        <f>'1.1 Control Panel'!W825*'1.1 Control Panel'!W$817</f>
        <v>100</v>
      </c>
      <c r="X28" s="28">
        <f>'1.1 Control Panel'!X825*'1.1 Control Panel'!X$817</f>
        <v>100</v>
      </c>
      <c r="Y28" s="28">
        <f>'1.1 Control Panel'!Y825*'1.1 Control Panel'!Y$817</f>
        <v>100</v>
      </c>
      <c r="Z28" s="28">
        <f>'1.1 Control Panel'!Z825*'1.1 Control Panel'!Z$817</f>
        <v>100</v>
      </c>
      <c r="AA28" s="28">
        <f>'1.1 Control Panel'!AA825*'1.1 Control Panel'!AA$817</f>
        <v>100</v>
      </c>
      <c r="AB28" s="28">
        <f>'1.1 Control Panel'!AB825*'1.1 Control Panel'!AB$817</f>
        <v>100</v>
      </c>
      <c r="AC28" s="28">
        <f>'1.1 Control Panel'!AC825*'1.1 Control Panel'!AC$817</f>
        <v>100</v>
      </c>
      <c r="AD28" s="28">
        <f>'1.1 Control Panel'!AD825*'1.1 Control Panel'!AD$817</f>
        <v>100</v>
      </c>
      <c r="AE28" s="28">
        <f>'1.1 Control Panel'!AE825*'1.1 Control Panel'!AE$817</f>
        <v>100</v>
      </c>
      <c r="AF28" s="28">
        <f>'1.1 Control Panel'!AF825*'1.1 Control Panel'!AF$817</f>
        <v>100</v>
      </c>
      <c r="AG28" s="28">
        <f>'1.1 Control Panel'!AG825*'1.1 Control Panel'!AG$817</f>
        <v>100</v>
      </c>
      <c r="AH28" s="28">
        <f>'1.1 Control Panel'!AH825*'1.1 Control Panel'!AH$817</f>
        <v>100</v>
      </c>
      <c r="AI28" s="28">
        <f>'1.1 Control Panel'!AI825*'1.1 Control Panel'!AI$817</f>
        <v>100</v>
      </c>
      <c r="AJ28" s="28">
        <f>'1.1 Control Panel'!AJ825*'1.1 Control Panel'!AJ$817</f>
        <v>100</v>
      </c>
      <c r="AK28" s="28">
        <f>'1.1 Control Panel'!AK825*'1.1 Control Panel'!AK$817</f>
        <v>100</v>
      </c>
      <c r="AL28" s="28">
        <f>'1.1 Control Panel'!AL825*'1.1 Control Panel'!AL$817</f>
        <v>100</v>
      </c>
      <c r="AM28" s="28">
        <f>'1.1 Control Panel'!AM825*'1.1 Control Panel'!AM$817</f>
        <v>100</v>
      </c>
      <c r="AN28" s="28">
        <f>'1.1 Control Panel'!AN825*'1.1 Control Panel'!AN$817</f>
        <v>100</v>
      </c>
      <c r="AP28" s="20"/>
    </row>
    <row r="29" spans="2:42" ht="11.5" customHeight="1" x14ac:dyDescent="0.25">
      <c r="C29" s="21" t="s">
        <v>784</v>
      </c>
      <c r="D29" s="38" t="s">
        <v>46</v>
      </c>
      <c r="E29" s="376">
        <f>'1.1 Control Panel'!E826*'1.1 Control Panel'!E$818</f>
        <v>100</v>
      </c>
      <c r="F29" s="376">
        <f>'1.1 Control Panel'!F826*'1.1 Control Panel'!F$818</f>
        <v>100</v>
      </c>
      <c r="G29" s="376">
        <f>'1.1 Control Panel'!G826*'1.1 Control Panel'!G$818</f>
        <v>100</v>
      </c>
      <c r="H29" s="376">
        <f>'1.1 Control Panel'!H826*'1.1 Control Panel'!H$818</f>
        <v>100</v>
      </c>
      <c r="I29" s="376">
        <f>'1.1 Control Panel'!I826*'1.1 Control Panel'!I$818</f>
        <v>100</v>
      </c>
      <c r="J29" s="376">
        <f>'1.1 Control Panel'!J826*'1.1 Control Panel'!J$818</f>
        <v>100</v>
      </c>
      <c r="K29" s="376">
        <f>'1.1 Control Panel'!K826*'1.1 Control Panel'!K$818</f>
        <v>100</v>
      </c>
      <c r="L29" s="376">
        <f>'1.1 Control Panel'!L826*'1.1 Control Panel'!L$818</f>
        <v>100</v>
      </c>
      <c r="M29" s="376">
        <f>'1.1 Control Panel'!M826*'1.1 Control Panel'!M$818</f>
        <v>100</v>
      </c>
      <c r="N29" s="376">
        <f>'1.1 Control Panel'!N826*'1.1 Control Panel'!N$818</f>
        <v>100</v>
      </c>
      <c r="O29" s="376">
        <f>'1.1 Control Panel'!O826*'1.1 Control Panel'!O$818</f>
        <v>100</v>
      </c>
      <c r="P29" s="376">
        <f>'1.1 Control Panel'!P826*'1.1 Control Panel'!P$818</f>
        <v>100</v>
      </c>
      <c r="Q29" s="376">
        <f>'1.1 Control Panel'!Q826*'1.1 Control Panel'!Q$818</f>
        <v>100</v>
      </c>
      <c r="R29" s="376">
        <f>'1.1 Control Panel'!R826*'1.1 Control Panel'!R$818</f>
        <v>100</v>
      </c>
      <c r="S29" s="376">
        <f>'1.1 Control Panel'!S826*'1.1 Control Panel'!S$818</f>
        <v>100</v>
      </c>
      <c r="T29" s="376">
        <f>'1.1 Control Panel'!T826*'1.1 Control Panel'!T$818</f>
        <v>100</v>
      </c>
      <c r="U29" s="376">
        <f>'1.1 Control Panel'!U826*'1.1 Control Panel'!U$818</f>
        <v>100</v>
      </c>
      <c r="V29" s="376">
        <f>'1.1 Control Panel'!V826*'1.1 Control Panel'!V$818</f>
        <v>100</v>
      </c>
      <c r="W29" s="376">
        <f>'1.1 Control Panel'!W826*'1.1 Control Panel'!W$818</f>
        <v>100</v>
      </c>
      <c r="X29" s="376">
        <f>'1.1 Control Panel'!X826*'1.1 Control Panel'!X$818</f>
        <v>100</v>
      </c>
      <c r="Y29" s="376">
        <f>'1.1 Control Panel'!Y826*'1.1 Control Panel'!Y$818</f>
        <v>100</v>
      </c>
      <c r="Z29" s="376">
        <f>'1.1 Control Panel'!Z826*'1.1 Control Panel'!Z$818</f>
        <v>100</v>
      </c>
      <c r="AA29" s="376">
        <f>'1.1 Control Panel'!AA826*'1.1 Control Panel'!AA$818</f>
        <v>100</v>
      </c>
      <c r="AB29" s="376">
        <f>'1.1 Control Panel'!AB826*'1.1 Control Panel'!AB$818</f>
        <v>100</v>
      </c>
      <c r="AC29" s="376">
        <f>'1.1 Control Panel'!AC826*'1.1 Control Panel'!AC$818</f>
        <v>100</v>
      </c>
      <c r="AD29" s="376">
        <f>'1.1 Control Panel'!AD826*'1.1 Control Panel'!AD$818</f>
        <v>100</v>
      </c>
      <c r="AE29" s="376">
        <f>'1.1 Control Panel'!AE826*'1.1 Control Panel'!AE$818</f>
        <v>100</v>
      </c>
      <c r="AF29" s="376">
        <f>'1.1 Control Panel'!AF826*'1.1 Control Panel'!AF$818</f>
        <v>100</v>
      </c>
      <c r="AG29" s="376">
        <f>'1.1 Control Panel'!AG826*'1.1 Control Panel'!AG$818</f>
        <v>100</v>
      </c>
      <c r="AH29" s="376">
        <f>'1.1 Control Panel'!AH826*'1.1 Control Panel'!AH$818</f>
        <v>100</v>
      </c>
      <c r="AI29" s="376">
        <f>'1.1 Control Panel'!AI826*'1.1 Control Panel'!AI$818</f>
        <v>100</v>
      </c>
      <c r="AJ29" s="376">
        <f>'1.1 Control Panel'!AJ826*'1.1 Control Panel'!AJ$818</f>
        <v>100</v>
      </c>
      <c r="AK29" s="376">
        <f>'1.1 Control Panel'!AK826*'1.1 Control Panel'!AK$818</f>
        <v>100</v>
      </c>
      <c r="AL29" s="376">
        <f>'1.1 Control Panel'!AL826*'1.1 Control Panel'!AL$818</f>
        <v>100</v>
      </c>
      <c r="AM29" s="376">
        <f>'1.1 Control Panel'!AM826*'1.1 Control Panel'!AM$818</f>
        <v>100</v>
      </c>
      <c r="AN29" s="376">
        <f>'1.1 Control Panel'!AN826*'1.1 Control Panel'!AN$818</f>
        <v>100</v>
      </c>
      <c r="AP29" s="21"/>
    </row>
    <row r="30" spans="2:42" ht="11.5" customHeight="1" x14ac:dyDescent="0.25">
      <c r="C30" s="22" t="s">
        <v>785</v>
      </c>
      <c r="D30" s="38" t="s">
        <v>46</v>
      </c>
      <c r="E30" s="530">
        <f>'1.1 Control Panel'!E827*'1.1 Control Panel'!E$819</f>
        <v>100</v>
      </c>
      <c r="F30" s="530">
        <f>'1.1 Control Panel'!F827*'1.1 Control Panel'!F$819</f>
        <v>100</v>
      </c>
      <c r="G30" s="530">
        <f>'1.1 Control Panel'!G827*'1.1 Control Panel'!G$819</f>
        <v>100</v>
      </c>
      <c r="H30" s="530">
        <f>'1.1 Control Panel'!H827*'1.1 Control Panel'!H$819</f>
        <v>100</v>
      </c>
      <c r="I30" s="530">
        <f>'1.1 Control Panel'!I827*'1.1 Control Panel'!I$819</f>
        <v>100</v>
      </c>
      <c r="J30" s="530">
        <f>'1.1 Control Panel'!J827*'1.1 Control Panel'!J$819</f>
        <v>100</v>
      </c>
      <c r="K30" s="530">
        <f>'1.1 Control Panel'!K827*'1.1 Control Panel'!K$819</f>
        <v>100</v>
      </c>
      <c r="L30" s="530">
        <f>'1.1 Control Panel'!L827*'1.1 Control Panel'!L$819</f>
        <v>100</v>
      </c>
      <c r="M30" s="530">
        <f>'1.1 Control Panel'!M827*'1.1 Control Panel'!M$819</f>
        <v>100</v>
      </c>
      <c r="N30" s="530">
        <f>'1.1 Control Panel'!N827*'1.1 Control Panel'!N$819</f>
        <v>100</v>
      </c>
      <c r="O30" s="530">
        <f>'1.1 Control Panel'!O827*'1.1 Control Panel'!O$819</f>
        <v>100</v>
      </c>
      <c r="P30" s="530">
        <f>'1.1 Control Panel'!P827*'1.1 Control Panel'!P$819</f>
        <v>100</v>
      </c>
      <c r="Q30" s="530">
        <f>'1.1 Control Panel'!Q827*'1.1 Control Panel'!Q$819</f>
        <v>100</v>
      </c>
      <c r="R30" s="530">
        <f>'1.1 Control Panel'!R827*'1.1 Control Panel'!R$819</f>
        <v>100</v>
      </c>
      <c r="S30" s="530">
        <f>'1.1 Control Panel'!S827*'1.1 Control Panel'!S$819</f>
        <v>100</v>
      </c>
      <c r="T30" s="530">
        <f>'1.1 Control Panel'!T827*'1.1 Control Panel'!T$819</f>
        <v>100</v>
      </c>
      <c r="U30" s="530">
        <f>'1.1 Control Panel'!U827*'1.1 Control Panel'!U$819</f>
        <v>100</v>
      </c>
      <c r="V30" s="530">
        <f>'1.1 Control Panel'!V827*'1.1 Control Panel'!V$819</f>
        <v>100</v>
      </c>
      <c r="W30" s="530">
        <f>'1.1 Control Panel'!W827*'1.1 Control Panel'!W$819</f>
        <v>100</v>
      </c>
      <c r="X30" s="530">
        <f>'1.1 Control Panel'!X827*'1.1 Control Panel'!X$819</f>
        <v>100</v>
      </c>
      <c r="Y30" s="530">
        <f>'1.1 Control Panel'!Y827*'1.1 Control Panel'!Y$819</f>
        <v>100</v>
      </c>
      <c r="Z30" s="530">
        <f>'1.1 Control Panel'!Z827*'1.1 Control Panel'!Z$819</f>
        <v>100</v>
      </c>
      <c r="AA30" s="530">
        <f>'1.1 Control Panel'!AA827*'1.1 Control Panel'!AA$819</f>
        <v>100</v>
      </c>
      <c r="AB30" s="530">
        <f>'1.1 Control Panel'!AB827*'1.1 Control Panel'!AB$819</f>
        <v>100</v>
      </c>
      <c r="AC30" s="530">
        <f>'1.1 Control Panel'!AC827*'1.1 Control Panel'!AC$819</f>
        <v>100</v>
      </c>
      <c r="AD30" s="530">
        <f>'1.1 Control Panel'!AD827*'1.1 Control Panel'!AD$819</f>
        <v>100</v>
      </c>
      <c r="AE30" s="530">
        <f>'1.1 Control Panel'!AE827*'1.1 Control Panel'!AE$819</f>
        <v>100</v>
      </c>
      <c r="AF30" s="530">
        <f>'1.1 Control Panel'!AF827*'1.1 Control Panel'!AF$819</f>
        <v>100</v>
      </c>
      <c r="AG30" s="530">
        <f>'1.1 Control Panel'!AG827*'1.1 Control Panel'!AG$819</f>
        <v>100</v>
      </c>
      <c r="AH30" s="530">
        <f>'1.1 Control Panel'!AH827*'1.1 Control Panel'!AH$819</f>
        <v>100</v>
      </c>
      <c r="AI30" s="530">
        <f>'1.1 Control Panel'!AI827*'1.1 Control Panel'!AI$819</f>
        <v>100</v>
      </c>
      <c r="AJ30" s="530">
        <f>'1.1 Control Panel'!AJ827*'1.1 Control Panel'!AJ$819</f>
        <v>100</v>
      </c>
      <c r="AK30" s="530">
        <f>'1.1 Control Panel'!AK827*'1.1 Control Panel'!AK$819</f>
        <v>100</v>
      </c>
      <c r="AL30" s="530">
        <f>'1.1 Control Panel'!AL827*'1.1 Control Panel'!AL$819</f>
        <v>100</v>
      </c>
      <c r="AM30" s="530">
        <f>'1.1 Control Panel'!AM827*'1.1 Control Panel'!AM$819</f>
        <v>100</v>
      </c>
      <c r="AN30" s="530">
        <f>'1.1 Control Panel'!AN827*'1.1 Control Panel'!AN$819</f>
        <v>100</v>
      </c>
      <c r="AP30" s="22"/>
    </row>
    <row r="31" spans="2:42" ht="11.5" customHeight="1" x14ac:dyDescent="0.25">
      <c r="C31" s="22" t="s">
        <v>779</v>
      </c>
      <c r="D31" s="38" t="s">
        <v>46</v>
      </c>
      <c r="E31" s="530">
        <f>'1.1 Control Panel'!E828*'1.1 Control Panel'!E$820</f>
        <v>100</v>
      </c>
      <c r="F31" s="530">
        <f>'1.1 Control Panel'!F828*'1.1 Control Panel'!F$820</f>
        <v>100</v>
      </c>
      <c r="G31" s="530">
        <f>'1.1 Control Panel'!G828*'1.1 Control Panel'!G$820</f>
        <v>100</v>
      </c>
      <c r="H31" s="530">
        <f>'1.1 Control Panel'!H828*'1.1 Control Panel'!H$820</f>
        <v>100</v>
      </c>
      <c r="I31" s="530">
        <f>'1.1 Control Panel'!I828*'1.1 Control Panel'!I$820</f>
        <v>100</v>
      </c>
      <c r="J31" s="530">
        <f>'1.1 Control Panel'!J828*'1.1 Control Panel'!J$820</f>
        <v>100</v>
      </c>
      <c r="K31" s="530">
        <f>'1.1 Control Panel'!K828*'1.1 Control Panel'!K$820</f>
        <v>100</v>
      </c>
      <c r="L31" s="530">
        <f>'1.1 Control Panel'!L828*'1.1 Control Panel'!L$820</f>
        <v>100</v>
      </c>
      <c r="M31" s="530">
        <f>'1.1 Control Panel'!M828*'1.1 Control Panel'!M$820</f>
        <v>100</v>
      </c>
      <c r="N31" s="530">
        <f>'1.1 Control Panel'!N828*'1.1 Control Panel'!N$820</f>
        <v>100</v>
      </c>
      <c r="O31" s="530">
        <f>'1.1 Control Panel'!O828*'1.1 Control Panel'!O$820</f>
        <v>100</v>
      </c>
      <c r="P31" s="530">
        <f>'1.1 Control Panel'!P828*'1.1 Control Panel'!P$820</f>
        <v>100</v>
      </c>
      <c r="Q31" s="530">
        <f>'1.1 Control Panel'!Q828*'1.1 Control Panel'!Q$820</f>
        <v>100</v>
      </c>
      <c r="R31" s="530">
        <f>'1.1 Control Panel'!R828*'1.1 Control Panel'!R$820</f>
        <v>100</v>
      </c>
      <c r="S31" s="530">
        <f>'1.1 Control Panel'!S828*'1.1 Control Panel'!S$820</f>
        <v>100</v>
      </c>
      <c r="T31" s="530">
        <f>'1.1 Control Panel'!T828*'1.1 Control Panel'!T$820</f>
        <v>100</v>
      </c>
      <c r="U31" s="530">
        <f>'1.1 Control Panel'!U828*'1.1 Control Panel'!U$820</f>
        <v>100</v>
      </c>
      <c r="V31" s="530">
        <f>'1.1 Control Panel'!V828*'1.1 Control Panel'!V$820</f>
        <v>100</v>
      </c>
      <c r="W31" s="530">
        <f>'1.1 Control Panel'!W828*'1.1 Control Panel'!W$820</f>
        <v>100</v>
      </c>
      <c r="X31" s="530">
        <f>'1.1 Control Panel'!X828*'1.1 Control Panel'!X$820</f>
        <v>100</v>
      </c>
      <c r="Y31" s="530">
        <f>'1.1 Control Panel'!Y828*'1.1 Control Panel'!Y$820</f>
        <v>100</v>
      </c>
      <c r="Z31" s="530">
        <f>'1.1 Control Panel'!Z828*'1.1 Control Panel'!Z$820</f>
        <v>100</v>
      </c>
      <c r="AA31" s="530">
        <f>'1.1 Control Panel'!AA828*'1.1 Control Panel'!AA$820</f>
        <v>100</v>
      </c>
      <c r="AB31" s="530">
        <f>'1.1 Control Panel'!AB828*'1.1 Control Panel'!AB$820</f>
        <v>100</v>
      </c>
      <c r="AC31" s="530">
        <f>'1.1 Control Panel'!AC828*'1.1 Control Panel'!AC$820</f>
        <v>100</v>
      </c>
      <c r="AD31" s="530">
        <f>'1.1 Control Panel'!AD828*'1.1 Control Panel'!AD$820</f>
        <v>100</v>
      </c>
      <c r="AE31" s="530">
        <f>'1.1 Control Panel'!AE828*'1.1 Control Panel'!AE$820</f>
        <v>100</v>
      </c>
      <c r="AF31" s="530">
        <f>'1.1 Control Panel'!AF828*'1.1 Control Panel'!AF$820</f>
        <v>100</v>
      </c>
      <c r="AG31" s="530">
        <f>'1.1 Control Panel'!AG828*'1.1 Control Panel'!AG$820</f>
        <v>100</v>
      </c>
      <c r="AH31" s="530">
        <f>'1.1 Control Panel'!AH828*'1.1 Control Panel'!AH$820</f>
        <v>100</v>
      </c>
      <c r="AI31" s="530">
        <f>'1.1 Control Panel'!AI828*'1.1 Control Panel'!AI$820</f>
        <v>100</v>
      </c>
      <c r="AJ31" s="530">
        <f>'1.1 Control Panel'!AJ828*'1.1 Control Panel'!AJ$820</f>
        <v>100</v>
      </c>
      <c r="AK31" s="530">
        <f>'1.1 Control Panel'!AK828*'1.1 Control Panel'!AK$820</f>
        <v>100</v>
      </c>
      <c r="AL31" s="530">
        <f>'1.1 Control Panel'!AL828*'1.1 Control Panel'!AL$820</f>
        <v>100</v>
      </c>
      <c r="AM31" s="530">
        <f>'1.1 Control Panel'!AM828*'1.1 Control Panel'!AM$820</f>
        <v>100</v>
      </c>
      <c r="AN31" s="530">
        <f>'1.1 Control Panel'!AN828*'1.1 Control Panel'!AN$820</f>
        <v>100</v>
      </c>
      <c r="AP31" s="22"/>
    </row>
    <row r="32" spans="2:42" ht="11.5" customHeight="1" x14ac:dyDescent="0.25">
      <c r="C32" s="22" t="s">
        <v>780</v>
      </c>
      <c r="D32" s="38" t="s">
        <v>46</v>
      </c>
      <c r="E32" s="530">
        <f>'1.1 Control Panel'!E829*'1.1 Control Panel'!E$821</f>
        <v>100</v>
      </c>
      <c r="F32" s="530">
        <f>'1.1 Control Panel'!F829*'1.1 Control Panel'!F$821</f>
        <v>100</v>
      </c>
      <c r="G32" s="530">
        <f>'1.1 Control Panel'!G829*'1.1 Control Panel'!G$821</f>
        <v>100</v>
      </c>
      <c r="H32" s="530">
        <f>'1.1 Control Panel'!H829*'1.1 Control Panel'!H$821</f>
        <v>100</v>
      </c>
      <c r="I32" s="530">
        <f>'1.1 Control Panel'!I829*'1.1 Control Panel'!I$821</f>
        <v>100</v>
      </c>
      <c r="J32" s="530">
        <f>'1.1 Control Panel'!J829*'1.1 Control Panel'!J$821</f>
        <v>100</v>
      </c>
      <c r="K32" s="530">
        <f>'1.1 Control Panel'!K829*'1.1 Control Panel'!K$821</f>
        <v>100</v>
      </c>
      <c r="L32" s="530">
        <f>'1.1 Control Panel'!L829*'1.1 Control Panel'!L$821</f>
        <v>100</v>
      </c>
      <c r="M32" s="530">
        <f>'1.1 Control Panel'!M829*'1.1 Control Panel'!M$821</f>
        <v>100</v>
      </c>
      <c r="N32" s="530">
        <f>'1.1 Control Panel'!N829*'1.1 Control Panel'!N$821</f>
        <v>100</v>
      </c>
      <c r="O32" s="530">
        <f>'1.1 Control Panel'!O829*'1.1 Control Panel'!O$821</f>
        <v>100</v>
      </c>
      <c r="P32" s="530">
        <f>'1.1 Control Panel'!P829*'1.1 Control Panel'!P$821</f>
        <v>100</v>
      </c>
      <c r="Q32" s="530">
        <f>'1.1 Control Panel'!Q829*'1.1 Control Panel'!Q$821</f>
        <v>100</v>
      </c>
      <c r="R32" s="530">
        <f>'1.1 Control Panel'!R829*'1.1 Control Panel'!R$821</f>
        <v>100</v>
      </c>
      <c r="S32" s="530">
        <f>'1.1 Control Panel'!S829*'1.1 Control Panel'!S$821</f>
        <v>100</v>
      </c>
      <c r="T32" s="530">
        <f>'1.1 Control Panel'!T829*'1.1 Control Panel'!T$821</f>
        <v>100</v>
      </c>
      <c r="U32" s="530">
        <f>'1.1 Control Panel'!U829*'1.1 Control Panel'!U$821</f>
        <v>100</v>
      </c>
      <c r="V32" s="530">
        <f>'1.1 Control Panel'!V829*'1.1 Control Panel'!V$821</f>
        <v>100</v>
      </c>
      <c r="W32" s="530">
        <f>'1.1 Control Panel'!W829*'1.1 Control Panel'!W$821</f>
        <v>100</v>
      </c>
      <c r="X32" s="530">
        <f>'1.1 Control Panel'!X829*'1.1 Control Panel'!X$821</f>
        <v>100</v>
      </c>
      <c r="Y32" s="530">
        <f>'1.1 Control Panel'!Y829*'1.1 Control Panel'!Y$821</f>
        <v>100</v>
      </c>
      <c r="Z32" s="530">
        <f>'1.1 Control Panel'!Z829*'1.1 Control Panel'!Z$821</f>
        <v>100</v>
      </c>
      <c r="AA32" s="530">
        <f>'1.1 Control Panel'!AA829*'1.1 Control Panel'!AA$821</f>
        <v>100</v>
      </c>
      <c r="AB32" s="530">
        <f>'1.1 Control Panel'!AB829*'1.1 Control Panel'!AB$821</f>
        <v>100</v>
      </c>
      <c r="AC32" s="530">
        <f>'1.1 Control Panel'!AC829*'1.1 Control Panel'!AC$821</f>
        <v>100</v>
      </c>
      <c r="AD32" s="530">
        <f>'1.1 Control Panel'!AD829*'1.1 Control Panel'!AD$821</f>
        <v>100</v>
      </c>
      <c r="AE32" s="530">
        <f>'1.1 Control Panel'!AE829*'1.1 Control Panel'!AE$821</f>
        <v>100</v>
      </c>
      <c r="AF32" s="530">
        <f>'1.1 Control Panel'!AF829*'1.1 Control Panel'!AF$821</f>
        <v>100</v>
      </c>
      <c r="AG32" s="530">
        <f>'1.1 Control Panel'!AG829*'1.1 Control Panel'!AG$821</f>
        <v>100</v>
      </c>
      <c r="AH32" s="530">
        <f>'1.1 Control Panel'!AH829*'1.1 Control Panel'!AH$821</f>
        <v>100</v>
      </c>
      <c r="AI32" s="530">
        <f>'1.1 Control Panel'!AI829*'1.1 Control Panel'!AI$821</f>
        <v>100</v>
      </c>
      <c r="AJ32" s="530">
        <f>'1.1 Control Panel'!AJ829*'1.1 Control Panel'!AJ$821</f>
        <v>100</v>
      </c>
      <c r="AK32" s="530">
        <f>'1.1 Control Panel'!AK829*'1.1 Control Panel'!AK$821</f>
        <v>100</v>
      </c>
      <c r="AL32" s="530">
        <f>'1.1 Control Panel'!AL829*'1.1 Control Panel'!AL$821</f>
        <v>100</v>
      </c>
      <c r="AM32" s="530">
        <f>'1.1 Control Panel'!AM829*'1.1 Control Panel'!AM$821</f>
        <v>100</v>
      </c>
      <c r="AN32" s="530">
        <f>'1.1 Control Panel'!AN829*'1.1 Control Panel'!AN$821</f>
        <v>100</v>
      </c>
      <c r="AP32" s="22"/>
    </row>
    <row r="33" spans="2:42" ht="11.5" customHeight="1" x14ac:dyDescent="0.25">
      <c r="C33" s="22" t="s">
        <v>786</v>
      </c>
      <c r="D33" s="38" t="s">
        <v>46</v>
      </c>
      <c r="E33" s="530">
        <f>'1.1 Control Panel'!E830*'1.1 Control Panel'!E$822</f>
        <v>100</v>
      </c>
      <c r="F33" s="530">
        <f>'1.1 Control Panel'!F830*'1.1 Control Panel'!F$822</f>
        <v>100</v>
      </c>
      <c r="G33" s="530">
        <f>'1.1 Control Panel'!G830*'1.1 Control Panel'!G$822</f>
        <v>100</v>
      </c>
      <c r="H33" s="530">
        <f>'1.1 Control Panel'!H830*'1.1 Control Panel'!H$822</f>
        <v>100</v>
      </c>
      <c r="I33" s="530">
        <f>'1.1 Control Panel'!I830*'1.1 Control Panel'!I$822</f>
        <v>100</v>
      </c>
      <c r="J33" s="530">
        <f>'1.1 Control Panel'!J830*'1.1 Control Panel'!J$822</f>
        <v>100</v>
      </c>
      <c r="K33" s="530">
        <f>'1.1 Control Panel'!K830*'1.1 Control Panel'!K$822</f>
        <v>100</v>
      </c>
      <c r="L33" s="530">
        <f>'1.1 Control Panel'!L830*'1.1 Control Panel'!L$822</f>
        <v>100</v>
      </c>
      <c r="M33" s="530">
        <f>'1.1 Control Panel'!M830*'1.1 Control Panel'!M$822</f>
        <v>100</v>
      </c>
      <c r="N33" s="530">
        <f>'1.1 Control Panel'!N830*'1.1 Control Panel'!N$822</f>
        <v>100</v>
      </c>
      <c r="O33" s="530">
        <f>'1.1 Control Panel'!O830*'1.1 Control Panel'!O$822</f>
        <v>100</v>
      </c>
      <c r="P33" s="530">
        <f>'1.1 Control Panel'!P830*'1.1 Control Panel'!P$822</f>
        <v>100</v>
      </c>
      <c r="Q33" s="530">
        <f>'1.1 Control Panel'!Q830*'1.1 Control Panel'!Q$822</f>
        <v>100</v>
      </c>
      <c r="R33" s="530">
        <f>'1.1 Control Panel'!R830*'1.1 Control Panel'!R$822</f>
        <v>100</v>
      </c>
      <c r="S33" s="530">
        <f>'1.1 Control Panel'!S830*'1.1 Control Panel'!S$822</f>
        <v>100</v>
      </c>
      <c r="T33" s="530">
        <f>'1.1 Control Panel'!T830*'1.1 Control Panel'!T$822</f>
        <v>100</v>
      </c>
      <c r="U33" s="530">
        <f>'1.1 Control Panel'!U830*'1.1 Control Panel'!U$822</f>
        <v>100</v>
      </c>
      <c r="V33" s="530">
        <f>'1.1 Control Panel'!V830*'1.1 Control Panel'!V$822</f>
        <v>100</v>
      </c>
      <c r="W33" s="530">
        <f>'1.1 Control Panel'!W830*'1.1 Control Panel'!W$822</f>
        <v>100</v>
      </c>
      <c r="X33" s="530">
        <f>'1.1 Control Panel'!X830*'1.1 Control Panel'!X$822</f>
        <v>100</v>
      </c>
      <c r="Y33" s="530">
        <f>'1.1 Control Panel'!Y830*'1.1 Control Panel'!Y$822</f>
        <v>100</v>
      </c>
      <c r="Z33" s="530">
        <f>'1.1 Control Panel'!Z830*'1.1 Control Panel'!Z$822</f>
        <v>100</v>
      </c>
      <c r="AA33" s="530">
        <f>'1.1 Control Panel'!AA830*'1.1 Control Panel'!AA$822</f>
        <v>100</v>
      </c>
      <c r="AB33" s="530">
        <f>'1.1 Control Panel'!AB830*'1.1 Control Panel'!AB$822</f>
        <v>100</v>
      </c>
      <c r="AC33" s="530">
        <f>'1.1 Control Panel'!AC830*'1.1 Control Panel'!AC$822</f>
        <v>100</v>
      </c>
      <c r="AD33" s="530">
        <f>'1.1 Control Panel'!AD830*'1.1 Control Panel'!AD$822</f>
        <v>100</v>
      </c>
      <c r="AE33" s="530">
        <f>'1.1 Control Panel'!AE830*'1.1 Control Panel'!AE$822</f>
        <v>100</v>
      </c>
      <c r="AF33" s="530">
        <f>'1.1 Control Panel'!AF830*'1.1 Control Panel'!AF$822</f>
        <v>100</v>
      </c>
      <c r="AG33" s="530">
        <f>'1.1 Control Panel'!AG830*'1.1 Control Panel'!AG$822</f>
        <v>100</v>
      </c>
      <c r="AH33" s="530">
        <f>'1.1 Control Panel'!AH830*'1.1 Control Panel'!AH$822</f>
        <v>100</v>
      </c>
      <c r="AI33" s="530">
        <f>'1.1 Control Panel'!AI830*'1.1 Control Panel'!AI$822</f>
        <v>100</v>
      </c>
      <c r="AJ33" s="530">
        <f>'1.1 Control Panel'!AJ830*'1.1 Control Panel'!AJ$822</f>
        <v>100</v>
      </c>
      <c r="AK33" s="530">
        <f>'1.1 Control Panel'!AK830*'1.1 Control Panel'!AK$822</f>
        <v>100</v>
      </c>
      <c r="AL33" s="530">
        <f>'1.1 Control Panel'!AL830*'1.1 Control Panel'!AL$822</f>
        <v>100</v>
      </c>
      <c r="AM33" s="530">
        <f>'1.1 Control Panel'!AM830*'1.1 Control Panel'!AM$822</f>
        <v>100</v>
      </c>
      <c r="AN33" s="530">
        <f>'1.1 Control Panel'!AN830*'1.1 Control Panel'!AN$822</f>
        <v>100</v>
      </c>
      <c r="AP33" s="22"/>
    </row>
    <row r="34" spans="2:42" ht="11.5" customHeight="1" x14ac:dyDescent="0.25">
      <c r="C34" s="22" t="s">
        <v>783</v>
      </c>
      <c r="D34" s="38" t="s">
        <v>46</v>
      </c>
      <c r="E34" s="530">
        <f>'1.1 Control Panel'!E831*'1.1 Control Panel'!E$823</f>
        <v>100</v>
      </c>
      <c r="F34" s="530">
        <f>'1.1 Control Panel'!F831*'1.1 Control Panel'!F$823</f>
        <v>100</v>
      </c>
      <c r="G34" s="530">
        <f>'1.1 Control Panel'!G831*'1.1 Control Panel'!G$823</f>
        <v>100</v>
      </c>
      <c r="H34" s="530">
        <f>'1.1 Control Panel'!H831*'1.1 Control Panel'!H$823</f>
        <v>100</v>
      </c>
      <c r="I34" s="530">
        <f>'1.1 Control Panel'!I831*'1.1 Control Panel'!I$823</f>
        <v>100</v>
      </c>
      <c r="J34" s="530">
        <f>'1.1 Control Panel'!J831*'1.1 Control Panel'!J$823</f>
        <v>100</v>
      </c>
      <c r="K34" s="530">
        <f>'1.1 Control Panel'!K831*'1.1 Control Panel'!K$823</f>
        <v>100</v>
      </c>
      <c r="L34" s="530">
        <f>'1.1 Control Panel'!L831*'1.1 Control Panel'!L$823</f>
        <v>100</v>
      </c>
      <c r="M34" s="530">
        <f>'1.1 Control Panel'!M831*'1.1 Control Panel'!M$823</f>
        <v>100</v>
      </c>
      <c r="N34" s="530">
        <f>'1.1 Control Panel'!N831*'1.1 Control Panel'!N$823</f>
        <v>100</v>
      </c>
      <c r="O34" s="530">
        <f>'1.1 Control Panel'!O831*'1.1 Control Panel'!O$823</f>
        <v>100</v>
      </c>
      <c r="P34" s="530">
        <f>'1.1 Control Panel'!P831*'1.1 Control Panel'!P$823</f>
        <v>100</v>
      </c>
      <c r="Q34" s="530">
        <f>'1.1 Control Panel'!Q831*'1.1 Control Panel'!Q$823</f>
        <v>100</v>
      </c>
      <c r="R34" s="530">
        <f>'1.1 Control Panel'!R831*'1.1 Control Panel'!R$823</f>
        <v>100</v>
      </c>
      <c r="S34" s="530">
        <f>'1.1 Control Panel'!S831*'1.1 Control Panel'!S$823</f>
        <v>100</v>
      </c>
      <c r="T34" s="530">
        <f>'1.1 Control Panel'!T831*'1.1 Control Panel'!T$823</f>
        <v>100</v>
      </c>
      <c r="U34" s="530">
        <f>'1.1 Control Panel'!U831*'1.1 Control Panel'!U$823</f>
        <v>100</v>
      </c>
      <c r="V34" s="530">
        <f>'1.1 Control Panel'!V831*'1.1 Control Panel'!V$823</f>
        <v>100</v>
      </c>
      <c r="W34" s="530">
        <f>'1.1 Control Panel'!W831*'1.1 Control Panel'!W$823</f>
        <v>100</v>
      </c>
      <c r="X34" s="530">
        <f>'1.1 Control Panel'!X831*'1.1 Control Panel'!X$823</f>
        <v>100</v>
      </c>
      <c r="Y34" s="530">
        <f>'1.1 Control Panel'!Y831*'1.1 Control Panel'!Y$823</f>
        <v>100</v>
      </c>
      <c r="Z34" s="530">
        <f>'1.1 Control Panel'!Z831*'1.1 Control Panel'!Z$823</f>
        <v>100</v>
      </c>
      <c r="AA34" s="530">
        <f>'1.1 Control Panel'!AA831*'1.1 Control Panel'!AA$823</f>
        <v>100</v>
      </c>
      <c r="AB34" s="530">
        <f>'1.1 Control Panel'!AB831*'1.1 Control Panel'!AB$823</f>
        <v>100</v>
      </c>
      <c r="AC34" s="530">
        <f>'1.1 Control Panel'!AC831*'1.1 Control Panel'!AC$823</f>
        <v>100</v>
      </c>
      <c r="AD34" s="530">
        <f>'1.1 Control Panel'!AD831*'1.1 Control Panel'!AD$823</f>
        <v>100</v>
      </c>
      <c r="AE34" s="530">
        <f>'1.1 Control Panel'!AE831*'1.1 Control Panel'!AE$823</f>
        <v>100</v>
      </c>
      <c r="AF34" s="530">
        <f>'1.1 Control Panel'!AF831*'1.1 Control Panel'!AF$823</f>
        <v>100</v>
      </c>
      <c r="AG34" s="530">
        <f>'1.1 Control Panel'!AG831*'1.1 Control Panel'!AG$823</f>
        <v>100</v>
      </c>
      <c r="AH34" s="530">
        <f>'1.1 Control Panel'!AH831*'1.1 Control Panel'!AH$823</f>
        <v>100</v>
      </c>
      <c r="AI34" s="530">
        <f>'1.1 Control Panel'!AI831*'1.1 Control Panel'!AI$823</f>
        <v>100</v>
      </c>
      <c r="AJ34" s="530">
        <f>'1.1 Control Panel'!AJ831*'1.1 Control Panel'!AJ$823</f>
        <v>100</v>
      </c>
      <c r="AK34" s="530">
        <f>'1.1 Control Panel'!AK831*'1.1 Control Panel'!AK$823</f>
        <v>100</v>
      </c>
      <c r="AL34" s="530">
        <f>'1.1 Control Panel'!AL831*'1.1 Control Panel'!AL$823</f>
        <v>100</v>
      </c>
      <c r="AM34" s="530">
        <f>'1.1 Control Panel'!AM831*'1.1 Control Panel'!AM$823</f>
        <v>100</v>
      </c>
      <c r="AN34" s="530">
        <f>'1.1 Control Panel'!AN831*'1.1 Control Panel'!AN$823</f>
        <v>100</v>
      </c>
      <c r="AP34" s="22"/>
    </row>
    <row r="35" spans="2:42" ht="11.5" customHeight="1" x14ac:dyDescent="0.25">
      <c r="B35" s="19" t="s">
        <v>10</v>
      </c>
      <c r="C35" s="17" t="s">
        <v>760</v>
      </c>
      <c r="D35" s="526" t="s">
        <v>46</v>
      </c>
      <c r="E35" s="533">
        <f t="shared" ref="E35:AN35" si="36">SUM(E36:E42)</f>
        <v>700</v>
      </c>
      <c r="F35" s="533">
        <f t="shared" si="36"/>
        <v>700</v>
      </c>
      <c r="G35" s="533">
        <f t="shared" si="36"/>
        <v>700</v>
      </c>
      <c r="H35" s="533">
        <f t="shared" si="36"/>
        <v>700</v>
      </c>
      <c r="I35" s="533">
        <f t="shared" si="36"/>
        <v>700</v>
      </c>
      <c r="J35" s="533">
        <f t="shared" si="36"/>
        <v>700</v>
      </c>
      <c r="K35" s="533">
        <f t="shared" si="36"/>
        <v>700</v>
      </c>
      <c r="L35" s="533">
        <f t="shared" si="36"/>
        <v>700</v>
      </c>
      <c r="M35" s="533">
        <f t="shared" si="36"/>
        <v>700</v>
      </c>
      <c r="N35" s="533">
        <f t="shared" si="36"/>
        <v>700</v>
      </c>
      <c r="O35" s="533">
        <f t="shared" si="36"/>
        <v>700</v>
      </c>
      <c r="P35" s="533">
        <f t="shared" si="36"/>
        <v>700</v>
      </c>
      <c r="Q35" s="533">
        <f t="shared" si="36"/>
        <v>700</v>
      </c>
      <c r="R35" s="533">
        <f t="shared" si="36"/>
        <v>700</v>
      </c>
      <c r="S35" s="533">
        <f t="shared" si="36"/>
        <v>700</v>
      </c>
      <c r="T35" s="533">
        <f t="shared" si="36"/>
        <v>700</v>
      </c>
      <c r="U35" s="533">
        <f t="shared" si="36"/>
        <v>700</v>
      </c>
      <c r="V35" s="533">
        <f t="shared" si="36"/>
        <v>700</v>
      </c>
      <c r="W35" s="533">
        <f t="shared" si="36"/>
        <v>700</v>
      </c>
      <c r="X35" s="533">
        <f t="shared" si="36"/>
        <v>700</v>
      </c>
      <c r="Y35" s="533">
        <f t="shared" si="36"/>
        <v>700</v>
      </c>
      <c r="Z35" s="533">
        <f t="shared" si="36"/>
        <v>700</v>
      </c>
      <c r="AA35" s="533">
        <f t="shared" si="36"/>
        <v>700</v>
      </c>
      <c r="AB35" s="533">
        <f t="shared" si="36"/>
        <v>700</v>
      </c>
      <c r="AC35" s="533">
        <f t="shared" si="36"/>
        <v>700</v>
      </c>
      <c r="AD35" s="533">
        <f t="shared" si="36"/>
        <v>700</v>
      </c>
      <c r="AE35" s="533">
        <f t="shared" si="36"/>
        <v>700</v>
      </c>
      <c r="AF35" s="533">
        <f t="shared" si="36"/>
        <v>700</v>
      </c>
      <c r="AG35" s="533">
        <f t="shared" si="36"/>
        <v>700</v>
      </c>
      <c r="AH35" s="533">
        <f t="shared" si="36"/>
        <v>700</v>
      </c>
      <c r="AI35" s="533">
        <f t="shared" si="36"/>
        <v>700</v>
      </c>
      <c r="AJ35" s="533">
        <f t="shared" si="36"/>
        <v>700</v>
      </c>
      <c r="AK35" s="533">
        <f t="shared" si="36"/>
        <v>700</v>
      </c>
      <c r="AL35" s="533">
        <f t="shared" si="36"/>
        <v>700</v>
      </c>
      <c r="AM35" s="533">
        <f t="shared" si="36"/>
        <v>700</v>
      </c>
      <c r="AN35" s="533">
        <f t="shared" si="36"/>
        <v>700</v>
      </c>
      <c r="AO35" s="16"/>
      <c r="AP35" s="17"/>
    </row>
    <row r="36" spans="2:42" ht="11.5" customHeight="1" x14ac:dyDescent="0.25">
      <c r="C36" s="20" t="s">
        <v>778</v>
      </c>
      <c r="D36" s="34" t="s">
        <v>46</v>
      </c>
      <c r="E36" s="28">
        <f>'1.1 Control Panel'!E833*'1.1 Control Panel'!E$817</f>
        <v>100</v>
      </c>
      <c r="F36" s="28">
        <f>'1.1 Control Panel'!F833*'1.1 Control Panel'!F$817</f>
        <v>100</v>
      </c>
      <c r="G36" s="28">
        <f>'1.1 Control Panel'!G833*'1.1 Control Panel'!G$817</f>
        <v>100</v>
      </c>
      <c r="H36" s="28">
        <f>'1.1 Control Panel'!H833*'1.1 Control Panel'!H$817</f>
        <v>100</v>
      </c>
      <c r="I36" s="28">
        <f>'1.1 Control Panel'!I833*'1.1 Control Panel'!I$817</f>
        <v>100</v>
      </c>
      <c r="J36" s="28">
        <f>'1.1 Control Panel'!J833*'1.1 Control Panel'!J$817</f>
        <v>100</v>
      </c>
      <c r="K36" s="28">
        <f>'1.1 Control Panel'!K833*'1.1 Control Panel'!K$817</f>
        <v>100</v>
      </c>
      <c r="L36" s="28">
        <f>'1.1 Control Panel'!L833*'1.1 Control Panel'!L$817</f>
        <v>100</v>
      </c>
      <c r="M36" s="28">
        <f>'1.1 Control Panel'!M833*'1.1 Control Panel'!M$817</f>
        <v>100</v>
      </c>
      <c r="N36" s="28">
        <f>'1.1 Control Panel'!N833*'1.1 Control Panel'!N$817</f>
        <v>100</v>
      </c>
      <c r="O36" s="28">
        <f>'1.1 Control Panel'!O833*'1.1 Control Panel'!O$817</f>
        <v>100</v>
      </c>
      <c r="P36" s="28">
        <f>'1.1 Control Panel'!P833*'1.1 Control Panel'!P$817</f>
        <v>100</v>
      </c>
      <c r="Q36" s="28">
        <f>'1.1 Control Panel'!Q833*'1.1 Control Panel'!Q$817</f>
        <v>100</v>
      </c>
      <c r="R36" s="28">
        <f>'1.1 Control Panel'!R833*'1.1 Control Panel'!R$817</f>
        <v>100</v>
      </c>
      <c r="S36" s="28">
        <f>'1.1 Control Panel'!S833*'1.1 Control Panel'!S$817</f>
        <v>100</v>
      </c>
      <c r="T36" s="28">
        <f>'1.1 Control Panel'!T833*'1.1 Control Panel'!T$817</f>
        <v>100</v>
      </c>
      <c r="U36" s="28">
        <f>'1.1 Control Panel'!U833*'1.1 Control Panel'!U$817</f>
        <v>100</v>
      </c>
      <c r="V36" s="28">
        <f>'1.1 Control Panel'!V833*'1.1 Control Panel'!V$817</f>
        <v>100</v>
      </c>
      <c r="W36" s="28">
        <f>'1.1 Control Panel'!W833*'1.1 Control Panel'!W$817</f>
        <v>100</v>
      </c>
      <c r="X36" s="28">
        <f>'1.1 Control Panel'!X833*'1.1 Control Panel'!X$817</f>
        <v>100</v>
      </c>
      <c r="Y36" s="28">
        <f>'1.1 Control Panel'!Y833*'1.1 Control Panel'!Y$817</f>
        <v>100</v>
      </c>
      <c r="Z36" s="28">
        <f>'1.1 Control Panel'!Z833*'1.1 Control Panel'!Z$817</f>
        <v>100</v>
      </c>
      <c r="AA36" s="28">
        <f>'1.1 Control Panel'!AA833*'1.1 Control Panel'!AA$817</f>
        <v>100</v>
      </c>
      <c r="AB36" s="28">
        <f>'1.1 Control Panel'!AB833*'1.1 Control Panel'!AB$817</f>
        <v>100</v>
      </c>
      <c r="AC36" s="28">
        <f>'1.1 Control Panel'!AC833*'1.1 Control Panel'!AC$817</f>
        <v>100</v>
      </c>
      <c r="AD36" s="28">
        <f>'1.1 Control Panel'!AD833*'1.1 Control Panel'!AD$817</f>
        <v>100</v>
      </c>
      <c r="AE36" s="28">
        <f>'1.1 Control Panel'!AE833*'1.1 Control Panel'!AE$817</f>
        <v>100</v>
      </c>
      <c r="AF36" s="28">
        <f>'1.1 Control Panel'!AF833*'1.1 Control Panel'!AF$817</f>
        <v>100</v>
      </c>
      <c r="AG36" s="28">
        <f>'1.1 Control Panel'!AG833*'1.1 Control Panel'!AG$817</f>
        <v>100</v>
      </c>
      <c r="AH36" s="28">
        <f>'1.1 Control Panel'!AH833*'1.1 Control Panel'!AH$817</f>
        <v>100</v>
      </c>
      <c r="AI36" s="28">
        <f>'1.1 Control Panel'!AI833*'1.1 Control Panel'!AI$817</f>
        <v>100</v>
      </c>
      <c r="AJ36" s="28">
        <f>'1.1 Control Panel'!AJ833*'1.1 Control Panel'!AJ$817</f>
        <v>100</v>
      </c>
      <c r="AK36" s="28">
        <f>'1.1 Control Panel'!AK833*'1.1 Control Panel'!AK$817</f>
        <v>100</v>
      </c>
      <c r="AL36" s="28">
        <f>'1.1 Control Panel'!AL833*'1.1 Control Panel'!AL$817</f>
        <v>100</v>
      </c>
      <c r="AM36" s="28">
        <f>'1.1 Control Panel'!AM833*'1.1 Control Panel'!AM$817</f>
        <v>100</v>
      </c>
      <c r="AN36" s="28">
        <f>'1.1 Control Panel'!AN833*'1.1 Control Panel'!AN$817</f>
        <v>100</v>
      </c>
      <c r="AP36" s="20"/>
    </row>
    <row r="37" spans="2:42" ht="11.5" customHeight="1" x14ac:dyDescent="0.25">
      <c r="C37" s="21" t="s">
        <v>784</v>
      </c>
      <c r="D37" s="38" t="s">
        <v>46</v>
      </c>
      <c r="E37" s="376">
        <f>'1.1 Control Panel'!E834*'1.1 Control Panel'!E$818</f>
        <v>100</v>
      </c>
      <c r="F37" s="376">
        <f>'1.1 Control Panel'!F834*'1.1 Control Panel'!F$818</f>
        <v>100</v>
      </c>
      <c r="G37" s="376">
        <f>'1.1 Control Panel'!G834*'1.1 Control Panel'!G$818</f>
        <v>100</v>
      </c>
      <c r="H37" s="376">
        <f>'1.1 Control Panel'!H834*'1.1 Control Panel'!H$818</f>
        <v>100</v>
      </c>
      <c r="I37" s="376">
        <f>'1.1 Control Panel'!I834*'1.1 Control Panel'!I$818</f>
        <v>100</v>
      </c>
      <c r="J37" s="376">
        <f>'1.1 Control Panel'!J834*'1.1 Control Panel'!J$818</f>
        <v>100</v>
      </c>
      <c r="K37" s="376">
        <f>'1.1 Control Panel'!K834*'1.1 Control Panel'!K$818</f>
        <v>100</v>
      </c>
      <c r="L37" s="376">
        <f>'1.1 Control Panel'!L834*'1.1 Control Panel'!L$818</f>
        <v>100</v>
      </c>
      <c r="M37" s="376">
        <f>'1.1 Control Panel'!M834*'1.1 Control Panel'!M$818</f>
        <v>100</v>
      </c>
      <c r="N37" s="376">
        <f>'1.1 Control Panel'!N834*'1.1 Control Panel'!N$818</f>
        <v>100</v>
      </c>
      <c r="O37" s="376">
        <f>'1.1 Control Panel'!O834*'1.1 Control Panel'!O$818</f>
        <v>100</v>
      </c>
      <c r="P37" s="376">
        <f>'1.1 Control Panel'!P834*'1.1 Control Panel'!P$818</f>
        <v>100</v>
      </c>
      <c r="Q37" s="376">
        <f>'1.1 Control Panel'!Q834*'1.1 Control Panel'!Q$818</f>
        <v>100</v>
      </c>
      <c r="R37" s="376">
        <f>'1.1 Control Panel'!R834*'1.1 Control Panel'!R$818</f>
        <v>100</v>
      </c>
      <c r="S37" s="376">
        <f>'1.1 Control Panel'!S834*'1.1 Control Panel'!S$818</f>
        <v>100</v>
      </c>
      <c r="T37" s="376">
        <f>'1.1 Control Panel'!T834*'1.1 Control Panel'!T$818</f>
        <v>100</v>
      </c>
      <c r="U37" s="376">
        <f>'1.1 Control Panel'!U834*'1.1 Control Panel'!U$818</f>
        <v>100</v>
      </c>
      <c r="V37" s="376">
        <f>'1.1 Control Panel'!V834*'1.1 Control Panel'!V$818</f>
        <v>100</v>
      </c>
      <c r="W37" s="376">
        <f>'1.1 Control Panel'!W834*'1.1 Control Panel'!W$818</f>
        <v>100</v>
      </c>
      <c r="X37" s="376">
        <f>'1.1 Control Panel'!X834*'1.1 Control Panel'!X$818</f>
        <v>100</v>
      </c>
      <c r="Y37" s="376">
        <f>'1.1 Control Panel'!Y834*'1.1 Control Panel'!Y$818</f>
        <v>100</v>
      </c>
      <c r="Z37" s="376">
        <f>'1.1 Control Panel'!Z834*'1.1 Control Panel'!Z$818</f>
        <v>100</v>
      </c>
      <c r="AA37" s="376">
        <f>'1.1 Control Panel'!AA834*'1.1 Control Panel'!AA$818</f>
        <v>100</v>
      </c>
      <c r="AB37" s="376">
        <f>'1.1 Control Panel'!AB834*'1.1 Control Panel'!AB$818</f>
        <v>100</v>
      </c>
      <c r="AC37" s="376">
        <f>'1.1 Control Panel'!AC834*'1.1 Control Panel'!AC$818</f>
        <v>100</v>
      </c>
      <c r="AD37" s="376">
        <f>'1.1 Control Panel'!AD834*'1.1 Control Panel'!AD$818</f>
        <v>100</v>
      </c>
      <c r="AE37" s="376">
        <f>'1.1 Control Panel'!AE834*'1.1 Control Panel'!AE$818</f>
        <v>100</v>
      </c>
      <c r="AF37" s="376">
        <f>'1.1 Control Panel'!AF834*'1.1 Control Panel'!AF$818</f>
        <v>100</v>
      </c>
      <c r="AG37" s="376">
        <f>'1.1 Control Panel'!AG834*'1.1 Control Panel'!AG$818</f>
        <v>100</v>
      </c>
      <c r="AH37" s="376">
        <f>'1.1 Control Panel'!AH834*'1.1 Control Panel'!AH$818</f>
        <v>100</v>
      </c>
      <c r="AI37" s="376">
        <f>'1.1 Control Panel'!AI834*'1.1 Control Panel'!AI$818</f>
        <v>100</v>
      </c>
      <c r="AJ37" s="376">
        <f>'1.1 Control Panel'!AJ834*'1.1 Control Panel'!AJ$818</f>
        <v>100</v>
      </c>
      <c r="AK37" s="376">
        <f>'1.1 Control Panel'!AK834*'1.1 Control Panel'!AK$818</f>
        <v>100</v>
      </c>
      <c r="AL37" s="376">
        <f>'1.1 Control Panel'!AL834*'1.1 Control Panel'!AL$818</f>
        <v>100</v>
      </c>
      <c r="AM37" s="376">
        <f>'1.1 Control Panel'!AM834*'1.1 Control Panel'!AM$818</f>
        <v>100</v>
      </c>
      <c r="AN37" s="376">
        <f>'1.1 Control Panel'!AN834*'1.1 Control Panel'!AN$818</f>
        <v>100</v>
      </c>
      <c r="AP37" s="21"/>
    </row>
    <row r="38" spans="2:42" ht="11.5" customHeight="1" x14ac:dyDescent="0.25">
      <c r="C38" s="22" t="s">
        <v>785</v>
      </c>
      <c r="D38" s="38" t="s">
        <v>46</v>
      </c>
      <c r="E38" s="530">
        <f>'1.1 Control Panel'!E835*'1.1 Control Panel'!E$819</f>
        <v>100</v>
      </c>
      <c r="F38" s="530">
        <f>'1.1 Control Panel'!F835*'1.1 Control Panel'!F$819</f>
        <v>100</v>
      </c>
      <c r="G38" s="530">
        <f>'1.1 Control Panel'!G835*'1.1 Control Panel'!G$819</f>
        <v>100</v>
      </c>
      <c r="H38" s="530">
        <f>'1.1 Control Panel'!H835*'1.1 Control Panel'!H$819</f>
        <v>100</v>
      </c>
      <c r="I38" s="530">
        <f>'1.1 Control Panel'!I835*'1.1 Control Panel'!I$819</f>
        <v>100</v>
      </c>
      <c r="J38" s="530">
        <f>'1.1 Control Panel'!J835*'1.1 Control Panel'!J$819</f>
        <v>100</v>
      </c>
      <c r="K38" s="530">
        <f>'1.1 Control Panel'!K835*'1.1 Control Panel'!K$819</f>
        <v>100</v>
      </c>
      <c r="L38" s="530">
        <f>'1.1 Control Panel'!L835*'1.1 Control Panel'!L$819</f>
        <v>100</v>
      </c>
      <c r="M38" s="530">
        <f>'1.1 Control Panel'!M835*'1.1 Control Panel'!M$819</f>
        <v>100</v>
      </c>
      <c r="N38" s="530">
        <f>'1.1 Control Panel'!N835*'1.1 Control Panel'!N$819</f>
        <v>100</v>
      </c>
      <c r="O38" s="530">
        <f>'1.1 Control Panel'!O835*'1.1 Control Panel'!O$819</f>
        <v>100</v>
      </c>
      <c r="P38" s="530">
        <f>'1.1 Control Panel'!P835*'1.1 Control Panel'!P$819</f>
        <v>100</v>
      </c>
      <c r="Q38" s="530">
        <f>'1.1 Control Panel'!Q835*'1.1 Control Panel'!Q$819</f>
        <v>100</v>
      </c>
      <c r="R38" s="530">
        <f>'1.1 Control Panel'!R835*'1.1 Control Panel'!R$819</f>
        <v>100</v>
      </c>
      <c r="S38" s="530">
        <f>'1.1 Control Panel'!S835*'1.1 Control Panel'!S$819</f>
        <v>100</v>
      </c>
      <c r="T38" s="530">
        <f>'1.1 Control Panel'!T835*'1.1 Control Panel'!T$819</f>
        <v>100</v>
      </c>
      <c r="U38" s="530">
        <f>'1.1 Control Panel'!U835*'1.1 Control Panel'!U$819</f>
        <v>100</v>
      </c>
      <c r="V38" s="530">
        <f>'1.1 Control Panel'!V835*'1.1 Control Panel'!V$819</f>
        <v>100</v>
      </c>
      <c r="W38" s="530">
        <f>'1.1 Control Panel'!W835*'1.1 Control Panel'!W$819</f>
        <v>100</v>
      </c>
      <c r="X38" s="530">
        <f>'1.1 Control Panel'!X835*'1.1 Control Panel'!X$819</f>
        <v>100</v>
      </c>
      <c r="Y38" s="530">
        <f>'1.1 Control Panel'!Y835*'1.1 Control Panel'!Y$819</f>
        <v>100</v>
      </c>
      <c r="Z38" s="530">
        <f>'1.1 Control Panel'!Z835*'1.1 Control Panel'!Z$819</f>
        <v>100</v>
      </c>
      <c r="AA38" s="530">
        <f>'1.1 Control Panel'!AA835*'1.1 Control Panel'!AA$819</f>
        <v>100</v>
      </c>
      <c r="AB38" s="530">
        <f>'1.1 Control Panel'!AB835*'1.1 Control Panel'!AB$819</f>
        <v>100</v>
      </c>
      <c r="AC38" s="530">
        <f>'1.1 Control Panel'!AC835*'1.1 Control Panel'!AC$819</f>
        <v>100</v>
      </c>
      <c r="AD38" s="530">
        <f>'1.1 Control Panel'!AD835*'1.1 Control Panel'!AD$819</f>
        <v>100</v>
      </c>
      <c r="AE38" s="530">
        <f>'1.1 Control Panel'!AE835*'1.1 Control Panel'!AE$819</f>
        <v>100</v>
      </c>
      <c r="AF38" s="530">
        <f>'1.1 Control Panel'!AF835*'1.1 Control Panel'!AF$819</f>
        <v>100</v>
      </c>
      <c r="AG38" s="530">
        <f>'1.1 Control Panel'!AG835*'1.1 Control Panel'!AG$819</f>
        <v>100</v>
      </c>
      <c r="AH38" s="530">
        <f>'1.1 Control Panel'!AH835*'1.1 Control Panel'!AH$819</f>
        <v>100</v>
      </c>
      <c r="AI38" s="530">
        <f>'1.1 Control Panel'!AI835*'1.1 Control Panel'!AI$819</f>
        <v>100</v>
      </c>
      <c r="AJ38" s="530">
        <f>'1.1 Control Panel'!AJ835*'1.1 Control Panel'!AJ$819</f>
        <v>100</v>
      </c>
      <c r="AK38" s="530">
        <f>'1.1 Control Panel'!AK835*'1.1 Control Panel'!AK$819</f>
        <v>100</v>
      </c>
      <c r="AL38" s="530">
        <f>'1.1 Control Panel'!AL835*'1.1 Control Panel'!AL$819</f>
        <v>100</v>
      </c>
      <c r="AM38" s="530">
        <f>'1.1 Control Panel'!AM835*'1.1 Control Panel'!AM$819</f>
        <v>100</v>
      </c>
      <c r="AN38" s="530">
        <f>'1.1 Control Panel'!AN835*'1.1 Control Panel'!AN$819</f>
        <v>100</v>
      </c>
      <c r="AP38" s="22"/>
    </row>
    <row r="39" spans="2:42" ht="11.5" customHeight="1" x14ac:dyDescent="0.25">
      <c r="C39" s="22" t="s">
        <v>779</v>
      </c>
      <c r="D39" s="38" t="s">
        <v>46</v>
      </c>
      <c r="E39" s="530">
        <f>'1.1 Control Panel'!E836*'1.1 Control Panel'!E$820</f>
        <v>100</v>
      </c>
      <c r="F39" s="530">
        <f>'1.1 Control Panel'!F836*'1.1 Control Panel'!F$820</f>
        <v>100</v>
      </c>
      <c r="G39" s="530">
        <f>'1.1 Control Panel'!G836*'1.1 Control Panel'!G$820</f>
        <v>100</v>
      </c>
      <c r="H39" s="530">
        <f>'1.1 Control Panel'!H836*'1.1 Control Panel'!H$820</f>
        <v>100</v>
      </c>
      <c r="I39" s="530">
        <f>'1.1 Control Panel'!I836*'1.1 Control Panel'!I$820</f>
        <v>100</v>
      </c>
      <c r="J39" s="530">
        <f>'1.1 Control Panel'!J836*'1.1 Control Panel'!J$820</f>
        <v>100</v>
      </c>
      <c r="K39" s="530">
        <f>'1.1 Control Panel'!K836*'1.1 Control Panel'!K$820</f>
        <v>100</v>
      </c>
      <c r="L39" s="530">
        <f>'1.1 Control Panel'!L836*'1.1 Control Panel'!L$820</f>
        <v>100</v>
      </c>
      <c r="M39" s="530">
        <f>'1.1 Control Panel'!M836*'1.1 Control Panel'!M$820</f>
        <v>100</v>
      </c>
      <c r="N39" s="530">
        <f>'1.1 Control Panel'!N836*'1.1 Control Panel'!N$820</f>
        <v>100</v>
      </c>
      <c r="O39" s="530">
        <f>'1.1 Control Panel'!O836*'1.1 Control Panel'!O$820</f>
        <v>100</v>
      </c>
      <c r="P39" s="530">
        <f>'1.1 Control Panel'!P836*'1.1 Control Panel'!P$820</f>
        <v>100</v>
      </c>
      <c r="Q39" s="530">
        <f>'1.1 Control Panel'!Q836*'1.1 Control Panel'!Q$820</f>
        <v>100</v>
      </c>
      <c r="R39" s="530">
        <f>'1.1 Control Panel'!R836*'1.1 Control Panel'!R$820</f>
        <v>100</v>
      </c>
      <c r="S39" s="530">
        <f>'1.1 Control Panel'!S836*'1.1 Control Panel'!S$820</f>
        <v>100</v>
      </c>
      <c r="T39" s="530">
        <f>'1.1 Control Panel'!T836*'1.1 Control Panel'!T$820</f>
        <v>100</v>
      </c>
      <c r="U39" s="530">
        <f>'1.1 Control Panel'!U836*'1.1 Control Panel'!U$820</f>
        <v>100</v>
      </c>
      <c r="V39" s="530">
        <f>'1.1 Control Panel'!V836*'1.1 Control Panel'!V$820</f>
        <v>100</v>
      </c>
      <c r="W39" s="530">
        <f>'1.1 Control Panel'!W836*'1.1 Control Panel'!W$820</f>
        <v>100</v>
      </c>
      <c r="X39" s="530">
        <f>'1.1 Control Panel'!X836*'1.1 Control Panel'!X$820</f>
        <v>100</v>
      </c>
      <c r="Y39" s="530">
        <f>'1.1 Control Panel'!Y836*'1.1 Control Panel'!Y$820</f>
        <v>100</v>
      </c>
      <c r="Z39" s="530">
        <f>'1.1 Control Panel'!Z836*'1.1 Control Panel'!Z$820</f>
        <v>100</v>
      </c>
      <c r="AA39" s="530">
        <f>'1.1 Control Panel'!AA836*'1.1 Control Panel'!AA$820</f>
        <v>100</v>
      </c>
      <c r="AB39" s="530">
        <f>'1.1 Control Panel'!AB836*'1.1 Control Panel'!AB$820</f>
        <v>100</v>
      </c>
      <c r="AC39" s="530">
        <f>'1.1 Control Panel'!AC836*'1.1 Control Panel'!AC$820</f>
        <v>100</v>
      </c>
      <c r="AD39" s="530">
        <f>'1.1 Control Panel'!AD836*'1.1 Control Panel'!AD$820</f>
        <v>100</v>
      </c>
      <c r="AE39" s="530">
        <f>'1.1 Control Panel'!AE836*'1.1 Control Panel'!AE$820</f>
        <v>100</v>
      </c>
      <c r="AF39" s="530">
        <f>'1.1 Control Panel'!AF836*'1.1 Control Panel'!AF$820</f>
        <v>100</v>
      </c>
      <c r="AG39" s="530">
        <f>'1.1 Control Panel'!AG836*'1.1 Control Panel'!AG$820</f>
        <v>100</v>
      </c>
      <c r="AH39" s="530">
        <f>'1.1 Control Panel'!AH836*'1.1 Control Panel'!AH$820</f>
        <v>100</v>
      </c>
      <c r="AI39" s="530">
        <f>'1.1 Control Panel'!AI836*'1.1 Control Panel'!AI$820</f>
        <v>100</v>
      </c>
      <c r="AJ39" s="530">
        <f>'1.1 Control Panel'!AJ836*'1.1 Control Panel'!AJ$820</f>
        <v>100</v>
      </c>
      <c r="AK39" s="530">
        <f>'1.1 Control Panel'!AK836*'1.1 Control Panel'!AK$820</f>
        <v>100</v>
      </c>
      <c r="AL39" s="530">
        <f>'1.1 Control Panel'!AL836*'1.1 Control Panel'!AL$820</f>
        <v>100</v>
      </c>
      <c r="AM39" s="530">
        <f>'1.1 Control Panel'!AM836*'1.1 Control Panel'!AM$820</f>
        <v>100</v>
      </c>
      <c r="AN39" s="530">
        <f>'1.1 Control Panel'!AN836*'1.1 Control Panel'!AN$820</f>
        <v>100</v>
      </c>
      <c r="AP39" s="22"/>
    </row>
    <row r="40" spans="2:42" ht="11.5" customHeight="1" x14ac:dyDescent="0.25">
      <c r="C40" s="22" t="s">
        <v>780</v>
      </c>
      <c r="D40" s="38" t="s">
        <v>46</v>
      </c>
      <c r="E40" s="530">
        <f>'1.1 Control Panel'!E837*'1.1 Control Panel'!E$821</f>
        <v>100</v>
      </c>
      <c r="F40" s="530">
        <f>'1.1 Control Panel'!F837*'1.1 Control Panel'!F$821</f>
        <v>100</v>
      </c>
      <c r="G40" s="530">
        <f>'1.1 Control Panel'!G837*'1.1 Control Panel'!G$821</f>
        <v>100</v>
      </c>
      <c r="H40" s="530">
        <f>'1.1 Control Panel'!H837*'1.1 Control Panel'!H$821</f>
        <v>100</v>
      </c>
      <c r="I40" s="530">
        <f>'1.1 Control Panel'!I837*'1.1 Control Panel'!I$821</f>
        <v>100</v>
      </c>
      <c r="J40" s="530">
        <f>'1.1 Control Panel'!J837*'1.1 Control Panel'!J$821</f>
        <v>100</v>
      </c>
      <c r="K40" s="530">
        <f>'1.1 Control Panel'!K837*'1.1 Control Panel'!K$821</f>
        <v>100</v>
      </c>
      <c r="L40" s="530">
        <f>'1.1 Control Panel'!L837*'1.1 Control Panel'!L$821</f>
        <v>100</v>
      </c>
      <c r="M40" s="530">
        <f>'1.1 Control Panel'!M837*'1.1 Control Panel'!M$821</f>
        <v>100</v>
      </c>
      <c r="N40" s="530">
        <f>'1.1 Control Panel'!N837*'1.1 Control Panel'!N$821</f>
        <v>100</v>
      </c>
      <c r="O40" s="530">
        <f>'1.1 Control Panel'!O837*'1.1 Control Panel'!O$821</f>
        <v>100</v>
      </c>
      <c r="P40" s="530">
        <f>'1.1 Control Panel'!P837*'1.1 Control Panel'!P$821</f>
        <v>100</v>
      </c>
      <c r="Q40" s="530">
        <f>'1.1 Control Panel'!Q837*'1.1 Control Panel'!Q$821</f>
        <v>100</v>
      </c>
      <c r="R40" s="530">
        <f>'1.1 Control Panel'!R837*'1.1 Control Panel'!R$821</f>
        <v>100</v>
      </c>
      <c r="S40" s="530">
        <f>'1.1 Control Panel'!S837*'1.1 Control Panel'!S$821</f>
        <v>100</v>
      </c>
      <c r="T40" s="530">
        <f>'1.1 Control Panel'!T837*'1.1 Control Panel'!T$821</f>
        <v>100</v>
      </c>
      <c r="U40" s="530">
        <f>'1.1 Control Panel'!U837*'1.1 Control Panel'!U$821</f>
        <v>100</v>
      </c>
      <c r="V40" s="530">
        <f>'1.1 Control Panel'!V837*'1.1 Control Panel'!V$821</f>
        <v>100</v>
      </c>
      <c r="W40" s="530">
        <f>'1.1 Control Panel'!W837*'1.1 Control Panel'!W$821</f>
        <v>100</v>
      </c>
      <c r="X40" s="530">
        <f>'1.1 Control Panel'!X837*'1.1 Control Panel'!X$821</f>
        <v>100</v>
      </c>
      <c r="Y40" s="530">
        <f>'1.1 Control Panel'!Y837*'1.1 Control Panel'!Y$821</f>
        <v>100</v>
      </c>
      <c r="Z40" s="530">
        <f>'1.1 Control Panel'!Z837*'1.1 Control Panel'!Z$821</f>
        <v>100</v>
      </c>
      <c r="AA40" s="530">
        <f>'1.1 Control Panel'!AA837*'1.1 Control Panel'!AA$821</f>
        <v>100</v>
      </c>
      <c r="AB40" s="530">
        <f>'1.1 Control Panel'!AB837*'1.1 Control Panel'!AB$821</f>
        <v>100</v>
      </c>
      <c r="AC40" s="530">
        <f>'1.1 Control Panel'!AC837*'1.1 Control Panel'!AC$821</f>
        <v>100</v>
      </c>
      <c r="AD40" s="530">
        <f>'1.1 Control Panel'!AD837*'1.1 Control Panel'!AD$821</f>
        <v>100</v>
      </c>
      <c r="AE40" s="530">
        <f>'1.1 Control Panel'!AE837*'1.1 Control Panel'!AE$821</f>
        <v>100</v>
      </c>
      <c r="AF40" s="530">
        <f>'1.1 Control Panel'!AF837*'1.1 Control Panel'!AF$821</f>
        <v>100</v>
      </c>
      <c r="AG40" s="530">
        <f>'1.1 Control Panel'!AG837*'1.1 Control Panel'!AG$821</f>
        <v>100</v>
      </c>
      <c r="AH40" s="530">
        <f>'1.1 Control Panel'!AH837*'1.1 Control Panel'!AH$821</f>
        <v>100</v>
      </c>
      <c r="AI40" s="530">
        <f>'1.1 Control Panel'!AI837*'1.1 Control Panel'!AI$821</f>
        <v>100</v>
      </c>
      <c r="AJ40" s="530">
        <f>'1.1 Control Panel'!AJ837*'1.1 Control Panel'!AJ$821</f>
        <v>100</v>
      </c>
      <c r="AK40" s="530">
        <f>'1.1 Control Panel'!AK837*'1.1 Control Panel'!AK$821</f>
        <v>100</v>
      </c>
      <c r="AL40" s="530">
        <f>'1.1 Control Panel'!AL837*'1.1 Control Panel'!AL$821</f>
        <v>100</v>
      </c>
      <c r="AM40" s="530">
        <f>'1.1 Control Panel'!AM837*'1.1 Control Panel'!AM$821</f>
        <v>100</v>
      </c>
      <c r="AN40" s="530">
        <f>'1.1 Control Panel'!AN837*'1.1 Control Panel'!AN$821</f>
        <v>100</v>
      </c>
      <c r="AP40" s="22"/>
    </row>
    <row r="41" spans="2:42" ht="11.5" customHeight="1" x14ac:dyDescent="0.25">
      <c r="C41" s="22" t="s">
        <v>786</v>
      </c>
      <c r="D41" s="38" t="s">
        <v>46</v>
      </c>
      <c r="E41" s="530">
        <f>'1.1 Control Panel'!E838*'1.1 Control Panel'!E$822</f>
        <v>100</v>
      </c>
      <c r="F41" s="530">
        <f>'1.1 Control Panel'!F838*'1.1 Control Panel'!F$822</f>
        <v>100</v>
      </c>
      <c r="G41" s="530">
        <f>'1.1 Control Panel'!G838*'1.1 Control Panel'!G$822</f>
        <v>100</v>
      </c>
      <c r="H41" s="530">
        <f>'1.1 Control Panel'!H838*'1.1 Control Panel'!H$822</f>
        <v>100</v>
      </c>
      <c r="I41" s="530">
        <f>'1.1 Control Panel'!I838*'1.1 Control Panel'!I$822</f>
        <v>100</v>
      </c>
      <c r="J41" s="530">
        <f>'1.1 Control Panel'!J838*'1.1 Control Panel'!J$822</f>
        <v>100</v>
      </c>
      <c r="K41" s="530">
        <f>'1.1 Control Panel'!K838*'1.1 Control Panel'!K$822</f>
        <v>100</v>
      </c>
      <c r="L41" s="530">
        <f>'1.1 Control Panel'!L838*'1.1 Control Panel'!L$822</f>
        <v>100</v>
      </c>
      <c r="M41" s="530">
        <f>'1.1 Control Panel'!M838*'1.1 Control Panel'!M$822</f>
        <v>100</v>
      </c>
      <c r="N41" s="530">
        <f>'1.1 Control Panel'!N838*'1.1 Control Panel'!N$822</f>
        <v>100</v>
      </c>
      <c r="O41" s="530">
        <f>'1.1 Control Panel'!O838*'1.1 Control Panel'!O$822</f>
        <v>100</v>
      </c>
      <c r="P41" s="530">
        <f>'1.1 Control Panel'!P838*'1.1 Control Panel'!P$822</f>
        <v>100</v>
      </c>
      <c r="Q41" s="530">
        <f>'1.1 Control Panel'!Q838*'1.1 Control Panel'!Q$822</f>
        <v>100</v>
      </c>
      <c r="R41" s="530">
        <f>'1.1 Control Panel'!R838*'1.1 Control Panel'!R$822</f>
        <v>100</v>
      </c>
      <c r="S41" s="530">
        <f>'1.1 Control Panel'!S838*'1.1 Control Panel'!S$822</f>
        <v>100</v>
      </c>
      <c r="T41" s="530">
        <f>'1.1 Control Panel'!T838*'1.1 Control Panel'!T$822</f>
        <v>100</v>
      </c>
      <c r="U41" s="530">
        <f>'1.1 Control Panel'!U838*'1.1 Control Panel'!U$822</f>
        <v>100</v>
      </c>
      <c r="V41" s="530">
        <f>'1.1 Control Panel'!V838*'1.1 Control Panel'!V$822</f>
        <v>100</v>
      </c>
      <c r="W41" s="530">
        <f>'1.1 Control Panel'!W838*'1.1 Control Panel'!W$822</f>
        <v>100</v>
      </c>
      <c r="X41" s="530">
        <f>'1.1 Control Panel'!X838*'1.1 Control Panel'!X$822</f>
        <v>100</v>
      </c>
      <c r="Y41" s="530">
        <f>'1.1 Control Panel'!Y838*'1.1 Control Panel'!Y$822</f>
        <v>100</v>
      </c>
      <c r="Z41" s="530">
        <f>'1.1 Control Panel'!Z838*'1.1 Control Panel'!Z$822</f>
        <v>100</v>
      </c>
      <c r="AA41" s="530">
        <f>'1.1 Control Panel'!AA838*'1.1 Control Panel'!AA$822</f>
        <v>100</v>
      </c>
      <c r="AB41" s="530">
        <f>'1.1 Control Panel'!AB838*'1.1 Control Panel'!AB$822</f>
        <v>100</v>
      </c>
      <c r="AC41" s="530">
        <f>'1.1 Control Panel'!AC838*'1.1 Control Panel'!AC$822</f>
        <v>100</v>
      </c>
      <c r="AD41" s="530">
        <f>'1.1 Control Panel'!AD838*'1.1 Control Panel'!AD$822</f>
        <v>100</v>
      </c>
      <c r="AE41" s="530">
        <f>'1.1 Control Panel'!AE838*'1.1 Control Panel'!AE$822</f>
        <v>100</v>
      </c>
      <c r="AF41" s="530">
        <f>'1.1 Control Panel'!AF838*'1.1 Control Panel'!AF$822</f>
        <v>100</v>
      </c>
      <c r="AG41" s="530">
        <f>'1.1 Control Panel'!AG838*'1.1 Control Panel'!AG$822</f>
        <v>100</v>
      </c>
      <c r="AH41" s="530">
        <f>'1.1 Control Panel'!AH838*'1.1 Control Panel'!AH$822</f>
        <v>100</v>
      </c>
      <c r="AI41" s="530">
        <f>'1.1 Control Panel'!AI838*'1.1 Control Panel'!AI$822</f>
        <v>100</v>
      </c>
      <c r="AJ41" s="530">
        <f>'1.1 Control Panel'!AJ838*'1.1 Control Panel'!AJ$822</f>
        <v>100</v>
      </c>
      <c r="AK41" s="530">
        <f>'1.1 Control Panel'!AK838*'1.1 Control Panel'!AK$822</f>
        <v>100</v>
      </c>
      <c r="AL41" s="530">
        <f>'1.1 Control Panel'!AL838*'1.1 Control Panel'!AL$822</f>
        <v>100</v>
      </c>
      <c r="AM41" s="530">
        <f>'1.1 Control Panel'!AM838*'1.1 Control Panel'!AM$822</f>
        <v>100</v>
      </c>
      <c r="AN41" s="530">
        <f>'1.1 Control Panel'!AN838*'1.1 Control Panel'!AN$822</f>
        <v>100</v>
      </c>
      <c r="AP41" s="22"/>
    </row>
    <row r="42" spans="2:42" ht="11.5" customHeight="1" x14ac:dyDescent="0.25">
      <c r="C42" s="22" t="s">
        <v>783</v>
      </c>
      <c r="D42" s="38" t="s">
        <v>46</v>
      </c>
      <c r="E42" s="530">
        <f>'1.1 Control Panel'!E839*'1.1 Control Panel'!E$823</f>
        <v>100</v>
      </c>
      <c r="F42" s="530">
        <f>'1.1 Control Panel'!F839*'1.1 Control Panel'!F$823</f>
        <v>100</v>
      </c>
      <c r="G42" s="530">
        <f>'1.1 Control Panel'!G839*'1.1 Control Panel'!G$823</f>
        <v>100</v>
      </c>
      <c r="H42" s="530">
        <f>'1.1 Control Panel'!H839*'1.1 Control Panel'!H$823</f>
        <v>100</v>
      </c>
      <c r="I42" s="530">
        <f>'1.1 Control Panel'!I839*'1.1 Control Panel'!I$823</f>
        <v>100</v>
      </c>
      <c r="J42" s="530">
        <f>'1.1 Control Panel'!J839*'1.1 Control Panel'!J$823</f>
        <v>100</v>
      </c>
      <c r="K42" s="530">
        <f>'1.1 Control Panel'!K839*'1.1 Control Panel'!K$823</f>
        <v>100</v>
      </c>
      <c r="L42" s="530">
        <f>'1.1 Control Panel'!L839*'1.1 Control Panel'!L$823</f>
        <v>100</v>
      </c>
      <c r="M42" s="530">
        <f>'1.1 Control Panel'!M839*'1.1 Control Panel'!M$823</f>
        <v>100</v>
      </c>
      <c r="N42" s="530">
        <f>'1.1 Control Panel'!N839*'1.1 Control Panel'!N$823</f>
        <v>100</v>
      </c>
      <c r="O42" s="530">
        <f>'1.1 Control Panel'!O839*'1.1 Control Panel'!O$823</f>
        <v>100</v>
      </c>
      <c r="P42" s="530">
        <f>'1.1 Control Panel'!P839*'1.1 Control Panel'!P$823</f>
        <v>100</v>
      </c>
      <c r="Q42" s="530">
        <f>'1.1 Control Panel'!Q839*'1.1 Control Panel'!Q$823</f>
        <v>100</v>
      </c>
      <c r="R42" s="530">
        <f>'1.1 Control Panel'!R839*'1.1 Control Panel'!R$823</f>
        <v>100</v>
      </c>
      <c r="S42" s="530">
        <f>'1.1 Control Panel'!S839*'1.1 Control Panel'!S$823</f>
        <v>100</v>
      </c>
      <c r="T42" s="530">
        <f>'1.1 Control Panel'!T839*'1.1 Control Panel'!T$823</f>
        <v>100</v>
      </c>
      <c r="U42" s="530">
        <f>'1.1 Control Panel'!U839*'1.1 Control Panel'!U$823</f>
        <v>100</v>
      </c>
      <c r="V42" s="530">
        <f>'1.1 Control Panel'!V839*'1.1 Control Panel'!V$823</f>
        <v>100</v>
      </c>
      <c r="W42" s="530">
        <f>'1.1 Control Panel'!W839*'1.1 Control Panel'!W$823</f>
        <v>100</v>
      </c>
      <c r="X42" s="530">
        <f>'1.1 Control Panel'!X839*'1.1 Control Panel'!X$823</f>
        <v>100</v>
      </c>
      <c r="Y42" s="530">
        <f>'1.1 Control Panel'!Y839*'1.1 Control Panel'!Y$823</f>
        <v>100</v>
      </c>
      <c r="Z42" s="530">
        <f>'1.1 Control Panel'!Z839*'1.1 Control Panel'!Z$823</f>
        <v>100</v>
      </c>
      <c r="AA42" s="530">
        <f>'1.1 Control Panel'!AA839*'1.1 Control Panel'!AA$823</f>
        <v>100</v>
      </c>
      <c r="AB42" s="530">
        <f>'1.1 Control Panel'!AB839*'1.1 Control Panel'!AB$823</f>
        <v>100</v>
      </c>
      <c r="AC42" s="530">
        <f>'1.1 Control Panel'!AC839*'1.1 Control Panel'!AC$823</f>
        <v>100</v>
      </c>
      <c r="AD42" s="530">
        <f>'1.1 Control Panel'!AD839*'1.1 Control Panel'!AD$823</f>
        <v>100</v>
      </c>
      <c r="AE42" s="530">
        <f>'1.1 Control Panel'!AE839*'1.1 Control Panel'!AE$823</f>
        <v>100</v>
      </c>
      <c r="AF42" s="530">
        <f>'1.1 Control Panel'!AF839*'1.1 Control Panel'!AF$823</f>
        <v>100</v>
      </c>
      <c r="AG42" s="530">
        <f>'1.1 Control Panel'!AG839*'1.1 Control Panel'!AG$823</f>
        <v>100</v>
      </c>
      <c r="AH42" s="530">
        <f>'1.1 Control Panel'!AH839*'1.1 Control Panel'!AH$823</f>
        <v>100</v>
      </c>
      <c r="AI42" s="530">
        <f>'1.1 Control Panel'!AI839*'1.1 Control Panel'!AI$823</f>
        <v>100</v>
      </c>
      <c r="AJ42" s="530">
        <f>'1.1 Control Panel'!AJ839*'1.1 Control Panel'!AJ$823</f>
        <v>100</v>
      </c>
      <c r="AK42" s="530">
        <f>'1.1 Control Panel'!AK839*'1.1 Control Panel'!AK$823</f>
        <v>100</v>
      </c>
      <c r="AL42" s="530">
        <f>'1.1 Control Panel'!AL839*'1.1 Control Panel'!AL$823</f>
        <v>100</v>
      </c>
      <c r="AM42" s="530">
        <f>'1.1 Control Panel'!AM839*'1.1 Control Panel'!AM$823</f>
        <v>100</v>
      </c>
      <c r="AN42" s="530">
        <f>'1.1 Control Panel'!AN839*'1.1 Control Panel'!AN$823</f>
        <v>100</v>
      </c>
      <c r="AP42" s="22"/>
    </row>
    <row r="43" spans="2:42" ht="11.5" customHeight="1" x14ac:dyDescent="0.25">
      <c r="B43" s="19" t="s">
        <v>10</v>
      </c>
      <c r="C43" s="17" t="s">
        <v>761</v>
      </c>
      <c r="D43" s="526" t="s">
        <v>46</v>
      </c>
      <c r="E43" s="533">
        <f t="shared" ref="E43:AN43" si="37">SUM(E44:E50)</f>
        <v>700</v>
      </c>
      <c r="F43" s="533">
        <f t="shared" si="37"/>
        <v>700</v>
      </c>
      <c r="G43" s="533">
        <f t="shared" si="37"/>
        <v>700</v>
      </c>
      <c r="H43" s="533">
        <f t="shared" si="37"/>
        <v>700</v>
      </c>
      <c r="I43" s="533">
        <f t="shared" si="37"/>
        <v>700</v>
      </c>
      <c r="J43" s="533">
        <f t="shared" si="37"/>
        <v>700</v>
      </c>
      <c r="K43" s="533">
        <f t="shared" si="37"/>
        <v>700</v>
      </c>
      <c r="L43" s="533">
        <f t="shared" si="37"/>
        <v>700</v>
      </c>
      <c r="M43" s="533">
        <f t="shared" si="37"/>
        <v>700</v>
      </c>
      <c r="N43" s="533">
        <f t="shared" si="37"/>
        <v>700</v>
      </c>
      <c r="O43" s="533">
        <f t="shared" si="37"/>
        <v>700</v>
      </c>
      <c r="P43" s="533">
        <f t="shared" si="37"/>
        <v>700</v>
      </c>
      <c r="Q43" s="533">
        <f t="shared" si="37"/>
        <v>700</v>
      </c>
      <c r="R43" s="533">
        <f t="shared" si="37"/>
        <v>700</v>
      </c>
      <c r="S43" s="533">
        <f t="shared" si="37"/>
        <v>700</v>
      </c>
      <c r="T43" s="533">
        <f t="shared" si="37"/>
        <v>700</v>
      </c>
      <c r="U43" s="533">
        <f t="shared" si="37"/>
        <v>700</v>
      </c>
      <c r="V43" s="533">
        <f t="shared" si="37"/>
        <v>700</v>
      </c>
      <c r="W43" s="533">
        <f t="shared" si="37"/>
        <v>700</v>
      </c>
      <c r="X43" s="533">
        <f t="shared" si="37"/>
        <v>700</v>
      </c>
      <c r="Y43" s="533">
        <f t="shared" si="37"/>
        <v>700</v>
      </c>
      <c r="Z43" s="533">
        <f t="shared" si="37"/>
        <v>700</v>
      </c>
      <c r="AA43" s="533">
        <f t="shared" si="37"/>
        <v>700</v>
      </c>
      <c r="AB43" s="533">
        <f t="shared" si="37"/>
        <v>700</v>
      </c>
      <c r="AC43" s="533">
        <f t="shared" si="37"/>
        <v>700</v>
      </c>
      <c r="AD43" s="533">
        <f t="shared" si="37"/>
        <v>700</v>
      </c>
      <c r="AE43" s="533">
        <f t="shared" si="37"/>
        <v>700</v>
      </c>
      <c r="AF43" s="533">
        <f t="shared" si="37"/>
        <v>700</v>
      </c>
      <c r="AG43" s="533">
        <f t="shared" si="37"/>
        <v>700</v>
      </c>
      <c r="AH43" s="533">
        <f t="shared" si="37"/>
        <v>700</v>
      </c>
      <c r="AI43" s="533">
        <f t="shared" si="37"/>
        <v>700</v>
      </c>
      <c r="AJ43" s="533">
        <f t="shared" si="37"/>
        <v>700</v>
      </c>
      <c r="AK43" s="533">
        <f t="shared" si="37"/>
        <v>700</v>
      </c>
      <c r="AL43" s="533">
        <f t="shared" si="37"/>
        <v>700</v>
      </c>
      <c r="AM43" s="533">
        <f t="shared" si="37"/>
        <v>700</v>
      </c>
      <c r="AN43" s="533">
        <f t="shared" si="37"/>
        <v>700</v>
      </c>
      <c r="AO43" s="16"/>
      <c r="AP43" s="17"/>
    </row>
    <row r="44" spans="2:42" ht="11.5" customHeight="1" x14ac:dyDescent="0.25">
      <c r="C44" s="20" t="s">
        <v>778</v>
      </c>
      <c r="D44" s="34" t="s">
        <v>46</v>
      </c>
      <c r="E44" s="28">
        <f>'1.1 Control Panel'!E841*'1.1 Control Panel'!E$817</f>
        <v>100</v>
      </c>
      <c r="F44" s="28">
        <f>'1.1 Control Panel'!F841*'1.1 Control Panel'!F$817</f>
        <v>100</v>
      </c>
      <c r="G44" s="28">
        <f>'1.1 Control Panel'!G841*'1.1 Control Panel'!G$817</f>
        <v>100</v>
      </c>
      <c r="H44" s="28">
        <f>'1.1 Control Panel'!H841*'1.1 Control Panel'!H$817</f>
        <v>100</v>
      </c>
      <c r="I44" s="28">
        <f>'1.1 Control Panel'!I841*'1.1 Control Panel'!I$817</f>
        <v>100</v>
      </c>
      <c r="J44" s="28">
        <f>'1.1 Control Panel'!J841*'1.1 Control Panel'!J$817</f>
        <v>100</v>
      </c>
      <c r="K44" s="28">
        <f>'1.1 Control Panel'!K841*'1.1 Control Panel'!K$817</f>
        <v>100</v>
      </c>
      <c r="L44" s="28">
        <f>'1.1 Control Panel'!L841*'1.1 Control Panel'!L$817</f>
        <v>100</v>
      </c>
      <c r="M44" s="28">
        <f>'1.1 Control Panel'!M841*'1.1 Control Panel'!M$817</f>
        <v>100</v>
      </c>
      <c r="N44" s="28">
        <f>'1.1 Control Panel'!N841*'1.1 Control Panel'!N$817</f>
        <v>100</v>
      </c>
      <c r="O44" s="28">
        <f>'1.1 Control Panel'!O841*'1.1 Control Panel'!O$817</f>
        <v>100</v>
      </c>
      <c r="P44" s="28">
        <f>'1.1 Control Panel'!P841*'1.1 Control Panel'!P$817</f>
        <v>100</v>
      </c>
      <c r="Q44" s="28">
        <f>'1.1 Control Panel'!Q841*'1.1 Control Panel'!Q$817</f>
        <v>100</v>
      </c>
      <c r="R44" s="28">
        <f>'1.1 Control Panel'!R841*'1.1 Control Panel'!R$817</f>
        <v>100</v>
      </c>
      <c r="S44" s="28">
        <f>'1.1 Control Panel'!S841*'1.1 Control Panel'!S$817</f>
        <v>100</v>
      </c>
      <c r="T44" s="28">
        <f>'1.1 Control Panel'!T841*'1.1 Control Panel'!T$817</f>
        <v>100</v>
      </c>
      <c r="U44" s="28">
        <f>'1.1 Control Panel'!U841*'1.1 Control Panel'!U$817</f>
        <v>100</v>
      </c>
      <c r="V44" s="28">
        <f>'1.1 Control Panel'!V841*'1.1 Control Panel'!V$817</f>
        <v>100</v>
      </c>
      <c r="W44" s="28">
        <f>'1.1 Control Panel'!W841*'1.1 Control Panel'!W$817</f>
        <v>100</v>
      </c>
      <c r="X44" s="28">
        <f>'1.1 Control Panel'!X841*'1.1 Control Panel'!X$817</f>
        <v>100</v>
      </c>
      <c r="Y44" s="28">
        <f>'1.1 Control Panel'!Y841*'1.1 Control Panel'!Y$817</f>
        <v>100</v>
      </c>
      <c r="Z44" s="28">
        <f>'1.1 Control Panel'!Z841*'1.1 Control Panel'!Z$817</f>
        <v>100</v>
      </c>
      <c r="AA44" s="28">
        <f>'1.1 Control Panel'!AA841*'1.1 Control Panel'!AA$817</f>
        <v>100</v>
      </c>
      <c r="AB44" s="28">
        <f>'1.1 Control Panel'!AB841*'1.1 Control Panel'!AB$817</f>
        <v>100</v>
      </c>
      <c r="AC44" s="28">
        <f>'1.1 Control Panel'!AC841*'1.1 Control Panel'!AC$817</f>
        <v>100</v>
      </c>
      <c r="AD44" s="28">
        <f>'1.1 Control Panel'!AD841*'1.1 Control Panel'!AD$817</f>
        <v>100</v>
      </c>
      <c r="AE44" s="28">
        <f>'1.1 Control Panel'!AE841*'1.1 Control Panel'!AE$817</f>
        <v>100</v>
      </c>
      <c r="AF44" s="28">
        <f>'1.1 Control Panel'!AF841*'1.1 Control Panel'!AF$817</f>
        <v>100</v>
      </c>
      <c r="AG44" s="28">
        <f>'1.1 Control Panel'!AG841*'1.1 Control Panel'!AG$817</f>
        <v>100</v>
      </c>
      <c r="AH44" s="28">
        <f>'1.1 Control Panel'!AH841*'1.1 Control Panel'!AH$817</f>
        <v>100</v>
      </c>
      <c r="AI44" s="28">
        <f>'1.1 Control Panel'!AI841*'1.1 Control Panel'!AI$817</f>
        <v>100</v>
      </c>
      <c r="AJ44" s="28">
        <f>'1.1 Control Panel'!AJ841*'1.1 Control Panel'!AJ$817</f>
        <v>100</v>
      </c>
      <c r="AK44" s="28">
        <f>'1.1 Control Panel'!AK841*'1.1 Control Panel'!AK$817</f>
        <v>100</v>
      </c>
      <c r="AL44" s="28">
        <f>'1.1 Control Panel'!AL841*'1.1 Control Panel'!AL$817</f>
        <v>100</v>
      </c>
      <c r="AM44" s="28">
        <f>'1.1 Control Panel'!AM841*'1.1 Control Panel'!AM$817</f>
        <v>100</v>
      </c>
      <c r="AN44" s="28">
        <f>'1.1 Control Panel'!AN841*'1.1 Control Panel'!AN$817</f>
        <v>100</v>
      </c>
      <c r="AP44" s="20"/>
    </row>
    <row r="45" spans="2:42" ht="11.5" customHeight="1" x14ac:dyDescent="0.25">
      <c r="C45" s="21" t="s">
        <v>784</v>
      </c>
      <c r="D45" s="38" t="s">
        <v>46</v>
      </c>
      <c r="E45" s="376">
        <f>'1.1 Control Panel'!E842*'1.1 Control Panel'!E$818</f>
        <v>100</v>
      </c>
      <c r="F45" s="376">
        <f>'1.1 Control Panel'!F842*'1.1 Control Panel'!F$818</f>
        <v>100</v>
      </c>
      <c r="G45" s="376">
        <f>'1.1 Control Panel'!G842*'1.1 Control Panel'!G$818</f>
        <v>100</v>
      </c>
      <c r="H45" s="376">
        <f>'1.1 Control Panel'!H842*'1.1 Control Panel'!H$818</f>
        <v>100</v>
      </c>
      <c r="I45" s="376">
        <f>'1.1 Control Panel'!I842*'1.1 Control Panel'!I$818</f>
        <v>100</v>
      </c>
      <c r="J45" s="376">
        <f>'1.1 Control Panel'!J842*'1.1 Control Panel'!J$818</f>
        <v>100</v>
      </c>
      <c r="K45" s="376">
        <f>'1.1 Control Panel'!K842*'1.1 Control Panel'!K$818</f>
        <v>100</v>
      </c>
      <c r="L45" s="376">
        <f>'1.1 Control Panel'!L842*'1.1 Control Panel'!L$818</f>
        <v>100</v>
      </c>
      <c r="M45" s="376">
        <f>'1.1 Control Panel'!M842*'1.1 Control Panel'!M$818</f>
        <v>100</v>
      </c>
      <c r="N45" s="376">
        <f>'1.1 Control Panel'!N842*'1.1 Control Panel'!N$818</f>
        <v>100</v>
      </c>
      <c r="O45" s="376">
        <f>'1.1 Control Panel'!O842*'1.1 Control Panel'!O$818</f>
        <v>100</v>
      </c>
      <c r="P45" s="376">
        <f>'1.1 Control Panel'!P842*'1.1 Control Panel'!P$818</f>
        <v>100</v>
      </c>
      <c r="Q45" s="376">
        <f>'1.1 Control Panel'!Q842*'1.1 Control Panel'!Q$818</f>
        <v>100</v>
      </c>
      <c r="R45" s="376">
        <f>'1.1 Control Panel'!R842*'1.1 Control Panel'!R$818</f>
        <v>100</v>
      </c>
      <c r="S45" s="376">
        <f>'1.1 Control Panel'!S842*'1.1 Control Panel'!S$818</f>
        <v>100</v>
      </c>
      <c r="T45" s="376">
        <f>'1.1 Control Panel'!T842*'1.1 Control Panel'!T$818</f>
        <v>100</v>
      </c>
      <c r="U45" s="376">
        <f>'1.1 Control Panel'!U842*'1.1 Control Panel'!U$818</f>
        <v>100</v>
      </c>
      <c r="V45" s="376">
        <f>'1.1 Control Panel'!V842*'1.1 Control Panel'!V$818</f>
        <v>100</v>
      </c>
      <c r="W45" s="376">
        <f>'1.1 Control Panel'!W842*'1.1 Control Panel'!W$818</f>
        <v>100</v>
      </c>
      <c r="X45" s="376">
        <f>'1.1 Control Panel'!X842*'1.1 Control Panel'!X$818</f>
        <v>100</v>
      </c>
      <c r="Y45" s="376">
        <f>'1.1 Control Panel'!Y842*'1.1 Control Panel'!Y$818</f>
        <v>100</v>
      </c>
      <c r="Z45" s="376">
        <f>'1.1 Control Panel'!Z842*'1.1 Control Panel'!Z$818</f>
        <v>100</v>
      </c>
      <c r="AA45" s="376">
        <f>'1.1 Control Panel'!AA842*'1.1 Control Panel'!AA$818</f>
        <v>100</v>
      </c>
      <c r="AB45" s="376">
        <f>'1.1 Control Panel'!AB842*'1.1 Control Panel'!AB$818</f>
        <v>100</v>
      </c>
      <c r="AC45" s="376">
        <f>'1.1 Control Panel'!AC842*'1.1 Control Panel'!AC$818</f>
        <v>100</v>
      </c>
      <c r="AD45" s="376">
        <f>'1.1 Control Panel'!AD842*'1.1 Control Panel'!AD$818</f>
        <v>100</v>
      </c>
      <c r="AE45" s="376">
        <f>'1.1 Control Panel'!AE842*'1.1 Control Panel'!AE$818</f>
        <v>100</v>
      </c>
      <c r="AF45" s="376">
        <f>'1.1 Control Panel'!AF842*'1.1 Control Panel'!AF$818</f>
        <v>100</v>
      </c>
      <c r="AG45" s="376">
        <f>'1.1 Control Panel'!AG842*'1.1 Control Panel'!AG$818</f>
        <v>100</v>
      </c>
      <c r="AH45" s="376">
        <f>'1.1 Control Panel'!AH842*'1.1 Control Panel'!AH$818</f>
        <v>100</v>
      </c>
      <c r="AI45" s="376">
        <f>'1.1 Control Panel'!AI842*'1.1 Control Panel'!AI$818</f>
        <v>100</v>
      </c>
      <c r="AJ45" s="376">
        <f>'1.1 Control Panel'!AJ842*'1.1 Control Panel'!AJ$818</f>
        <v>100</v>
      </c>
      <c r="AK45" s="376">
        <f>'1.1 Control Panel'!AK842*'1.1 Control Panel'!AK$818</f>
        <v>100</v>
      </c>
      <c r="AL45" s="376">
        <f>'1.1 Control Panel'!AL842*'1.1 Control Panel'!AL$818</f>
        <v>100</v>
      </c>
      <c r="AM45" s="376">
        <f>'1.1 Control Panel'!AM842*'1.1 Control Panel'!AM$818</f>
        <v>100</v>
      </c>
      <c r="AN45" s="376">
        <f>'1.1 Control Panel'!AN842*'1.1 Control Panel'!AN$818</f>
        <v>100</v>
      </c>
      <c r="AP45" s="21"/>
    </row>
    <row r="46" spans="2:42" ht="11.5" customHeight="1" x14ac:dyDescent="0.25">
      <c r="C46" s="22" t="s">
        <v>785</v>
      </c>
      <c r="D46" s="38" t="s">
        <v>46</v>
      </c>
      <c r="E46" s="530">
        <f>'1.1 Control Panel'!E843*'1.1 Control Panel'!E$819</f>
        <v>100</v>
      </c>
      <c r="F46" s="530">
        <f>'1.1 Control Panel'!F843*'1.1 Control Panel'!F$819</f>
        <v>100</v>
      </c>
      <c r="G46" s="530">
        <f>'1.1 Control Panel'!G843*'1.1 Control Panel'!G$819</f>
        <v>100</v>
      </c>
      <c r="H46" s="530">
        <f>'1.1 Control Panel'!H843*'1.1 Control Panel'!H$819</f>
        <v>100</v>
      </c>
      <c r="I46" s="530">
        <f>'1.1 Control Panel'!I843*'1.1 Control Panel'!I$819</f>
        <v>100</v>
      </c>
      <c r="J46" s="530">
        <f>'1.1 Control Panel'!J843*'1.1 Control Panel'!J$819</f>
        <v>100</v>
      </c>
      <c r="K46" s="530">
        <f>'1.1 Control Panel'!K843*'1.1 Control Panel'!K$819</f>
        <v>100</v>
      </c>
      <c r="L46" s="530">
        <f>'1.1 Control Panel'!L843*'1.1 Control Panel'!L$819</f>
        <v>100</v>
      </c>
      <c r="M46" s="530">
        <f>'1.1 Control Panel'!M843*'1.1 Control Panel'!M$819</f>
        <v>100</v>
      </c>
      <c r="N46" s="530">
        <f>'1.1 Control Panel'!N843*'1.1 Control Panel'!N$819</f>
        <v>100</v>
      </c>
      <c r="O46" s="530">
        <f>'1.1 Control Panel'!O843*'1.1 Control Panel'!O$819</f>
        <v>100</v>
      </c>
      <c r="P46" s="530">
        <f>'1.1 Control Panel'!P843*'1.1 Control Panel'!P$819</f>
        <v>100</v>
      </c>
      <c r="Q46" s="530">
        <f>'1.1 Control Panel'!Q843*'1.1 Control Panel'!Q$819</f>
        <v>100</v>
      </c>
      <c r="R46" s="530">
        <f>'1.1 Control Panel'!R843*'1.1 Control Panel'!R$819</f>
        <v>100</v>
      </c>
      <c r="S46" s="530">
        <f>'1.1 Control Panel'!S843*'1.1 Control Panel'!S$819</f>
        <v>100</v>
      </c>
      <c r="T46" s="530">
        <f>'1.1 Control Panel'!T843*'1.1 Control Panel'!T$819</f>
        <v>100</v>
      </c>
      <c r="U46" s="530">
        <f>'1.1 Control Panel'!U843*'1.1 Control Panel'!U$819</f>
        <v>100</v>
      </c>
      <c r="V46" s="530">
        <f>'1.1 Control Panel'!V843*'1.1 Control Panel'!V$819</f>
        <v>100</v>
      </c>
      <c r="W46" s="530">
        <f>'1.1 Control Panel'!W843*'1.1 Control Panel'!W$819</f>
        <v>100</v>
      </c>
      <c r="X46" s="530">
        <f>'1.1 Control Panel'!X843*'1.1 Control Panel'!X$819</f>
        <v>100</v>
      </c>
      <c r="Y46" s="530">
        <f>'1.1 Control Panel'!Y843*'1.1 Control Panel'!Y$819</f>
        <v>100</v>
      </c>
      <c r="Z46" s="530">
        <f>'1.1 Control Panel'!Z843*'1.1 Control Panel'!Z$819</f>
        <v>100</v>
      </c>
      <c r="AA46" s="530">
        <f>'1.1 Control Panel'!AA843*'1.1 Control Panel'!AA$819</f>
        <v>100</v>
      </c>
      <c r="AB46" s="530">
        <f>'1.1 Control Panel'!AB843*'1.1 Control Panel'!AB$819</f>
        <v>100</v>
      </c>
      <c r="AC46" s="530">
        <f>'1.1 Control Panel'!AC843*'1.1 Control Panel'!AC$819</f>
        <v>100</v>
      </c>
      <c r="AD46" s="530">
        <f>'1.1 Control Panel'!AD843*'1.1 Control Panel'!AD$819</f>
        <v>100</v>
      </c>
      <c r="AE46" s="530">
        <f>'1.1 Control Panel'!AE843*'1.1 Control Panel'!AE$819</f>
        <v>100</v>
      </c>
      <c r="AF46" s="530">
        <f>'1.1 Control Panel'!AF843*'1.1 Control Panel'!AF$819</f>
        <v>100</v>
      </c>
      <c r="AG46" s="530">
        <f>'1.1 Control Panel'!AG843*'1.1 Control Panel'!AG$819</f>
        <v>100</v>
      </c>
      <c r="AH46" s="530">
        <f>'1.1 Control Panel'!AH843*'1.1 Control Panel'!AH$819</f>
        <v>100</v>
      </c>
      <c r="AI46" s="530">
        <f>'1.1 Control Panel'!AI843*'1.1 Control Panel'!AI$819</f>
        <v>100</v>
      </c>
      <c r="AJ46" s="530">
        <f>'1.1 Control Panel'!AJ843*'1.1 Control Panel'!AJ$819</f>
        <v>100</v>
      </c>
      <c r="AK46" s="530">
        <f>'1.1 Control Panel'!AK843*'1.1 Control Panel'!AK$819</f>
        <v>100</v>
      </c>
      <c r="AL46" s="530">
        <f>'1.1 Control Panel'!AL843*'1.1 Control Panel'!AL$819</f>
        <v>100</v>
      </c>
      <c r="AM46" s="530">
        <f>'1.1 Control Panel'!AM843*'1.1 Control Panel'!AM$819</f>
        <v>100</v>
      </c>
      <c r="AN46" s="530">
        <f>'1.1 Control Panel'!AN843*'1.1 Control Panel'!AN$819</f>
        <v>100</v>
      </c>
      <c r="AP46" s="22"/>
    </row>
    <row r="47" spans="2:42" ht="11.5" customHeight="1" x14ac:dyDescent="0.25">
      <c r="C47" s="22" t="s">
        <v>779</v>
      </c>
      <c r="D47" s="38" t="s">
        <v>46</v>
      </c>
      <c r="E47" s="530">
        <f>'1.1 Control Panel'!E844*'1.1 Control Panel'!E$820</f>
        <v>100</v>
      </c>
      <c r="F47" s="530">
        <f>'1.1 Control Panel'!F844*'1.1 Control Panel'!F$820</f>
        <v>100</v>
      </c>
      <c r="G47" s="530">
        <f>'1.1 Control Panel'!G844*'1.1 Control Panel'!G$820</f>
        <v>100</v>
      </c>
      <c r="H47" s="530">
        <f>'1.1 Control Panel'!H844*'1.1 Control Panel'!H$820</f>
        <v>100</v>
      </c>
      <c r="I47" s="530">
        <f>'1.1 Control Panel'!I844*'1.1 Control Panel'!I$820</f>
        <v>100</v>
      </c>
      <c r="J47" s="530">
        <f>'1.1 Control Panel'!J844*'1.1 Control Panel'!J$820</f>
        <v>100</v>
      </c>
      <c r="K47" s="530">
        <f>'1.1 Control Panel'!K844*'1.1 Control Panel'!K$820</f>
        <v>100</v>
      </c>
      <c r="L47" s="530">
        <f>'1.1 Control Panel'!L844*'1.1 Control Panel'!L$820</f>
        <v>100</v>
      </c>
      <c r="M47" s="530">
        <f>'1.1 Control Panel'!M844*'1.1 Control Panel'!M$820</f>
        <v>100</v>
      </c>
      <c r="N47" s="530">
        <f>'1.1 Control Panel'!N844*'1.1 Control Panel'!N$820</f>
        <v>100</v>
      </c>
      <c r="O47" s="530">
        <f>'1.1 Control Panel'!O844*'1.1 Control Panel'!O$820</f>
        <v>100</v>
      </c>
      <c r="P47" s="530">
        <f>'1.1 Control Panel'!P844*'1.1 Control Panel'!P$820</f>
        <v>100</v>
      </c>
      <c r="Q47" s="530">
        <f>'1.1 Control Panel'!Q844*'1.1 Control Panel'!Q$820</f>
        <v>100</v>
      </c>
      <c r="R47" s="530">
        <f>'1.1 Control Panel'!R844*'1.1 Control Panel'!R$820</f>
        <v>100</v>
      </c>
      <c r="S47" s="530">
        <f>'1.1 Control Panel'!S844*'1.1 Control Panel'!S$820</f>
        <v>100</v>
      </c>
      <c r="T47" s="530">
        <f>'1.1 Control Panel'!T844*'1.1 Control Panel'!T$820</f>
        <v>100</v>
      </c>
      <c r="U47" s="530">
        <f>'1.1 Control Panel'!U844*'1.1 Control Panel'!U$820</f>
        <v>100</v>
      </c>
      <c r="V47" s="530">
        <f>'1.1 Control Panel'!V844*'1.1 Control Panel'!V$820</f>
        <v>100</v>
      </c>
      <c r="W47" s="530">
        <f>'1.1 Control Panel'!W844*'1.1 Control Panel'!W$820</f>
        <v>100</v>
      </c>
      <c r="X47" s="530">
        <f>'1.1 Control Panel'!X844*'1.1 Control Panel'!X$820</f>
        <v>100</v>
      </c>
      <c r="Y47" s="530">
        <f>'1.1 Control Panel'!Y844*'1.1 Control Panel'!Y$820</f>
        <v>100</v>
      </c>
      <c r="Z47" s="530">
        <f>'1.1 Control Panel'!Z844*'1.1 Control Panel'!Z$820</f>
        <v>100</v>
      </c>
      <c r="AA47" s="530">
        <f>'1.1 Control Panel'!AA844*'1.1 Control Panel'!AA$820</f>
        <v>100</v>
      </c>
      <c r="AB47" s="530">
        <f>'1.1 Control Panel'!AB844*'1.1 Control Panel'!AB$820</f>
        <v>100</v>
      </c>
      <c r="AC47" s="530">
        <f>'1.1 Control Panel'!AC844*'1.1 Control Panel'!AC$820</f>
        <v>100</v>
      </c>
      <c r="AD47" s="530">
        <f>'1.1 Control Panel'!AD844*'1.1 Control Panel'!AD$820</f>
        <v>100</v>
      </c>
      <c r="AE47" s="530">
        <f>'1.1 Control Panel'!AE844*'1.1 Control Panel'!AE$820</f>
        <v>100</v>
      </c>
      <c r="AF47" s="530">
        <f>'1.1 Control Panel'!AF844*'1.1 Control Panel'!AF$820</f>
        <v>100</v>
      </c>
      <c r="AG47" s="530">
        <f>'1.1 Control Panel'!AG844*'1.1 Control Panel'!AG$820</f>
        <v>100</v>
      </c>
      <c r="AH47" s="530">
        <f>'1.1 Control Panel'!AH844*'1.1 Control Panel'!AH$820</f>
        <v>100</v>
      </c>
      <c r="AI47" s="530">
        <f>'1.1 Control Panel'!AI844*'1.1 Control Panel'!AI$820</f>
        <v>100</v>
      </c>
      <c r="AJ47" s="530">
        <f>'1.1 Control Panel'!AJ844*'1.1 Control Panel'!AJ$820</f>
        <v>100</v>
      </c>
      <c r="AK47" s="530">
        <f>'1.1 Control Panel'!AK844*'1.1 Control Panel'!AK$820</f>
        <v>100</v>
      </c>
      <c r="AL47" s="530">
        <f>'1.1 Control Panel'!AL844*'1.1 Control Panel'!AL$820</f>
        <v>100</v>
      </c>
      <c r="AM47" s="530">
        <f>'1.1 Control Panel'!AM844*'1.1 Control Panel'!AM$820</f>
        <v>100</v>
      </c>
      <c r="AN47" s="530">
        <f>'1.1 Control Panel'!AN844*'1.1 Control Panel'!AN$820</f>
        <v>100</v>
      </c>
      <c r="AP47" s="22"/>
    </row>
    <row r="48" spans="2:42" ht="11.5" customHeight="1" x14ac:dyDescent="0.25">
      <c r="C48" s="22" t="s">
        <v>780</v>
      </c>
      <c r="D48" s="38" t="s">
        <v>46</v>
      </c>
      <c r="E48" s="530">
        <f>'1.1 Control Panel'!E845*'1.1 Control Panel'!E$821</f>
        <v>100</v>
      </c>
      <c r="F48" s="530">
        <f>'1.1 Control Panel'!F845*'1.1 Control Panel'!F$821</f>
        <v>100</v>
      </c>
      <c r="G48" s="530">
        <f>'1.1 Control Panel'!G845*'1.1 Control Panel'!G$821</f>
        <v>100</v>
      </c>
      <c r="H48" s="530">
        <f>'1.1 Control Panel'!H845*'1.1 Control Panel'!H$821</f>
        <v>100</v>
      </c>
      <c r="I48" s="530">
        <f>'1.1 Control Panel'!I845*'1.1 Control Panel'!I$821</f>
        <v>100</v>
      </c>
      <c r="J48" s="530">
        <f>'1.1 Control Panel'!J845*'1.1 Control Panel'!J$821</f>
        <v>100</v>
      </c>
      <c r="K48" s="530">
        <f>'1.1 Control Panel'!K845*'1.1 Control Panel'!K$821</f>
        <v>100</v>
      </c>
      <c r="L48" s="530">
        <f>'1.1 Control Panel'!L845*'1.1 Control Panel'!L$821</f>
        <v>100</v>
      </c>
      <c r="M48" s="530">
        <f>'1.1 Control Panel'!M845*'1.1 Control Panel'!M$821</f>
        <v>100</v>
      </c>
      <c r="N48" s="530">
        <f>'1.1 Control Panel'!N845*'1.1 Control Panel'!N$821</f>
        <v>100</v>
      </c>
      <c r="O48" s="530">
        <f>'1.1 Control Panel'!O845*'1.1 Control Panel'!O$821</f>
        <v>100</v>
      </c>
      <c r="P48" s="530">
        <f>'1.1 Control Panel'!P845*'1.1 Control Panel'!P$821</f>
        <v>100</v>
      </c>
      <c r="Q48" s="530">
        <f>'1.1 Control Panel'!Q845*'1.1 Control Panel'!Q$821</f>
        <v>100</v>
      </c>
      <c r="R48" s="530">
        <f>'1.1 Control Panel'!R845*'1.1 Control Panel'!R$821</f>
        <v>100</v>
      </c>
      <c r="S48" s="530">
        <f>'1.1 Control Panel'!S845*'1.1 Control Panel'!S$821</f>
        <v>100</v>
      </c>
      <c r="T48" s="530">
        <f>'1.1 Control Panel'!T845*'1.1 Control Panel'!T$821</f>
        <v>100</v>
      </c>
      <c r="U48" s="530">
        <f>'1.1 Control Panel'!U845*'1.1 Control Panel'!U$821</f>
        <v>100</v>
      </c>
      <c r="V48" s="530">
        <f>'1.1 Control Panel'!V845*'1.1 Control Panel'!V$821</f>
        <v>100</v>
      </c>
      <c r="W48" s="530">
        <f>'1.1 Control Panel'!W845*'1.1 Control Panel'!W$821</f>
        <v>100</v>
      </c>
      <c r="X48" s="530">
        <f>'1.1 Control Panel'!X845*'1.1 Control Panel'!X$821</f>
        <v>100</v>
      </c>
      <c r="Y48" s="530">
        <f>'1.1 Control Panel'!Y845*'1.1 Control Panel'!Y$821</f>
        <v>100</v>
      </c>
      <c r="Z48" s="530">
        <f>'1.1 Control Panel'!Z845*'1.1 Control Panel'!Z$821</f>
        <v>100</v>
      </c>
      <c r="AA48" s="530">
        <f>'1.1 Control Panel'!AA845*'1.1 Control Panel'!AA$821</f>
        <v>100</v>
      </c>
      <c r="AB48" s="530">
        <f>'1.1 Control Panel'!AB845*'1.1 Control Panel'!AB$821</f>
        <v>100</v>
      </c>
      <c r="AC48" s="530">
        <f>'1.1 Control Panel'!AC845*'1.1 Control Panel'!AC$821</f>
        <v>100</v>
      </c>
      <c r="AD48" s="530">
        <f>'1.1 Control Panel'!AD845*'1.1 Control Panel'!AD$821</f>
        <v>100</v>
      </c>
      <c r="AE48" s="530">
        <f>'1.1 Control Panel'!AE845*'1.1 Control Panel'!AE$821</f>
        <v>100</v>
      </c>
      <c r="AF48" s="530">
        <f>'1.1 Control Panel'!AF845*'1.1 Control Panel'!AF$821</f>
        <v>100</v>
      </c>
      <c r="AG48" s="530">
        <f>'1.1 Control Panel'!AG845*'1.1 Control Panel'!AG$821</f>
        <v>100</v>
      </c>
      <c r="AH48" s="530">
        <f>'1.1 Control Panel'!AH845*'1.1 Control Panel'!AH$821</f>
        <v>100</v>
      </c>
      <c r="AI48" s="530">
        <f>'1.1 Control Panel'!AI845*'1.1 Control Panel'!AI$821</f>
        <v>100</v>
      </c>
      <c r="AJ48" s="530">
        <f>'1.1 Control Panel'!AJ845*'1.1 Control Panel'!AJ$821</f>
        <v>100</v>
      </c>
      <c r="AK48" s="530">
        <f>'1.1 Control Panel'!AK845*'1.1 Control Panel'!AK$821</f>
        <v>100</v>
      </c>
      <c r="AL48" s="530">
        <f>'1.1 Control Panel'!AL845*'1.1 Control Panel'!AL$821</f>
        <v>100</v>
      </c>
      <c r="AM48" s="530">
        <f>'1.1 Control Panel'!AM845*'1.1 Control Panel'!AM$821</f>
        <v>100</v>
      </c>
      <c r="AN48" s="530">
        <f>'1.1 Control Panel'!AN845*'1.1 Control Panel'!AN$821</f>
        <v>100</v>
      </c>
      <c r="AP48" s="22"/>
    </row>
    <row r="49" spans="2:42" ht="11.5" customHeight="1" x14ac:dyDescent="0.25">
      <c r="C49" s="22" t="s">
        <v>786</v>
      </c>
      <c r="D49" s="38" t="s">
        <v>46</v>
      </c>
      <c r="E49" s="530">
        <f>'1.1 Control Panel'!E846*'1.1 Control Panel'!E$822</f>
        <v>100</v>
      </c>
      <c r="F49" s="530">
        <f>'1.1 Control Panel'!F846*'1.1 Control Panel'!F$822</f>
        <v>100</v>
      </c>
      <c r="G49" s="530">
        <f>'1.1 Control Panel'!G846*'1.1 Control Panel'!G$822</f>
        <v>100</v>
      </c>
      <c r="H49" s="530">
        <f>'1.1 Control Panel'!H846*'1.1 Control Panel'!H$822</f>
        <v>100</v>
      </c>
      <c r="I49" s="530">
        <f>'1.1 Control Panel'!I846*'1.1 Control Panel'!I$822</f>
        <v>100</v>
      </c>
      <c r="J49" s="530">
        <f>'1.1 Control Panel'!J846*'1.1 Control Panel'!J$822</f>
        <v>100</v>
      </c>
      <c r="K49" s="530">
        <f>'1.1 Control Panel'!K846*'1.1 Control Panel'!K$822</f>
        <v>100</v>
      </c>
      <c r="L49" s="530">
        <f>'1.1 Control Panel'!L846*'1.1 Control Panel'!L$822</f>
        <v>100</v>
      </c>
      <c r="M49" s="530">
        <f>'1.1 Control Panel'!M846*'1.1 Control Panel'!M$822</f>
        <v>100</v>
      </c>
      <c r="N49" s="530">
        <f>'1.1 Control Panel'!N846*'1.1 Control Panel'!N$822</f>
        <v>100</v>
      </c>
      <c r="O49" s="530">
        <f>'1.1 Control Panel'!O846*'1.1 Control Panel'!O$822</f>
        <v>100</v>
      </c>
      <c r="P49" s="530">
        <f>'1.1 Control Panel'!P846*'1.1 Control Panel'!P$822</f>
        <v>100</v>
      </c>
      <c r="Q49" s="530">
        <f>'1.1 Control Panel'!Q846*'1.1 Control Panel'!Q$822</f>
        <v>100</v>
      </c>
      <c r="R49" s="530">
        <f>'1.1 Control Panel'!R846*'1.1 Control Panel'!R$822</f>
        <v>100</v>
      </c>
      <c r="S49" s="530">
        <f>'1.1 Control Panel'!S846*'1.1 Control Panel'!S$822</f>
        <v>100</v>
      </c>
      <c r="T49" s="530">
        <f>'1.1 Control Panel'!T846*'1.1 Control Panel'!T$822</f>
        <v>100</v>
      </c>
      <c r="U49" s="530">
        <f>'1.1 Control Panel'!U846*'1.1 Control Panel'!U$822</f>
        <v>100</v>
      </c>
      <c r="V49" s="530">
        <f>'1.1 Control Panel'!V846*'1.1 Control Panel'!V$822</f>
        <v>100</v>
      </c>
      <c r="W49" s="530">
        <f>'1.1 Control Panel'!W846*'1.1 Control Panel'!W$822</f>
        <v>100</v>
      </c>
      <c r="X49" s="530">
        <f>'1.1 Control Panel'!X846*'1.1 Control Panel'!X$822</f>
        <v>100</v>
      </c>
      <c r="Y49" s="530">
        <f>'1.1 Control Panel'!Y846*'1.1 Control Panel'!Y$822</f>
        <v>100</v>
      </c>
      <c r="Z49" s="530">
        <f>'1.1 Control Panel'!Z846*'1.1 Control Panel'!Z$822</f>
        <v>100</v>
      </c>
      <c r="AA49" s="530">
        <f>'1.1 Control Panel'!AA846*'1.1 Control Panel'!AA$822</f>
        <v>100</v>
      </c>
      <c r="AB49" s="530">
        <f>'1.1 Control Panel'!AB846*'1.1 Control Panel'!AB$822</f>
        <v>100</v>
      </c>
      <c r="AC49" s="530">
        <f>'1.1 Control Panel'!AC846*'1.1 Control Panel'!AC$822</f>
        <v>100</v>
      </c>
      <c r="AD49" s="530">
        <f>'1.1 Control Panel'!AD846*'1.1 Control Panel'!AD$822</f>
        <v>100</v>
      </c>
      <c r="AE49" s="530">
        <f>'1.1 Control Panel'!AE846*'1.1 Control Panel'!AE$822</f>
        <v>100</v>
      </c>
      <c r="AF49" s="530">
        <f>'1.1 Control Panel'!AF846*'1.1 Control Panel'!AF$822</f>
        <v>100</v>
      </c>
      <c r="AG49" s="530">
        <f>'1.1 Control Panel'!AG846*'1.1 Control Panel'!AG$822</f>
        <v>100</v>
      </c>
      <c r="AH49" s="530">
        <f>'1.1 Control Panel'!AH846*'1.1 Control Panel'!AH$822</f>
        <v>100</v>
      </c>
      <c r="AI49" s="530">
        <f>'1.1 Control Panel'!AI846*'1.1 Control Panel'!AI$822</f>
        <v>100</v>
      </c>
      <c r="AJ49" s="530">
        <f>'1.1 Control Panel'!AJ846*'1.1 Control Panel'!AJ$822</f>
        <v>100</v>
      </c>
      <c r="AK49" s="530">
        <f>'1.1 Control Panel'!AK846*'1.1 Control Panel'!AK$822</f>
        <v>100</v>
      </c>
      <c r="AL49" s="530">
        <f>'1.1 Control Panel'!AL846*'1.1 Control Panel'!AL$822</f>
        <v>100</v>
      </c>
      <c r="AM49" s="530">
        <f>'1.1 Control Panel'!AM846*'1.1 Control Panel'!AM$822</f>
        <v>100</v>
      </c>
      <c r="AN49" s="530">
        <f>'1.1 Control Panel'!AN846*'1.1 Control Panel'!AN$822</f>
        <v>100</v>
      </c>
      <c r="AP49" s="22"/>
    </row>
    <row r="50" spans="2:42" ht="11.5" customHeight="1" x14ac:dyDescent="0.25">
      <c r="C50" s="22" t="s">
        <v>783</v>
      </c>
      <c r="D50" s="38" t="s">
        <v>46</v>
      </c>
      <c r="E50" s="530">
        <f>'1.1 Control Panel'!E847*'1.1 Control Panel'!E$823</f>
        <v>100</v>
      </c>
      <c r="F50" s="530">
        <f>'1.1 Control Panel'!F847*'1.1 Control Panel'!F$823</f>
        <v>100</v>
      </c>
      <c r="G50" s="530">
        <f>'1.1 Control Panel'!G847*'1.1 Control Panel'!G$823</f>
        <v>100</v>
      </c>
      <c r="H50" s="530">
        <f>'1.1 Control Panel'!H847*'1.1 Control Panel'!H$823</f>
        <v>100</v>
      </c>
      <c r="I50" s="530">
        <f>'1.1 Control Panel'!I847*'1.1 Control Panel'!I$823</f>
        <v>100</v>
      </c>
      <c r="J50" s="530">
        <f>'1.1 Control Panel'!J847*'1.1 Control Panel'!J$823</f>
        <v>100</v>
      </c>
      <c r="K50" s="530">
        <f>'1.1 Control Panel'!K847*'1.1 Control Panel'!K$823</f>
        <v>100</v>
      </c>
      <c r="L50" s="530">
        <f>'1.1 Control Panel'!L847*'1.1 Control Panel'!L$823</f>
        <v>100</v>
      </c>
      <c r="M50" s="530">
        <f>'1.1 Control Panel'!M847*'1.1 Control Panel'!M$823</f>
        <v>100</v>
      </c>
      <c r="N50" s="530">
        <f>'1.1 Control Panel'!N847*'1.1 Control Panel'!N$823</f>
        <v>100</v>
      </c>
      <c r="O50" s="530">
        <f>'1.1 Control Panel'!O847*'1.1 Control Panel'!O$823</f>
        <v>100</v>
      </c>
      <c r="P50" s="530">
        <f>'1.1 Control Panel'!P847*'1.1 Control Panel'!P$823</f>
        <v>100</v>
      </c>
      <c r="Q50" s="530">
        <f>'1.1 Control Panel'!Q847*'1.1 Control Panel'!Q$823</f>
        <v>100</v>
      </c>
      <c r="R50" s="530">
        <f>'1.1 Control Panel'!R847*'1.1 Control Panel'!R$823</f>
        <v>100</v>
      </c>
      <c r="S50" s="530">
        <f>'1.1 Control Panel'!S847*'1.1 Control Panel'!S$823</f>
        <v>100</v>
      </c>
      <c r="T50" s="530">
        <f>'1.1 Control Panel'!T847*'1.1 Control Panel'!T$823</f>
        <v>100</v>
      </c>
      <c r="U50" s="530">
        <f>'1.1 Control Panel'!U847*'1.1 Control Panel'!U$823</f>
        <v>100</v>
      </c>
      <c r="V50" s="530">
        <f>'1.1 Control Panel'!V847*'1.1 Control Panel'!V$823</f>
        <v>100</v>
      </c>
      <c r="W50" s="530">
        <f>'1.1 Control Panel'!W847*'1.1 Control Panel'!W$823</f>
        <v>100</v>
      </c>
      <c r="X50" s="530">
        <f>'1.1 Control Panel'!X847*'1.1 Control Panel'!X$823</f>
        <v>100</v>
      </c>
      <c r="Y50" s="530">
        <f>'1.1 Control Panel'!Y847*'1.1 Control Panel'!Y$823</f>
        <v>100</v>
      </c>
      <c r="Z50" s="530">
        <f>'1.1 Control Panel'!Z847*'1.1 Control Panel'!Z$823</f>
        <v>100</v>
      </c>
      <c r="AA50" s="530">
        <f>'1.1 Control Panel'!AA847*'1.1 Control Panel'!AA$823</f>
        <v>100</v>
      </c>
      <c r="AB50" s="530">
        <f>'1.1 Control Panel'!AB847*'1.1 Control Panel'!AB$823</f>
        <v>100</v>
      </c>
      <c r="AC50" s="530">
        <f>'1.1 Control Panel'!AC847*'1.1 Control Panel'!AC$823</f>
        <v>100</v>
      </c>
      <c r="AD50" s="530">
        <f>'1.1 Control Panel'!AD847*'1.1 Control Panel'!AD$823</f>
        <v>100</v>
      </c>
      <c r="AE50" s="530">
        <f>'1.1 Control Panel'!AE847*'1.1 Control Panel'!AE$823</f>
        <v>100</v>
      </c>
      <c r="AF50" s="530">
        <f>'1.1 Control Panel'!AF847*'1.1 Control Panel'!AF$823</f>
        <v>100</v>
      </c>
      <c r="AG50" s="530">
        <f>'1.1 Control Panel'!AG847*'1.1 Control Panel'!AG$823</f>
        <v>100</v>
      </c>
      <c r="AH50" s="530">
        <f>'1.1 Control Panel'!AH847*'1.1 Control Panel'!AH$823</f>
        <v>100</v>
      </c>
      <c r="AI50" s="530">
        <f>'1.1 Control Panel'!AI847*'1.1 Control Panel'!AI$823</f>
        <v>100</v>
      </c>
      <c r="AJ50" s="530">
        <f>'1.1 Control Panel'!AJ847*'1.1 Control Panel'!AJ$823</f>
        <v>100</v>
      </c>
      <c r="AK50" s="530">
        <f>'1.1 Control Panel'!AK847*'1.1 Control Panel'!AK$823</f>
        <v>100</v>
      </c>
      <c r="AL50" s="530">
        <f>'1.1 Control Panel'!AL847*'1.1 Control Panel'!AL$823</f>
        <v>100</v>
      </c>
      <c r="AM50" s="530">
        <f>'1.1 Control Panel'!AM847*'1.1 Control Panel'!AM$823</f>
        <v>100</v>
      </c>
      <c r="AN50" s="530">
        <f>'1.1 Control Panel'!AN847*'1.1 Control Panel'!AN$823</f>
        <v>100</v>
      </c>
      <c r="AP50" s="22"/>
    </row>
    <row r="51" spans="2:42" ht="11.5" customHeight="1" x14ac:dyDescent="0.25">
      <c r="B51" s="19" t="s">
        <v>10</v>
      </c>
      <c r="C51" s="17" t="s">
        <v>762</v>
      </c>
      <c r="D51" s="526" t="s">
        <v>46</v>
      </c>
      <c r="E51" s="533">
        <f t="shared" ref="E51:AN51" si="38">SUM(E52:E58)</f>
        <v>700</v>
      </c>
      <c r="F51" s="533">
        <f t="shared" si="38"/>
        <v>700</v>
      </c>
      <c r="G51" s="533">
        <f t="shared" si="38"/>
        <v>700</v>
      </c>
      <c r="H51" s="533">
        <f t="shared" si="38"/>
        <v>700</v>
      </c>
      <c r="I51" s="533">
        <f t="shared" si="38"/>
        <v>700</v>
      </c>
      <c r="J51" s="533">
        <f t="shared" si="38"/>
        <v>700</v>
      </c>
      <c r="K51" s="533">
        <f t="shared" si="38"/>
        <v>700</v>
      </c>
      <c r="L51" s="533">
        <f t="shared" si="38"/>
        <v>700</v>
      </c>
      <c r="M51" s="533">
        <f t="shared" si="38"/>
        <v>700</v>
      </c>
      <c r="N51" s="533">
        <f t="shared" si="38"/>
        <v>700</v>
      </c>
      <c r="O51" s="533">
        <f t="shared" si="38"/>
        <v>700</v>
      </c>
      <c r="P51" s="533">
        <f t="shared" si="38"/>
        <v>700</v>
      </c>
      <c r="Q51" s="533">
        <f t="shared" si="38"/>
        <v>700</v>
      </c>
      <c r="R51" s="533">
        <f t="shared" si="38"/>
        <v>700</v>
      </c>
      <c r="S51" s="533">
        <f t="shared" si="38"/>
        <v>700</v>
      </c>
      <c r="T51" s="533">
        <f t="shared" si="38"/>
        <v>700</v>
      </c>
      <c r="U51" s="533">
        <f t="shared" si="38"/>
        <v>700</v>
      </c>
      <c r="V51" s="533">
        <f t="shared" si="38"/>
        <v>700</v>
      </c>
      <c r="W51" s="533">
        <f t="shared" si="38"/>
        <v>700</v>
      </c>
      <c r="X51" s="533">
        <f t="shared" si="38"/>
        <v>700</v>
      </c>
      <c r="Y51" s="533">
        <f t="shared" si="38"/>
        <v>700</v>
      </c>
      <c r="Z51" s="533">
        <f t="shared" si="38"/>
        <v>700</v>
      </c>
      <c r="AA51" s="533">
        <f t="shared" si="38"/>
        <v>700</v>
      </c>
      <c r="AB51" s="533">
        <f t="shared" si="38"/>
        <v>700</v>
      </c>
      <c r="AC51" s="533">
        <f t="shared" si="38"/>
        <v>700</v>
      </c>
      <c r="AD51" s="533">
        <f t="shared" si="38"/>
        <v>700</v>
      </c>
      <c r="AE51" s="533">
        <f t="shared" si="38"/>
        <v>700</v>
      </c>
      <c r="AF51" s="533">
        <f t="shared" si="38"/>
        <v>700</v>
      </c>
      <c r="AG51" s="533">
        <f t="shared" si="38"/>
        <v>700</v>
      </c>
      <c r="AH51" s="533">
        <f t="shared" si="38"/>
        <v>700</v>
      </c>
      <c r="AI51" s="533">
        <f t="shared" si="38"/>
        <v>700</v>
      </c>
      <c r="AJ51" s="533">
        <f t="shared" si="38"/>
        <v>700</v>
      </c>
      <c r="AK51" s="533">
        <f t="shared" si="38"/>
        <v>700</v>
      </c>
      <c r="AL51" s="533">
        <f t="shared" si="38"/>
        <v>700</v>
      </c>
      <c r="AM51" s="533">
        <f t="shared" si="38"/>
        <v>700</v>
      </c>
      <c r="AN51" s="533">
        <f t="shared" si="38"/>
        <v>700</v>
      </c>
      <c r="AO51" s="16"/>
      <c r="AP51" s="17"/>
    </row>
    <row r="52" spans="2:42" ht="11.5" customHeight="1" x14ac:dyDescent="0.25">
      <c r="C52" s="20" t="s">
        <v>778</v>
      </c>
      <c r="D52" s="34" t="s">
        <v>46</v>
      </c>
      <c r="E52" s="28">
        <f>'1.1 Control Panel'!E849*'1.1 Control Panel'!E$817</f>
        <v>100</v>
      </c>
      <c r="F52" s="28">
        <f>'1.1 Control Panel'!F849*'1.1 Control Panel'!F$817</f>
        <v>100</v>
      </c>
      <c r="G52" s="28">
        <f>'1.1 Control Panel'!G849*'1.1 Control Panel'!G$817</f>
        <v>100</v>
      </c>
      <c r="H52" s="28">
        <f>'1.1 Control Panel'!H849*'1.1 Control Panel'!H$817</f>
        <v>100</v>
      </c>
      <c r="I52" s="28">
        <f>'1.1 Control Panel'!I849*'1.1 Control Panel'!I$817</f>
        <v>100</v>
      </c>
      <c r="J52" s="28">
        <f>'1.1 Control Panel'!J849*'1.1 Control Panel'!J$817</f>
        <v>100</v>
      </c>
      <c r="K52" s="28">
        <f>'1.1 Control Panel'!K849*'1.1 Control Panel'!K$817</f>
        <v>100</v>
      </c>
      <c r="L52" s="28">
        <f>'1.1 Control Panel'!L849*'1.1 Control Panel'!L$817</f>
        <v>100</v>
      </c>
      <c r="M52" s="28">
        <f>'1.1 Control Panel'!M849*'1.1 Control Panel'!M$817</f>
        <v>100</v>
      </c>
      <c r="N52" s="28">
        <f>'1.1 Control Panel'!N849*'1.1 Control Panel'!N$817</f>
        <v>100</v>
      </c>
      <c r="O52" s="28">
        <f>'1.1 Control Panel'!O849*'1.1 Control Panel'!O$817</f>
        <v>100</v>
      </c>
      <c r="P52" s="28">
        <f>'1.1 Control Panel'!P849*'1.1 Control Panel'!P$817</f>
        <v>100</v>
      </c>
      <c r="Q52" s="28">
        <f>'1.1 Control Panel'!Q849*'1.1 Control Panel'!Q$817</f>
        <v>100</v>
      </c>
      <c r="R52" s="28">
        <f>'1.1 Control Panel'!R849*'1.1 Control Panel'!R$817</f>
        <v>100</v>
      </c>
      <c r="S52" s="28">
        <f>'1.1 Control Panel'!S849*'1.1 Control Panel'!S$817</f>
        <v>100</v>
      </c>
      <c r="T52" s="28">
        <f>'1.1 Control Panel'!T849*'1.1 Control Panel'!T$817</f>
        <v>100</v>
      </c>
      <c r="U52" s="28">
        <f>'1.1 Control Panel'!U849*'1.1 Control Panel'!U$817</f>
        <v>100</v>
      </c>
      <c r="V52" s="28">
        <f>'1.1 Control Panel'!V849*'1.1 Control Panel'!V$817</f>
        <v>100</v>
      </c>
      <c r="W52" s="28">
        <f>'1.1 Control Panel'!W849*'1.1 Control Panel'!W$817</f>
        <v>100</v>
      </c>
      <c r="X52" s="28">
        <f>'1.1 Control Panel'!X849*'1.1 Control Panel'!X$817</f>
        <v>100</v>
      </c>
      <c r="Y52" s="28">
        <f>'1.1 Control Panel'!Y849*'1.1 Control Panel'!Y$817</f>
        <v>100</v>
      </c>
      <c r="Z52" s="28">
        <f>'1.1 Control Panel'!Z849*'1.1 Control Panel'!Z$817</f>
        <v>100</v>
      </c>
      <c r="AA52" s="28">
        <f>'1.1 Control Panel'!AA849*'1.1 Control Panel'!AA$817</f>
        <v>100</v>
      </c>
      <c r="AB52" s="28">
        <f>'1.1 Control Panel'!AB849*'1.1 Control Panel'!AB$817</f>
        <v>100</v>
      </c>
      <c r="AC52" s="28">
        <f>'1.1 Control Panel'!AC849*'1.1 Control Panel'!AC$817</f>
        <v>100</v>
      </c>
      <c r="AD52" s="28">
        <f>'1.1 Control Panel'!AD849*'1.1 Control Panel'!AD$817</f>
        <v>100</v>
      </c>
      <c r="AE52" s="28">
        <f>'1.1 Control Panel'!AE849*'1.1 Control Panel'!AE$817</f>
        <v>100</v>
      </c>
      <c r="AF52" s="28">
        <f>'1.1 Control Panel'!AF849*'1.1 Control Panel'!AF$817</f>
        <v>100</v>
      </c>
      <c r="AG52" s="28">
        <f>'1.1 Control Panel'!AG849*'1.1 Control Panel'!AG$817</f>
        <v>100</v>
      </c>
      <c r="AH52" s="28">
        <f>'1.1 Control Panel'!AH849*'1.1 Control Panel'!AH$817</f>
        <v>100</v>
      </c>
      <c r="AI52" s="28">
        <f>'1.1 Control Panel'!AI849*'1.1 Control Panel'!AI$817</f>
        <v>100</v>
      </c>
      <c r="AJ52" s="28">
        <f>'1.1 Control Panel'!AJ849*'1.1 Control Panel'!AJ$817</f>
        <v>100</v>
      </c>
      <c r="AK52" s="28">
        <f>'1.1 Control Panel'!AK849*'1.1 Control Panel'!AK$817</f>
        <v>100</v>
      </c>
      <c r="AL52" s="28">
        <f>'1.1 Control Panel'!AL849*'1.1 Control Panel'!AL$817</f>
        <v>100</v>
      </c>
      <c r="AM52" s="28">
        <f>'1.1 Control Panel'!AM849*'1.1 Control Panel'!AM$817</f>
        <v>100</v>
      </c>
      <c r="AN52" s="28">
        <f>'1.1 Control Panel'!AN849*'1.1 Control Panel'!AN$817</f>
        <v>100</v>
      </c>
      <c r="AP52" s="20"/>
    </row>
    <row r="53" spans="2:42" ht="11.5" customHeight="1" x14ac:dyDescent="0.25">
      <c r="C53" s="21" t="s">
        <v>784</v>
      </c>
      <c r="D53" s="38" t="s">
        <v>46</v>
      </c>
      <c r="E53" s="376">
        <f>'1.1 Control Panel'!E850*'1.1 Control Panel'!E$818</f>
        <v>100</v>
      </c>
      <c r="F53" s="376">
        <f>'1.1 Control Panel'!F850*'1.1 Control Panel'!F$818</f>
        <v>100</v>
      </c>
      <c r="G53" s="376">
        <f>'1.1 Control Panel'!G850*'1.1 Control Panel'!G$818</f>
        <v>100</v>
      </c>
      <c r="H53" s="376">
        <f>'1.1 Control Panel'!H850*'1.1 Control Panel'!H$818</f>
        <v>100</v>
      </c>
      <c r="I53" s="376">
        <f>'1.1 Control Panel'!I850*'1.1 Control Panel'!I$818</f>
        <v>100</v>
      </c>
      <c r="J53" s="376">
        <f>'1.1 Control Panel'!J850*'1.1 Control Panel'!J$818</f>
        <v>100</v>
      </c>
      <c r="K53" s="376">
        <f>'1.1 Control Panel'!K850*'1.1 Control Panel'!K$818</f>
        <v>100</v>
      </c>
      <c r="L53" s="376">
        <f>'1.1 Control Panel'!L850*'1.1 Control Panel'!L$818</f>
        <v>100</v>
      </c>
      <c r="M53" s="376">
        <f>'1.1 Control Panel'!M850*'1.1 Control Panel'!M$818</f>
        <v>100</v>
      </c>
      <c r="N53" s="376">
        <f>'1.1 Control Panel'!N850*'1.1 Control Panel'!N$818</f>
        <v>100</v>
      </c>
      <c r="O53" s="376">
        <f>'1.1 Control Panel'!O850*'1.1 Control Panel'!O$818</f>
        <v>100</v>
      </c>
      <c r="P53" s="376">
        <f>'1.1 Control Panel'!P850*'1.1 Control Panel'!P$818</f>
        <v>100</v>
      </c>
      <c r="Q53" s="376">
        <f>'1.1 Control Panel'!Q850*'1.1 Control Panel'!Q$818</f>
        <v>100</v>
      </c>
      <c r="R53" s="376">
        <f>'1.1 Control Panel'!R850*'1.1 Control Panel'!R$818</f>
        <v>100</v>
      </c>
      <c r="S53" s="376">
        <f>'1.1 Control Panel'!S850*'1.1 Control Panel'!S$818</f>
        <v>100</v>
      </c>
      <c r="T53" s="376">
        <f>'1.1 Control Panel'!T850*'1.1 Control Panel'!T$818</f>
        <v>100</v>
      </c>
      <c r="U53" s="376">
        <f>'1.1 Control Panel'!U850*'1.1 Control Panel'!U$818</f>
        <v>100</v>
      </c>
      <c r="V53" s="376">
        <f>'1.1 Control Panel'!V850*'1.1 Control Panel'!V$818</f>
        <v>100</v>
      </c>
      <c r="W53" s="376">
        <f>'1.1 Control Panel'!W850*'1.1 Control Panel'!W$818</f>
        <v>100</v>
      </c>
      <c r="X53" s="376">
        <f>'1.1 Control Panel'!X850*'1.1 Control Panel'!X$818</f>
        <v>100</v>
      </c>
      <c r="Y53" s="376">
        <f>'1.1 Control Panel'!Y850*'1.1 Control Panel'!Y$818</f>
        <v>100</v>
      </c>
      <c r="Z53" s="376">
        <f>'1.1 Control Panel'!Z850*'1.1 Control Panel'!Z$818</f>
        <v>100</v>
      </c>
      <c r="AA53" s="376">
        <f>'1.1 Control Panel'!AA850*'1.1 Control Panel'!AA$818</f>
        <v>100</v>
      </c>
      <c r="AB53" s="376">
        <f>'1.1 Control Panel'!AB850*'1.1 Control Panel'!AB$818</f>
        <v>100</v>
      </c>
      <c r="AC53" s="376">
        <f>'1.1 Control Panel'!AC850*'1.1 Control Panel'!AC$818</f>
        <v>100</v>
      </c>
      <c r="AD53" s="376">
        <f>'1.1 Control Panel'!AD850*'1.1 Control Panel'!AD$818</f>
        <v>100</v>
      </c>
      <c r="AE53" s="376">
        <f>'1.1 Control Panel'!AE850*'1.1 Control Panel'!AE$818</f>
        <v>100</v>
      </c>
      <c r="AF53" s="376">
        <f>'1.1 Control Panel'!AF850*'1.1 Control Panel'!AF$818</f>
        <v>100</v>
      </c>
      <c r="AG53" s="376">
        <f>'1.1 Control Panel'!AG850*'1.1 Control Panel'!AG$818</f>
        <v>100</v>
      </c>
      <c r="AH53" s="376">
        <f>'1.1 Control Panel'!AH850*'1.1 Control Panel'!AH$818</f>
        <v>100</v>
      </c>
      <c r="AI53" s="376">
        <f>'1.1 Control Panel'!AI850*'1.1 Control Panel'!AI$818</f>
        <v>100</v>
      </c>
      <c r="AJ53" s="376">
        <f>'1.1 Control Panel'!AJ850*'1.1 Control Panel'!AJ$818</f>
        <v>100</v>
      </c>
      <c r="AK53" s="376">
        <f>'1.1 Control Panel'!AK850*'1.1 Control Panel'!AK$818</f>
        <v>100</v>
      </c>
      <c r="AL53" s="376">
        <f>'1.1 Control Panel'!AL850*'1.1 Control Panel'!AL$818</f>
        <v>100</v>
      </c>
      <c r="AM53" s="376">
        <f>'1.1 Control Panel'!AM850*'1.1 Control Panel'!AM$818</f>
        <v>100</v>
      </c>
      <c r="AN53" s="376">
        <f>'1.1 Control Panel'!AN850*'1.1 Control Panel'!AN$818</f>
        <v>100</v>
      </c>
      <c r="AP53" s="21"/>
    </row>
    <row r="54" spans="2:42" ht="11.5" customHeight="1" x14ac:dyDescent="0.25">
      <c r="C54" s="22" t="s">
        <v>785</v>
      </c>
      <c r="D54" s="38" t="s">
        <v>46</v>
      </c>
      <c r="E54" s="530">
        <f>'1.1 Control Panel'!E851*'1.1 Control Panel'!E$819</f>
        <v>100</v>
      </c>
      <c r="F54" s="530">
        <f>'1.1 Control Panel'!F851*'1.1 Control Panel'!F$819</f>
        <v>100</v>
      </c>
      <c r="G54" s="530">
        <f>'1.1 Control Panel'!G851*'1.1 Control Panel'!G$819</f>
        <v>100</v>
      </c>
      <c r="H54" s="530">
        <f>'1.1 Control Panel'!H851*'1.1 Control Panel'!H$819</f>
        <v>100</v>
      </c>
      <c r="I54" s="530">
        <f>'1.1 Control Panel'!I851*'1.1 Control Panel'!I$819</f>
        <v>100</v>
      </c>
      <c r="J54" s="530">
        <f>'1.1 Control Panel'!J851*'1.1 Control Panel'!J$819</f>
        <v>100</v>
      </c>
      <c r="K54" s="530">
        <f>'1.1 Control Panel'!K851*'1.1 Control Panel'!K$819</f>
        <v>100</v>
      </c>
      <c r="L54" s="530">
        <f>'1.1 Control Panel'!L851*'1.1 Control Panel'!L$819</f>
        <v>100</v>
      </c>
      <c r="M54" s="530">
        <f>'1.1 Control Panel'!M851*'1.1 Control Panel'!M$819</f>
        <v>100</v>
      </c>
      <c r="N54" s="530">
        <f>'1.1 Control Panel'!N851*'1.1 Control Panel'!N$819</f>
        <v>100</v>
      </c>
      <c r="O54" s="530">
        <f>'1.1 Control Panel'!O851*'1.1 Control Panel'!O$819</f>
        <v>100</v>
      </c>
      <c r="P54" s="530">
        <f>'1.1 Control Panel'!P851*'1.1 Control Panel'!P$819</f>
        <v>100</v>
      </c>
      <c r="Q54" s="530">
        <f>'1.1 Control Panel'!Q851*'1.1 Control Panel'!Q$819</f>
        <v>100</v>
      </c>
      <c r="R54" s="530">
        <f>'1.1 Control Panel'!R851*'1.1 Control Panel'!R$819</f>
        <v>100</v>
      </c>
      <c r="S54" s="530">
        <f>'1.1 Control Panel'!S851*'1.1 Control Panel'!S$819</f>
        <v>100</v>
      </c>
      <c r="T54" s="530">
        <f>'1.1 Control Panel'!T851*'1.1 Control Panel'!T$819</f>
        <v>100</v>
      </c>
      <c r="U54" s="530">
        <f>'1.1 Control Panel'!U851*'1.1 Control Panel'!U$819</f>
        <v>100</v>
      </c>
      <c r="V54" s="530">
        <f>'1.1 Control Panel'!V851*'1.1 Control Panel'!V$819</f>
        <v>100</v>
      </c>
      <c r="W54" s="530">
        <f>'1.1 Control Panel'!W851*'1.1 Control Panel'!W$819</f>
        <v>100</v>
      </c>
      <c r="X54" s="530">
        <f>'1.1 Control Panel'!X851*'1.1 Control Panel'!X$819</f>
        <v>100</v>
      </c>
      <c r="Y54" s="530">
        <f>'1.1 Control Panel'!Y851*'1.1 Control Panel'!Y$819</f>
        <v>100</v>
      </c>
      <c r="Z54" s="530">
        <f>'1.1 Control Panel'!Z851*'1.1 Control Panel'!Z$819</f>
        <v>100</v>
      </c>
      <c r="AA54" s="530">
        <f>'1.1 Control Panel'!AA851*'1.1 Control Panel'!AA$819</f>
        <v>100</v>
      </c>
      <c r="AB54" s="530">
        <f>'1.1 Control Panel'!AB851*'1.1 Control Panel'!AB$819</f>
        <v>100</v>
      </c>
      <c r="AC54" s="530">
        <f>'1.1 Control Panel'!AC851*'1.1 Control Panel'!AC$819</f>
        <v>100</v>
      </c>
      <c r="AD54" s="530">
        <f>'1.1 Control Panel'!AD851*'1.1 Control Panel'!AD$819</f>
        <v>100</v>
      </c>
      <c r="AE54" s="530">
        <f>'1.1 Control Panel'!AE851*'1.1 Control Panel'!AE$819</f>
        <v>100</v>
      </c>
      <c r="AF54" s="530">
        <f>'1.1 Control Panel'!AF851*'1.1 Control Panel'!AF$819</f>
        <v>100</v>
      </c>
      <c r="AG54" s="530">
        <f>'1.1 Control Panel'!AG851*'1.1 Control Panel'!AG$819</f>
        <v>100</v>
      </c>
      <c r="AH54" s="530">
        <f>'1.1 Control Panel'!AH851*'1.1 Control Panel'!AH$819</f>
        <v>100</v>
      </c>
      <c r="AI54" s="530">
        <f>'1.1 Control Panel'!AI851*'1.1 Control Panel'!AI$819</f>
        <v>100</v>
      </c>
      <c r="AJ54" s="530">
        <f>'1.1 Control Panel'!AJ851*'1.1 Control Panel'!AJ$819</f>
        <v>100</v>
      </c>
      <c r="AK54" s="530">
        <f>'1.1 Control Panel'!AK851*'1.1 Control Panel'!AK$819</f>
        <v>100</v>
      </c>
      <c r="AL54" s="530">
        <f>'1.1 Control Panel'!AL851*'1.1 Control Panel'!AL$819</f>
        <v>100</v>
      </c>
      <c r="AM54" s="530">
        <f>'1.1 Control Panel'!AM851*'1.1 Control Panel'!AM$819</f>
        <v>100</v>
      </c>
      <c r="AN54" s="530">
        <f>'1.1 Control Panel'!AN851*'1.1 Control Panel'!AN$819</f>
        <v>100</v>
      </c>
      <c r="AP54" s="22"/>
    </row>
    <row r="55" spans="2:42" ht="11.5" customHeight="1" x14ac:dyDescent="0.25">
      <c r="C55" s="22" t="s">
        <v>779</v>
      </c>
      <c r="D55" s="38" t="s">
        <v>46</v>
      </c>
      <c r="E55" s="530">
        <f>'1.1 Control Panel'!E852*'1.1 Control Panel'!E$820</f>
        <v>100</v>
      </c>
      <c r="F55" s="530">
        <f>'1.1 Control Panel'!F852*'1.1 Control Panel'!F$820</f>
        <v>100</v>
      </c>
      <c r="G55" s="530">
        <f>'1.1 Control Panel'!G852*'1.1 Control Panel'!G$820</f>
        <v>100</v>
      </c>
      <c r="H55" s="530">
        <f>'1.1 Control Panel'!H852*'1.1 Control Panel'!H$820</f>
        <v>100</v>
      </c>
      <c r="I55" s="530">
        <f>'1.1 Control Panel'!I852*'1.1 Control Panel'!I$820</f>
        <v>100</v>
      </c>
      <c r="J55" s="530">
        <f>'1.1 Control Panel'!J852*'1.1 Control Panel'!J$820</f>
        <v>100</v>
      </c>
      <c r="K55" s="530">
        <f>'1.1 Control Panel'!K852*'1.1 Control Panel'!K$820</f>
        <v>100</v>
      </c>
      <c r="L55" s="530">
        <f>'1.1 Control Panel'!L852*'1.1 Control Panel'!L$820</f>
        <v>100</v>
      </c>
      <c r="M55" s="530">
        <f>'1.1 Control Panel'!M852*'1.1 Control Panel'!M$820</f>
        <v>100</v>
      </c>
      <c r="N55" s="530">
        <f>'1.1 Control Panel'!N852*'1.1 Control Panel'!N$820</f>
        <v>100</v>
      </c>
      <c r="O55" s="530">
        <f>'1.1 Control Panel'!O852*'1.1 Control Panel'!O$820</f>
        <v>100</v>
      </c>
      <c r="P55" s="530">
        <f>'1.1 Control Panel'!P852*'1.1 Control Panel'!P$820</f>
        <v>100</v>
      </c>
      <c r="Q55" s="530">
        <f>'1.1 Control Panel'!Q852*'1.1 Control Panel'!Q$820</f>
        <v>100</v>
      </c>
      <c r="R55" s="530">
        <f>'1.1 Control Panel'!R852*'1.1 Control Panel'!R$820</f>
        <v>100</v>
      </c>
      <c r="S55" s="530">
        <f>'1.1 Control Panel'!S852*'1.1 Control Panel'!S$820</f>
        <v>100</v>
      </c>
      <c r="T55" s="530">
        <f>'1.1 Control Panel'!T852*'1.1 Control Panel'!T$820</f>
        <v>100</v>
      </c>
      <c r="U55" s="530">
        <f>'1.1 Control Panel'!U852*'1.1 Control Panel'!U$820</f>
        <v>100</v>
      </c>
      <c r="V55" s="530">
        <f>'1.1 Control Panel'!V852*'1.1 Control Panel'!V$820</f>
        <v>100</v>
      </c>
      <c r="W55" s="530">
        <f>'1.1 Control Panel'!W852*'1.1 Control Panel'!W$820</f>
        <v>100</v>
      </c>
      <c r="X55" s="530">
        <f>'1.1 Control Panel'!X852*'1.1 Control Panel'!X$820</f>
        <v>100</v>
      </c>
      <c r="Y55" s="530">
        <f>'1.1 Control Panel'!Y852*'1.1 Control Panel'!Y$820</f>
        <v>100</v>
      </c>
      <c r="Z55" s="530">
        <f>'1.1 Control Panel'!Z852*'1.1 Control Panel'!Z$820</f>
        <v>100</v>
      </c>
      <c r="AA55" s="530">
        <f>'1.1 Control Panel'!AA852*'1.1 Control Panel'!AA$820</f>
        <v>100</v>
      </c>
      <c r="AB55" s="530">
        <f>'1.1 Control Panel'!AB852*'1.1 Control Panel'!AB$820</f>
        <v>100</v>
      </c>
      <c r="AC55" s="530">
        <f>'1.1 Control Panel'!AC852*'1.1 Control Panel'!AC$820</f>
        <v>100</v>
      </c>
      <c r="AD55" s="530">
        <f>'1.1 Control Panel'!AD852*'1.1 Control Panel'!AD$820</f>
        <v>100</v>
      </c>
      <c r="AE55" s="530">
        <f>'1.1 Control Panel'!AE852*'1.1 Control Panel'!AE$820</f>
        <v>100</v>
      </c>
      <c r="AF55" s="530">
        <f>'1.1 Control Panel'!AF852*'1.1 Control Panel'!AF$820</f>
        <v>100</v>
      </c>
      <c r="AG55" s="530">
        <f>'1.1 Control Panel'!AG852*'1.1 Control Panel'!AG$820</f>
        <v>100</v>
      </c>
      <c r="AH55" s="530">
        <f>'1.1 Control Panel'!AH852*'1.1 Control Panel'!AH$820</f>
        <v>100</v>
      </c>
      <c r="AI55" s="530">
        <f>'1.1 Control Panel'!AI852*'1.1 Control Panel'!AI$820</f>
        <v>100</v>
      </c>
      <c r="AJ55" s="530">
        <f>'1.1 Control Panel'!AJ852*'1.1 Control Panel'!AJ$820</f>
        <v>100</v>
      </c>
      <c r="AK55" s="530">
        <f>'1.1 Control Panel'!AK852*'1.1 Control Panel'!AK$820</f>
        <v>100</v>
      </c>
      <c r="AL55" s="530">
        <f>'1.1 Control Panel'!AL852*'1.1 Control Panel'!AL$820</f>
        <v>100</v>
      </c>
      <c r="AM55" s="530">
        <f>'1.1 Control Panel'!AM852*'1.1 Control Panel'!AM$820</f>
        <v>100</v>
      </c>
      <c r="AN55" s="530">
        <f>'1.1 Control Panel'!AN852*'1.1 Control Panel'!AN$820</f>
        <v>100</v>
      </c>
      <c r="AP55" s="22"/>
    </row>
    <row r="56" spans="2:42" ht="11.5" customHeight="1" x14ac:dyDescent="0.25">
      <c r="C56" s="22" t="s">
        <v>780</v>
      </c>
      <c r="D56" s="38" t="s">
        <v>46</v>
      </c>
      <c r="E56" s="530">
        <f>'1.1 Control Panel'!E853*'1.1 Control Panel'!E$821</f>
        <v>100</v>
      </c>
      <c r="F56" s="530">
        <f>'1.1 Control Panel'!F853*'1.1 Control Panel'!F$821</f>
        <v>100</v>
      </c>
      <c r="G56" s="530">
        <f>'1.1 Control Panel'!G853*'1.1 Control Panel'!G$821</f>
        <v>100</v>
      </c>
      <c r="H56" s="530">
        <f>'1.1 Control Panel'!H853*'1.1 Control Panel'!H$821</f>
        <v>100</v>
      </c>
      <c r="I56" s="530">
        <f>'1.1 Control Panel'!I853*'1.1 Control Panel'!I$821</f>
        <v>100</v>
      </c>
      <c r="J56" s="530">
        <f>'1.1 Control Panel'!J853*'1.1 Control Panel'!J$821</f>
        <v>100</v>
      </c>
      <c r="K56" s="530">
        <f>'1.1 Control Panel'!K853*'1.1 Control Panel'!K$821</f>
        <v>100</v>
      </c>
      <c r="L56" s="530">
        <f>'1.1 Control Panel'!L853*'1.1 Control Panel'!L$821</f>
        <v>100</v>
      </c>
      <c r="M56" s="530">
        <f>'1.1 Control Panel'!M853*'1.1 Control Panel'!M$821</f>
        <v>100</v>
      </c>
      <c r="N56" s="530">
        <f>'1.1 Control Panel'!N853*'1.1 Control Panel'!N$821</f>
        <v>100</v>
      </c>
      <c r="O56" s="530">
        <f>'1.1 Control Panel'!O853*'1.1 Control Panel'!O$821</f>
        <v>100</v>
      </c>
      <c r="P56" s="530">
        <f>'1.1 Control Panel'!P853*'1.1 Control Panel'!P$821</f>
        <v>100</v>
      </c>
      <c r="Q56" s="530">
        <f>'1.1 Control Panel'!Q853*'1.1 Control Panel'!Q$821</f>
        <v>100</v>
      </c>
      <c r="R56" s="530">
        <f>'1.1 Control Panel'!R853*'1.1 Control Panel'!R$821</f>
        <v>100</v>
      </c>
      <c r="S56" s="530">
        <f>'1.1 Control Panel'!S853*'1.1 Control Panel'!S$821</f>
        <v>100</v>
      </c>
      <c r="T56" s="530">
        <f>'1.1 Control Panel'!T853*'1.1 Control Panel'!T$821</f>
        <v>100</v>
      </c>
      <c r="U56" s="530">
        <f>'1.1 Control Panel'!U853*'1.1 Control Panel'!U$821</f>
        <v>100</v>
      </c>
      <c r="V56" s="530">
        <f>'1.1 Control Panel'!V853*'1.1 Control Panel'!V$821</f>
        <v>100</v>
      </c>
      <c r="W56" s="530">
        <f>'1.1 Control Panel'!W853*'1.1 Control Panel'!W$821</f>
        <v>100</v>
      </c>
      <c r="X56" s="530">
        <f>'1.1 Control Panel'!X853*'1.1 Control Panel'!X$821</f>
        <v>100</v>
      </c>
      <c r="Y56" s="530">
        <f>'1.1 Control Panel'!Y853*'1.1 Control Panel'!Y$821</f>
        <v>100</v>
      </c>
      <c r="Z56" s="530">
        <f>'1.1 Control Panel'!Z853*'1.1 Control Panel'!Z$821</f>
        <v>100</v>
      </c>
      <c r="AA56" s="530">
        <f>'1.1 Control Panel'!AA853*'1.1 Control Panel'!AA$821</f>
        <v>100</v>
      </c>
      <c r="AB56" s="530">
        <f>'1.1 Control Panel'!AB853*'1.1 Control Panel'!AB$821</f>
        <v>100</v>
      </c>
      <c r="AC56" s="530">
        <f>'1.1 Control Panel'!AC853*'1.1 Control Panel'!AC$821</f>
        <v>100</v>
      </c>
      <c r="AD56" s="530">
        <f>'1.1 Control Panel'!AD853*'1.1 Control Panel'!AD$821</f>
        <v>100</v>
      </c>
      <c r="AE56" s="530">
        <f>'1.1 Control Panel'!AE853*'1.1 Control Panel'!AE$821</f>
        <v>100</v>
      </c>
      <c r="AF56" s="530">
        <f>'1.1 Control Panel'!AF853*'1.1 Control Panel'!AF$821</f>
        <v>100</v>
      </c>
      <c r="AG56" s="530">
        <f>'1.1 Control Panel'!AG853*'1.1 Control Panel'!AG$821</f>
        <v>100</v>
      </c>
      <c r="AH56" s="530">
        <f>'1.1 Control Panel'!AH853*'1.1 Control Panel'!AH$821</f>
        <v>100</v>
      </c>
      <c r="AI56" s="530">
        <f>'1.1 Control Panel'!AI853*'1.1 Control Panel'!AI$821</f>
        <v>100</v>
      </c>
      <c r="AJ56" s="530">
        <f>'1.1 Control Panel'!AJ853*'1.1 Control Panel'!AJ$821</f>
        <v>100</v>
      </c>
      <c r="AK56" s="530">
        <f>'1.1 Control Panel'!AK853*'1.1 Control Panel'!AK$821</f>
        <v>100</v>
      </c>
      <c r="AL56" s="530">
        <f>'1.1 Control Panel'!AL853*'1.1 Control Panel'!AL$821</f>
        <v>100</v>
      </c>
      <c r="AM56" s="530">
        <f>'1.1 Control Panel'!AM853*'1.1 Control Panel'!AM$821</f>
        <v>100</v>
      </c>
      <c r="AN56" s="530">
        <f>'1.1 Control Panel'!AN853*'1.1 Control Panel'!AN$821</f>
        <v>100</v>
      </c>
      <c r="AP56" s="22"/>
    </row>
    <row r="57" spans="2:42" ht="11.5" customHeight="1" x14ac:dyDescent="0.25">
      <c r="C57" s="22" t="s">
        <v>786</v>
      </c>
      <c r="D57" s="38" t="s">
        <v>46</v>
      </c>
      <c r="E57" s="530">
        <f>'1.1 Control Panel'!E854*'1.1 Control Panel'!E$822</f>
        <v>100</v>
      </c>
      <c r="F57" s="530">
        <f>'1.1 Control Panel'!F854*'1.1 Control Panel'!F$822</f>
        <v>100</v>
      </c>
      <c r="G57" s="530">
        <f>'1.1 Control Panel'!G854*'1.1 Control Panel'!G$822</f>
        <v>100</v>
      </c>
      <c r="H57" s="530">
        <f>'1.1 Control Panel'!H854*'1.1 Control Panel'!H$822</f>
        <v>100</v>
      </c>
      <c r="I57" s="530">
        <f>'1.1 Control Panel'!I854*'1.1 Control Panel'!I$822</f>
        <v>100</v>
      </c>
      <c r="J57" s="530">
        <f>'1.1 Control Panel'!J854*'1.1 Control Panel'!J$822</f>
        <v>100</v>
      </c>
      <c r="K57" s="530">
        <f>'1.1 Control Panel'!K854*'1.1 Control Panel'!K$822</f>
        <v>100</v>
      </c>
      <c r="L57" s="530">
        <f>'1.1 Control Panel'!L854*'1.1 Control Panel'!L$822</f>
        <v>100</v>
      </c>
      <c r="M57" s="530">
        <f>'1.1 Control Panel'!M854*'1.1 Control Panel'!M$822</f>
        <v>100</v>
      </c>
      <c r="N57" s="530">
        <f>'1.1 Control Panel'!N854*'1.1 Control Panel'!N$822</f>
        <v>100</v>
      </c>
      <c r="O57" s="530">
        <f>'1.1 Control Panel'!O854*'1.1 Control Panel'!O$822</f>
        <v>100</v>
      </c>
      <c r="P57" s="530">
        <f>'1.1 Control Panel'!P854*'1.1 Control Panel'!P$822</f>
        <v>100</v>
      </c>
      <c r="Q57" s="530">
        <f>'1.1 Control Panel'!Q854*'1.1 Control Panel'!Q$822</f>
        <v>100</v>
      </c>
      <c r="R57" s="530">
        <f>'1.1 Control Panel'!R854*'1.1 Control Panel'!R$822</f>
        <v>100</v>
      </c>
      <c r="S57" s="530">
        <f>'1.1 Control Panel'!S854*'1.1 Control Panel'!S$822</f>
        <v>100</v>
      </c>
      <c r="T57" s="530">
        <f>'1.1 Control Panel'!T854*'1.1 Control Panel'!T$822</f>
        <v>100</v>
      </c>
      <c r="U57" s="530">
        <f>'1.1 Control Panel'!U854*'1.1 Control Panel'!U$822</f>
        <v>100</v>
      </c>
      <c r="V57" s="530">
        <f>'1.1 Control Panel'!V854*'1.1 Control Panel'!V$822</f>
        <v>100</v>
      </c>
      <c r="W57" s="530">
        <f>'1.1 Control Panel'!W854*'1.1 Control Panel'!W$822</f>
        <v>100</v>
      </c>
      <c r="X57" s="530">
        <f>'1.1 Control Panel'!X854*'1.1 Control Panel'!X$822</f>
        <v>100</v>
      </c>
      <c r="Y57" s="530">
        <f>'1.1 Control Panel'!Y854*'1.1 Control Panel'!Y$822</f>
        <v>100</v>
      </c>
      <c r="Z57" s="530">
        <f>'1.1 Control Panel'!Z854*'1.1 Control Panel'!Z$822</f>
        <v>100</v>
      </c>
      <c r="AA57" s="530">
        <f>'1.1 Control Panel'!AA854*'1.1 Control Panel'!AA$822</f>
        <v>100</v>
      </c>
      <c r="AB57" s="530">
        <f>'1.1 Control Panel'!AB854*'1.1 Control Panel'!AB$822</f>
        <v>100</v>
      </c>
      <c r="AC57" s="530">
        <f>'1.1 Control Panel'!AC854*'1.1 Control Panel'!AC$822</f>
        <v>100</v>
      </c>
      <c r="AD57" s="530">
        <f>'1.1 Control Panel'!AD854*'1.1 Control Panel'!AD$822</f>
        <v>100</v>
      </c>
      <c r="AE57" s="530">
        <f>'1.1 Control Panel'!AE854*'1.1 Control Panel'!AE$822</f>
        <v>100</v>
      </c>
      <c r="AF57" s="530">
        <f>'1.1 Control Panel'!AF854*'1.1 Control Panel'!AF$822</f>
        <v>100</v>
      </c>
      <c r="AG57" s="530">
        <f>'1.1 Control Panel'!AG854*'1.1 Control Panel'!AG$822</f>
        <v>100</v>
      </c>
      <c r="AH57" s="530">
        <f>'1.1 Control Panel'!AH854*'1.1 Control Panel'!AH$822</f>
        <v>100</v>
      </c>
      <c r="AI57" s="530">
        <f>'1.1 Control Panel'!AI854*'1.1 Control Panel'!AI$822</f>
        <v>100</v>
      </c>
      <c r="AJ57" s="530">
        <f>'1.1 Control Panel'!AJ854*'1.1 Control Panel'!AJ$822</f>
        <v>100</v>
      </c>
      <c r="AK57" s="530">
        <f>'1.1 Control Panel'!AK854*'1.1 Control Panel'!AK$822</f>
        <v>100</v>
      </c>
      <c r="AL57" s="530">
        <f>'1.1 Control Panel'!AL854*'1.1 Control Panel'!AL$822</f>
        <v>100</v>
      </c>
      <c r="AM57" s="530">
        <f>'1.1 Control Panel'!AM854*'1.1 Control Panel'!AM$822</f>
        <v>100</v>
      </c>
      <c r="AN57" s="530">
        <f>'1.1 Control Panel'!AN854*'1.1 Control Panel'!AN$822</f>
        <v>100</v>
      </c>
      <c r="AP57" s="22"/>
    </row>
    <row r="58" spans="2:42" ht="11.5" customHeight="1" x14ac:dyDescent="0.25">
      <c r="C58" s="22" t="s">
        <v>783</v>
      </c>
      <c r="D58" s="96" t="s">
        <v>46</v>
      </c>
      <c r="E58" s="530">
        <f>'1.1 Control Panel'!E855*'1.1 Control Panel'!E$823</f>
        <v>100</v>
      </c>
      <c r="F58" s="530">
        <f>'1.1 Control Panel'!F855*'1.1 Control Panel'!F$823</f>
        <v>100</v>
      </c>
      <c r="G58" s="530">
        <f>'1.1 Control Panel'!G855*'1.1 Control Panel'!G$823</f>
        <v>100</v>
      </c>
      <c r="H58" s="530">
        <f>'1.1 Control Panel'!H855*'1.1 Control Panel'!H$823</f>
        <v>100</v>
      </c>
      <c r="I58" s="530">
        <f>'1.1 Control Panel'!I855*'1.1 Control Panel'!I$823</f>
        <v>100</v>
      </c>
      <c r="J58" s="530">
        <f>'1.1 Control Panel'!J855*'1.1 Control Panel'!J$823</f>
        <v>100</v>
      </c>
      <c r="K58" s="530">
        <f>'1.1 Control Panel'!K855*'1.1 Control Panel'!K$823</f>
        <v>100</v>
      </c>
      <c r="L58" s="530">
        <f>'1.1 Control Panel'!L855*'1.1 Control Panel'!L$823</f>
        <v>100</v>
      </c>
      <c r="M58" s="530">
        <f>'1.1 Control Panel'!M855*'1.1 Control Panel'!M$823</f>
        <v>100</v>
      </c>
      <c r="N58" s="530">
        <f>'1.1 Control Panel'!N855*'1.1 Control Panel'!N$823</f>
        <v>100</v>
      </c>
      <c r="O58" s="530">
        <f>'1.1 Control Panel'!O855*'1.1 Control Panel'!O$823</f>
        <v>100</v>
      </c>
      <c r="P58" s="530">
        <f>'1.1 Control Panel'!P855*'1.1 Control Panel'!P$823</f>
        <v>100</v>
      </c>
      <c r="Q58" s="530">
        <f>'1.1 Control Panel'!Q855*'1.1 Control Panel'!Q$823</f>
        <v>100</v>
      </c>
      <c r="R58" s="530">
        <f>'1.1 Control Panel'!R855*'1.1 Control Panel'!R$823</f>
        <v>100</v>
      </c>
      <c r="S58" s="530">
        <f>'1.1 Control Panel'!S855*'1.1 Control Panel'!S$823</f>
        <v>100</v>
      </c>
      <c r="T58" s="530">
        <f>'1.1 Control Panel'!T855*'1.1 Control Panel'!T$823</f>
        <v>100</v>
      </c>
      <c r="U58" s="530">
        <f>'1.1 Control Panel'!U855*'1.1 Control Panel'!U$823</f>
        <v>100</v>
      </c>
      <c r="V58" s="530">
        <f>'1.1 Control Panel'!V855*'1.1 Control Panel'!V$823</f>
        <v>100</v>
      </c>
      <c r="W58" s="530">
        <f>'1.1 Control Panel'!W855*'1.1 Control Panel'!W$823</f>
        <v>100</v>
      </c>
      <c r="X58" s="530">
        <f>'1.1 Control Panel'!X855*'1.1 Control Panel'!X$823</f>
        <v>100</v>
      </c>
      <c r="Y58" s="530">
        <f>'1.1 Control Panel'!Y855*'1.1 Control Panel'!Y$823</f>
        <v>100</v>
      </c>
      <c r="Z58" s="530">
        <f>'1.1 Control Panel'!Z855*'1.1 Control Panel'!Z$823</f>
        <v>100</v>
      </c>
      <c r="AA58" s="530">
        <f>'1.1 Control Panel'!AA855*'1.1 Control Panel'!AA$823</f>
        <v>100</v>
      </c>
      <c r="AB58" s="530">
        <f>'1.1 Control Panel'!AB855*'1.1 Control Panel'!AB$823</f>
        <v>100</v>
      </c>
      <c r="AC58" s="530">
        <f>'1.1 Control Panel'!AC855*'1.1 Control Panel'!AC$823</f>
        <v>100</v>
      </c>
      <c r="AD58" s="530">
        <f>'1.1 Control Panel'!AD855*'1.1 Control Panel'!AD$823</f>
        <v>100</v>
      </c>
      <c r="AE58" s="530">
        <f>'1.1 Control Panel'!AE855*'1.1 Control Panel'!AE$823</f>
        <v>100</v>
      </c>
      <c r="AF58" s="530">
        <f>'1.1 Control Panel'!AF855*'1.1 Control Panel'!AF$823</f>
        <v>100</v>
      </c>
      <c r="AG58" s="530">
        <f>'1.1 Control Panel'!AG855*'1.1 Control Panel'!AG$823</f>
        <v>100</v>
      </c>
      <c r="AH58" s="530">
        <f>'1.1 Control Panel'!AH855*'1.1 Control Panel'!AH$823</f>
        <v>100</v>
      </c>
      <c r="AI58" s="530">
        <f>'1.1 Control Panel'!AI855*'1.1 Control Panel'!AI$823</f>
        <v>100</v>
      </c>
      <c r="AJ58" s="530">
        <f>'1.1 Control Panel'!AJ855*'1.1 Control Panel'!AJ$823</f>
        <v>100</v>
      </c>
      <c r="AK58" s="530">
        <f>'1.1 Control Panel'!AK855*'1.1 Control Panel'!AK$823</f>
        <v>100</v>
      </c>
      <c r="AL58" s="530">
        <f>'1.1 Control Panel'!AL855*'1.1 Control Panel'!AL$823</f>
        <v>100</v>
      </c>
      <c r="AM58" s="530">
        <f>'1.1 Control Panel'!AM855*'1.1 Control Panel'!AM$823</f>
        <v>100</v>
      </c>
      <c r="AN58" s="530">
        <f>'1.1 Control Panel'!AN855*'1.1 Control Panel'!AN$823</f>
        <v>100</v>
      </c>
      <c r="AP58" s="22"/>
    </row>
    <row r="59" spans="2:42" ht="11.5" customHeight="1" x14ac:dyDescent="0.25">
      <c r="B59" s="33" t="s">
        <v>9</v>
      </c>
      <c r="C59" s="520" t="s">
        <v>792</v>
      </c>
      <c r="D59" s="528" t="s">
        <v>46</v>
      </c>
      <c r="E59" s="531">
        <f>SUM(E60:E61)</f>
        <v>2366</v>
      </c>
      <c r="F59" s="531">
        <f t="shared" ref="F59:AN59" si="39">SUM(F60:F61)</f>
        <v>2776</v>
      </c>
      <c r="G59" s="531">
        <f t="shared" si="39"/>
        <v>3127.6000000000004</v>
      </c>
      <c r="H59" s="531">
        <f t="shared" si="39"/>
        <v>3391.48</v>
      </c>
      <c r="I59" s="531">
        <f t="shared" si="39"/>
        <v>4937.2640000000001</v>
      </c>
      <c r="J59" s="531">
        <f t="shared" si="39"/>
        <v>6889.883200000002</v>
      </c>
      <c r="K59" s="531">
        <f t="shared" si="39"/>
        <v>7140.1065600000002</v>
      </c>
      <c r="L59" s="531">
        <f t="shared" si="39"/>
        <v>7340.6852480000016</v>
      </c>
      <c r="M59" s="531">
        <f t="shared" si="39"/>
        <v>8955.2905984000026</v>
      </c>
      <c r="N59" s="531">
        <f t="shared" si="39"/>
        <v>9518.4552627200028</v>
      </c>
      <c r="O59" s="531">
        <f t="shared" si="39"/>
        <v>10059.152502784002</v>
      </c>
      <c r="P59" s="531">
        <f t="shared" si="39"/>
        <v>10585.112636313601</v>
      </c>
      <c r="Q59" s="531">
        <f t="shared" si="39"/>
        <v>16327.973430292481</v>
      </c>
      <c r="R59" s="531">
        <f t="shared" si="39"/>
        <v>16433.578744233986</v>
      </c>
      <c r="S59" s="531">
        <f t="shared" si="39"/>
        <v>16518.06299538719</v>
      </c>
      <c r="T59" s="531">
        <f t="shared" si="39"/>
        <v>16585.450396309752</v>
      </c>
      <c r="U59" s="531">
        <f t="shared" si="39"/>
        <v>23620.614048778421</v>
      </c>
      <c r="V59" s="531">
        <f t="shared" si="39"/>
        <v>23681.091239022739</v>
      </c>
      <c r="W59" s="531">
        <f t="shared" si="39"/>
        <v>23729.072991218192</v>
      </c>
      <c r="X59" s="531">
        <f t="shared" si="39"/>
        <v>23767.858392974551</v>
      </c>
      <c r="Y59" s="531">
        <f t="shared" si="39"/>
        <v>25441.52210685661</v>
      </c>
      <c r="Z59" s="531">
        <f t="shared" si="39"/>
        <v>25467.217685485288</v>
      </c>
      <c r="AA59" s="531">
        <f t="shared" si="39"/>
        <v>25487.974148388232</v>
      </c>
      <c r="AB59" s="531">
        <f t="shared" si="39"/>
        <v>25504.779318710585</v>
      </c>
      <c r="AC59" s="531">
        <f t="shared" si="39"/>
        <v>41610.186297967666</v>
      </c>
      <c r="AD59" s="531">
        <f t="shared" si="39"/>
        <v>41628.149038374133</v>
      </c>
      <c r="AE59" s="531">
        <f t="shared" si="39"/>
        <v>41641.719230699309</v>
      </c>
      <c r="AF59" s="531">
        <f t="shared" si="39"/>
        <v>41653.575384559459</v>
      </c>
      <c r="AG59" s="531">
        <f t="shared" si="39"/>
        <v>58827.329637080969</v>
      </c>
      <c r="AH59" s="531">
        <f t="shared" si="39"/>
        <v>58836.863709664758</v>
      </c>
      <c r="AI59" s="531">
        <f t="shared" si="39"/>
        <v>58844.490967731814</v>
      </c>
      <c r="AJ59" s="531">
        <f t="shared" si="39"/>
        <v>58851.592774185468</v>
      </c>
      <c r="AK59" s="531">
        <f t="shared" si="39"/>
        <v>71809.706920220808</v>
      </c>
      <c r="AL59" s="531">
        <f t="shared" si="39"/>
        <v>71814.365536176658</v>
      </c>
      <c r="AM59" s="531">
        <f t="shared" si="39"/>
        <v>71818.092428941323</v>
      </c>
      <c r="AN59" s="531">
        <f t="shared" si="39"/>
        <v>71821.073943153067</v>
      </c>
      <c r="AP59" s="581"/>
    </row>
    <row r="60" spans="2:42" ht="11.5" customHeight="1" x14ac:dyDescent="0.25">
      <c r="C60" s="3" t="s">
        <v>781</v>
      </c>
      <c r="D60" s="34" t="s">
        <v>46</v>
      </c>
      <c r="E60" s="2">
        <f>'1.1 Control Panel'!E857*E26</f>
        <v>140</v>
      </c>
      <c r="F60" s="2">
        <f>'1.1 Control Panel'!F857*F26</f>
        <v>140</v>
      </c>
      <c r="G60" s="2">
        <f>'1.1 Control Panel'!G857*G26</f>
        <v>140</v>
      </c>
      <c r="H60" s="2">
        <f>'1.1 Control Panel'!H857*H26</f>
        <v>140</v>
      </c>
      <c r="I60" s="2">
        <f>'1.1 Control Panel'!I857*I26</f>
        <v>140</v>
      </c>
      <c r="J60" s="2">
        <f>'1.1 Control Panel'!J857*J26</f>
        <v>140</v>
      </c>
      <c r="K60" s="2">
        <f>'1.1 Control Panel'!K857*K26</f>
        <v>140</v>
      </c>
      <c r="L60" s="2">
        <f>'1.1 Control Panel'!L857*L26</f>
        <v>140</v>
      </c>
      <c r="M60" s="2">
        <f>'1.1 Control Panel'!M857*M26</f>
        <v>140</v>
      </c>
      <c r="N60" s="2">
        <f>'1.1 Control Panel'!N857*N26</f>
        <v>140</v>
      </c>
      <c r="O60" s="2">
        <f>'1.1 Control Panel'!O857*O26</f>
        <v>140</v>
      </c>
      <c r="P60" s="2">
        <f>'1.1 Control Panel'!P857*P26</f>
        <v>140</v>
      </c>
      <c r="Q60" s="2">
        <f>'1.1 Control Panel'!Q857*Q26</f>
        <v>140</v>
      </c>
      <c r="R60" s="2">
        <f>'1.1 Control Panel'!R857*R26</f>
        <v>140</v>
      </c>
      <c r="S60" s="2">
        <f>'1.1 Control Panel'!S857*S26</f>
        <v>140</v>
      </c>
      <c r="T60" s="2">
        <f>'1.1 Control Panel'!T857*T26</f>
        <v>140</v>
      </c>
      <c r="U60" s="2">
        <f>'1.1 Control Panel'!U857*U26</f>
        <v>140</v>
      </c>
      <c r="V60" s="2">
        <f>'1.1 Control Panel'!V857*V26</f>
        <v>140</v>
      </c>
      <c r="W60" s="2">
        <f>'1.1 Control Panel'!W857*W26</f>
        <v>140</v>
      </c>
      <c r="X60" s="2">
        <f>'1.1 Control Panel'!X857*X26</f>
        <v>140</v>
      </c>
      <c r="Y60" s="2">
        <f>'1.1 Control Panel'!Y857*Y26</f>
        <v>140</v>
      </c>
      <c r="Z60" s="2">
        <f>'1.1 Control Panel'!Z857*Z26</f>
        <v>140</v>
      </c>
      <c r="AA60" s="2">
        <f>'1.1 Control Panel'!AA857*AA26</f>
        <v>140</v>
      </c>
      <c r="AB60" s="2">
        <f>'1.1 Control Panel'!AB857*AB26</f>
        <v>140</v>
      </c>
      <c r="AC60" s="2">
        <f>'1.1 Control Panel'!AC857*AC26</f>
        <v>140</v>
      </c>
      <c r="AD60" s="2">
        <f>'1.1 Control Panel'!AD857*AD26</f>
        <v>140</v>
      </c>
      <c r="AE60" s="2">
        <f>'1.1 Control Panel'!AE857*AE26</f>
        <v>140</v>
      </c>
      <c r="AF60" s="2">
        <f>'1.1 Control Panel'!AF857*AF26</f>
        <v>140</v>
      </c>
      <c r="AG60" s="2">
        <f>'1.1 Control Panel'!AG857*AG26</f>
        <v>140</v>
      </c>
      <c r="AH60" s="2">
        <f>'1.1 Control Panel'!AH857*AH26</f>
        <v>140</v>
      </c>
      <c r="AI60" s="2">
        <f>'1.1 Control Panel'!AI857*AI26</f>
        <v>140</v>
      </c>
      <c r="AJ60" s="2">
        <f>'1.1 Control Panel'!AJ857*AJ26</f>
        <v>140</v>
      </c>
      <c r="AK60" s="2">
        <f>'1.1 Control Panel'!AK857*AK26</f>
        <v>140</v>
      </c>
      <c r="AL60" s="2">
        <f>'1.1 Control Panel'!AL857*AL26</f>
        <v>140</v>
      </c>
      <c r="AM60" s="2">
        <f>'1.1 Control Panel'!AM857*AM26</f>
        <v>140</v>
      </c>
      <c r="AN60" s="2">
        <f>'1.1 Control Panel'!AN857*AN26</f>
        <v>140</v>
      </c>
    </row>
    <row r="61" spans="2:42" ht="11.5" customHeight="1" x14ac:dyDescent="0.25">
      <c r="C61" s="26" t="s">
        <v>782</v>
      </c>
      <c r="D61" s="319" t="s">
        <v>46</v>
      </c>
      <c r="E61" s="532">
        <f>'1.1 Control Panel'!E858*'3.2 Doojo Base'!E10</f>
        <v>2226</v>
      </c>
      <c r="F61" s="532">
        <f>'1.1 Control Panel'!F858*'3.2 Doojo Base'!F10</f>
        <v>2636</v>
      </c>
      <c r="G61" s="532">
        <f>'1.1 Control Panel'!G858*'3.2 Doojo Base'!G10</f>
        <v>2987.6000000000004</v>
      </c>
      <c r="H61" s="532">
        <f>'1.1 Control Panel'!H858*'3.2 Doojo Base'!H10</f>
        <v>3251.48</v>
      </c>
      <c r="I61" s="532">
        <f>'1.1 Control Panel'!I858*'3.2 Doojo Base'!I10</f>
        <v>4797.2640000000001</v>
      </c>
      <c r="J61" s="532">
        <f>'1.1 Control Panel'!J858*'3.2 Doojo Base'!J10</f>
        <v>6749.883200000002</v>
      </c>
      <c r="K61" s="532">
        <f>'1.1 Control Panel'!K858*'3.2 Doojo Base'!K10</f>
        <v>7000.1065600000002</v>
      </c>
      <c r="L61" s="532">
        <f>'1.1 Control Panel'!L858*'3.2 Doojo Base'!L10</f>
        <v>7200.6852480000016</v>
      </c>
      <c r="M61" s="532">
        <f>'1.1 Control Panel'!M858*'3.2 Doojo Base'!M10</f>
        <v>8815.2905984000026</v>
      </c>
      <c r="N61" s="532">
        <f>'1.1 Control Panel'!N858*'3.2 Doojo Base'!N10</f>
        <v>9378.4552627200028</v>
      </c>
      <c r="O61" s="532">
        <f>'1.1 Control Panel'!O858*'3.2 Doojo Base'!O10</f>
        <v>9919.1525027840016</v>
      </c>
      <c r="P61" s="532">
        <f>'1.1 Control Panel'!P858*'3.2 Doojo Base'!P10</f>
        <v>10445.112636313601</v>
      </c>
      <c r="Q61" s="532">
        <f>'1.1 Control Panel'!Q858*'3.2 Doojo Base'!Q10</f>
        <v>16187.973430292481</v>
      </c>
      <c r="R61" s="532">
        <f>'1.1 Control Panel'!R858*'3.2 Doojo Base'!R10</f>
        <v>16293.578744233986</v>
      </c>
      <c r="S61" s="532">
        <f>'1.1 Control Panel'!S858*'3.2 Doojo Base'!S10</f>
        <v>16378.06299538719</v>
      </c>
      <c r="T61" s="532">
        <f>'1.1 Control Panel'!T858*'3.2 Doojo Base'!T10</f>
        <v>16445.450396309752</v>
      </c>
      <c r="U61" s="532">
        <f>'1.1 Control Panel'!U858*'3.2 Doojo Base'!U10</f>
        <v>23480.614048778421</v>
      </c>
      <c r="V61" s="532">
        <f>'1.1 Control Panel'!V858*'3.2 Doojo Base'!V10</f>
        <v>23541.091239022739</v>
      </c>
      <c r="W61" s="532">
        <f>'1.1 Control Panel'!W858*'3.2 Doojo Base'!W10</f>
        <v>23589.072991218192</v>
      </c>
      <c r="X61" s="532">
        <f>'1.1 Control Panel'!X858*'3.2 Doojo Base'!X10</f>
        <v>23627.858392974551</v>
      </c>
      <c r="Y61" s="532">
        <f>'1.1 Control Panel'!Y858*'3.2 Doojo Base'!Y10</f>
        <v>25301.52210685661</v>
      </c>
      <c r="Z61" s="532">
        <f>'1.1 Control Panel'!Z858*'3.2 Doojo Base'!Z10</f>
        <v>25327.217685485288</v>
      </c>
      <c r="AA61" s="532">
        <f>'1.1 Control Panel'!AA858*'3.2 Doojo Base'!AA10</f>
        <v>25347.974148388232</v>
      </c>
      <c r="AB61" s="532">
        <f>'1.1 Control Panel'!AB858*'3.2 Doojo Base'!AB10</f>
        <v>25364.779318710585</v>
      </c>
      <c r="AC61" s="532">
        <f>'1.1 Control Panel'!AC858*'3.2 Doojo Base'!AC10</f>
        <v>41470.186297967666</v>
      </c>
      <c r="AD61" s="532">
        <f>'1.1 Control Panel'!AD858*'3.2 Doojo Base'!AD10</f>
        <v>41488.149038374133</v>
      </c>
      <c r="AE61" s="532">
        <f>'1.1 Control Panel'!AE858*'3.2 Doojo Base'!AE10</f>
        <v>41501.719230699309</v>
      </c>
      <c r="AF61" s="532">
        <f>'1.1 Control Panel'!AF858*'3.2 Doojo Base'!AF10</f>
        <v>41513.575384559459</v>
      </c>
      <c r="AG61" s="532">
        <f>'1.1 Control Panel'!AG858*'3.2 Doojo Base'!AG10</f>
        <v>58687.329637080969</v>
      </c>
      <c r="AH61" s="532">
        <f>'1.1 Control Panel'!AH858*'3.2 Doojo Base'!AH10</f>
        <v>58696.863709664758</v>
      </c>
      <c r="AI61" s="532">
        <f>'1.1 Control Panel'!AI858*'3.2 Doojo Base'!AI10</f>
        <v>58704.490967731814</v>
      </c>
      <c r="AJ61" s="532">
        <f>'1.1 Control Panel'!AJ858*'3.2 Doojo Base'!AJ10</f>
        <v>58711.592774185468</v>
      </c>
      <c r="AK61" s="532">
        <f>'1.1 Control Panel'!AK858*'3.2 Doojo Base'!AK10</f>
        <v>71669.706920220808</v>
      </c>
      <c r="AL61" s="532">
        <f>'1.1 Control Panel'!AL858*'3.2 Doojo Base'!AL10</f>
        <v>71674.365536176658</v>
      </c>
      <c r="AM61" s="532">
        <f>'1.1 Control Panel'!AM858*'3.2 Doojo Base'!AM10</f>
        <v>71678.092428941323</v>
      </c>
      <c r="AN61" s="532">
        <f>'1.1 Control Panel'!AN858*'3.2 Doojo Base'!AN10</f>
        <v>71681.073943153067</v>
      </c>
      <c r="AP61" s="26"/>
    </row>
    <row r="62" spans="2:42" ht="11.5" customHeight="1" x14ac:dyDescent="0.25">
      <c r="B62" s="19" t="s">
        <v>9</v>
      </c>
      <c r="C62" s="523" t="s">
        <v>758</v>
      </c>
      <c r="D62" s="527" t="s">
        <v>46</v>
      </c>
      <c r="E62" s="529">
        <f>SUM(E63:E64)</f>
        <v>13513.285400000002</v>
      </c>
      <c r="F62" s="529">
        <f t="shared" ref="F62:AN62" ca="1" si="40">SUM(F63:F64)</f>
        <v>17724.896699999998</v>
      </c>
      <c r="G62" s="529">
        <f t="shared" ca="1" si="40"/>
        <v>21553.726900000001</v>
      </c>
      <c r="H62" s="529">
        <f t="shared" ca="1" si="40"/>
        <v>24713.217199999999</v>
      </c>
      <c r="I62" s="529">
        <f t="shared" ca="1" si="40"/>
        <v>35580.228300000002</v>
      </c>
      <c r="J62" s="529">
        <f t="shared" ca="1" si="40"/>
        <v>58439.215400000001</v>
      </c>
      <c r="K62" s="529">
        <f t="shared" ca="1" si="40"/>
        <v>76649.615000000005</v>
      </c>
      <c r="L62" s="529">
        <f t="shared" ca="1" si="40"/>
        <v>93304.622600000002</v>
      </c>
      <c r="M62" s="529">
        <f t="shared" ca="1" si="40"/>
        <v>117392.7004</v>
      </c>
      <c r="N62" s="529">
        <f t="shared" ca="1" si="40"/>
        <v>140333.39170000001</v>
      </c>
      <c r="O62" s="529">
        <f t="shared" ca="1" si="40"/>
        <v>171161.03630000001</v>
      </c>
      <c r="P62" s="529">
        <f t="shared" ca="1" si="40"/>
        <v>201127.4013</v>
      </c>
      <c r="Q62" s="529">
        <f t="shared" ca="1" si="40"/>
        <v>268153.86570000002</v>
      </c>
      <c r="R62" s="529">
        <f t="shared" ca="1" si="40"/>
        <v>299440.07055</v>
      </c>
      <c r="S62" s="529">
        <f t="shared" ca="1" si="40"/>
        <v>330719.02777499997</v>
      </c>
      <c r="T62" s="529">
        <f t="shared" ca="1" si="40"/>
        <v>359540.15767500002</v>
      </c>
      <c r="U62" s="529">
        <f t="shared" ca="1" si="40"/>
        <v>429425.023575</v>
      </c>
      <c r="V62" s="529">
        <f t="shared" ca="1" si="40"/>
        <v>467928.51824999996</v>
      </c>
      <c r="W62" s="529">
        <f t="shared" ca="1" si="40"/>
        <v>513189.82034999999</v>
      </c>
      <c r="X62" s="529">
        <f t="shared" ca="1" si="40"/>
        <v>550557.77055000002</v>
      </c>
      <c r="Y62" s="529">
        <f t="shared" ca="1" si="40"/>
        <v>592022.3628</v>
      </c>
      <c r="Z62" s="529">
        <f t="shared" ca="1" si="40"/>
        <v>642260.15977499995</v>
      </c>
      <c r="AA62" s="529">
        <f t="shared" ca="1" si="40"/>
        <v>691006.17922499997</v>
      </c>
      <c r="AB62" s="529">
        <f t="shared" ca="1" si="40"/>
        <v>734397.8469</v>
      </c>
      <c r="AC62" s="529">
        <f t="shared" ca="1" si="40"/>
        <v>908025.58884374995</v>
      </c>
      <c r="AD62" s="529">
        <f t="shared" ca="1" si="40"/>
        <v>956956.00955624995</v>
      </c>
      <c r="AE62" s="529">
        <f t="shared" ca="1" si="40"/>
        <v>1002322.66175625</v>
      </c>
      <c r="AF62" s="529">
        <f t="shared" ca="1" si="40"/>
        <v>1040319.0438</v>
      </c>
      <c r="AG62" s="529">
        <f t="shared" ca="1" si="40"/>
        <v>1177631.3439937499</v>
      </c>
      <c r="AH62" s="529">
        <f t="shared" ca="1" si="40"/>
        <v>1260663.231525</v>
      </c>
      <c r="AI62" s="529">
        <f t="shared" ca="1" si="40"/>
        <v>1374956.8751437501</v>
      </c>
      <c r="AJ62" s="529">
        <f t="shared" ca="1" si="40"/>
        <v>1473192.0879375001</v>
      </c>
      <c r="AK62" s="529">
        <f t="shared" ca="1" si="40"/>
        <v>1641083.786475</v>
      </c>
      <c r="AL62" s="529">
        <f t="shared" ca="1" si="40"/>
        <v>1764159.9901312501</v>
      </c>
      <c r="AM62" s="529">
        <f t="shared" ca="1" si="40"/>
        <v>1914681.5470312501</v>
      </c>
      <c r="AN62" s="529">
        <f t="shared" ca="1" si="40"/>
        <v>2044175.8783125</v>
      </c>
      <c r="AP62" s="522"/>
    </row>
    <row r="63" spans="2:42" ht="11.5" customHeight="1" x14ac:dyDescent="0.25">
      <c r="C63" s="20" t="s">
        <v>769</v>
      </c>
      <c r="D63" s="34" t="s">
        <v>46</v>
      </c>
      <c r="E63" s="28">
        <f>SUM('3.3 Revenue'!E5:E7,'3.3 Revenue'!E56:E57)*'1.1 Control Panel'!E860</f>
        <v>10794.535400000002</v>
      </c>
      <c r="F63" s="28">
        <f>SUM('3.3 Revenue'!F5:F7,'3.3 Revenue'!F56:F57)*'1.1 Control Panel'!F860</f>
        <v>10693.646699999999</v>
      </c>
      <c r="G63" s="28">
        <f>SUM('3.3 Revenue'!G5:G7,'3.3 Revenue'!G56:G57)*'1.1 Control Panel'!G860</f>
        <v>10491.226900000001</v>
      </c>
      <c r="H63" s="28">
        <f>SUM('3.3 Revenue'!H5:H7,'3.3 Revenue'!H56:H57)*'1.1 Control Panel'!H860</f>
        <v>9900.7171999999991</v>
      </c>
      <c r="I63" s="28">
        <f>SUM('3.3 Revenue'!I5:I7,'3.3 Revenue'!I56:I57)*'1.1 Control Panel'!I860</f>
        <v>15611.478300000002</v>
      </c>
      <c r="J63" s="28">
        <f>SUM('3.3 Revenue'!J5:J7,'3.3 Revenue'!J56:J57)*'1.1 Control Panel'!J860</f>
        <v>22532.965400000001</v>
      </c>
      <c r="K63" s="28">
        <f>SUM('3.3 Revenue'!K5:K7,'3.3 Revenue'!K56:K57)*'1.1 Control Panel'!K860</f>
        <v>20212.115000000002</v>
      </c>
      <c r="L63" s="28">
        <f>SUM('3.3 Revenue'!L5:L7,'3.3 Revenue'!L56:L57)*'1.1 Control Panel'!L860</f>
        <v>18304.622599999999</v>
      </c>
      <c r="M63" s="28">
        <f>SUM('3.3 Revenue'!M5:M7,'3.3 Revenue'!M56:M57)*'1.1 Control Panel'!M860</f>
        <v>23642.700400000002</v>
      </c>
      <c r="N63" s="28">
        <f>SUM('3.3 Revenue'!N5:N7,'3.3 Revenue'!N56:N57)*'1.1 Control Panel'!N860</f>
        <v>23239.641699999996</v>
      </c>
      <c r="O63" s="28">
        <f>SUM('3.3 Revenue'!O5:O7,'3.3 Revenue'!O56:O57)*'1.1 Control Panel'!O860</f>
        <v>23317.286300000003</v>
      </c>
      <c r="P63" s="28">
        <f>SUM('3.3 Revenue'!P5:P7,'3.3 Revenue'!P56:P57)*'1.1 Control Panel'!P860</f>
        <v>23377.401300000001</v>
      </c>
      <c r="Q63" s="28">
        <f>SUM('3.3 Revenue'!Q5:Q7,'3.3 Revenue'!Q56:Q57)*'1.1 Control Panel'!Q860</f>
        <v>51197.615700000002</v>
      </c>
      <c r="R63" s="28">
        <f>SUM('3.3 Revenue'!R5:R7,'3.3 Revenue'!R56:R57)*'1.1 Control Panel'!R860</f>
        <v>46455.695550000004</v>
      </c>
      <c r="S63" s="28">
        <f>SUM('3.3 Revenue'!S5:S7,'3.3 Revenue'!S56:S57)*'1.1 Control Panel'!S860</f>
        <v>42789.340274999995</v>
      </c>
      <c r="T63" s="28">
        <f>SUM('3.3 Revenue'!T5:T7,'3.3 Revenue'!T56:T57)*'1.1 Control Panel'!T860</f>
        <v>39716.720175000002</v>
      </c>
      <c r="U63" s="28">
        <f>SUM('3.3 Revenue'!U5:U7,'3.3 Revenue'!U56:U57)*'1.1 Control Panel'!U860</f>
        <v>72589.086074999999</v>
      </c>
      <c r="V63" s="28">
        <f>SUM('3.3 Revenue'!V5:V7,'3.3 Revenue'!V56:V57)*'1.1 Control Panel'!V860</f>
        <v>66894.143249999994</v>
      </c>
      <c r="W63" s="28">
        <f>SUM('3.3 Revenue'!W5:W7,'3.3 Revenue'!W56:W57)*'1.1 Control Panel'!W860</f>
        <v>62149.195350000009</v>
      </c>
      <c r="X63" s="28">
        <f>SUM('3.3 Revenue'!X5:X7,'3.3 Revenue'!X56:X57)*'1.1 Control Panel'!X860</f>
        <v>57779.645550000001</v>
      </c>
      <c r="Y63" s="28">
        <f>SUM('3.3 Revenue'!Y5:Y7,'3.3 Revenue'!Y56:Y57)*'1.1 Control Panel'!Y860</f>
        <v>63609.862799999995</v>
      </c>
      <c r="Z63" s="28">
        <f>SUM('3.3 Revenue'!Z5:Z7,'3.3 Revenue'!Z56:Z57)*'1.1 Control Panel'!Z860</f>
        <v>60592.972275</v>
      </c>
      <c r="AA63" s="28">
        <f>SUM('3.3 Revenue'!AA5:AA7,'3.3 Revenue'!AA56:AA57)*'1.1 Control Panel'!AA860</f>
        <v>58348.366725</v>
      </c>
      <c r="AB63" s="28">
        <f>SUM('3.3 Revenue'!AB5:AB7,'3.3 Revenue'!AB56:AB57)*'1.1 Control Panel'!AB860</f>
        <v>56360.346900000004</v>
      </c>
      <c r="AC63" s="28">
        <f>SUM('3.3 Revenue'!AC5:AC7,'3.3 Revenue'!AC56:AC57)*'1.1 Control Panel'!AC860</f>
        <v>140995.66696874998</v>
      </c>
      <c r="AD63" s="28">
        <f>SUM('3.3 Revenue'!AD5:AD7,'3.3 Revenue'!AD56:AD57)*'1.1 Control Panel'!AD860</f>
        <v>128117.18143125001</v>
      </c>
      <c r="AE63" s="28">
        <f>SUM('3.3 Revenue'!AE5:AE7,'3.3 Revenue'!AE56:AE57)*'1.1 Control Panel'!AE860</f>
        <v>117256.33363125</v>
      </c>
      <c r="AF63" s="28">
        <f>SUM('3.3 Revenue'!AF5:AF7,'3.3 Revenue'!AF56:AF57)*'1.1 Control Panel'!AF860</f>
        <v>107604.04380000001</v>
      </c>
      <c r="AG63" s="28">
        <f>SUM('3.3 Revenue'!AG5:AG7,'3.3 Revenue'!AG56:AG57)*'1.1 Control Panel'!AG860</f>
        <v>191479.54711875002</v>
      </c>
      <c r="AH63" s="28">
        <f>SUM('3.3 Revenue'!AH5:AH7,'3.3 Revenue'!AH56:AH57)*'1.1 Control Panel'!AH860</f>
        <v>174562.91902499998</v>
      </c>
      <c r="AI63" s="28">
        <f>SUM('3.3 Revenue'!AI5:AI7,'3.3 Revenue'!AI56:AI57)*'1.1 Control Panel'!AI860</f>
        <v>161414.45326874999</v>
      </c>
      <c r="AJ63" s="28">
        <f>SUM('3.3 Revenue'!AJ5:AJ7,'3.3 Revenue'!AJ56:AJ57)*'1.1 Control Panel'!AJ860</f>
        <v>149985.36918750001</v>
      </c>
      <c r="AK63" s="28">
        <f>SUM('3.3 Revenue'!AK5:AK7,'3.3 Revenue'!AK56:AK57)*'1.1 Control Panel'!AK860</f>
        <v>206869.098975</v>
      </c>
      <c r="AL63" s="28">
        <f>SUM('3.3 Revenue'!AL5:AL7,'3.3 Revenue'!AL56:AL57)*'1.1 Control Panel'!AL860</f>
        <v>189066.47450625</v>
      </c>
      <c r="AM63" s="28">
        <f>SUM('3.3 Revenue'!AM5:AM7,'3.3 Revenue'!AM56:AM57)*'1.1 Control Panel'!AM860</f>
        <v>175866.78140625</v>
      </c>
      <c r="AN63" s="28">
        <f>SUM('3.3 Revenue'!AN5:AN7,'3.3 Revenue'!AN56:AN57)*'1.1 Control Panel'!AN860</f>
        <v>164895.72206249999</v>
      </c>
      <c r="AP63" s="20"/>
    </row>
    <row r="64" spans="2:42" ht="11.5" customHeight="1" x14ac:dyDescent="0.25">
      <c r="C64" s="26" t="s">
        <v>770</v>
      </c>
      <c r="D64" s="319" t="s">
        <v>46</v>
      </c>
      <c r="E64" s="532">
        <f>'1.1 Control Panel'!E861*SUM('3.3 Revenue'!E8,'3.3 Revenue'!E58)</f>
        <v>2718.75</v>
      </c>
      <c r="F64" s="532">
        <f ca="1">'1.1 Control Panel'!F861*SUM('3.3 Revenue'!F8,'3.3 Revenue'!F58)</f>
        <v>7031.25</v>
      </c>
      <c r="G64" s="532">
        <f ca="1">'1.1 Control Panel'!G861*SUM('3.3 Revenue'!G8,'3.3 Revenue'!G58)</f>
        <v>11062.5</v>
      </c>
      <c r="H64" s="532">
        <f ca="1">'1.1 Control Panel'!H861*SUM('3.3 Revenue'!H8,'3.3 Revenue'!H58)</f>
        <v>14812.5</v>
      </c>
      <c r="I64" s="532">
        <f ca="1">'1.1 Control Panel'!I861*SUM('3.3 Revenue'!I8,'3.3 Revenue'!I58)</f>
        <v>19968.75</v>
      </c>
      <c r="J64" s="532">
        <f ca="1">'1.1 Control Panel'!J861*SUM('3.3 Revenue'!J8,'3.3 Revenue'!J58)</f>
        <v>35906.25</v>
      </c>
      <c r="K64" s="532">
        <f ca="1">'1.1 Control Panel'!K861*SUM('3.3 Revenue'!K8,'3.3 Revenue'!K58)</f>
        <v>56437.5</v>
      </c>
      <c r="L64" s="532">
        <f ca="1">'1.1 Control Panel'!L861*SUM('3.3 Revenue'!L8,'3.3 Revenue'!L58)</f>
        <v>75000</v>
      </c>
      <c r="M64" s="532">
        <f ca="1">'1.1 Control Panel'!M861*SUM('3.3 Revenue'!M8,'3.3 Revenue'!M58)</f>
        <v>93750</v>
      </c>
      <c r="N64" s="532">
        <f ca="1">'1.1 Control Panel'!N861*SUM('3.3 Revenue'!N8,'3.3 Revenue'!N58)</f>
        <v>117093.75</v>
      </c>
      <c r="O64" s="532">
        <f ca="1">'1.1 Control Panel'!O861*SUM('3.3 Revenue'!O8,'3.3 Revenue'!O58)</f>
        <v>147843.75</v>
      </c>
      <c r="P64" s="532">
        <f ca="1">'1.1 Control Panel'!P861*SUM('3.3 Revenue'!P8,'3.3 Revenue'!P58)</f>
        <v>177750</v>
      </c>
      <c r="Q64" s="532">
        <f ca="1">'1.1 Control Panel'!Q861*SUM('3.3 Revenue'!Q8,'3.3 Revenue'!Q58)</f>
        <v>216956.25</v>
      </c>
      <c r="R64" s="532">
        <f ca="1">'1.1 Control Panel'!R861*SUM('3.3 Revenue'!R8,'3.3 Revenue'!R58)</f>
        <v>252984.375</v>
      </c>
      <c r="S64" s="532">
        <f ca="1">'1.1 Control Panel'!S861*SUM('3.3 Revenue'!S8,'3.3 Revenue'!S58)</f>
        <v>287929.6875</v>
      </c>
      <c r="T64" s="532">
        <f ca="1">'1.1 Control Panel'!T861*SUM('3.3 Revenue'!T8,'3.3 Revenue'!T58)</f>
        <v>319823.4375</v>
      </c>
      <c r="U64" s="532">
        <f ca="1">'1.1 Control Panel'!U861*SUM('3.3 Revenue'!U8,'3.3 Revenue'!U58)</f>
        <v>356835.9375</v>
      </c>
      <c r="V64" s="532">
        <f ca="1">'1.1 Control Panel'!V861*SUM('3.3 Revenue'!V8,'3.3 Revenue'!V58)</f>
        <v>401034.375</v>
      </c>
      <c r="W64" s="532">
        <f ca="1">'1.1 Control Panel'!W861*SUM('3.3 Revenue'!W8,'3.3 Revenue'!W58)</f>
        <v>451040.625</v>
      </c>
      <c r="X64" s="532">
        <f ca="1">'1.1 Control Panel'!X861*SUM('3.3 Revenue'!X8,'3.3 Revenue'!X58)</f>
        <v>492778.125</v>
      </c>
      <c r="Y64" s="532">
        <f ca="1">'1.1 Control Panel'!Y861*SUM('3.3 Revenue'!Y8,'3.3 Revenue'!Y58)</f>
        <v>528412.5</v>
      </c>
      <c r="Z64" s="532">
        <f ca="1">'1.1 Control Panel'!Z861*SUM('3.3 Revenue'!Z8,'3.3 Revenue'!Z58)</f>
        <v>581667.1875</v>
      </c>
      <c r="AA64" s="532">
        <f ca="1">'1.1 Control Panel'!AA861*SUM('3.3 Revenue'!AA8,'3.3 Revenue'!AA58)</f>
        <v>632657.8125</v>
      </c>
      <c r="AB64" s="532">
        <f ca="1">'1.1 Control Panel'!AB861*SUM('3.3 Revenue'!AB8,'3.3 Revenue'!AB58)</f>
        <v>678037.5</v>
      </c>
      <c r="AC64" s="532">
        <f ca="1">'1.1 Control Panel'!AC861*SUM('3.3 Revenue'!AC8,'3.3 Revenue'!AC58)</f>
        <v>767029.921875</v>
      </c>
      <c r="AD64" s="532">
        <f ca="1">'1.1 Control Panel'!AD861*SUM('3.3 Revenue'!AD8,'3.3 Revenue'!AD58)</f>
        <v>828838.828125</v>
      </c>
      <c r="AE64" s="532">
        <f ca="1">'1.1 Control Panel'!AE861*SUM('3.3 Revenue'!AE8,'3.3 Revenue'!AE58)</f>
        <v>885066.328125</v>
      </c>
      <c r="AF64" s="532">
        <f ca="1">'1.1 Control Panel'!AF861*SUM('3.3 Revenue'!AF8,'3.3 Revenue'!AF58)</f>
        <v>932715</v>
      </c>
      <c r="AG64" s="532">
        <f ca="1">'1.1 Control Panel'!AG861*SUM('3.3 Revenue'!AG8,'3.3 Revenue'!AG58)</f>
        <v>986151.796875</v>
      </c>
      <c r="AH64" s="532">
        <f ca="1">'1.1 Control Panel'!AH861*SUM('3.3 Revenue'!AH8,'3.3 Revenue'!AH58)</f>
        <v>1086100.3125</v>
      </c>
      <c r="AI64" s="532">
        <f ca="1">'1.1 Control Panel'!AI861*SUM('3.3 Revenue'!AI8,'3.3 Revenue'!AI58)</f>
        <v>1213542.421875</v>
      </c>
      <c r="AJ64" s="532">
        <f ca="1">'1.1 Control Panel'!AJ861*SUM('3.3 Revenue'!AJ8,'3.3 Revenue'!AJ58)</f>
        <v>1323206.71875</v>
      </c>
      <c r="AK64" s="532">
        <f ca="1">'1.1 Control Panel'!AK861*SUM('3.3 Revenue'!AK8,'3.3 Revenue'!AK58)</f>
        <v>1434214.6875</v>
      </c>
      <c r="AL64" s="532">
        <f ca="1">'1.1 Control Panel'!AL861*SUM('3.3 Revenue'!AL8,'3.3 Revenue'!AL58)</f>
        <v>1575093.515625</v>
      </c>
      <c r="AM64" s="532">
        <f ca="1">'1.1 Control Panel'!AM861*SUM('3.3 Revenue'!AM8,'3.3 Revenue'!AM58)</f>
        <v>1738814.765625</v>
      </c>
      <c r="AN64" s="532">
        <f ca="1">'1.1 Control Panel'!AN861*SUM('3.3 Revenue'!AN8,'3.3 Revenue'!AN58)</f>
        <v>1879280.15625</v>
      </c>
      <c r="AP64" s="26"/>
    </row>
    <row r="65" spans="2:42" ht="11.5" customHeight="1" x14ac:dyDescent="0.25">
      <c r="B65" s="19" t="s">
        <v>9</v>
      </c>
      <c r="C65" s="523" t="s">
        <v>756</v>
      </c>
      <c r="D65" s="527" t="s">
        <v>46</v>
      </c>
      <c r="E65" s="529">
        <f>SUM(E66:E68)</f>
        <v>147751.42800000001</v>
      </c>
      <c r="F65" s="529">
        <f t="shared" ref="F65:AN65" ca="1" si="41">SUM(F66:F68)</f>
        <v>196317.99400000001</v>
      </c>
      <c r="G65" s="529">
        <f t="shared" ca="1" si="41"/>
        <v>242824.95799999998</v>
      </c>
      <c r="H65" s="529">
        <f t="shared" ca="1" si="41"/>
        <v>276751.304</v>
      </c>
      <c r="I65" s="529">
        <f t="shared" ca="1" si="41"/>
        <v>391509.50600000005</v>
      </c>
      <c r="J65" s="529">
        <f t="shared" ca="1" si="41"/>
        <v>610344.02799999993</v>
      </c>
      <c r="K65" s="529">
        <f t="shared" ca="1" si="41"/>
        <v>752999.3</v>
      </c>
      <c r="L65" s="529">
        <f t="shared" ca="1" si="41"/>
        <v>883281.1320000001</v>
      </c>
      <c r="M65" s="529">
        <f t="shared" ca="1" si="41"/>
        <v>1087986.7280000001</v>
      </c>
      <c r="N65" s="529">
        <f t="shared" ca="1" si="41"/>
        <v>1262878.8940000001</v>
      </c>
      <c r="O65" s="529">
        <f t="shared" ca="1" si="41"/>
        <v>1488020.0660000001</v>
      </c>
      <c r="P65" s="529">
        <f t="shared" ca="1" si="41"/>
        <v>1707504.3660000002</v>
      </c>
      <c r="Q65" s="529">
        <f t="shared" ca="1" si="41"/>
        <v>2289461.574</v>
      </c>
      <c r="R65" s="529">
        <f t="shared" ca="1" si="41"/>
        <v>2521027.4010000005</v>
      </c>
      <c r="S65" s="529">
        <f t="shared" ca="1" si="41"/>
        <v>2747330.0504999999</v>
      </c>
      <c r="T65" s="529">
        <f t="shared" ca="1" si="41"/>
        <v>2964368.4685</v>
      </c>
      <c r="U65" s="529">
        <f t="shared" ca="1" si="41"/>
        <v>3570886.4065</v>
      </c>
      <c r="V65" s="529">
        <f t="shared" ca="1" si="41"/>
        <v>3865188.2149999999</v>
      </c>
      <c r="W65" s="529">
        <f t="shared" ca="1" si="41"/>
        <v>4189936.0370000005</v>
      </c>
      <c r="X65" s="529">
        <f t="shared" ca="1" si="41"/>
        <v>4460241.4010000005</v>
      </c>
      <c r="Y65" s="529">
        <f t="shared" ca="1" si="41"/>
        <v>4768404.2960000001</v>
      </c>
      <c r="Z65" s="529">
        <f t="shared" ca="1" si="41"/>
        <v>5117950.2905000001</v>
      </c>
      <c r="AA65" s="529">
        <f t="shared" ca="1" si="41"/>
        <v>5453806.6895000003</v>
      </c>
      <c r="AB65" s="529">
        <f t="shared" ca="1" si="41"/>
        <v>5752723.358</v>
      </c>
      <c r="AC65" s="529">
        <f t="shared" ca="1" si="41"/>
        <v>7169888.5706249997</v>
      </c>
      <c r="AD65" s="529">
        <f t="shared" ca="1" si="41"/>
        <v>7558532.5173749998</v>
      </c>
      <c r="AE65" s="529">
        <f t="shared" ca="1" si="41"/>
        <v>7913635.5213750005</v>
      </c>
      <c r="AF65" s="529">
        <f t="shared" ca="1" si="41"/>
        <v>8213743.716</v>
      </c>
      <c r="AG65" s="529">
        <f t="shared" ca="1" si="41"/>
        <v>9412489.9436249994</v>
      </c>
      <c r="AH65" s="529">
        <f t="shared" ca="1" si="41"/>
        <v>10048055.875500001</v>
      </c>
      <c r="AI65" s="529">
        <f t="shared" ca="1" si="41"/>
        <v>10873763.636624999</v>
      </c>
      <c r="AJ65" s="529">
        <f t="shared" ca="1" si="41"/>
        <v>11584078.796250001</v>
      </c>
      <c r="AK65" s="529">
        <f t="shared" ca="1" si="41"/>
        <v>12927556.884500001</v>
      </c>
      <c r="AL65" s="529">
        <f t="shared" ca="1" si="41"/>
        <v>13834380.663875001</v>
      </c>
      <c r="AM65" s="529">
        <f t="shared" ca="1" si="41"/>
        <v>14901856.221875001</v>
      </c>
      <c r="AN65" s="529">
        <f t="shared" ca="1" si="41"/>
        <v>15818344.778750001</v>
      </c>
      <c r="AO65" s="266"/>
      <c r="AP65" s="522"/>
    </row>
    <row r="66" spans="2:42" ht="11.5" customHeight="1" x14ac:dyDescent="0.25">
      <c r="C66" s="20" t="s">
        <v>751</v>
      </c>
      <c r="D66" s="34" t="s">
        <v>46</v>
      </c>
      <c r="E66" s="28">
        <f>'3.3 Revenue'!E10*'1.1 Control Panel'!E863</f>
        <v>18875.714000000004</v>
      </c>
      <c r="F66" s="28">
        <f ca="1">'3.3 Revenue'!F10*'1.1 Control Panel'!F863</f>
        <v>33158.996999999996</v>
      </c>
      <c r="G66" s="28">
        <f ca="1">'3.3 Revenue'!G10*'1.1 Control Panel'!G863</f>
        <v>46412.478999999999</v>
      </c>
      <c r="H66" s="28">
        <f ca="1">'3.3 Revenue'!H10*'1.1 Control Panel'!H863</f>
        <v>58375.652000000002</v>
      </c>
      <c r="I66" s="28">
        <f ca="1">'3.3 Revenue'!I10*'1.1 Control Panel'!I863</f>
        <v>80754.753000000012</v>
      </c>
      <c r="J66" s="28">
        <f ca="1">'3.3 Revenue'!J10*'1.1 Control Panel'!J863</f>
        <v>140172.014</v>
      </c>
      <c r="K66" s="28">
        <f ca="1">'3.3 Revenue'!K10*'1.1 Control Panel'!K863</f>
        <v>206499.65000000002</v>
      </c>
      <c r="L66" s="28">
        <f ca="1">'3.3 Revenue'!L10*'1.1 Control Panel'!L863</f>
        <v>266640.56600000005</v>
      </c>
      <c r="M66" s="28">
        <f ca="1">'3.3 Revenue'!M10*'1.1 Control Panel'!M863</f>
        <v>333993.36400000006</v>
      </c>
      <c r="N66" s="28">
        <f ca="1">'3.3 Revenue'!N10*'1.1 Control Panel'!N863</f>
        <v>411439.44700000004</v>
      </c>
      <c r="O66" s="28">
        <f ca="1">'3.3 Revenue'!O10*'1.1 Control Panel'!O863</f>
        <v>514010.03300000005</v>
      </c>
      <c r="P66" s="28">
        <f ca="1">'3.3 Revenue'!P10*'1.1 Control Panel'!P863</f>
        <v>613752.18300000008</v>
      </c>
      <c r="Q66" s="28">
        <f ca="1">'3.3 Revenue'!Q10*'1.1 Control Panel'!Q863</f>
        <v>769730.78700000001</v>
      </c>
      <c r="R66" s="28">
        <f ca="1">'3.3 Revenue'!R10*'1.1 Control Panel'!R863</f>
        <v>885513.70050000015</v>
      </c>
      <c r="S66" s="28">
        <f ca="1">'3.3 Revenue'!S10*'1.1 Control Panel'!S863</f>
        <v>998665.02524999995</v>
      </c>
      <c r="T66" s="28">
        <f ca="1">'3.3 Revenue'!T10*'1.1 Control Panel'!T863</f>
        <v>1102184.23425</v>
      </c>
      <c r="U66" s="28">
        <f ca="1">'3.3 Revenue'!U10*'1.1 Control Panel'!U863</f>
        <v>1255443.20325</v>
      </c>
      <c r="V66" s="28">
        <f ca="1">'3.3 Revenue'!V10*'1.1 Control Panel'!V863</f>
        <v>1397594.1074999999</v>
      </c>
      <c r="W66" s="28">
        <f ca="1">'3.3 Revenue'!W10*'1.1 Control Panel'!W863</f>
        <v>1559968.0185000002</v>
      </c>
      <c r="X66" s="28">
        <f ca="1">'3.3 Revenue'!X10*'1.1 Control Panel'!X863</f>
        <v>1695120.7005</v>
      </c>
      <c r="Y66" s="28">
        <f ca="1">'3.3 Revenue'!Y10*'1.1 Control Panel'!Y863</f>
        <v>1819202.148</v>
      </c>
      <c r="Z66" s="28">
        <f ca="1">'3.3 Revenue'!Z10*'1.1 Control Panel'!Z863</f>
        <v>1993975.1452500001</v>
      </c>
      <c r="AA66" s="28">
        <f ca="1">'3.3 Revenue'!AA10*'1.1 Control Panel'!AA863</f>
        <v>2161903.3447500002</v>
      </c>
      <c r="AB66" s="28">
        <f ca="1">'3.3 Revenue'!AB10*'1.1 Control Panel'!AB863</f>
        <v>2311361.679</v>
      </c>
      <c r="AC66" s="28">
        <f ca="1">'3.3 Revenue'!AC10*'1.1 Control Panel'!AC863</f>
        <v>2684944.2853124999</v>
      </c>
      <c r="AD66" s="28">
        <f ca="1">'3.3 Revenue'!AD10*'1.1 Control Panel'!AD863</f>
        <v>2879266.2586874999</v>
      </c>
      <c r="AE66" s="28">
        <f ca="1">'3.3 Revenue'!AE10*'1.1 Control Panel'!AE863</f>
        <v>3056817.7606875002</v>
      </c>
      <c r="AF66" s="28">
        <f ca="1">'3.3 Revenue'!AF10*'1.1 Control Panel'!AF863</f>
        <v>3206871.858</v>
      </c>
      <c r="AG66" s="28">
        <f ca="1">'3.3 Revenue'!AG10*'1.1 Control Panel'!AG863</f>
        <v>3461244.9718125002</v>
      </c>
      <c r="AH66" s="28">
        <f ca="1">'3.3 Revenue'!AH10*'1.1 Control Panel'!AH863</f>
        <v>3779027.93775</v>
      </c>
      <c r="AI66" s="28">
        <f ca="1">'3.3 Revenue'!AI10*'1.1 Control Panel'!AI863</f>
        <v>4191881.8183124997</v>
      </c>
      <c r="AJ66" s="28">
        <f ca="1">'3.3 Revenue'!AJ10*'1.1 Control Panel'!AJ863</f>
        <v>4547039.3981250003</v>
      </c>
      <c r="AK66" s="28">
        <f ca="1">'3.3 Revenue'!AK10*'1.1 Control Panel'!AK863</f>
        <v>4968778.4422500003</v>
      </c>
      <c r="AL66" s="28">
        <f ca="1">'3.3 Revenue'!AL10*'1.1 Control Panel'!AL863</f>
        <v>5422190.3319375003</v>
      </c>
      <c r="AM66" s="28">
        <f ca="1">'3.3 Revenue'!AM10*'1.1 Control Panel'!AM863</f>
        <v>5955928.1109375004</v>
      </c>
      <c r="AN66" s="28">
        <f ca="1">'3.3 Revenue'!AN10*'1.1 Control Panel'!AN863</f>
        <v>6414172.3893750003</v>
      </c>
      <c r="AP66" s="20"/>
    </row>
    <row r="67" spans="2:42" ht="11.5" customHeight="1" x14ac:dyDescent="0.25">
      <c r="C67" s="3" t="s">
        <v>750</v>
      </c>
      <c r="D67" s="236" t="s">
        <v>46</v>
      </c>
      <c r="E67" s="2">
        <f>'1.1 Control Panel'!E864*'3.3 Revenue'!E10</f>
        <v>18875.714000000004</v>
      </c>
      <c r="F67" s="2">
        <f ca="1">'1.1 Control Panel'!F864*'3.3 Revenue'!F10</f>
        <v>33158.996999999996</v>
      </c>
      <c r="G67" s="2">
        <f ca="1">'1.1 Control Panel'!G864*'3.3 Revenue'!G10</f>
        <v>46412.478999999999</v>
      </c>
      <c r="H67" s="2">
        <f ca="1">'1.1 Control Panel'!H864*'3.3 Revenue'!H10</f>
        <v>58375.652000000002</v>
      </c>
      <c r="I67" s="2">
        <f ca="1">'1.1 Control Panel'!I864*'3.3 Revenue'!I10</f>
        <v>80754.753000000012</v>
      </c>
      <c r="J67" s="2">
        <f ca="1">'1.1 Control Panel'!J864*'3.3 Revenue'!J10</f>
        <v>140172.014</v>
      </c>
      <c r="K67" s="2">
        <f ca="1">'1.1 Control Panel'!K864*'3.3 Revenue'!K10</f>
        <v>206499.65000000002</v>
      </c>
      <c r="L67" s="2">
        <f ca="1">'1.1 Control Panel'!L864*'3.3 Revenue'!L10</f>
        <v>266640.56600000005</v>
      </c>
      <c r="M67" s="2">
        <f ca="1">'1.1 Control Panel'!M864*'3.3 Revenue'!M10</f>
        <v>333993.36400000006</v>
      </c>
      <c r="N67" s="2">
        <f ca="1">'1.1 Control Panel'!N864*'3.3 Revenue'!N10</f>
        <v>411439.44700000004</v>
      </c>
      <c r="O67" s="2">
        <f ca="1">'1.1 Control Panel'!O864*'3.3 Revenue'!O10</f>
        <v>514010.03300000005</v>
      </c>
      <c r="P67" s="2">
        <f ca="1">'1.1 Control Panel'!P864*'3.3 Revenue'!P10</f>
        <v>613752.18300000008</v>
      </c>
      <c r="Q67" s="2">
        <f ca="1">'1.1 Control Panel'!Q864*'3.3 Revenue'!Q10</f>
        <v>769730.78700000001</v>
      </c>
      <c r="R67" s="2">
        <f ca="1">'1.1 Control Panel'!R864*'3.3 Revenue'!R10</f>
        <v>885513.70050000015</v>
      </c>
      <c r="S67" s="2">
        <f ca="1">'1.1 Control Panel'!S864*'3.3 Revenue'!S10</f>
        <v>998665.02524999995</v>
      </c>
      <c r="T67" s="2">
        <f ca="1">'1.1 Control Panel'!T864*'3.3 Revenue'!T10</f>
        <v>1102184.23425</v>
      </c>
      <c r="U67" s="2">
        <f ca="1">'1.1 Control Panel'!U864*'3.3 Revenue'!U10</f>
        <v>1255443.20325</v>
      </c>
      <c r="V67" s="2">
        <f ca="1">'1.1 Control Panel'!V864*'3.3 Revenue'!V10</f>
        <v>1397594.1074999999</v>
      </c>
      <c r="W67" s="2">
        <f ca="1">'1.1 Control Panel'!W864*'3.3 Revenue'!W10</f>
        <v>1559968.0185000002</v>
      </c>
      <c r="X67" s="2">
        <f ca="1">'1.1 Control Panel'!X864*'3.3 Revenue'!X10</f>
        <v>1695120.7005</v>
      </c>
      <c r="Y67" s="2">
        <f ca="1">'1.1 Control Panel'!Y864*'3.3 Revenue'!Y10</f>
        <v>1819202.148</v>
      </c>
      <c r="Z67" s="2">
        <f ca="1">'1.1 Control Panel'!Z864*'3.3 Revenue'!Z10</f>
        <v>1993975.1452500001</v>
      </c>
      <c r="AA67" s="2">
        <f ca="1">'1.1 Control Panel'!AA864*'3.3 Revenue'!AA10</f>
        <v>2161903.3447500002</v>
      </c>
      <c r="AB67" s="2">
        <f ca="1">'1.1 Control Panel'!AB864*'3.3 Revenue'!AB10</f>
        <v>2311361.679</v>
      </c>
      <c r="AC67" s="2">
        <f ca="1">'1.1 Control Panel'!AC864*'3.3 Revenue'!AC10</f>
        <v>2684944.2853124999</v>
      </c>
      <c r="AD67" s="2">
        <f ca="1">'1.1 Control Panel'!AD864*'3.3 Revenue'!AD10</f>
        <v>2879266.2586874999</v>
      </c>
      <c r="AE67" s="2">
        <f ca="1">'1.1 Control Panel'!AE864*'3.3 Revenue'!AE10</f>
        <v>3056817.7606875002</v>
      </c>
      <c r="AF67" s="2">
        <f ca="1">'1.1 Control Panel'!AF864*'3.3 Revenue'!AF10</f>
        <v>3206871.858</v>
      </c>
      <c r="AG67" s="2">
        <f ca="1">'1.1 Control Panel'!AG864*'3.3 Revenue'!AG10</f>
        <v>3461244.9718125002</v>
      </c>
      <c r="AH67" s="2">
        <f ca="1">'1.1 Control Panel'!AH864*'3.3 Revenue'!AH10</f>
        <v>3779027.93775</v>
      </c>
      <c r="AI67" s="2">
        <f ca="1">'1.1 Control Panel'!AI864*'3.3 Revenue'!AI10</f>
        <v>4191881.8183124997</v>
      </c>
      <c r="AJ67" s="2">
        <f ca="1">'1.1 Control Panel'!AJ864*'3.3 Revenue'!AJ10</f>
        <v>4547039.3981250003</v>
      </c>
      <c r="AK67" s="2">
        <f ca="1">'1.1 Control Panel'!AK864*'3.3 Revenue'!AK10</f>
        <v>4968778.4422500003</v>
      </c>
      <c r="AL67" s="2">
        <f ca="1">'1.1 Control Panel'!AL864*'3.3 Revenue'!AL10</f>
        <v>5422190.3319375003</v>
      </c>
      <c r="AM67" s="2">
        <f ca="1">'1.1 Control Panel'!AM864*'3.3 Revenue'!AM10</f>
        <v>5955928.1109375004</v>
      </c>
      <c r="AN67" s="2">
        <f ca="1">'1.1 Control Panel'!AN864*'3.3 Revenue'!AN10</f>
        <v>6414172.3893750003</v>
      </c>
    </row>
    <row r="68" spans="2:42" ht="11.5" customHeight="1" x14ac:dyDescent="0.25">
      <c r="C68" s="26" t="s">
        <v>767</v>
      </c>
      <c r="D68" s="319" t="s">
        <v>46</v>
      </c>
      <c r="E68" s="532">
        <f>'1.1 Control Panel'!E865*ROUNDUP('3.2 Doojo Base'!E9/100,0)</f>
        <v>110000</v>
      </c>
      <c r="F68" s="532">
        <f>'1.1 Control Panel'!F865*ROUNDUP('3.2 Doojo Base'!F9/100,0)</f>
        <v>130000</v>
      </c>
      <c r="G68" s="532">
        <f>'1.1 Control Panel'!G865*ROUNDUP('3.2 Doojo Base'!G9/100,0)</f>
        <v>150000</v>
      </c>
      <c r="H68" s="532">
        <f>'1.1 Control Panel'!H865*ROUNDUP('3.2 Doojo Base'!H9/100,0)</f>
        <v>160000</v>
      </c>
      <c r="I68" s="532">
        <f>'1.1 Control Panel'!I865*ROUNDUP('3.2 Doojo Base'!I9/100,0)</f>
        <v>230000</v>
      </c>
      <c r="J68" s="532">
        <f>'1.1 Control Panel'!J865*ROUNDUP('3.2 Doojo Base'!J9/100,0)</f>
        <v>330000</v>
      </c>
      <c r="K68" s="532">
        <f>'1.1 Control Panel'!K865*ROUNDUP('3.2 Doojo Base'!K9/100,0)</f>
        <v>340000</v>
      </c>
      <c r="L68" s="532">
        <f>'1.1 Control Panel'!L865*ROUNDUP('3.2 Doojo Base'!L9/100,0)</f>
        <v>350000</v>
      </c>
      <c r="M68" s="532">
        <f>'1.1 Control Panel'!M865*ROUNDUP('3.2 Doojo Base'!M9/100,0)</f>
        <v>420000</v>
      </c>
      <c r="N68" s="532">
        <f>'1.1 Control Panel'!N865*ROUNDUP('3.2 Doojo Base'!N9/100,0)</f>
        <v>440000</v>
      </c>
      <c r="O68" s="532">
        <f>'1.1 Control Panel'!O865*ROUNDUP('3.2 Doojo Base'!O9/100,0)</f>
        <v>460000</v>
      </c>
      <c r="P68" s="532">
        <f>'1.1 Control Panel'!P865*ROUNDUP('3.2 Doojo Base'!P9/100,0)</f>
        <v>480000</v>
      </c>
      <c r="Q68" s="532">
        <f>'1.1 Control Panel'!Q865*ROUNDUP('3.2 Doojo Base'!Q9/100,0)</f>
        <v>750000</v>
      </c>
      <c r="R68" s="532">
        <f>'1.1 Control Panel'!R865*ROUNDUP('3.2 Doojo Base'!R9/100,0)</f>
        <v>750000</v>
      </c>
      <c r="S68" s="532">
        <f>'1.1 Control Panel'!S865*ROUNDUP('3.2 Doojo Base'!S9/100,0)</f>
        <v>750000</v>
      </c>
      <c r="T68" s="532">
        <f>'1.1 Control Panel'!T865*ROUNDUP('3.2 Doojo Base'!T9/100,0)</f>
        <v>760000</v>
      </c>
      <c r="U68" s="532">
        <f>'1.1 Control Panel'!U865*ROUNDUP('3.2 Doojo Base'!U9/100,0)</f>
        <v>1060000</v>
      </c>
      <c r="V68" s="532">
        <f>'1.1 Control Panel'!V865*ROUNDUP('3.2 Doojo Base'!V9/100,0)</f>
        <v>1070000</v>
      </c>
      <c r="W68" s="532">
        <f>'1.1 Control Panel'!W865*ROUNDUP('3.2 Doojo Base'!W9/100,0)</f>
        <v>1070000</v>
      </c>
      <c r="X68" s="532">
        <f>'1.1 Control Panel'!X865*ROUNDUP('3.2 Doojo Base'!X9/100,0)</f>
        <v>1070000</v>
      </c>
      <c r="Y68" s="532">
        <f>'1.1 Control Panel'!Y865*ROUNDUP('3.2 Doojo Base'!Y9/100,0)</f>
        <v>1130000</v>
      </c>
      <c r="Z68" s="532">
        <f>'1.1 Control Panel'!Z865*ROUNDUP('3.2 Doojo Base'!Z9/100,0)</f>
        <v>1130000</v>
      </c>
      <c r="AA68" s="532">
        <f>'1.1 Control Panel'!AA865*ROUNDUP('3.2 Doojo Base'!AA9/100,0)</f>
        <v>1130000</v>
      </c>
      <c r="AB68" s="532">
        <f>'1.1 Control Panel'!AB865*ROUNDUP('3.2 Doojo Base'!AB9/100,0)</f>
        <v>1130000</v>
      </c>
      <c r="AC68" s="532">
        <f>'1.1 Control Panel'!AC865*ROUNDUP('3.2 Doojo Base'!AC9/100,0)</f>
        <v>1800000</v>
      </c>
      <c r="AD68" s="532">
        <f>'1.1 Control Panel'!AD865*ROUNDUP('3.2 Doojo Base'!AD9/100,0)</f>
        <v>1800000</v>
      </c>
      <c r="AE68" s="532">
        <f>'1.1 Control Panel'!AE865*ROUNDUP('3.2 Doojo Base'!AE9/100,0)</f>
        <v>1800000</v>
      </c>
      <c r="AF68" s="532">
        <f>'1.1 Control Panel'!AF865*ROUNDUP('3.2 Doojo Base'!AF9/100,0)</f>
        <v>1800000</v>
      </c>
      <c r="AG68" s="532">
        <f>'1.1 Control Panel'!AG865*ROUNDUP('3.2 Doojo Base'!AG9/100,0)</f>
        <v>2490000</v>
      </c>
      <c r="AH68" s="532">
        <f>'1.1 Control Panel'!AH865*ROUNDUP('3.2 Doojo Base'!AH9/100,0)</f>
        <v>2490000</v>
      </c>
      <c r="AI68" s="532">
        <f>'1.1 Control Panel'!AI865*ROUNDUP('3.2 Doojo Base'!AI9/100,0)</f>
        <v>2490000</v>
      </c>
      <c r="AJ68" s="532">
        <f>'1.1 Control Panel'!AJ865*ROUNDUP('3.2 Doojo Base'!AJ9/100,0)</f>
        <v>2490000</v>
      </c>
      <c r="AK68" s="532">
        <f>'1.1 Control Panel'!AK865*ROUNDUP('3.2 Doojo Base'!AK9/100,0)</f>
        <v>2990000</v>
      </c>
      <c r="AL68" s="532">
        <f>'1.1 Control Panel'!AL865*ROUNDUP('3.2 Doojo Base'!AL9/100,0)</f>
        <v>2990000</v>
      </c>
      <c r="AM68" s="532">
        <f>'1.1 Control Panel'!AM865*ROUNDUP('3.2 Doojo Base'!AM9/100,0)</f>
        <v>2990000</v>
      </c>
      <c r="AN68" s="532">
        <f>'1.1 Control Panel'!AN865*ROUNDUP('3.2 Doojo Base'!AN9/100,0)</f>
        <v>2990000</v>
      </c>
      <c r="AP68" s="26"/>
    </row>
    <row r="69" spans="2:42" ht="11.5" customHeight="1" x14ac:dyDescent="0.25">
      <c r="B69" s="19" t="s">
        <v>9</v>
      </c>
      <c r="C69" s="523" t="s">
        <v>755</v>
      </c>
      <c r="D69" s="527" t="s">
        <v>46</v>
      </c>
      <c r="E69" s="529">
        <f>SUM(E70:E75)</f>
        <v>60952.797821647378</v>
      </c>
      <c r="F69" s="529">
        <f t="shared" ref="F69:AN69" si="42">SUM(F70:F75)</f>
        <v>19620</v>
      </c>
      <c r="G69" s="529">
        <f t="shared" si="42"/>
        <v>19620</v>
      </c>
      <c r="H69" s="529">
        <f t="shared" si="42"/>
        <v>19620</v>
      </c>
      <c r="I69" s="529">
        <f t="shared" si="42"/>
        <v>23940</v>
      </c>
      <c r="J69" s="529">
        <f t="shared" si="42"/>
        <v>25380</v>
      </c>
      <c r="K69" s="529">
        <f t="shared" si="42"/>
        <v>24620</v>
      </c>
      <c r="L69" s="529">
        <f t="shared" si="42"/>
        <v>24620</v>
      </c>
      <c r="M69" s="529">
        <f t="shared" si="42"/>
        <v>56549.598366235536</v>
      </c>
      <c r="N69" s="529">
        <f t="shared" si="42"/>
        <v>42560</v>
      </c>
      <c r="O69" s="529">
        <f t="shared" si="42"/>
        <v>42560</v>
      </c>
      <c r="P69" s="529">
        <f t="shared" si="42"/>
        <v>62560</v>
      </c>
      <c r="Q69" s="529">
        <f t="shared" si="42"/>
        <v>144838.79509870661</v>
      </c>
      <c r="R69" s="529">
        <f t="shared" si="42"/>
        <v>91670</v>
      </c>
      <c r="S69" s="529">
        <f t="shared" si="42"/>
        <v>91670</v>
      </c>
      <c r="T69" s="529">
        <f t="shared" si="42"/>
        <v>91670</v>
      </c>
      <c r="U69" s="529">
        <f t="shared" si="42"/>
        <v>168099.19673247106</v>
      </c>
      <c r="V69" s="529">
        <f t="shared" si="42"/>
        <v>125720</v>
      </c>
      <c r="W69" s="529">
        <f t="shared" si="42"/>
        <v>125720</v>
      </c>
      <c r="X69" s="529">
        <f t="shared" si="42"/>
        <v>125720</v>
      </c>
      <c r="Y69" s="529">
        <f t="shared" si="42"/>
        <v>188499.19673247106</v>
      </c>
      <c r="Z69" s="529">
        <f t="shared" si="42"/>
        <v>160520</v>
      </c>
      <c r="AA69" s="529">
        <f t="shared" si="42"/>
        <v>160520</v>
      </c>
      <c r="AB69" s="529">
        <f t="shared" si="42"/>
        <v>180520</v>
      </c>
      <c r="AC69" s="529">
        <f t="shared" si="42"/>
        <v>367390.78965282504</v>
      </c>
      <c r="AD69" s="529">
        <f t="shared" si="42"/>
        <v>244070</v>
      </c>
      <c r="AE69" s="529">
        <f t="shared" si="42"/>
        <v>244070</v>
      </c>
      <c r="AF69" s="529">
        <f t="shared" si="42"/>
        <v>244070</v>
      </c>
      <c r="AG69" s="529">
        <f t="shared" si="42"/>
        <v>522126.78692988429</v>
      </c>
      <c r="AH69" s="529">
        <f t="shared" si="42"/>
        <v>379970</v>
      </c>
      <c r="AI69" s="529">
        <f t="shared" si="42"/>
        <v>379970</v>
      </c>
      <c r="AJ69" s="529">
        <f t="shared" si="42"/>
        <v>379970</v>
      </c>
      <c r="AK69" s="529">
        <f t="shared" si="42"/>
        <v>573737.59019741323</v>
      </c>
      <c r="AL69" s="529">
        <f t="shared" si="42"/>
        <v>465320</v>
      </c>
      <c r="AM69" s="529">
        <f t="shared" si="42"/>
        <v>465320</v>
      </c>
      <c r="AN69" s="529">
        <f t="shared" si="42"/>
        <v>485320</v>
      </c>
      <c r="AP69" s="522"/>
    </row>
    <row r="70" spans="2:42" ht="11.5" customHeight="1" x14ac:dyDescent="0.25">
      <c r="C70" s="20" t="s">
        <v>763</v>
      </c>
      <c r="D70" s="34" t="s">
        <v>46</v>
      </c>
      <c r="E70" s="28">
        <f>'1.1 Control Panel'!E867</f>
        <v>0</v>
      </c>
      <c r="F70" s="28">
        <f>'1.1 Control Panel'!F867</f>
        <v>0</v>
      </c>
      <c r="G70" s="28">
        <f>'1.1 Control Panel'!G867</f>
        <v>0</v>
      </c>
      <c r="H70" s="28">
        <f>'1.1 Control Panel'!H867</f>
        <v>0</v>
      </c>
      <c r="I70" s="28">
        <f>'1.1 Control Panel'!I867</f>
        <v>0</v>
      </c>
      <c r="J70" s="28">
        <f>'1.1 Control Panel'!J867</f>
        <v>0</v>
      </c>
      <c r="K70" s="28">
        <f>'1.1 Control Panel'!K867</f>
        <v>5000</v>
      </c>
      <c r="L70" s="28">
        <f>'1.1 Control Panel'!L867</f>
        <v>5000</v>
      </c>
      <c r="M70" s="28">
        <f>'1.1 Control Panel'!M867</f>
        <v>5000</v>
      </c>
      <c r="N70" s="28">
        <f>'1.1 Control Panel'!N867</f>
        <v>5000</v>
      </c>
      <c r="O70" s="28">
        <f>'1.1 Control Panel'!O867</f>
        <v>5000</v>
      </c>
      <c r="P70" s="28">
        <f>'1.1 Control Panel'!P867</f>
        <v>5000</v>
      </c>
      <c r="Q70" s="28">
        <f>'1.1 Control Panel'!Q867</f>
        <v>5000</v>
      </c>
      <c r="R70" s="28">
        <f>'1.1 Control Panel'!R867</f>
        <v>5000</v>
      </c>
      <c r="S70" s="28">
        <f>'1.1 Control Panel'!S867</f>
        <v>5000</v>
      </c>
      <c r="T70" s="28">
        <f>'1.1 Control Panel'!T867</f>
        <v>5000</v>
      </c>
      <c r="U70" s="28">
        <f>'1.1 Control Panel'!U867</f>
        <v>5000</v>
      </c>
      <c r="V70" s="28">
        <f>'1.1 Control Panel'!V867</f>
        <v>5000</v>
      </c>
      <c r="W70" s="28">
        <f>'1.1 Control Panel'!W867</f>
        <v>5000</v>
      </c>
      <c r="X70" s="28">
        <f>'1.1 Control Panel'!X867</f>
        <v>5000</v>
      </c>
      <c r="Y70" s="28">
        <f>'1.1 Control Panel'!Y867</f>
        <v>5000</v>
      </c>
      <c r="Z70" s="28">
        <f>'1.1 Control Panel'!Z867</f>
        <v>5000</v>
      </c>
      <c r="AA70" s="28">
        <f>'1.1 Control Panel'!AA867</f>
        <v>5000</v>
      </c>
      <c r="AB70" s="28">
        <f>'1.1 Control Panel'!AB867</f>
        <v>5000</v>
      </c>
      <c r="AC70" s="28">
        <f>'1.1 Control Panel'!AC867</f>
        <v>5000</v>
      </c>
      <c r="AD70" s="28">
        <f>'1.1 Control Panel'!AD867</f>
        <v>5000</v>
      </c>
      <c r="AE70" s="28">
        <f>'1.1 Control Panel'!AE867</f>
        <v>5000</v>
      </c>
      <c r="AF70" s="28">
        <f>'1.1 Control Panel'!AF867</f>
        <v>5000</v>
      </c>
      <c r="AG70" s="28">
        <f>'1.1 Control Panel'!AG867</f>
        <v>5000</v>
      </c>
      <c r="AH70" s="28">
        <f>'1.1 Control Panel'!AH867</f>
        <v>5000</v>
      </c>
      <c r="AI70" s="28">
        <f>'1.1 Control Panel'!AI867</f>
        <v>5000</v>
      </c>
      <c r="AJ70" s="28">
        <f>'1.1 Control Panel'!AJ867</f>
        <v>5000</v>
      </c>
      <c r="AK70" s="28">
        <f>'1.1 Control Panel'!AK867</f>
        <v>5000</v>
      </c>
      <c r="AL70" s="28">
        <f>'1.1 Control Panel'!AL867</f>
        <v>5000</v>
      </c>
      <c r="AM70" s="28">
        <f>'1.1 Control Panel'!AM867</f>
        <v>5000</v>
      </c>
      <c r="AN70" s="28">
        <f>'1.1 Control Panel'!AN867</f>
        <v>5000</v>
      </c>
      <c r="AP70" s="20"/>
    </row>
    <row r="71" spans="2:42" ht="11.5" customHeight="1" x14ac:dyDescent="0.25">
      <c r="C71" s="21" t="s">
        <v>764</v>
      </c>
      <c r="D71" s="38" t="s">
        <v>46</v>
      </c>
      <c r="E71" s="376">
        <f>'3.5 Staff'!E14*'1.1 Control Panel'!E868</f>
        <v>18000</v>
      </c>
      <c r="F71" s="376">
        <f>'3.5 Staff'!F14*'1.1 Control Panel'!F868</f>
        <v>18000</v>
      </c>
      <c r="G71" s="376">
        <f>'3.5 Staff'!G14*'1.1 Control Panel'!G868</f>
        <v>18000</v>
      </c>
      <c r="H71" s="376">
        <f>'3.5 Staff'!H14*'1.1 Control Panel'!H868</f>
        <v>18000</v>
      </c>
      <c r="I71" s="376">
        <f>'3.5 Staff'!I14*'1.1 Control Panel'!I868</f>
        <v>18000</v>
      </c>
      <c r="J71" s="376">
        <f>'3.5 Staff'!J14*'1.1 Control Panel'!J868</f>
        <v>18000</v>
      </c>
      <c r="K71" s="376">
        <f>'3.5 Staff'!K14*'1.1 Control Panel'!K868</f>
        <v>18000</v>
      </c>
      <c r="L71" s="376">
        <f>'3.5 Staff'!L14*'1.1 Control Panel'!L868</f>
        <v>18000</v>
      </c>
      <c r="M71" s="376">
        <f>'3.5 Staff'!M14*'1.1 Control Panel'!M868</f>
        <v>33000</v>
      </c>
      <c r="N71" s="376">
        <f>'3.5 Staff'!N14*'1.1 Control Panel'!N868</f>
        <v>33000</v>
      </c>
      <c r="O71" s="376">
        <f>'3.5 Staff'!O14*'1.1 Control Panel'!O868</f>
        <v>33000</v>
      </c>
      <c r="P71" s="376">
        <f>'3.5 Staff'!P14*'1.1 Control Panel'!P868</f>
        <v>33000</v>
      </c>
      <c r="Q71" s="376">
        <f>'3.5 Staff'!Q14*'1.1 Control Panel'!Q868</f>
        <v>78000</v>
      </c>
      <c r="R71" s="376">
        <f>'3.5 Staff'!R14*'1.1 Control Panel'!R868</f>
        <v>78000</v>
      </c>
      <c r="S71" s="376">
        <f>'3.5 Staff'!S14*'1.1 Control Panel'!S868</f>
        <v>78000</v>
      </c>
      <c r="T71" s="376">
        <f>'3.5 Staff'!T14*'1.1 Control Panel'!T868</f>
        <v>78000</v>
      </c>
      <c r="U71" s="376">
        <f>'3.5 Staff'!U14*'1.1 Control Panel'!U868</f>
        <v>108000</v>
      </c>
      <c r="V71" s="376">
        <f>'3.5 Staff'!V14*'1.1 Control Panel'!V868</f>
        <v>108000</v>
      </c>
      <c r="W71" s="376">
        <f>'3.5 Staff'!W14*'1.1 Control Panel'!W868</f>
        <v>108000</v>
      </c>
      <c r="X71" s="376">
        <f>'3.5 Staff'!X14*'1.1 Control Panel'!X868</f>
        <v>108000</v>
      </c>
      <c r="Y71" s="376">
        <f>'3.5 Staff'!Y14*'1.1 Control Panel'!Y868</f>
        <v>138000</v>
      </c>
      <c r="Z71" s="376">
        <f>'3.5 Staff'!Z14*'1.1 Control Panel'!Z868</f>
        <v>138000</v>
      </c>
      <c r="AA71" s="376">
        <f>'3.5 Staff'!AA14*'1.1 Control Panel'!AA868</f>
        <v>138000</v>
      </c>
      <c r="AB71" s="376">
        <f>'3.5 Staff'!AB14*'1.1 Control Panel'!AB868</f>
        <v>138000</v>
      </c>
      <c r="AC71" s="376">
        <f>'3.5 Staff'!AC14*'1.1 Control Panel'!AC868</f>
        <v>213000</v>
      </c>
      <c r="AD71" s="376">
        <f>'3.5 Staff'!AD14*'1.1 Control Panel'!AD868</f>
        <v>213000</v>
      </c>
      <c r="AE71" s="376">
        <f>'3.5 Staff'!AE14*'1.1 Control Panel'!AE868</f>
        <v>213000</v>
      </c>
      <c r="AF71" s="376">
        <f>'3.5 Staff'!AF14*'1.1 Control Panel'!AF868</f>
        <v>213000</v>
      </c>
      <c r="AG71" s="376">
        <f>'3.5 Staff'!AG14*'1.1 Control Panel'!AG868</f>
        <v>333000</v>
      </c>
      <c r="AH71" s="376">
        <f>'3.5 Staff'!AH14*'1.1 Control Panel'!AH868</f>
        <v>333000</v>
      </c>
      <c r="AI71" s="376">
        <f>'3.5 Staff'!AI14*'1.1 Control Panel'!AI868</f>
        <v>333000</v>
      </c>
      <c r="AJ71" s="376">
        <f>'3.5 Staff'!AJ14*'1.1 Control Panel'!AJ868</f>
        <v>333000</v>
      </c>
      <c r="AK71" s="376">
        <f>'3.5 Staff'!AK14*'1.1 Control Panel'!AK868</f>
        <v>408000</v>
      </c>
      <c r="AL71" s="376">
        <f>'3.5 Staff'!AL14*'1.1 Control Panel'!AL868</f>
        <v>408000</v>
      </c>
      <c r="AM71" s="376">
        <f>'3.5 Staff'!AM14*'1.1 Control Panel'!AM868</f>
        <v>408000</v>
      </c>
      <c r="AN71" s="376">
        <f>'3.5 Staff'!AN14*'1.1 Control Panel'!AN868</f>
        <v>408000</v>
      </c>
      <c r="AP71" s="21"/>
    </row>
    <row r="72" spans="2:42" ht="11.5" customHeight="1" x14ac:dyDescent="0.25">
      <c r="C72" s="21" t="s">
        <v>752</v>
      </c>
      <c r="D72" s="38" t="s">
        <v>46</v>
      </c>
      <c r="E72" s="376">
        <f>'1.1 Control Panel'!E871</f>
        <v>15000</v>
      </c>
      <c r="F72" s="400">
        <v>0</v>
      </c>
      <c r="G72" s="400">
        <v>0</v>
      </c>
      <c r="H72" s="400">
        <v>0</v>
      </c>
      <c r="I72" s="400">
        <v>0</v>
      </c>
      <c r="J72" s="400">
        <v>0</v>
      </c>
      <c r="K72" s="400">
        <v>0</v>
      </c>
      <c r="L72" s="400">
        <v>0</v>
      </c>
      <c r="M72" s="400">
        <v>0</v>
      </c>
      <c r="N72" s="400">
        <v>0</v>
      </c>
      <c r="O72" s="400">
        <v>0</v>
      </c>
      <c r="P72" s="400">
        <v>0</v>
      </c>
      <c r="Q72" s="376">
        <f>'1.1 Control Panel'!E872</f>
        <v>4000</v>
      </c>
      <c r="R72" s="400">
        <v>0</v>
      </c>
      <c r="S72" s="400">
        <v>0</v>
      </c>
      <c r="T72" s="400">
        <v>0</v>
      </c>
      <c r="U72" s="400">
        <v>0</v>
      </c>
      <c r="V72" s="400">
        <v>0</v>
      </c>
      <c r="W72" s="400">
        <v>0</v>
      </c>
      <c r="X72" s="400">
        <v>0</v>
      </c>
      <c r="Y72" s="400">
        <v>0</v>
      </c>
      <c r="Z72" s="400">
        <v>0</v>
      </c>
      <c r="AA72" s="400">
        <v>0</v>
      </c>
      <c r="AB72" s="400">
        <v>0</v>
      </c>
      <c r="AC72" s="376">
        <f>'1.1 Control Panel'!E872</f>
        <v>4000</v>
      </c>
      <c r="AD72" s="400">
        <v>0</v>
      </c>
      <c r="AE72" s="400">
        <v>0</v>
      </c>
      <c r="AF72" s="400">
        <v>0</v>
      </c>
      <c r="AG72" s="400">
        <v>0</v>
      </c>
      <c r="AH72" s="400">
        <v>0</v>
      </c>
      <c r="AI72" s="400">
        <v>0</v>
      </c>
      <c r="AJ72" s="400">
        <v>0</v>
      </c>
      <c r="AK72" s="400">
        <v>0</v>
      </c>
      <c r="AL72" s="400">
        <v>0</v>
      </c>
      <c r="AM72" s="400">
        <v>0</v>
      </c>
      <c r="AN72" s="400">
        <v>0</v>
      </c>
      <c r="AP72" s="21"/>
    </row>
    <row r="73" spans="2:42" ht="11.5" customHeight="1" x14ac:dyDescent="0.25">
      <c r="C73" s="22" t="s">
        <v>765</v>
      </c>
      <c r="D73" s="96" t="s">
        <v>46</v>
      </c>
      <c r="E73" s="530">
        <f>'1.1 Control Panel'!E869*E15</f>
        <v>10950</v>
      </c>
      <c r="F73" s="530">
        <f>'1.1 Control Panel'!F869*F15</f>
        <v>1350</v>
      </c>
      <c r="G73" s="530">
        <f>'1.1 Control Panel'!G869*G15</f>
        <v>1350</v>
      </c>
      <c r="H73" s="530">
        <f>'1.1 Control Panel'!H869*H15</f>
        <v>1350</v>
      </c>
      <c r="I73" s="530">
        <f>'1.1 Control Panel'!I869*I15</f>
        <v>4950</v>
      </c>
      <c r="J73" s="530">
        <f>'1.1 Control Panel'!J869*J15</f>
        <v>6150</v>
      </c>
      <c r="K73" s="530">
        <f>'1.1 Control Panel'!K869*K15</f>
        <v>1350</v>
      </c>
      <c r="L73" s="530">
        <f>'1.1 Control Panel'!L869*L15</f>
        <v>1350</v>
      </c>
      <c r="M73" s="530">
        <f>'1.1 Control Panel'!M869*M15</f>
        <v>6200</v>
      </c>
      <c r="N73" s="530">
        <f>'1.1 Control Panel'!N869*N15</f>
        <v>3800</v>
      </c>
      <c r="O73" s="530">
        <f>'1.1 Control Panel'!O869*O15</f>
        <v>3800</v>
      </c>
      <c r="P73" s="530">
        <f>'1.1 Control Panel'!P869*P15</f>
        <v>3800</v>
      </c>
      <c r="Q73" s="530">
        <f>'1.1 Control Panel'!Q869*Q15</f>
        <v>20425</v>
      </c>
      <c r="R73" s="530">
        <f>'1.1 Control Panel'!R869*R15</f>
        <v>7225</v>
      </c>
      <c r="S73" s="530">
        <f>'1.1 Control Panel'!S869*S15</f>
        <v>7225</v>
      </c>
      <c r="T73" s="530">
        <f>'1.1 Control Panel'!T869*T15</f>
        <v>7225</v>
      </c>
      <c r="U73" s="530">
        <f>'1.1 Control Panel'!U869*U15</f>
        <v>27400</v>
      </c>
      <c r="V73" s="530">
        <f>'1.1 Control Panel'!V869*V15</f>
        <v>10600</v>
      </c>
      <c r="W73" s="530">
        <f>'1.1 Control Panel'!W869*W15</f>
        <v>10600</v>
      </c>
      <c r="X73" s="530">
        <f>'1.1 Control Panel'!X869*X15</f>
        <v>10600</v>
      </c>
      <c r="Y73" s="530">
        <f>'1.1 Control Panel'!Y869*Y15</f>
        <v>19400</v>
      </c>
      <c r="Z73" s="530">
        <f>'1.1 Control Panel'!Z869*Z15</f>
        <v>14600</v>
      </c>
      <c r="AA73" s="530">
        <f>'1.1 Control Panel'!AA869*AA15</f>
        <v>14600</v>
      </c>
      <c r="AB73" s="530">
        <f>'1.1 Control Panel'!AB869*AB15</f>
        <v>14600</v>
      </c>
      <c r="AC73" s="530">
        <f>'1.1 Control Panel'!AC869*AC15</f>
        <v>62525</v>
      </c>
      <c r="AD73" s="530">
        <f>'1.1 Control Panel'!AD869*AD15</f>
        <v>21725</v>
      </c>
      <c r="AE73" s="530">
        <f>'1.1 Control Panel'!AE869*AE15</f>
        <v>21725</v>
      </c>
      <c r="AF73" s="530">
        <f>'1.1 Control Panel'!AF869*AF15</f>
        <v>21725</v>
      </c>
      <c r="AG73" s="530">
        <f>'1.1 Control Panel'!AG869*AG15</f>
        <v>79375</v>
      </c>
      <c r="AH73" s="530">
        <f>'1.1 Control Panel'!AH869*AH15</f>
        <v>34975</v>
      </c>
      <c r="AI73" s="530">
        <f>'1.1 Control Panel'!AI869*AI15</f>
        <v>34975</v>
      </c>
      <c r="AJ73" s="530">
        <f>'1.1 Control Panel'!AJ869*AJ15</f>
        <v>34975</v>
      </c>
      <c r="AK73" s="530">
        <f>'1.1 Control Panel'!AK869*AK15</f>
        <v>78400</v>
      </c>
      <c r="AL73" s="530">
        <f>'1.1 Control Panel'!AL869*AL15</f>
        <v>43600</v>
      </c>
      <c r="AM73" s="530">
        <f>'1.1 Control Panel'!AM869*AM15</f>
        <v>43600</v>
      </c>
      <c r="AN73" s="530">
        <f>'1.1 Control Panel'!AN869*AN15</f>
        <v>43600</v>
      </c>
      <c r="AP73" s="22"/>
    </row>
    <row r="74" spans="2:42" ht="11.5" customHeight="1" x14ac:dyDescent="0.25">
      <c r="C74" s="22" t="s">
        <v>766</v>
      </c>
      <c r="D74" s="96" t="s">
        <v>46</v>
      </c>
      <c r="E74" s="543">
        <v>0</v>
      </c>
      <c r="F74" s="543">
        <v>0</v>
      </c>
      <c r="G74" s="543">
        <v>0</v>
      </c>
      <c r="H74" s="543">
        <v>0</v>
      </c>
      <c r="I74" s="543">
        <v>0</v>
      </c>
      <c r="J74" s="543">
        <v>0</v>
      </c>
      <c r="K74" s="543">
        <v>0</v>
      </c>
      <c r="L74" s="543">
        <v>0</v>
      </c>
      <c r="M74" s="543">
        <v>0</v>
      </c>
      <c r="N74" s="543">
        <v>0</v>
      </c>
      <c r="O74" s="543">
        <v>0</v>
      </c>
      <c r="P74" s="530">
        <f>'1.1 Control Panel'!$E$873</f>
        <v>20000</v>
      </c>
      <c r="Q74" s="543">
        <v>0</v>
      </c>
      <c r="R74" s="543">
        <v>0</v>
      </c>
      <c r="S74" s="543">
        <v>0</v>
      </c>
      <c r="T74" s="543">
        <v>0</v>
      </c>
      <c r="U74" s="543">
        <v>0</v>
      </c>
      <c r="V74" s="543">
        <v>0</v>
      </c>
      <c r="W74" s="543">
        <v>0</v>
      </c>
      <c r="X74" s="543">
        <v>0</v>
      </c>
      <c r="Y74" s="543">
        <v>0</v>
      </c>
      <c r="Z74" s="543">
        <v>0</v>
      </c>
      <c r="AA74" s="543">
        <v>0</v>
      </c>
      <c r="AB74" s="530">
        <f>'1.1 Control Panel'!$E$873</f>
        <v>20000</v>
      </c>
      <c r="AC74" s="543">
        <v>0</v>
      </c>
      <c r="AD74" s="543">
        <v>0</v>
      </c>
      <c r="AE74" s="543">
        <v>0</v>
      </c>
      <c r="AF74" s="543">
        <v>0</v>
      </c>
      <c r="AG74" s="543">
        <v>0</v>
      </c>
      <c r="AH74" s="543">
        <v>0</v>
      </c>
      <c r="AI74" s="543">
        <v>0</v>
      </c>
      <c r="AJ74" s="543">
        <v>0</v>
      </c>
      <c r="AK74" s="543">
        <v>0</v>
      </c>
      <c r="AL74" s="543">
        <v>0</v>
      </c>
      <c r="AM74" s="543">
        <v>0</v>
      </c>
      <c r="AN74" s="530">
        <f>'1.1 Control Panel'!$E$873</f>
        <v>20000</v>
      </c>
      <c r="AP74" s="22"/>
    </row>
    <row r="75" spans="2:42" ht="11.5" customHeight="1" x14ac:dyDescent="0.25">
      <c r="C75" s="26" t="s">
        <v>768</v>
      </c>
      <c r="D75" s="319" t="s">
        <v>46</v>
      </c>
      <c r="E75" s="532">
        <f>E15*'1.1 Control Panel'!E870+'1.1 Control Panel'!$E$875*ROUNDUP(E80*(1-'1.1 Control Panel'!$E$874),0)</f>
        <v>17002.797821647378</v>
      </c>
      <c r="F75" s="532">
        <f>F15*'1.1 Control Panel'!F870+'1.1 Control Panel'!$E$875*ROUNDUP(F80*(1-'1.1 Control Panel'!$E$874),0)</f>
        <v>270</v>
      </c>
      <c r="G75" s="532">
        <f>G15*'1.1 Control Panel'!G870+'1.1 Control Panel'!$E$875*ROUNDUP(G80*(1-'1.1 Control Panel'!$E$874),0)</f>
        <v>270</v>
      </c>
      <c r="H75" s="532">
        <f>H15*'1.1 Control Panel'!H870+'1.1 Control Panel'!$E$875*ROUNDUP(H80*(1-'1.1 Control Panel'!$E$874),0)</f>
        <v>270</v>
      </c>
      <c r="I75" s="532">
        <f>I15*'1.1 Control Panel'!I870+'1.1 Control Panel'!$E$875*ROUNDUP(I80*(1-'1.1 Control Panel'!$E$874),0)</f>
        <v>990</v>
      </c>
      <c r="J75" s="532">
        <f>J15*'1.1 Control Panel'!J870+'1.1 Control Panel'!$E$875*ROUNDUP(J80*(1-'1.1 Control Panel'!$E$874),0)</f>
        <v>1230</v>
      </c>
      <c r="K75" s="532">
        <f>K15*'1.1 Control Panel'!K870+'1.1 Control Panel'!$E$875*ROUNDUP(K80*(1-'1.1 Control Panel'!$E$874),0)</f>
        <v>270</v>
      </c>
      <c r="L75" s="532">
        <f>L15*'1.1 Control Panel'!L870+'1.1 Control Panel'!$E$875*ROUNDUP(L80*(1-'1.1 Control Panel'!$E$874),0)</f>
        <v>270</v>
      </c>
      <c r="M75" s="532">
        <f>M15*'1.1 Control Panel'!M870+'1.1 Control Panel'!$E$875*ROUNDUP(M80*(1-'1.1 Control Panel'!$E$874),0)</f>
        <v>12349.598366235536</v>
      </c>
      <c r="N75" s="532">
        <f>N15*'1.1 Control Panel'!N870+'1.1 Control Panel'!$E$875*ROUNDUP(N80*(1-'1.1 Control Panel'!$E$874),0)</f>
        <v>760</v>
      </c>
      <c r="O75" s="532">
        <f>O15*'1.1 Control Panel'!O870+'1.1 Control Panel'!$E$875*ROUNDUP(O80*(1-'1.1 Control Panel'!$E$874),0)</f>
        <v>760</v>
      </c>
      <c r="P75" s="532">
        <f>P15*'1.1 Control Panel'!P870+'1.1 Control Panel'!$E$875*ROUNDUP(P80*(1-'1.1 Control Panel'!$E$874),0)</f>
        <v>760</v>
      </c>
      <c r="Q75" s="532">
        <f>Q15*'1.1 Control Panel'!Q870+'1.1 Control Panel'!$E$875*ROUNDUP(Q80*(1-'1.1 Control Panel'!$E$874),0)</f>
        <v>37413.795098706607</v>
      </c>
      <c r="R75" s="532">
        <f>R15*'1.1 Control Panel'!R870+'1.1 Control Panel'!$E$875*ROUNDUP(R80*(1-'1.1 Control Panel'!$E$874),0)</f>
        <v>1445</v>
      </c>
      <c r="S75" s="532">
        <f>S15*'1.1 Control Panel'!S870+'1.1 Control Panel'!$E$875*ROUNDUP(S80*(1-'1.1 Control Panel'!$E$874),0)</f>
        <v>1445</v>
      </c>
      <c r="T75" s="532">
        <f>T15*'1.1 Control Panel'!T870+'1.1 Control Panel'!$E$875*ROUNDUP(T80*(1-'1.1 Control Panel'!$E$874),0)</f>
        <v>1445</v>
      </c>
      <c r="U75" s="532">
        <f>U15*'1.1 Control Panel'!U870+'1.1 Control Panel'!$E$875*ROUNDUP(U80*(1-'1.1 Control Panel'!$E$874),0)</f>
        <v>27699.196732471071</v>
      </c>
      <c r="V75" s="532">
        <f>V15*'1.1 Control Panel'!V870+'1.1 Control Panel'!$E$875*ROUNDUP(V80*(1-'1.1 Control Panel'!$E$874),0)</f>
        <v>2120</v>
      </c>
      <c r="W75" s="532">
        <f>W15*'1.1 Control Panel'!W870+'1.1 Control Panel'!$E$875*ROUNDUP(W80*(1-'1.1 Control Panel'!$E$874),0)</f>
        <v>2120</v>
      </c>
      <c r="X75" s="532">
        <f>X15*'1.1 Control Panel'!X870+'1.1 Control Panel'!$E$875*ROUNDUP(X80*(1-'1.1 Control Panel'!$E$874),0)</f>
        <v>2120</v>
      </c>
      <c r="Y75" s="532">
        <f>Y15*'1.1 Control Panel'!Y870+'1.1 Control Panel'!$E$875*ROUNDUP(Y80*(1-'1.1 Control Panel'!$E$874),0)</f>
        <v>26099.196732471071</v>
      </c>
      <c r="Z75" s="532">
        <f>Z15*'1.1 Control Panel'!Z870+'1.1 Control Panel'!$E$875*ROUNDUP(Z80*(1-'1.1 Control Panel'!$E$874),0)</f>
        <v>2920</v>
      </c>
      <c r="AA75" s="532">
        <f>AA15*'1.1 Control Panel'!AA870+'1.1 Control Panel'!$E$875*ROUNDUP(AA80*(1-'1.1 Control Panel'!$E$874),0)</f>
        <v>2920</v>
      </c>
      <c r="AB75" s="532">
        <f>AB15*'1.1 Control Panel'!AB870+'1.1 Control Panel'!$E$875*ROUNDUP(AB80*(1-'1.1 Control Panel'!$E$874),0)</f>
        <v>2920</v>
      </c>
      <c r="AC75" s="532">
        <f>AC15*'1.1 Control Panel'!AC870+'1.1 Control Panel'!$E$875*ROUNDUP(AC80*(1-'1.1 Control Panel'!$E$874),0)</f>
        <v>82865.789652825057</v>
      </c>
      <c r="AD75" s="532">
        <f>AD15*'1.1 Control Panel'!AD870+'1.1 Control Panel'!$E$875*ROUNDUP(AD80*(1-'1.1 Control Panel'!$E$874),0)</f>
        <v>4345</v>
      </c>
      <c r="AE75" s="532">
        <f>AE15*'1.1 Control Panel'!AE870+'1.1 Control Panel'!$E$875*ROUNDUP(AE80*(1-'1.1 Control Panel'!$E$874),0)</f>
        <v>4345</v>
      </c>
      <c r="AF75" s="532">
        <f>AF15*'1.1 Control Panel'!AF870+'1.1 Control Panel'!$E$875*ROUNDUP(AF80*(1-'1.1 Control Panel'!$E$874),0)</f>
        <v>4345</v>
      </c>
      <c r="AG75" s="532">
        <f>AG15*'1.1 Control Panel'!AG870+'1.1 Control Panel'!$E$875*ROUNDUP(AG80*(1-'1.1 Control Panel'!$E$874),0)</f>
        <v>104751.78692988429</v>
      </c>
      <c r="AH75" s="532">
        <f>AH15*'1.1 Control Panel'!AH870+'1.1 Control Panel'!$E$875*ROUNDUP(AH80*(1-'1.1 Control Panel'!$E$874),0)</f>
        <v>6995</v>
      </c>
      <c r="AI75" s="532">
        <f>AI15*'1.1 Control Panel'!AI870+'1.1 Control Panel'!$E$875*ROUNDUP(AI80*(1-'1.1 Control Panel'!$E$874),0)</f>
        <v>6995</v>
      </c>
      <c r="AJ75" s="532">
        <f>AJ15*'1.1 Control Panel'!AJ870+'1.1 Control Panel'!$E$875*ROUNDUP(AJ80*(1-'1.1 Control Panel'!$E$874),0)</f>
        <v>6995</v>
      </c>
      <c r="AK75" s="532">
        <f>AK15*'1.1 Control Panel'!AK870+'1.1 Control Panel'!$E$875*ROUNDUP(AK80*(1-'1.1 Control Panel'!$E$874),0)</f>
        <v>82337.590197413214</v>
      </c>
      <c r="AL75" s="532">
        <f>AL15*'1.1 Control Panel'!AL870+'1.1 Control Panel'!$E$875*ROUNDUP(AL80*(1-'1.1 Control Panel'!$E$874),0)</f>
        <v>8720</v>
      </c>
      <c r="AM75" s="532">
        <f>AM15*'1.1 Control Panel'!AM870+'1.1 Control Panel'!$E$875*ROUNDUP(AM80*(1-'1.1 Control Panel'!$E$874),0)</f>
        <v>8720</v>
      </c>
      <c r="AN75" s="532">
        <f>AN15*'1.1 Control Panel'!AN870+'1.1 Control Panel'!$E$875*ROUNDUP(AN80*(1-'1.1 Control Panel'!$E$874),0)</f>
        <v>8720</v>
      </c>
      <c r="AP75" s="26"/>
    </row>
    <row r="76" spans="2:42" ht="11.5" customHeight="1" x14ac:dyDescent="0.25">
      <c r="B76" s="19" t="s">
        <v>9</v>
      </c>
      <c r="C76" s="523" t="s">
        <v>757</v>
      </c>
      <c r="D76" s="527" t="s">
        <v>46</v>
      </c>
      <c r="E76" s="529">
        <f>'1.1 Control Panel'!E877*'3.3 Revenue'!E10</f>
        <v>18875.714000000004</v>
      </c>
      <c r="F76" s="529">
        <f ca="1">'1.1 Control Panel'!F877*'3.3 Revenue'!F10</f>
        <v>33158.996999999996</v>
      </c>
      <c r="G76" s="529">
        <f ca="1">'1.1 Control Panel'!G877*'3.3 Revenue'!G10</f>
        <v>46412.478999999999</v>
      </c>
      <c r="H76" s="529">
        <f ca="1">'1.1 Control Panel'!H877*'3.3 Revenue'!H10</f>
        <v>58375.652000000002</v>
      </c>
      <c r="I76" s="529">
        <f ca="1">'1.1 Control Panel'!I877*'3.3 Revenue'!I10</f>
        <v>80754.753000000012</v>
      </c>
      <c r="J76" s="529">
        <f ca="1">'1.1 Control Panel'!J877*'3.3 Revenue'!J10</f>
        <v>140172.014</v>
      </c>
      <c r="K76" s="529">
        <f ca="1">'1.1 Control Panel'!K877*'3.3 Revenue'!K10</f>
        <v>206499.65000000002</v>
      </c>
      <c r="L76" s="529">
        <f ca="1">'1.1 Control Panel'!L877*'3.3 Revenue'!L10</f>
        <v>266640.56600000005</v>
      </c>
      <c r="M76" s="529">
        <f ca="1">'1.1 Control Panel'!M877*'3.3 Revenue'!M10</f>
        <v>333993.36400000006</v>
      </c>
      <c r="N76" s="529">
        <f ca="1">'1.1 Control Panel'!N877*'3.3 Revenue'!N10</f>
        <v>411439.44700000004</v>
      </c>
      <c r="O76" s="529">
        <f ca="1">'1.1 Control Panel'!O877*'3.3 Revenue'!O10</f>
        <v>514010.03300000005</v>
      </c>
      <c r="P76" s="529">
        <f ca="1">'1.1 Control Panel'!P877*'3.3 Revenue'!P10</f>
        <v>613752.18300000008</v>
      </c>
      <c r="Q76" s="529">
        <f ca="1">'1.1 Control Panel'!Q877*'3.3 Revenue'!Q10</f>
        <v>769730.78700000001</v>
      </c>
      <c r="R76" s="529">
        <f ca="1">'1.1 Control Panel'!R877*'3.3 Revenue'!R10</f>
        <v>885513.70050000015</v>
      </c>
      <c r="S76" s="529">
        <f ca="1">'1.1 Control Panel'!S877*'3.3 Revenue'!S10</f>
        <v>998665.02524999995</v>
      </c>
      <c r="T76" s="529">
        <f ca="1">'1.1 Control Panel'!T877*'3.3 Revenue'!T10</f>
        <v>1102184.23425</v>
      </c>
      <c r="U76" s="529">
        <f ca="1">'1.1 Control Panel'!U877*'3.3 Revenue'!U10</f>
        <v>1255443.20325</v>
      </c>
      <c r="V76" s="529">
        <f ca="1">'1.1 Control Panel'!V877*'3.3 Revenue'!V10</f>
        <v>1397594.1074999999</v>
      </c>
      <c r="W76" s="529">
        <f ca="1">'1.1 Control Panel'!W877*'3.3 Revenue'!W10</f>
        <v>1559968.0185000002</v>
      </c>
      <c r="X76" s="529">
        <f ca="1">'1.1 Control Panel'!X877*'3.3 Revenue'!X10</f>
        <v>1695120.7005</v>
      </c>
      <c r="Y76" s="529">
        <f ca="1">'1.1 Control Panel'!Y877*'3.3 Revenue'!Y10</f>
        <v>1819202.148</v>
      </c>
      <c r="Z76" s="529">
        <f ca="1">'1.1 Control Panel'!Z877*'3.3 Revenue'!Z10</f>
        <v>1993975.1452500001</v>
      </c>
      <c r="AA76" s="529">
        <f ca="1">'1.1 Control Panel'!AA877*'3.3 Revenue'!AA10</f>
        <v>2161903.3447500002</v>
      </c>
      <c r="AB76" s="529">
        <f ca="1">'1.1 Control Panel'!AB877*'3.3 Revenue'!AB10</f>
        <v>2311361.679</v>
      </c>
      <c r="AC76" s="529">
        <f ca="1">'1.1 Control Panel'!AC877*'3.3 Revenue'!AC10</f>
        <v>2684944.2853124999</v>
      </c>
      <c r="AD76" s="529">
        <f ca="1">'1.1 Control Panel'!AD877*'3.3 Revenue'!AD10</f>
        <v>2879266.2586874999</v>
      </c>
      <c r="AE76" s="529">
        <f ca="1">'1.1 Control Panel'!AE877*'3.3 Revenue'!AE10</f>
        <v>3056817.7606875002</v>
      </c>
      <c r="AF76" s="529">
        <f ca="1">'1.1 Control Panel'!AF877*'3.3 Revenue'!AF10</f>
        <v>3206871.858</v>
      </c>
      <c r="AG76" s="529">
        <f ca="1">'1.1 Control Panel'!AG877*'3.3 Revenue'!AG10</f>
        <v>3461244.9718125002</v>
      </c>
      <c r="AH76" s="529">
        <f ca="1">'1.1 Control Panel'!AH877*'3.3 Revenue'!AH10</f>
        <v>3779027.93775</v>
      </c>
      <c r="AI76" s="529">
        <f ca="1">'1.1 Control Panel'!AI877*'3.3 Revenue'!AI10</f>
        <v>4191881.8183124997</v>
      </c>
      <c r="AJ76" s="529">
        <f ca="1">'1.1 Control Panel'!AJ877*'3.3 Revenue'!AJ10</f>
        <v>4547039.3981250003</v>
      </c>
      <c r="AK76" s="529">
        <f ca="1">'1.1 Control Panel'!AK877*'3.3 Revenue'!AK10</f>
        <v>4968778.4422500003</v>
      </c>
      <c r="AL76" s="529">
        <f ca="1">'1.1 Control Panel'!AL877*'3.3 Revenue'!AL10</f>
        <v>5422190.3319375003</v>
      </c>
      <c r="AM76" s="529">
        <f ca="1">'1.1 Control Panel'!AM877*'3.3 Revenue'!AM10</f>
        <v>5955928.1109375004</v>
      </c>
      <c r="AN76" s="529">
        <f ca="1">'1.1 Control Panel'!AN877*'3.3 Revenue'!AN10</f>
        <v>6414172.3893750003</v>
      </c>
      <c r="AP76" s="522"/>
    </row>
    <row r="77" spans="2:42" ht="3" customHeight="1" x14ac:dyDescent="0.25"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</row>
    <row r="78" spans="2:42" ht="11.5" hidden="1" customHeight="1" x14ac:dyDescent="0.25">
      <c r="C78" s="3" t="s">
        <v>839</v>
      </c>
      <c r="E78" s="136">
        <f>'3.5 Staff'!E14</f>
        <v>12</v>
      </c>
      <c r="F78" s="136">
        <f>'3.5 Staff'!F14-'3.5 Staff'!E14</f>
        <v>0</v>
      </c>
      <c r="G78" s="136">
        <f>'3.5 Staff'!G14-'3.5 Staff'!F14</f>
        <v>0</v>
      </c>
      <c r="H78" s="136">
        <f>'3.5 Staff'!H14-'3.5 Staff'!G14</f>
        <v>0</v>
      </c>
      <c r="I78" s="136">
        <f>'3.5 Staff'!I14-'3.5 Staff'!H14</f>
        <v>0</v>
      </c>
      <c r="J78" s="136">
        <f>'3.5 Staff'!J14-'3.5 Staff'!I14</f>
        <v>0</v>
      </c>
      <c r="K78" s="136">
        <f>'3.5 Staff'!K14-'3.5 Staff'!J14</f>
        <v>0</v>
      </c>
      <c r="L78" s="136">
        <f>'3.5 Staff'!L14-'3.5 Staff'!K14</f>
        <v>0</v>
      </c>
      <c r="M78" s="136">
        <f>'3.5 Staff'!M14-'3.5 Staff'!L14</f>
        <v>10</v>
      </c>
      <c r="N78" s="136">
        <f>'3.5 Staff'!N14-'3.5 Staff'!M14</f>
        <v>0</v>
      </c>
      <c r="O78" s="136">
        <f>'3.5 Staff'!O14-'3.5 Staff'!N14</f>
        <v>0</v>
      </c>
      <c r="P78" s="136">
        <f>'3.5 Staff'!P14-'3.5 Staff'!O14</f>
        <v>0</v>
      </c>
      <c r="Q78" s="136">
        <f>'3.5 Staff'!Q14-'3.5 Staff'!P14</f>
        <v>30</v>
      </c>
      <c r="R78" s="136">
        <f>'3.5 Staff'!R14-'3.5 Staff'!Q14</f>
        <v>0</v>
      </c>
      <c r="S78" s="136">
        <f>'3.5 Staff'!S14-'3.5 Staff'!R14</f>
        <v>0</v>
      </c>
      <c r="T78" s="136">
        <f>'3.5 Staff'!T14-'3.5 Staff'!S14</f>
        <v>0</v>
      </c>
      <c r="U78" s="136">
        <f>'3.5 Staff'!U14-'3.5 Staff'!T14</f>
        <v>20</v>
      </c>
      <c r="V78" s="136">
        <f>'3.5 Staff'!V14-'3.5 Staff'!U14</f>
        <v>0</v>
      </c>
      <c r="W78" s="136">
        <f>'3.5 Staff'!W14-'3.5 Staff'!V14</f>
        <v>0</v>
      </c>
      <c r="X78" s="136">
        <f>'3.5 Staff'!X14-'3.5 Staff'!W14</f>
        <v>0</v>
      </c>
      <c r="Y78" s="136">
        <f>'3.5 Staff'!Y14-'3.5 Staff'!X14</f>
        <v>20</v>
      </c>
      <c r="Z78" s="136">
        <f>'3.5 Staff'!Z14-'3.5 Staff'!Y14</f>
        <v>0</v>
      </c>
      <c r="AA78" s="136">
        <f>'3.5 Staff'!AA14-'3.5 Staff'!Z14</f>
        <v>0</v>
      </c>
      <c r="AB78" s="136">
        <f>'3.5 Staff'!AB14-'3.5 Staff'!AA14</f>
        <v>0</v>
      </c>
      <c r="AC78" s="136">
        <f>'3.5 Staff'!AC14-'3.5 Staff'!AB14</f>
        <v>50</v>
      </c>
      <c r="AD78" s="136">
        <f>'3.5 Staff'!AD14-'3.5 Staff'!AC14</f>
        <v>0</v>
      </c>
      <c r="AE78" s="136">
        <f>'3.5 Staff'!AE14-'3.5 Staff'!AD14</f>
        <v>0</v>
      </c>
      <c r="AF78" s="136">
        <f>'3.5 Staff'!AF14-'3.5 Staff'!AE14</f>
        <v>0</v>
      </c>
      <c r="AG78" s="136">
        <f>'3.5 Staff'!AG14-'3.5 Staff'!AF14</f>
        <v>80</v>
      </c>
      <c r="AH78" s="136">
        <f>'3.5 Staff'!AH14-'3.5 Staff'!AG14</f>
        <v>0</v>
      </c>
      <c r="AI78" s="136">
        <f>'3.5 Staff'!AI14-'3.5 Staff'!AH14</f>
        <v>0</v>
      </c>
      <c r="AJ78" s="136">
        <f>'3.5 Staff'!AJ14-'3.5 Staff'!AI14</f>
        <v>0</v>
      </c>
      <c r="AK78" s="136">
        <f>'3.5 Staff'!AK14-'3.5 Staff'!AJ14</f>
        <v>50</v>
      </c>
      <c r="AL78" s="136">
        <f>'3.5 Staff'!AL14-'3.5 Staff'!AK14</f>
        <v>0</v>
      </c>
      <c r="AM78" s="136">
        <f>'3.5 Staff'!AM14-'3.5 Staff'!AL14</f>
        <v>0</v>
      </c>
      <c r="AN78" s="136">
        <f>'3.5 Staff'!AN14-'3.5 Staff'!AM14</f>
        <v>0</v>
      </c>
    </row>
    <row r="79" spans="2:42" ht="11.5" hidden="1" customHeight="1" x14ac:dyDescent="0.25">
      <c r="AC79" s="136">
        <f>E78</f>
        <v>12</v>
      </c>
      <c r="AD79" s="136">
        <f t="shared" ref="AD79:AN79" si="43">F78</f>
        <v>0</v>
      </c>
      <c r="AE79" s="136">
        <f t="shared" si="43"/>
        <v>0</v>
      </c>
      <c r="AF79" s="136">
        <f t="shared" si="43"/>
        <v>0</v>
      </c>
      <c r="AG79" s="136">
        <f t="shared" si="43"/>
        <v>0</v>
      </c>
      <c r="AH79" s="136">
        <f t="shared" si="43"/>
        <v>0</v>
      </c>
      <c r="AI79" s="136">
        <f t="shared" si="43"/>
        <v>0</v>
      </c>
      <c r="AJ79" s="136">
        <f t="shared" si="43"/>
        <v>0</v>
      </c>
      <c r="AK79" s="136">
        <f t="shared" si="43"/>
        <v>10</v>
      </c>
      <c r="AL79" s="136">
        <f t="shared" si="43"/>
        <v>0</v>
      </c>
      <c r="AM79" s="136">
        <f t="shared" si="43"/>
        <v>0</v>
      </c>
      <c r="AN79" s="136">
        <f t="shared" si="43"/>
        <v>0</v>
      </c>
    </row>
    <row r="80" spans="2:42" ht="11.5" hidden="1" customHeight="1" x14ac:dyDescent="0.25">
      <c r="E80" s="578">
        <f>E78+E79</f>
        <v>12</v>
      </c>
      <c r="F80" s="578">
        <f t="shared" ref="F80:AN80" si="44">F78+F79</f>
        <v>0</v>
      </c>
      <c r="G80" s="578">
        <f t="shared" si="44"/>
        <v>0</v>
      </c>
      <c r="H80" s="578">
        <f t="shared" si="44"/>
        <v>0</v>
      </c>
      <c r="I80" s="578">
        <f t="shared" si="44"/>
        <v>0</v>
      </c>
      <c r="J80" s="578">
        <f t="shared" si="44"/>
        <v>0</v>
      </c>
      <c r="K80" s="578">
        <f t="shared" si="44"/>
        <v>0</v>
      </c>
      <c r="L80" s="578">
        <f t="shared" si="44"/>
        <v>0</v>
      </c>
      <c r="M80" s="578">
        <f t="shared" si="44"/>
        <v>10</v>
      </c>
      <c r="N80" s="578">
        <f t="shared" si="44"/>
        <v>0</v>
      </c>
      <c r="O80" s="578">
        <f t="shared" si="44"/>
        <v>0</v>
      </c>
      <c r="P80" s="578">
        <f t="shared" si="44"/>
        <v>0</v>
      </c>
      <c r="Q80" s="578">
        <f t="shared" si="44"/>
        <v>30</v>
      </c>
      <c r="R80" s="578">
        <f t="shared" si="44"/>
        <v>0</v>
      </c>
      <c r="S80" s="578">
        <f t="shared" si="44"/>
        <v>0</v>
      </c>
      <c r="T80" s="578">
        <f t="shared" si="44"/>
        <v>0</v>
      </c>
      <c r="U80" s="578">
        <f t="shared" si="44"/>
        <v>20</v>
      </c>
      <c r="V80" s="578">
        <f t="shared" si="44"/>
        <v>0</v>
      </c>
      <c r="W80" s="578">
        <f t="shared" si="44"/>
        <v>0</v>
      </c>
      <c r="X80" s="578">
        <f t="shared" si="44"/>
        <v>0</v>
      </c>
      <c r="Y80" s="578">
        <f t="shared" si="44"/>
        <v>20</v>
      </c>
      <c r="Z80" s="578">
        <f t="shared" si="44"/>
        <v>0</v>
      </c>
      <c r="AA80" s="578">
        <f t="shared" si="44"/>
        <v>0</v>
      </c>
      <c r="AB80" s="578">
        <f t="shared" si="44"/>
        <v>0</v>
      </c>
      <c r="AC80" s="578">
        <f t="shared" si="44"/>
        <v>62</v>
      </c>
      <c r="AD80" s="578">
        <f t="shared" si="44"/>
        <v>0</v>
      </c>
      <c r="AE80" s="578">
        <f t="shared" si="44"/>
        <v>0</v>
      </c>
      <c r="AF80" s="578">
        <f t="shared" si="44"/>
        <v>0</v>
      </c>
      <c r="AG80" s="578">
        <f t="shared" si="44"/>
        <v>80</v>
      </c>
      <c r="AH80" s="578">
        <f t="shared" si="44"/>
        <v>0</v>
      </c>
      <c r="AI80" s="578">
        <f t="shared" si="44"/>
        <v>0</v>
      </c>
      <c r="AJ80" s="578">
        <f t="shared" si="44"/>
        <v>0</v>
      </c>
      <c r="AK80" s="578">
        <f t="shared" si="44"/>
        <v>60</v>
      </c>
      <c r="AL80" s="578">
        <f t="shared" si="44"/>
        <v>0</v>
      </c>
      <c r="AM80" s="578">
        <f t="shared" si="44"/>
        <v>0</v>
      </c>
      <c r="AN80" s="578">
        <f t="shared" si="44"/>
        <v>0</v>
      </c>
    </row>
    <row r="82" spans="2:42" ht="11.5" hidden="1" customHeight="1" x14ac:dyDescent="0.25">
      <c r="B82" s="19" t="s">
        <v>9</v>
      </c>
      <c r="C82" s="536" t="s">
        <v>841</v>
      </c>
      <c r="D82" s="535" t="s">
        <v>162</v>
      </c>
      <c r="E82" s="585">
        <f>SUM(E83:E94)</f>
        <v>8</v>
      </c>
      <c r="F82" s="585">
        <f t="shared" ref="F82:AN82" si="45">SUM(F83:F94)</f>
        <v>8</v>
      </c>
      <c r="G82" s="585">
        <f t="shared" si="45"/>
        <v>8</v>
      </c>
      <c r="H82" s="582">
        <f t="shared" si="45"/>
        <v>8</v>
      </c>
      <c r="I82" s="582">
        <f t="shared" si="45"/>
        <v>11</v>
      </c>
      <c r="J82" s="582">
        <f t="shared" si="45"/>
        <v>15</v>
      </c>
      <c r="K82" s="582">
        <f t="shared" si="45"/>
        <v>15</v>
      </c>
      <c r="L82" s="582">
        <f t="shared" si="45"/>
        <v>15</v>
      </c>
      <c r="M82" s="582">
        <f t="shared" si="45"/>
        <v>18</v>
      </c>
      <c r="N82" s="582">
        <f t="shared" si="45"/>
        <v>19</v>
      </c>
      <c r="O82" s="582">
        <f t="shared" si="45"/>
        <v>20</v>
      </c>
      <c r="P82" s="582">
        <f t="shared" si="45"/>
        <v>21</v>
      </c>
      <c r="Q82" s="582">
        <f t="shared" si="45"/>
        <v>32</v>
      </c>
      <c r="R82" s="582">
        <f t="shared" si="45"/>
        <v>32</v>
      </c>
      <c r="S82" s="582">
        <f t="shared" si="45"/>
        <v>32</v>
      </c>
      <c r="T82" s="582">
        <f t="shared" si="45"/>
        <v>32</v>
      </c>
      <c r="U82" s="582">
        <f t="shared" si="45"/>
        <v>46</v>
      </c>
      <c r="V82" s="582">
        <f t="shared" si="45"/>
        <v>46</v>
      </c>
      <c r="W82" s="582">
        <f t="shared" si="45"/>
        <v>46</v>
      </c>
      <c r="X82" s="582">
        <f t="shared" si="45"/>
        <v>46</v>
      </c>
      <c r="Y82" s="582">
        <f t="shared" si="45"/>
        <v>50</v>
      </c>
      <c r="Z82" s="582">
        <f t="shared" si="45"/>
        <v>50</v>
      </c>
      <c r="AA82" s="582">
        <f t="shared" si="45"/>
        <v>50</v>
      </c>
      <c r="AB82" s="582">
        <f t="shared" si="45"/>
        <v>50</v>
      </c>
      <c r="AC82" s="582">
        <f t="shared" si="45"/>
        <v>84</v>
      </c>
      <c r="AD82" s="582">
        <f t="shared" si="45"/>
        <v>84</v>
      </c>
      <c r="AE82" s="582">
        <f t="shared" si="45"/>
        <v>84</v>
      </c>
      <c r="AF82" s="582">
        <f t="shared" si="45"/>
        <v>84</v>
      </c>
      <c r="AG82" s="582">
        <f t="shared" si="45"/>
        <v>121</v>
      </c>
      <c r="AH82" s="582">
        <f t="shared" si="45"/>
        <v>121</v>
      </c>
      <c r="AI82" s="582">
        <f t="shared" si="45"/>
        <v>121</v>
      </c>
      <c r="AJ82" s="582">
        <f t="shared" si="45"/>
        <v>121</v>
      </c>
      <c r="AK82" s="582">
        <f t="shared" si="45"/>
        <v>150</v>
      </c>
      <c r="AL82" s="582">
        <f t="shared" si="45"/>
        <v>150</v>
      </c>
      <c r="AM82" s="582">
        <f t="shared" si="45"/>
        <v>150</v>
      </c>
      <c r="AN82" s="582">
        <f t="shared" si="45"/>
        <v>150</v>
      </c>
      <c r="AP82" s="550"/>
    </row>
    <row r="83" spans="2:42" ht="11.5" hidden="1" customHeight="1" x14ac:dyDescent="0.25">
      <c r="C83" s="137" t="s">
        <v>157</v>
      </c>
      <c r="D83" s="157" t="s">
        <v>162</v>
      </c>
      <c r="E83" s="137">
        <f>'1.1 Control Panel'!E321</f>
        <v>0</v>
      </c>
      <c r="F83" s="137">
        <f>'1.1 Control Panel'!F321</f>
        <v>0</v>
      </c>
      <c r="G83" s="137">
        <f>'1.1 Control Panel'!G321</f>
        <v>0</v>
      </c>
      <c r="H83" s="137">
        <f>'1.1 Control Panel'!H321</f>
        <v>0</v>
      </c>
      <c r="I83" s="137">
        <f>'1.1 Control Panel'!I321</f>
        <v>0</v>
      </c>
      <c r="J83" s="137">
        <f>'1.1 Control Panel'!J321</f>
        <v>0</v>
      </c>
      <c r="K83" s="137">
        <f>'1.1 Control Panel'!K321</f>
        <v>0</v>
      </c>
      <c r="L83" s="137">
        <f>'1.1 Control Panel'!L321</f>
        <v>0</v>
      </c>
      <c r="M83" s="137">
        <f>'1.1 Control Panel'!M321</f>
        <v>0</v>
      </c>
      <c r="N83" s="137">
        <f>'1.1 Control Panel'!N321</f>
        <v>0</v>
      </c>
      <c r="O83" s="137">
        <f>'1.1 Control Panel'!O321</f>
        <v>0</v>
      </c>
      <c r="P83" s="137">
        <f>'1.1 Control Panel'!P321</f>
        <v>0</v>
      </c>
      <c r="Q83" s="137">
        <f>'1.1 Control Panel'!Q321</f>
        <v>0</v>
      </c>
      <c r="R83" s="137">
        <f>'1.1 Control Panel'!R321</f>
        <v>0</v>
      </c>
      <c r="S83" s="137">
        <f>'1.1 Control Panel'!S321</f>
        <v>0</v>
      </c>
      <c r="T83" s="137">
        <f>'1.1 Control Panel'!T321</f>
        <v>0</v>
      </c>
      <c r="U83" s="137">
        <f>'1.1 Control Panel'!U321</f>
        <v>1</v>
      </c>
      <c r="V83" s="137">
        <f>'1.1 Control Panel'!V321</f>
        <v>1</v>
      </c>
      <c r="W83" s="137">
        <f>'1.1 Control Panel'!W321</f>
        <v>1</v>
      </c>
      <c r="X83" s="137">
        <f>'1.1 Control Panel'!X321</f>
        <v>1</v>
      </c>
      <c r="Y83" s="137">
        <f>'1.1 Control Panel'!Y321</f>
        <v>1</v>
      </c>
      <c r="Z83" s="137">
        <f>'1.1 Control Panel'!Z321</f>
        <v>1</v>
      </c>
      <c r="AA83" s="137">
        <f>'1.1 Control Panel'!AA321</f>
        <v>1</v>
      </c>
      <c r="AB83" s="137">
        <f>'1.1 Control Panel'!AB321</f>
        <v>1</v>
      </c>
      <c r="AC83" s="137">
        <f>'1.1 Control Panel'!AC321</f>
        <v>2</v>
      </c>
      <c r="AD83" s="137">
        <f>'1.1 Control Panel'!AD321</f>
        <v>2</v>
      </c>
      <c r="AE83" s="137">
        <f>'1.1 Control Panel'!AE321</f>
        <v>2</v>
      </c>
      <c r="AF83" s="137">
        <f>'1.1 Control Panel'!AF321</f>
        <v>2</v>
      </c>
      <c r="AG83" s="137">
        <f>'1.1 Control Panel'!AG321</f>
        <v>3</v>
      </c>
      <c r="AH83" s="137">
        <f>'1.1 Control Panel'!AH321</f>
        <v>3</v>
      </c>
      <c r="AI83" s="137">
        <f>'1.1 Control Panel'!AI321</f>
        <v>3</v>
      </c>
      <c r="AJ83" s="137">
        <f>'1.1 Control Panel'!AJ321</f>
        <v>3</v>
      </c>
      <c r="AK83" s="137">
        <f>'1.1 Control Panel'!AK321</f>
        <v>3</v>
      </c>
      <c r="AL83" s="137">
        <f>'1.1 Control Panel'!AL321</f>
        <v>3</v>
      </c>
      <c r="AM83" s="137">
        <f>'1.1 Control Panel'!AM321</f>
        <v>3</v>
      </c>
      <c r="AN83" s="137">
        <f>'1.1 Control Panel'!AN321</f>
        <v>3</v>
      </c>
      <c r="AP83" s="137"/>
    </row>
    <row r="84" spans="2:42" ht="11.5" hidden="1" customHeight="1" x14ac:dyDescent="0.25">
      <c r="C84" s="21" t="s">
        <v>604</v>
      </c>
      <c r="D84" s="38" t="s">
        <v>162</v>
      </c>
      <c r="E84" s="21">
        <f>'1.1 Control Panel'!E352</f>
        <v>1</v>
      </c>
      <c r="F84" s="21">
        <f>'1.1 Control Panel'!F352</f>
        <v>1</v>
      </c>
      <c r="G84" s="21">
        <f>'1.1 Control Panel'!G352</f>
        <v>1</v>
      </c>
      <c r="H84" s="21">
        <f>'1.1 Control Panel'!H352</f>
        <v>1</v>
      </c>
      <c r="I84" s="21">
        <f>'1.1 Control Panel'!I352</f>
        <v>1</v>
      </c>
      <c r="J84" s="21">
        <f>'1.1 Control Panel'!J352</f>
        <v>2</v>
      </c>
      <c r="K84" s="21">
        <f>'1.1 Control Panel'!K352</f>
        <v>2</v>
      </c>
      <c r="L84" s="21">
        <f>'1.1 Control Panel'!L352</f>
        <v>2</v>
      </c>
      <c r="M84" s="21">
        <f>'1.1 Control Panel'!M352</f>
        <v>2</v>
      </c>
      <c r="N84" s="21">
        <f>'1.1 Control Panel'!N352</f>
        <v>2</v>
      </c>
      <c r="O84" s="21">
        <f>'1.1 Control Panel'!O352</f>
        <v>2</v>
      </c>
      <c r="P84" s="21">
        <f>'1.1 Control Panel'!P352</f>
        <v>2</v>
      </c>
      <c r="Q84" s="21">
        <f>'1.1 Control Panel'!Q352</f>
        <v>3</v>
      </c>
      <c r="R84" s="21">
        <f>'1.1 Control Panel'!R352</f>
        <v>3</v>
      </c>
      <c r="S84" s="21">
        <f>'1.1 Control Panel'!S352</f>
        <v>3</v>
      </c>
      <c r="T84" s="21">
        <f>'1.1 Control Panel'!T352</f>
        <v>3</v>
      </c>
      <c r="U84" s="21">
        <f>'1.1 Control Panel'!U352</f>
        <v>4</v>
      </c>
      <c r="V84" s="21">
        <f>'1.1 Control Panel'!V352</f>
        <v>4</v>
      </c>
      <c r="W84" s="21">
        <f>'1.1 Control Panel'!W352</f>
        <v>4</v>
      </c>
      <c r="X84" s="21">
        <f>'1.1 Control Panel'!X352</f>
        <v>4</v>
      </c>
      <c r="Y84" s="21">
        <f>'1.1 Control Panel'!Y352</f>
        <v>5</v>
      </c>
      <c r="Z84" s="21">
        <f>'1.1 Control Panel'!Z352</f>
        <v>5</v>
      </c>
      <c r="AA84" s="21">
        <f>'1.1 Control Panel'!AA352</f>
        <v>5</v>
      </c>
      <c r="AB84" s="21">
        <f>'1.1 Control Panel'!AB352</f>
        <v>5</v>
      </c>
      <c r="AC84" s="21">
        <f>'1.1 Control Panel'!AC352</f>
        <v>9</v>
      </c>
      <c r="AD84" s="21">
        <f>'1.1 Control Panel'!AD352</f>
        <v>9</v>
      </c>
      <c r="AE84" s="21">
        <f>'1.1 Control Panel'!AE352</f>
        <v>9</v>
      </c>
      <c r="AF84" s="21">
        <f>'1.1 Control Panel'!AF352</f>
        <v>9</v>
      </c>
      <c r="AG84" s="21">
        <f>'1.1 Control Panel'!AG352</f>
        <v>13</v>
      </c>
      <c r="AH84" s="21">
        <f>'1.1 Control Panel'!AH352</f>
        <v>13</v>
      </c>
      <c r="AI84" s="21">
        <f>'1.1 Control Panel'!AI352</f>
        <v>13</v>
      </c>
      <c r="AJ84" s="21">
        <f>'1.1 Control Panel'!AJ352</f>
        <v>13</v>
      </c>
      <c r="AK84" s="21">
        <f>'1.1 Control Panel'!AK352</f>
        <v>17</v>
      </c>
      <c r="AL84" s="21">
        <f>'1.1 Control Panel'!AL352</f>
        <v>17</v>
      </c>
      <c r="AM84" s="21">
        <f>'1.1 Control Panel'!AM352</f>
        <v>17</v>
      </c>
      <c r="AN84" s="21">
        <f>'1.1 Control Panel'!AN352</f>
        <v>17</v>
      </c>
      <c r="AP84" s="21"/>
    </row>
    <row r="85" spans="2:42" ht="11.5" hidden="1" customHeight="1" x14ac:dyDescent="0.25">
      <c r="C85" s="21" t="s">
        <v>601</v>
      </c>
      <c r="D85" s="38" t="s">
        <v>162</v>
      </c>
      <c r="E85" s="21">
        <f>'1.1 Control Panel'!E383</f>
        <v>0</v>
      </c>
      <c r="F85" s="21">
        <f>'1.1 Control Panel'!F383</f>
        <v>0</v>
      </c>
      <c r="G85" s="21">
        <f>'1.1 Control Panel'!G383</f>
        <v>0</v>
      </c>
      <c r="H85" s="21">
        <f>'1.1 Control Panel'!H383</f>
        <v>0</v>
      </c>
      <c r="I85" s="21">
        <f>'1.1 Control Panel'!I383</f>
        <v>0</v>
      </c>
      <c r="J85" s="21">
        <f>'1.1 Control Panel'!J383</f>
        <v>0</v>
      </c>
      <c r="K85" s="21">
        <f>'1.1 Control Panel'!K383</f>
        <v>0</v>
      </c>
      <c r="L85" s="21">
        <f>'1.1 Control Panel'!L383</f>
        <v>0</v>
      </c>
      <c r="M85" s="21">
        <f>'1.1 Control Panel'!M383</f>
        <v>0</v>
      </c>
      <c r="N85" s="21">
        <f>'1.1 Control Panel'!N383</f>
        <v>0</v>
      </c>
      <c r="O85" s="21">
        <f>'1.1 Control Panel'!O383</f>
        <v>0</v>
      </c>
      <c r="P85" s="21">
        <f>'1.1 Control Panel'!P383</f>
        <v>0</v>
      </c>
      <c r="Q85" s="21">
        <f>'1.1 Control Panel'!Q383</f>
        <v>1</v>
      </c>
      <c r="R85" s="21">
        <f>'1.1 Control Panel'!R383</f>
        <v>1</v>
      </c>
      <c r="S85" s="21">
        <f>'1.1 Control Panel'!S383</f>
        <v>1</v>
      </c>
      <c r="T85" s="21">
        <f>'1.1 Control Panel'!T383</f>
        <v>1</v>
      </c>
      <c r="U85" s="21">
        <f>'1.1 Control Panel'!U383</f>
        <v>2</v>
      </c>
      <c r="V85" s="21">
        <f>'1.1 Control Panel'!V383</f>
        <v>2</v>
      </c>
      <c r="W85" s="21">
        <f>'1.1 Control Panel'!W383</f>
        <v>2</v>
      </c>
      <c r="X85" s="21">
        <f>'1.1 Control Panel'!X383</f>
        <v>2</v>
      </c>
      <c r="Y85" s="21">
        <f>'1.1 Control Panel'!Y383</f>
        <v>2</v>
      </c>
      <c r="Z85" s="21">
        <f>'1.1 Control Panel'!Z383</f>
        <v>2</v>
      </c>
      <c r="AA85" s="21">
        <f>'1.1 Control Panel'!AA383</f>
        <v>2</v>
      </c>
      <c r="AB85" s="21">
        <f>'1.1 Control Panel'!AB383</f>
        <v>2</v>
      </c>
      <c r="AC85" s="21">
        <f>'1.1 Control Panel'!AC383</f>
        <v>3</v>
      </c>
      <c r="AD85" s="21">
        <f>'1.1 Control Panel'!AD383</f>
        <v>3</v>
      </c>
      <c r="AE85" s="21">
        <f>'1.1 Control Panel'!AE383</f>
        <v>3</v>
      </c>
      <c r="AF85" s="21">
        <f>'1.1 Control Panel'!AF383</f>
        <v>3</v>
      </c>
      <c r="AG85" s="21">
        <f>'1.1 Control Panel'!AG383</f>
        <v>4</v>
      </c>
      <c r="AH85" s="21">
        <f>'1.1 Control Panel'!AH383</f>
        <v>4</v>
      </c>
      <c r="AI85" s="21">
        <f>'1.1 Control Panel'!AI383</f>
        <v>4</v>
      </c>
      <c r="AJ85" s="21">
        <f>'1.1 Control Panel'!AJ383</f>
        <v>4</v>
      </c>
      <c r="AK85" s="21">
        <f>'1.1 Control Panel'!AK383</f>
        <v>5</v>
      </c>
      <c r="AL85" s="21">
        <f>'1.1 Control Panel'!AL383</f>
        <v>5</v>
      </c>
      <c r="AM85" s="21">
        <f>'1.1 Control Panel'!AM383</f>
        <v>5</v>
      </c>
      <c r="AN85" s="21">
        <f>'1.1 Control Panel'!AN383</f>
        <v>5</v>
      </c>
      <c r="AP85" s="21"/>
    </row>
    <row r="86" spans="2:42" ht="11.5" hidden="1" customHeight="1" x14ac:dyDescent="0.25">
      <c r="C86" s="21" t="s">
        <v>154</v>
      </c>
      <c r="D86" s="38" t="s">
        <v>162</v>
      </c>
      <c r="E86" s="21">
        <f>'1.1 Control Panel'!E414</f>
        <v>1</v>
      </c>
      <c r="F86" s="21">
        <f>'1.1 Control Panel'!F414</f>
        <v>1</v>
      </c>
      <c r="G86" s="21">
        <f>'1.1 Control Panel'!G414</f>
        <v>1</v>
      </c>
      <c r="H86" s="21">
        <f>'1.1 Control Panel'!H414</f>
        <v>1</v>
      </c>
      <c r="I86" s="21">
        <f>'1.1 Control Panel'!I414</f>
        <v>1</v>
      </c>
      <c r="J86" s="21">
        <f>'1.1 Control Panel'!J414</f>
        <v>2</v>
      </c>
      <c r="K86" s="21">
        <f>'1.1 Control Panel'!K414</f>
        <v>2</v>
      </c>
      <c r="L86" s="21">
        <f>'1.1 Control Panel'!L414</f>
        <v>2</v>
      </c>
      <c r="M86" s="21">
        <f>'1.1 Control Panel'!M414</f>
        <v>2</v>
      </c>
      <c r="N86" s="21">
        <f>'1.1 Control Panel'!N414</f>
        <v>2</v>
      </c>
      <c r="O86" s="21">
        <f>'1.1 Control Panel'!O414</f>
        <v>2</v>
      </c>
      <c r="P86" s="21">
        <f>'1.1 Control Panel'!P414</f>
        <v>2</v>
      </c>
      <c r="Q86" s="21">
        <f>'1.1 Control Panel'!Q414</f>
        <v>3</v>
      </c>
      <c r="R86" s="21">
        <f>'1.1 Control Panel'!R414</f>
        <v>3</v>
      </c>
      <c r="S86" s="21">
        <f>'1.1 Control Panel'!S414</f>
        <v>3</v>
      </c>
      <c r="T86" s="21">
        <f>'1.1 Control Panel'!T414</f>
        <v>3</v>
      </c>
      <c r="U86" s="21">
        <f>'1.1 Control Panel'!U414</f>
        <v>4</v>
      </c>
      <c r="V86" s="21">
        <f>'1.1 Control Panel'!V414</f>
        <v>4</v>
      </c>
      <c r="W86" s="21">
        <f>'1.1 Control Panel'!W414</f>
        <v>4</v>
      </c>
      <c r="X86" s="21">
        <f>'1.1 Control Panel'!X414</f>
        <v>4</v>
      </c>
      <c r="Y86" s="21">
        <f>'1.1 Control Panel'!Y414</f>
        <v>4</v>
      </c>
      <c r="Z86" s="21">
        <f>'1.1 Control Panel'!Z414</f>
        <v>4</v>
      </c>
      <c r="AA86" s="21">
        <f>'1.1 Control Panel'!AA414</f>
        <v>4</v>
      </c>
      <c r="AB86" s="21">
        <f>'1.1 Control Panel'!AB414</f>
        <v>4</v>
      </c>
      <c r="AC86" s="21">
        <f>'1.1 Control Panel'!AC414</f>
        <v>8</v>
      </c>
      <c r="AD86" s="21">
        <f>'1.1 Control Panel'!AD414</f>
        <v>8</v>
      </c>
      <c r="AE86" s="21">
        <f>'1.1 Control Panel'!AE414</f>
        <v>8</v>
      </c>
      <c r="AF86" s="21">
        <f>'1.1 Control Panel'!AF414</f>
        <v>8</v>
      </c>
      <c r="AG86" s="21">
        <f>'1.1 Control Panel'!AG414</f>
        <v>12</v>
      </c>
      <c r="AH86" s="21">
        <f>'1.1 Control Panel'!AH414</f>
        <v>12</v>
      </c>
      <c r="AI86" s="21">
        <f>'1.1 Control Panel'!AI414</f>
        <v>12</v>
      </c>
      <c r="AJ86" s="21">
        <f>'1.1 Control Panel'!AJ414</f>
        <v>12</v>
      </c>
      <c r="AK86" s="21">
        <f>'1.1 Control Panel'!AK414</f>
        <v>16</v>
      </c>
      <c r="AL86" s="21">
        <f>'1.1 Control Panel'!AL414</f>
        <v>16</v>
      </c>
      <c r="AM86" s="21">
        <f>'1.1 Control Panel'!AM414</f>
        <v>16</v>
      </c>
      <c r="AN86" s="21">
        <f>'1.1 Control Panel'!AN414</f>
        <v>16</v>
      </c>
      <c r="AP86" s="21"/>
    </row>
    <row r="87" spans="2:42" ht="11.5" hidden="1" customHeight="1" x14ac:dyDescent="0.25">
      <c r="C87" s="21" t="s">
        <v>153</v>
      </c>
      <c r="D87" s="38" t="s">
        <v>162</v>
      </c>
      <c r="E87" s="21">
        <f>'1.1 Control Panel'!E445</f>
        <v>0</v>
      </c>
      <c r="F87" s="21">
        <f>'1.1 Control Panel'!F445</f>
        <v>0</v>
      </c>
      <c r="G87" s="21">
        <f>'1.1 Control Panel'!G445</f>
        <v>1</v>
      </c>
      <c r="H87" s="21">
        <f>'1.1 Control Panel'!H445</f>
        <v>1</v>
      </c>
      <c r="I87" s="21">
        <f>'1.1 Control Panel'!I445</f>
        <v>1</v>
      </c>
      <c r="J87" s="21">
        <f>'1.1 Control Panel'!J445</f>
        <v>1</v>
      </c>
      <c r="K87" s="21">
        <f>'1.1 Control Panel'!K445</f>
        <v>1</v>
      </c>
      <c r="L87" s="21">
        <f>'1.1 Control Panel'!L445</f>
        <v>1</v>
      </c>
      <c r="M87" s="21">
        <f>'1.1 Control Panel'!M445</f>
        <v>1</v>
      </c>
      <c r="N87" s="21">
        <f>'1.1 Control Panel'!N445</f>
        <v>1</v>
      </c>
      <c r="O87" s="21">
        <f>'1.1 Control Panel'!O445</f>
        <v>1</v>
      </c>
      <c r="P87" s="21">
        <f>'1.1 Control Panel'!P445</f>
        <v>1</v>
      </c>
      <c r="Q87" s="21">
        <f>'1.1 Control Panel'!Q445</f>
        <v>2</v>
      </c>
      <c r="R87" s="21">
        <f>'1.1 Control Panel'!R445</f>
        <v>2</v>
      </c>
      <c r="S87" s="21">
        <f>'1.1 Control Panel'!S445</f>
        <v>2</v>
      </c>
      <c r="T87" s="21">
        <f>'1.1 Control Panel'!T445</f>
        <v>2</v>
      </c>
      <c r="U87" s="21">
        <f>'1.1 Control Panel'!U445</f>
        <v>3</v>
      </c>
      <c r="V87" s="21">
        <f>'1.1 Control Panel'!V445</f>
        <v>3</v>
      </c>
      <c r="W87" s="21">
        <f>'1.1 Control Panel'!W445</f>
        <v>3</v>
      </c>
      <c r="X87" s="21">
        <f>'1.1 Control Panel'!X445</f>
        <v>3</v>
      </c>
      <c r="Y87" s="21">
        <f>'1.1 Control Panel'!Y445</f>
        <v>3</v>
      </c>
      <c r="Z87" s="21">
        <f>'1.1 Control Panel'!Z445</f>
        <v>3</v>
      </c>
      <c r="AA87" s="21">
        <f>'1.1 Control Panel'!AA445</f>
        <v>3</v>
      </c>
      <c r="AB87" s="21">
        <f>'1.1 Control Panel'!AB445</f>
        <v>3</v>
      </c>
      <c r="AC87" s="21">
        <f>'1.1 Control Panel'!AC445</f>
        <v>5</v>
      </c>
      <c r="AD87" s="21">
        <f>'1.1 Control Panel'!AD445</f>
        <v>5</v>
      </c>
      <c r="AE87" s="21">
        <f>'1.1 Control Panel'!AE445</f>
        <v>5</v>
      </c>
      <c r="AF87" s="21">
        <f>'1.1 Control Panel'!AF445</f>
        <v>5</v>
      </c>
      <c r="AG87" s="21">
        <f>'1.1 Control Panel'!AG445</f>
        <v>7</v>
      </c>
      <c r="AH87" s="21">
        <f>'1.1 Control Panel'!AH445</f>
        <v>7</v>
      </c>
      <c r="AI87" s="21">
        <f>'1.1 Control Panel'!AI445</f>
        <v>7</v>
      </c>
      <c r="AJ87" s="21">
        <f>'1.1 Control Panel'!AJ445</f>
        <v>7</v>
      </c>
      <c r="AK87" s="21">
        <f>'1.1 Control Panel'!AK445</f>
        <v>8</v>
      </c>
      <c r="AL87" s="21">
        <f>'1.1 Control Panel'!AL445</f>
        <v>8</v>
      </c>
      <c r="AM87" s="21">
        <f>'1.1 Control Panel'!AM445</f>
        <v>8</v>
      </c>
      <c r="AN87" s="21">
        <f>'1.1 Control Panel'!AN445</f>
        <v>8</v>
      </c>
      <c r="AP87" s="21"/>
    </row>
    <row r="88" spans="2:42" ht="11.5" hidden="1" customHeight="1" x14ac:dyDescent="0.25">
      <c r="C88" s="21" t="s">
        <v>607</v>
      </c>
      <c r="D88" s="38" t="s">
        <v>162</v>
      </c>
      <c r="E88" s="21">
        <f>'1.1 Control Panel'!E476</f>
        <v>0</v>
      </c>
      <c r="F88" s="21">
        <f>'1.1 Control Panel'!F476</f>
        <v>0</v>
      </c>
      <c r="G88" s="21">
        <f>'1.1 Control Panel'!G476</f>
        <v>0</v>
      </c>
      <c r="H88" s="21">
        <f>'1.1 Control Panel'!H476</f>
        <v>0</v>
      </c>
      <c r="I88" s="21">
        <f>'1.1 Control Panel'!I476</f>
        <v>0</v>
      </c>
      <c r="J88" s="21">
        <f>'1.1 Control Panel'!J476</f>
        <v>0</v>
      </c>
      <c r="K88" s="21">
        <f>'1.1 Control Panel'!K476</f>
        <v>0</v>
      </c>
      <c r="L88" s="21">
        <f>'1.1 Control Panel'!L476</f>
        <v>0</v>
      </c>
      <c r="M88" s="21">
        <f>'1.1 Control Panel'!M476</f>
        <v>0</v>
      </c>
      <c r="N88" s="21">
        <f>'1.1 Control Panel'!N476</f>
        <v>0</v>
      </c>
      <c r="O88" s="21">
        <f>'1.1 Control Panel'!O476</f>
        <v>0</v>
      </c>
      <c r="P88" s="21">
        <f>'1.1 Control Panel'!P476</f>
        <v>0</v>
      </c>
      <c r="Q88" s="21">
        <f>'1.1 Control Panel'!Q476</f>
        <v>1</v>
      </c>
      <c r="R88" s="21">
        <f>'1.1 Control Panel'!R476</f>
        <v>1</v>
      </c>
      <c r="S88" s="21">
        <f>'1.1 Control Panel'!S476</f>
        <v>1</v>
      </c>
      <c r="T88" s="21">
        <f>'1.1 Control Panel'!T476</f>
        <v>1</v>
      </c>
      <c r="U88" s="21">
        <f>'1.1 Control Panel'!U476</f>
        <v>2</v>
      </c>
      <c r="V88" s="21">
        <f>'1.1 Control Panel'!V476</f>
        <v>2</v>
      </c>
      <c r="W88" s="21">
        <f>'1.1 Control Panel'!W476</f>
        <v>2</v>
      </c>
      <c r="X88" s="21">
        <f>'1.1 Control Panel'!X476</f>
        <v>2</v>
      </c>
      <c r="Y88" s="21">
        <f>'1.1 Control Panel'!Y476</f>
        <v>2</v>
      </c>
      <c r="Z88" s="21">
        <f>'1.1 Control Panel'!Z476</f>
        <v>2</v>
      </c>
      <c r="AA88" s="21">
        <f>'1.1 Control Panel'!AA476</f>
        <v>2</v>
      </c>
      <c r="AB88" s="21">
        <f>'1.1 Control Panel'!AB476</f>
        <v>2</v>
      </c>
      <c r="AC88" s="21">
        <f>'1.1 Control Panel'!AC476</f>
        <v>6</v>
      </c>
      <c r="AD88" s="21">
        <f>'1.1 Control Panel'!AD476</f>
        <v>6</v>
      </c>
      <c r="AE88" s="21">
        <f>'1.1 Control Panel'!AE476</f>
        <v>6</v>
      </c>
      <c r="AF88" s="21">
        <f>'1.1 Control Panel'!AF476</f>
        <v>6</v>
      </c>
      <c r="AG88" s="21">
        <f>'1.1 Control Panel'!AG476</f>
        <v>10</v>
      </c>
      <c r="AH88" s="21">
        <f>'1.1 Control Panel'!AH476</f>
        <v>10</v>
      </c>
      <c r="AI88" s="21">
        <f>'1.1 Control Panel'!AI476</f>
        <v>10</v>
      </c>
      <c r="AJ88" s="21">
        <f>'1.1 Control Panel'!AJ476</f>
        <v>10</v>
      </c>
      <c r="AK88" s="21">
        <f>'1.1 Control Panel'!AK476</f>
        <v>13</v>
      </c>
      <c r="AL88" s="21">
        <f>'1.1 Control Panel'!AL476</f>
        <v>13</v>
      </c>
      <c r="AM88" s="21">
        <f>'1.1 Control Panel'!AM476</f>
        <v>13</v>
      </c>
      <c r="AN88" s="21">
        <f>'1.1 Control Panel'!AN476</f>
        <v>13</v>
      </c>
      <c r="AP88" s="21"/>
    </row>
    <row r="89" spans="2:42" ht="11.5" hidden="1" customHeight="1" x14ac:dyDescent="0.25">
      <c r="C89" s="21" t="s">
        <v>616</v>
      </c>
      <c r="D89" s="38" t="s">
        <v>162</v>
      </c>
      <c r="E89" s="21">
        <f>'1.1 Control Panel'!E507</f>
        <v>1</v>
      </c>
      <c r="F89" s="21">
        <f>'1.1 Control Panel'!F507</f>
        <v>1</v>
      </c>
      <c r="G89" s="21">
        <f>'1.1 Control Panel'!G507</f>
        <v>4</v>
      </c>
      <c r="H89" s="21">
        <f>'1.1 Control Panel'!H507</f>
        <v>4</v>
      </c>
      <c r="I89" s="21">
        <f>'1.1 Control Panel'!I507</f>
        <v>4</v>
      </c>
      <c r="J89" s="21">
        <f>'1.1 Control Panel'!J507</f>
        <v>6</v>
      </c>
      <c r="K89" s="21">
        <f>'1.1 Control Panel'!K507</f>
        <v>6</v>
      </c>
      <c r="L89" s="21">
        <f>'1.1 Control Panel'!L507</f>
        <v>6</v>
      </c>
      <c r="M89" s="21">
        <f>'1.1 Control Panel'!M507</f>
        <v>7</v>
      </c>
      <c r="N89" s="21">
        <f>'1.1 Control Panel'!N507</f>
        <v>7</v>
      </c>
      <c r="O89" s="21">
        <f>'1.1 Control Panel'!O507</f>
        <v>7</v>
      </c>
      <c r="P89" s="21">
        <f>'1.1 Control Panel'!P507</f>
        <v>7</v>
      </c>
      <c r="Q89" s="21">
        <f>'1.1 Control Panel'!Q507</f>
        <v>8</v>
      </c>
      <c r="R89" s="21">
        <f>'1.1 Control Panel'!R507</f>
        <v>8</v>
      </c>
      <c r="S89" s="21">
        <f>'1.1 Control Panel'!S507</f>
        <v>8</v>
      </c>
      <c r="T89" s="21">
        <f>'1.1 Control Panel'!T507</f>
        <v>8</v>
      </c>
      <c r="U89" s="21">
        <f>'1.1 Control Panel'!U507</f>
        <v>9</v>
      </c>
      <c r="V89" s="21">
        <f>'1.1 Control Panel'!V507</f>
        <v>9</v>
      </c>
      <c r="W89" s="21">
        <f>'1.1 Control Panel'!W507</f>
        <v>9</v>
      </c>
      <c r="X89" s="21">
        <f>'1.1 Control Panel'!X507</f>
        <v>9</v>
      </c>
      <c r="Y89" s="21">
        <f>'1.1 Control Panel'!Y507</f>
        <v>10</v>
      </c>
      <c r="Z89" s="21">
        <f>'1.1 Control Panel'!Z507</f>
        <v>10</v>
      </c>
      <c r="AA89" s="21">
        <f>'1.1 Control Panel'!AA507</f>
        <v>10</v>
      </c>
      <c r="AB89" s="21">
        <f>'1.1 Control Panel'!AB507</f>
        <v>10</v>
      </c>
      <c r="AC89" s="21">
        <f>'1.1 Control Panel'!AC507</f>
        <v>15</v>
      </c>
      <c r="AD89" s="21">
        <f>'1.1 Control Panel'!AD507</f>
        <v>15</v>
      </c>
      <c r="AE89" s="21">
        <f>'1.1 Control Panel'!AE507</f>
        <v>15</v>
      </c>
      <c r="AF89" s="21">
        <f>'1.1 Control Panel'!AF507</f>
        <v>15</v>
      </c>
      <c r="AG89" s="21">
        <f>'1.1 Control Panel'!AG507</f>
        <v>21</v>
      </c>
      <c r="AH89" s="21">
        <f>'1.1 Control Panel'!AH507</f>
        <v>21</v>
      </c>
      <c r="AI89" s="21">
        <f>'1.1 Control Panel'!AI507</f>
        <v>21</v>
      </c>
      <c r="AJ89" s="21">
        <f>'1.1 Control Panel'!AJ507</f>
        <v>21</v>
      </c>
      <c r="AK89" s="21">
        <f>'1.1 Control Panel'!AK507</f>
        <v>26</v>
      </c>
      <c r="AL89" s="21">
        <f>'1.1 Control Panel'!AL507</f>
        <v>26</v>
      </c>
      <c r="AM89" s="21">
        <f>'1.1 Control Panel'!AM507</f>
        <v>26</v>
      </c>
      <c r="AN89" s="21">
        <f>'1.1 Control Panel'!AN507</f>
        <v>26</v>
      </c>
      <c r="AP89" s="21"/>
    </row>
    <row r="90" spans="2:42" ht="11.5" hidden="1" customHeight="1" x14ac:dyDescent="0.25">
      <c r="C90" s="21" t="s">
        <v>605</v>
      </c>
      <c r="D90" s="38" t="s">
        <v>162</v>
      </c>
      <c r="E90" s="21">
        <f>'1.1 Control Panel'!E538</f>
        <v>0</v>
      </c>
      <c r="F90" s="21">
        <f>'1.1 Control Panel'!F538</f>
        <v>0</v>
      </c>
      <c r="G90" s="21">
        <f>'1.1 Control Panel'!G538</f>
        <v>0</v>
      </c>
      <c r="H90" s="21">
        <f>'1.1 Control Panel'!H538</f>
        <v>0</v>
      </c>
      <c r="I90" s="21">
        <f>'1.1 Control Panel'!I538</f>
        <v>1</v>
      </c>
      <c r="J90" s="21">
        <f>'1.1 Control Panel'!J538</f>
        <v>1</v>
      </c>
      <c r="K90" s="21">
        <f>'1.1 Control Panel'!K538</f>
        <v>1</v>
      </c>
      <c r="L90" s="21">
        <f>'1.1 Control Panel'!L538</f>
        <v>1</v>
      </c>
      <c r="M90" s="21">
        <f>'1.1 Control Panel'!M538</f>
        <v>1</v>
      </c>
      <c r="N90" s="21">
        <f>'1.1 Control Panel'!N538</f>
        <v>1</v>
      </c>
      <c r="O90" s="21">
        <f>'1.1 Control Panel'!O538</f>
        <v>1</v>
      </c>
      <c r="P90" s="21">
        <f>'1.1 Control Panel'!P538</f>
        <v>1</v>
      </c>
      <c r="Q90" s="21">
        <f>'1.1 Control Panel'!Q538</f>
        <v>2</v>
      </c>
      <c r="R90" s="21">
        <f>'1.1 Control Panel'!R538</f>
        <v>2</v>
      </c>
      <c r="S90" s="21">
        <f>'1.1 Control Panel'!S538</f>
        <v>2</v>
      </c>
      <c r="T90" s="21">
        <f>'1.1 Control Panel'!T538</f>
        <v>2</v>
      </c>
      <c r="U90" s="21">
        <f>'1.1 Control Panel'!U538</f>
        <v>3</v>
      </c>
      <c r="V90" s="21">
        <f>'1.1 Control Panel'!V538</f>
        <v>3</v>
      </c>
      <c r="W90" s="21">
        <f>'1.1 Control Panel'!W538</f>
        <v>3</v>
      </c>
      <c r="X90" s="21">
        <f>'1.1 Control Panel'!X538</f>
        <v>3</v>
      </c>
      <c r="Y90" s="21">
        <f>'1.1 Control Panel'!Y538</f>
        <v>3</v>
      </c>
      <c r="Z90" s="21">
        <f>'1.1 Control Panel'!Z538</f>
        <v>3</v>
      </c>
      <c r="AA90" s="21">
        <f>'1.1 Control Panel'!AA538</f>
        <v>3</v>
      </c>
      <c r="AB90" s="21">
        <f>'1.1 Control Panel'!AB538</f>
        <v>3</v>
      </c>
      <c r="AC90" s="21">
        <f>'1.1 Control Panel'!AC538</f>
        <v>4</v>
      </c>
      <c r="AD90" s="21">
        <f>'1.1 Control Panel'!AD538</f>
        <v>4</v>
      </c>
      <c r="AE90" s="21">
        <f>'1.1 Control Panel'!AE538</f>
        <v>4</v>
      </c>
      <c r="AF90" s="21">
        <f>'1.1 Control Panel'!AF538</f>
        <v>4</v>
      </c>
      <c r="AG90" s="21">
        <f>'1.1 Control Panel'!AG538</f>
        <v>6</v>
      </c>
      <c r="AH90" s="21">
        <f>'1.1 Control Panel'!AH538</f>
        <v>6</v>
      </c>
      <c r="AI90" s="21">
        <f>'1.1 Control Panel'!AI538</f>
        <v>6</v>
      </c>
      <c r="AJ90" s="21">
        <f>'1.1 Control Panel'!AJ538</f>
        <v>6</v>
      </c>
      <c r="AK90" s="21">
        <f>'1.1 Control Panel'!AK538</f>
        <v>7</v>
      </c>
      <c r="AL90" s="21">
        <f>'1.1 Control Panel'!AL538</f>
        <v>7</v>
      </c>
      <c r="AM90" s="21">
        <f>'1.1 Control Panel'!AM538</f>
        <v>7</v>
      </c>
      <c r="AN90" s="21">
        <f>'1.1 Control Panel'!AN538</f>
        <v>7</v>
      </c>
      <c r="AP90" s="21"/>
    </row>
    <row r="91" spans="2:42" ht="11.5" hidden="1" customHeight="1" x14ac:dyDescent="0.25">
      <c r="C91" s="21" t="s">
        <v>608</v>
      </c>
      <c r="D91" s="38" t="s">
        <v>162</v>
      </c>
      <c r="E91" s="21">
        <f>'1.1 Control Panel'!E569</f>
        <v>3</v>
      </c>
      <c r="F91" s="21">
        <f>'1.1 Control Panel'!F569</f>
        <v>3</v>
      </c>
      <c r="G91" s="21">
        <f>'1.1 Control Panel'!G569</f>
        <v>0</v>
      </c>
      <c r="H91" s="21">
        <f>'1.1 Control Panel'!H569</f>
        <v>0</v>
      </c>
      <c r="I91" s="21">
        <f>'1.1 Control Panel'!I569</f>
        <v>0</v>
      </c>
      <c r="J91" s="21">
        <f>'1.1 Control Panel'!J569</f>
        <v>0</v>
      </c>
      <c r="K91" s="21">
        <f>'1.1 Control Panel'!K569</f>
        <v>0</v>
      </c>
      <c r="L91" s="21">
        <f>'1.1 Control Panel'!L569</f>
        <v>0</v>
      </c>
      <c r="M91" s="21">
        <f>'1.1 Control Panel'!M569</f>
        <v>0</v>
      </c>
      <c r="N91" s="21">
        <f>'1.1 Control Panel'!N569</f>
        <v>0</v>
      </c>
      <c r="O91" s="21">
        <f>'1.1 Control Panel'!O569</f>
        <v>0</v>
      </c>
      <c r="P91" s="21">
        <f>'1.1 Control Panel'!P569</f>
        <v>0</v>
      </c>
      <c r="Q91" s="21">
        <f>'1.1 Control Panel'!Q569</f>
        <v>1</v>
      </c>
      <c r="R91" s="21">
        <f>'1.1 Control Panel'!R569</f>
        <v>1</v>
      </c>
      <c r="S91" s="21">
        <f>'1.1 Control Panel'!S569</f>
        <v>1</v>
      </c>
      <c r="T91" s="21">
        <f>'1.1 Control Panel'!T569</f>
        <v>1</v>
      </c>
      <c r="U91" s="21">
        <f>'1.1 Control Panel'!U569</f>
        <v>3</v>
      </c>
      <c r="V91" s="21">
        <f>'1.1 Control Panel'!V569</f>
        <v>3</v>
      </c>
      <c r="W91" s="21">
        <f>'1.1 Control Panel'!W569</f>
        <v>3</v>
      </c>
      <c r="X91" s="21">
        <f>'1.1 Control Panel'!X569</f>
        <v>3</v>
      </c>
      <c r="Y91" s="21">
        <f>'1.1 Control Panel'!Y569</f>
        <v>4</v>
      </c>
      <c r="Z91" s="21">
        <f>'1.1 Control Panel'!Z569</f>
        <v>4</v>
      </c>
      <c r="AA91" s="21">
        <f>'1.1 Control Panel'!AA569</f>
        <v>4</v>
      </c>
      <c r="AB91" s="21">
        <f>'1.1 Control Panel'!AB569</f>
        <v>4</v>
      </c>
      <c r="AC91" s="21">
        <f>'1.1 Control Panel'!AC569</f>
        <v>7</v>
      </c>
      <c r="AD91" s="21">
        <f>'1.1 Control Panel'!AD569</f>
        <v>7</v>
      </c>
      <c r="AE91" s="21">
        <f>'1.1 Control Panel'!AE569</f>
        <v>7</v>
      </c>
      <c r="AF91" s="21">
        <f>'1.1 Control Panel'!AF569</f>
        <v>7</v>
      </c>
      <c r="AG91" s="21">
        <f>'1.1 Control Panel'!AG569</f>
        <v>10</v>
      </c>
      <c r="AH91" s="21">
        <f>'1.1 Control Panel'!AH569</f>
        <v>10</v>
      </c>
      <c r="AI91" s="21">
        <f>'1.1 Control Panel'!AI569</f>
        <v>10</v>
      </c>
      <c r="AJ91" s="21">
        <f>'1.1 Control Panel'!AJ569</f>
        <v>10</v>
      </c>
      <c r="AK91" s="21">
        <f>'1.1 Control Panel'!AK569</f>
        <v>12</v>
      </c>
      <c r="AL91" s="21">
        <f>'1.1 Control Panel'!AL569</f>
        <v>12</v>
      </c>
      <c r="AM91" s="21">
        <f>'1.1 Control Panel'!AM569</f>
        <v>12</v>
      </c>
      <c r="AN91" s="21">
        <f>'1.1 Control Panel'!AN569</f>
        <v>12</v>
      </c>
      <c r="AP91" s="21"/>
    </row>
    <row r="92" spans="2:42" ht="11.5" hidden="1" customHeight="1" x14ac:dyDescent="0.25">
      <c r="C92" s="21" t="s">
        <v>606</v>
      </c>
      <c r="D92" s="38" t="s">
        <v>162</v>
      </c>
      <c r="E92" s="21">
        <f>'1.1 Control Panel'!E600</f>
        <v>2</v>
      </c>
      <c r="F92" s="21">
        <f>'1.1 Control Panel'!F600</f>
        <v>2</v>
      </c>
      <c r="G92" s="21">
        <f>'1.1 Control Panel'!G600</f>
        <v>1</v>
      </c>
      <c r="H92" s="21">
        <f>'1.1 Control Panel'!H600</f>
        <v>1</v>
      </c>
      <c r="I92" s="21">
        <f>'1.1 Control Panel'!I600</f>
        <v>2</v>
      </c>
      <c r="J92" s="21">
        <f>'1.1 Control Panel'!J600</f>
        <v>2</v>
      </c>
      <c r="K92" s="21">
        <f>'1.1 Control Panel'!K600</f>
        <v>2</v>
      </c>
      <c r="L92" s="21">
        <f>'1.1 Control Panel'!L600</f>
        <v>2</v>
      </c>
      <c r="M92" s="21">
        <f>'1.1 Control Panel'!M600</f>
        <v>4</v>
      </c>
      <c r="N92" s="21">
        <f>'1.1 Control Panel'!N600</f>
        <v>5</v>
      </c>
      <c r="O92" s="21">
        <f>'1.1 Control Panel'!O600</f>
        <v>6</v>
      </c>
      <c r="P92" s="21">
        <f>'1.1 Control Panel'!P600</f>
        <v>7</v>
      </c>
      <c r="Q92" s="21">
        <f>'1.1 Control Panel'!Q600</f>
        <v>8</v>
      </c>
      <c r="R92" s="21">
        <f>'1.1 Control Panel'!R600</f>
        <v>8</v>
      </c>
      <c r="S92" s="21">
        <f>'1.1 Control Panel'!S600</f>
        <v>8</v>
      </c>
      <c r="T92" s="21">
        <f>'1.1 Control Panel'!T600</f>
        <v>8</v>
      </c>
      <c r="U92" s="21">
        <f>'1.1 Control Panel'!U600</f>
        <v>10</v>
      </c>
      <c r="V92" s="21">
        <f>'1.1 Control Panel'!V600</f>
        <v>10</v>
      </c>
      <c r="W92" s="21">
        <f>'1.1 Control Panel'!W600</f>
        <v>10</v>
      </c>
      <c r="X92" s="21">
        <f>'1.1 Control Panel'!X600</f>
        <v>10</v>
      </c>
      <c r="Y92" s="21">
        <f>'1.1 Control Panel'!Y600</f>
        <v>11</v>
      </c>
      <c r="Z92" s="21">
        <f>'1.1 Control Panel'!Z600</f>
        <v>11</v>
      </c>
      <c r="AA92" s="21">
        <f>'1.1 Control Panel'!AA600</f>
        <v>11</v>
      </c>
      <c r="AB92" s="21">
        <f>'1.1 Control Panel'!AB600</f>
        <v>11</v>
      </c>
      <c r="AC92" s="21">
        <f>'1.1 Control Panel'!AC600</f>
        <v>16</v>
      </c>
      <c r="AD92" s="21">
        <f>'1.1 Control Panel'!AD600</f>
        <v>16</v>
      </c>
      <c r="AE92" s="21">
        <f>'1.1 Control Panel'!AE600</f>
        <v>16</v>
      </c>
      <c r="AF92" s="21">
        <f>'1.1 Control Panel'!AF600</f>
        <v>16</v>
      </c>
      <c r="AG92" s="21">
        <f>'1.1 Control Panel'!AG600</f>
        <v>21</v>
      </c>
      <c r="AH92" s="21">
        <f>'1.1 Control Panel'!AH600</f>
        <v>21</v>
      </c>
      <c r="AI92" s="21">
        <f>'1.1 Control Panel'!AI600</f>
        <v>21</v>
      </c>
      <c r="AJ92" s="21">
        <f>'1.1 Control Panel'!AJ600</f>
        <v>21</v>
      </c>
      <c r="AK92" s="21">
        <f>'1.1 Control Panel'!AK600</f>
        <v>26</v>
      </c>
      <c r="AL92" s="21">
        <f>'1.1 Control Panel'!AL600</f>
        <v>26</v>
      </c>
      <c r="AM92" s="21">
        <f>'1.1 Control Panel'!AM600</f>
        <v>26</v>
      </c>
      <c r="AN92" s="21">
        <f>'1.1 Control Panel'!AN600</f>
        <v>26</v>
      </c>
      <c r="AP92" s="21"/>
    </row>
    <row r="93" spans="2:42" ht="11.5" hidden="1" customHeight="1" x14ac:dyDescent="0.25">
      <c r="C93" s="21" t="s">
        <v>617</v>
      </c>
      <c r="D93" s="38" t="s">
        <v>162</v>
      </c>
      <c r="E93" s="21">
        <f>'1.1 Control Panel'!E631</f>
        <v>0</v>
      </c>
      <c r="F93" s="21">
        <f>'1.1 Control Panel'!F631</f>
        <v>0</v>
      </c>
      <c r="G93" s="21">
        <f>'1.1 Control Panel'!G631</f>
        <v>0</v>
      </c>
      <c r="H93" s="21">
        <f>'1.1 Control Panel'!H631</f>
        <v>0</v>
      </c>
      <c r="I93" s="21">
        <f>'1.1 Control Panel'!I631</f>
        <v>1</v>
      </c>
      <c r="J93" s="21">
        <f>'1.1 Control Panel'!J631</f>
        <v>1</v>
      </c>
      <c r="K93" s="21">
        <f>'1.1 Control Panel'!K631</f>
        <v>1</v>
      </c>
      <c r="L93" s="21">
        <f>'1.1 Control Panel'!L631</f>
        <v>1</v>
      </c>
      <c r="M93" s="21">
        <f>'1.1 Control Panel'!M631</f>
        <v>1</v>
      </c>
      <c r="N93" s="21">
        <f>'1.1 Control Panel'!N631</f>
        <v>1</v>
      </c>
      <c r="O93" s="21">
        <f>'1.1 Control Panel'!O631</f>
        <v>1</v>
      </c>
      <c r="P93" s="21">
        <f>'1.1 Control Panel'!P631</f>
        <v>1</v>
      </c>
      <c r="Q93" s="21">
        <f>'1.1 Control Panel'!Q631</f>
        <v>2</v>
      </c>
      <c r="R93" s="21">
        <f>'1.1 Control Panel'!R631</f>
        <v>2</v>
      </c>
      <c r="S93" s="21">
        <f>'1.1 Control Panel'!S631</f>
        <v>2</v>
      </c>
      <c r="T93" s="21">
        <f>'1.1 Control Panel'!T631</f>
        <v>2</v>
      </c>
      <c r="U93" s="21">
        <f>'1.1 Control Panel'!U631</f>
        <v>3</v>
      </c>
      <c r="V93" s="21">
        <f>'1.1 Control Panel'!V631</f>
        <v>3</v>
      </c>
      <c r="W93" s="21">
        <f>'1.1 Control Panel'!W631</f>
        <v>3</v>
      </c>
      <c r="X93" s="21">
        <f>'1.1 Control Panel'!X631</f>
        <v>3</v>
      </c>
      <c r="Y93" s="21">
        <f>'1.1 Control Panel'!Y631</f>
        <v>3</v>
      </c>
      <c r="Z93" s="21">
        <f>'1.1 Control Panel'!Z631</f>
        <v>3</v>
      </c>
      <c r="AA93" s="21">
        <f>'1.1 Control Panel'!AA631</f>
        <v>3</v>
      </c>
      <c r="AB93" s="21">
        <f>'1.1 Control Panel'!AB631</f>
        <v>3</v>
      </c>
      <c r="AC93" s="21">
        <f>'1.1 Control Panel'!AC631</f>
        <v>5</v>
      </c>
      <c r="AD93" s="21">
        <f>'1.1 Control Panel'!AD631</f>
        <v>5</v>
      </c>
      <c r="AE93" s="21">
        <f>'1.1 Control Panel'!AE631</f>
        <v>5</v>
      </c>
      <c r="AF93" s="21">
        <f>'1.1 Control Panel'!AF631</f>
        <v>5</v>
      </c>
      <c r="AG93" s="21">
        <f>'1.1 Control Panel'!AG631</f>
        <v>8</v>
      </c>
      <c r="AH93" s="21">
        <f>'1.1 Control Panel'!AH631</f>
        <v>8</v>
      </c>
      <c r="AI93" s="21">
        <f>'1.1 Control Panel'!AI631</f>
        <v>8</v>
      </c>
      <c r="AJ93" s="21">
        <f>'1.1 Control Panel'!AJ631</f>
        <v>8</v>
      </c>
      <c r="AK93" s="21">
        <f>'1.1 Control Panel'!AK631</f>
        <v>10</v>
      </c>
      <c r="AL93" s="21">
        <f>'1.1 Control Panel'!AL631</f>
        <v>10</v>
      </c>
      <c r="AM93" s="21">
        <f>'1.1 Control Panel'!AM631</f>
        <v>10</v>
      </c>
      <c r="AN93" s="21">
        <f>'1.1 Control Panel'!AN631</f>
        <v>10</v>
      </c>
      <c r="AP93" s="21"/>
    </row>
    <row r="94" spans="2:42" ht="11.5" hidden="1" customHeight="1" x14ac:dyDescent="0.25">
      <c r="B94" s="19" t="s">
        <v>9</v>
      </c>
      <c r="C94" s="27" t="s">
        <v>609</v>
      </c>
      <c r="D94" s="40" t="s">
        <v>162</v>
      </c>
      <c r="E94" s="27">
        <f>'1.1 Control Panel'!E662</f>
        <v>0</v>
      </c>
      <c r="F94" s="27">
        <f>'1.1 Control Panel'!F662</f>
        <v>0</v>
      </c>
      <c r="G94" s="27">
        <f>'1.1 Control Panel'!G662</f>
        <v>0</v>
      </c>
      <c r="H94" s="27">
        <f>'1.1 Control Panel'!H662</f>
        <v>0</v>
      </c>
      <c r="I94" s="27">
        <f>'1.1 Control Panel'!I662</f>
        <v>0</v>
      </c>
      <c r="J94" s="27">
        <f>'1.1 Control Panel'!J662</f>
        <v>0</v>
      </c>
      <c r="K94" s="27">
        <f>'1.1 Control Panel'!K662</f>
        <v>0</v>
      </c>
      <c r="L94" s="27">
        <f>'1.1 Control Panel'!L662</f>
        <v>0</v>
      </c>
      <c r="M94" s="27">
        <f>'1.1 Control Panel'!M662</f>
        <v>0</v>
      </c>
      <c r="N94" s="27">
        <f>'1.1 Control Panel'!N662</f>
        <v>0</v>
      </c>
      <c r="O94" s="27">
        <f>'1.1 Control Panel'!O662</f>
        <v>0</v>
      </c>
      <c r="P94" s="27">
        <f>'1.1 Control Panel'!P662</f>
        <v>0</v>
      </c>
      <c r="Q94" s="27">
        <f>'1.1 Control Panel'!Q662</f>
        <v>1</v>
      </c>
      <c r="R94" s="27">
        <f>'1.1 Control Panel'!R662</f>
        <v>1</v>
      </c>
      <c r="S94" s="27">
        <f>'1.1 Control Panel'!S662</f>
        <v>1</v>
      </c>
      <c r="T94" s="27">
        <f>'1.1 Control Panel'!T662</f>
        <v>1</v>
      </c>
      <c r="U94" s="27">
        <f>'1.1 Control Panel'!U662</f>
        <v>2</v>
      </c>
      <c r="V94" s="27">
        <f>'1.1 Control Panel'!V662</f>
        <v>2</v>
      </c>
      <c r="W94" s="27">
        <f>'1.1 Control Panel'!W662</f>
        <v>2</v>
      </c>
      <c r="X94" s="27">
        <f>'1.1 Control Panel'!X662</f>
        <v>2</v>
      </c>
      <c r="Y94" s="27">
        <f>'1.1 Control Panel'!Y662</f>
        <v>2</v>
      </c>
      <c r="Z94" s="27">
        <f>'1.1 Control Panel'!Z662</f>
        <v>2</v>
      </c>
      <c r="AA94" s="27">
        <f>'1.1 Control Panel'!AA662</f>
        <v>2</v>
      </c>
      <c r="AB94" s="27">
        <f>'1.1 Control Panel'!AB662</f>
        <v>2</v>
      </c>
      <c r="AC94" s="27">
        <f>'1.1 Control Panel'!AC662</f>
        <v>4</v>
      </c>
      <c r="AD94" s="27">
        <f>'1.1 Control Panel'!AD662</f>
        <v>4</v>
      </c>
      <c r="AE94" s="27">
        <f>'1.1 Control Panel'!AE662</f>
        <v>4</v>
      </c>
      <c r="AF94" s="27">
        <f>'1.1 Control Panel'!AF662</f>
        <v>4</v>
      </c>
      <c r="AG94" s="27">
        <f>'1.1 Control Panel'!AG662</f>
        <v>6</v>
      </c>
      <c r="AH94" s="27">
        <f>'1.1 Control Panel'!AH662</f>
        <v>6</v>
      </c>
      <c r="AI94" s="27">
        <f>'1.1 Control Panel'!AI662</f>
        <v>6</v>
      </c>
      <c r="AJ94" s="27">
        <f>'1.1 Control Panel'!AJ662</f>
        <v>6</v>
      </c>
      <c r="AK94" s="27">
        <f>'1.1 Control Panel'!AK662</f>
        <v>7</v>
      </c>
      <c r="AL94" s="27">
        <f>'1.1 Control Panel'!AL662</f>
        <v>7</v>
      </c>
      <c r="AM94" s="27">
        <f>'1.1 Control Panel'!AM662</f>
        <v>7</v>
      </c>
      <c r="AN94" s="27">
        <f>'1.1 Control Panel'!AN662</f>
        <v>7</v>
      </c>
      <c r="AP94" s="27"/>
    </row>
    <row r="96" spans="2:42" s="269" customFormat="1" ht="11.5" hidden="1" customHeight="1" x14ac:dyDescent="0.25">
      <c r="B96" s="33" t="s">
        <v>9</v>
      </c>
      <c r="C96" s="536" t="s">
        <v>800</v>
      </c>
      <c r="D96" s="535" t="s">
        <v>46</v>
      </c>
      <c r="E96" s="582">
        <f t="shared" ref="E96:AN96" si="46">SUM(E97:E108)</f>
        <v>192000</v>
      </c>
      <c r="F96" s="582">
        <f t="shared" si="46"/>
        <v>0</v>
      </c>
      <c r="G96" s="582">
        <f t="shared" si="46"/>
        <v>0</v>
      </c>
      <c r="H96" s="582">
        <f t="shared" si="46"/>
        <v>0</v>
      </c>
      <c r="I96" s="582">
        <f t="shared" si="46"/>
        <v>72000</v>
      </c>
      <c r="J96" s="582">
        <f t="shared" si="46"/>
        <v>96000</v>
      </c>
      <c r="K96" s="582">
        <f t="shared" si="46"/>
        <v>0</v>
      </c>
      <c r="L96" s="582">
        <f t="shared" si="46"/>
        <v>0</v>
      </c>
      <c r="M96" s="582">
        <f t="shared" si="46"/>
        <v>72000</v>
      </c>
      <c r="N96" s="582">
        <f t="shared" si="46"/>
        <v>24000</v>
      </c>
      <c r="O96" s="582">
        <f t="shared" si="46"/>
        <v>24000</v>
      </c>
      <c r="P96" s="582">
        <f t="shared" si="46"/>
        <v>24000</v>
      </c>
      <c r="Q96" s="582">
        <f t="shared" si="46"/>
        <v>264000</v>
      </c>
      <c r="R96" s="582">
        <f t="shared" si="46"/>
        <v>0</v>
      </c>
      <c r="S96" s="582">
        <f t="shared" si="46"/>
        <v>0</v>
      </c>
      <c r="T96" s="582">
        <f t="shared" si="46"/>
        <v>0</v>
      </c>
      <c r="U96" s="582">
        <f t="shared" si="46"/>
        <v>336000</v>
      </c>
      <c r="V96" s="582">
        <f t="shared" si="46"/>
        <v>0</v>
      </c>
      <c r="W96" s="582">
        <f t="shared" si="46"/>
        <v>0</v>
      </c>
      <c r="X96" s="582">
        <f t="shared" si="46"/>
        <v>0</v>
      </c>
      <c r="Y96" s="582">
        <f t="shared" si="46"/>
        <v>96000</v>
      </c>
      <c r="Z96" s="582">
        <f t="shared" si="46"/>
        <v>0</v>
      </c>
      <c r="AA96" s="582">
        <f t="shared" si="46"/>
        <v>0</v>
      </c>
      <c r="AB96" s="582">
        <f t="shared" si="46"/>
        <v>0</v>
      </c>
      <c r="AC96" s="582">
        <f t="shared" si="46"/>
        <v>816000</v>
      </c>
      <c r="AD96" s="582">
        <f t="shared" si="46"/>
        <v>0</v>
      </c>
      <c r="AE96" s="582">
        <f t="shared" si="46"/>
        <v>0</v>
      </c>
      <c r="AF96" s="582">
        <f t="shared" si="46"/>
        <v>0</v>
      </c>
      <c r="AG96" s="582">
        <f t="shared" si="46"/>
        <v>888000</v>
      </c>
      <c r="AH96" s="582">
        <f t="shared" si="46"/>
        <v>0</v>
      </c>
      <c r="AI96" s="582">
        <f t="shared" si="46"/>
        <v>0</v>
      </c>
      <c r="AJ96" s="582">
        <f t="shared" si="46"/>
        <v>0</v>
      </c>
      <c r="AK96" s="582">
        <f t="shared" si="46"/>
        <v>696000</v>
      </c>
      <c r="AL96" s="582">
        <f t="shared" si="46"/>
        <v>0</v>
      </c>
      <c r="AM96" s="582">
        <f t="shared" si="46"/>
        <v>0</v>
      </c>
      <c r="AN96" s="582">
        <f t="shared" si="46"/>
        <v>0</v>
      </c>
      <c r="AP96" s="550"/>
    </row>
    <row r="97" spans="3:42" ht="11.5" hidden="1" customHeight="1" x14ac:dyDescent="0.25">
      <c r="C97" s="137" t="s">
        <v>157</v>
      </c>
      <c r="D97" s="34" t="s">
        <v>46</v>
      </c>
      <c r="E97" s="28">
        <f>'1.1 Control Panel'!E814*'1.1 Control Panel'!E922*('1.1 Control Panel'!E321-IF(ISNUMBER('1.1 Control Panel'!D321),'1.1 Control Panel'!D321,0))*('1.1 Control Panel'!E813)</f>
        <v>0</v>
      </c>
      <c r="F97" s="28">
        <f>'1.1 Control Panel'!F814*'1.1 Control Panel'!F922*('1.1 Control Panel'!F321-IF(ISNUMBER('1.1 Control Panel'!E321),'1.1 Control Panel'!E321,0))*('1.1 Control Panel'!F813)</f>
        <v>0</v>
      </c>
      <c r="G97" s="28">
        <f>'1.1 Control Panel'!G814*'1.1 Control Panel'!G922*('1.1 Control Panel'!G321-IF(ISNUMBER('1.1 Control Panel'!F321),'1.1 Control Panel'!F321,0))*('1.1 Control Panel'!G813)</f>
        <v>0</v>
      </c>
      <c r="H97" s="28">
        <f>'1.1 Control Panel'!H814*'1.1 Control Panel'!H922*('1.1 Control Panel'!H321-IF(ISNUMBER('1.1 Control Panel'!G321),'1.1 Control Panel'!G321,0))*('1.1 Control Panel'!H813)</f>
        <v>0</v>
      </c>
      <c r="I97" s="28">
        <f>'1.1 Control Panel'!I814*'1.1 Control Panel'!I922*('1.1 Control Panel'!I321-IF(ISNUMBER('1.1 Control Panel'!H321),'1.1 Control Panel'!H321,0))*('1.1 Control Panel'!I813)</f>
        <v>0</v>
      </c>
      <c r="J97" s="28">
        <f>'1.1 Control Panel'!J814*'1.1 Control Panel'!J922*('1.1 Control Panel'!J321-IF(ISNUMBER('1.1 Control Panel'!I321),'1.1 Control Panel'!I321,0))*('1.1 Control Panel'!J813)</f>
        <v>0</v>
      </c>
      <c r="K97" s="28">
        <f>'1.1 Control Panel'!K814*'1.1 Control Panel'!K922*('1.1 Control Panel'!K321-IF(ISNUMBER('1.1 Control Panel'!J321),'1.1 Control Panel'!J321,0))*('1.1 Control Panel'!K813)</f>
        <v>0</v>
      </c>
      <c r="L97" s="28">
        <f>'1.1 Control Panel'!L814*'1.1 Control Panel'!L922*('1.1 Control Panel'!L321-IF(ISNUMBER('1.1 Control Panel'!K321),'1.1 Control Panel'!K321,0))*('1.1 Control Panel'!L813)</f>
        <v>0</v>
      </c>
      <c r="M97" s="28">
        <f>'1.1 Control Panel'!M814*'1.1 Control Panel'!M922*('1.1 Control Panel'!M321-IF(ISNUMBER('1.1 Control Panel'!L321),'1.1 Control Panel'!L321,0))*('1.1 Control Panel'!M813)</f>
        <v>0</v>
      </c>
      <c r="N97" s="28">
        <f>'1.1 Control Panel'!N814*'1.1 Control Panel'!N922*('1.1 Control Panel'!N321-IF(ISNUMBER('1.1 Control Panel'!M321),'1.1 Control Panel'!M321,0))*('1.1 Control Panel'!N813)</f>
        <v>0</v>
      </c>
      <c r="O97" s="28">
        <f>'1.1 Control Panel'!O814*'1.1 Control Panel'!O922*('1.1 Control Panel'!O321-IF(ISNUMBER('1.1 Control Panel'!N321),'1.1 Control Panel'!N321,0))*('1.1 Control Panel'!O813)</f>
        <v>0</v>
      </c>
      <c r="P97" s="28">
        <f>'1.1 Control Panel'!P814*'1.1 Control Panel'!P922*('1.1 Control Panel'!P321-IF(ISNUMBER('1.1 Control Panel'!O321),'1.1 Control Panel'!O321,0))*('1.1 Control Panel'!P813)</f>
        <v>0</v>
      </c>
      <c r="Q97" s="28">
        <f>'1.1 Control Panel'!Q814*'1.1 Control Panel'!Q922*('1.1 Control Panel'!Q321-IF(ISNUMBER('1.1 Control Panel'!P321),'1.1 Control Panel'!P321,0))*('1.1 Control Panel'!Q813)</f>
        <v>0</v>
      </c>
      <c r="R97" s="28">
        <f>'1.1 Control Panel'!R814*'1.1 Control Panel'!R922*('1.1 Control Panel'!R321-IF(ISNUMBER('1.1 Control Panel'!Q321),'1.1 Control Panel'!Q321,0))*('1.1 Control Panel'!R813)</f>
        <v>0</v>
      </c>
      <c r="S97" s="28">
        <f>'1.1 Control Panel'!S814*'1.1 Control Panel'!S922*('1.1 Control Panel'!S321-IF(ISNUMBER('1.1 Control Panel'!R321),'1.1 Control Panel'!R321,0))*('1.1 Control Panel'!S813)</f>
        <v>0</v>
      </c>
      <c r="T97" s="28">
        <f>'1.1 Control Panel'!T814*'1.1 Control Panel'!T922*('1.1 Control Panel'!T321-IF(ISNUMBER('1.1 Control Panel'!S321),'1.1 Control Panel'!S321,0))*('1.1 Control Panel'!T813)</f>
        <v>0</v>
      </c>
      <c r="U97" s="28">
        <f>'1.1 Control Panel'!U814*'1.1 Control Panel'!U922*('1.1 Control Panel'!U321-IF(ISNUMBER('1.1 Control Panel'!T321),'1.1 Control Panel'!T321,0))*('1.1 Control Panel'!U813)</f>
        <v>24000</v>
      </c>
      <c r="V97" s="28">
        <f>'1.1 Control Panel'!V814*'1.1 Control Panel'!V922*('1.1 Control Panel'!V321-IF(ISNUMBER('1.1 Control Panel'!U321),'1.1 Control Panel'!U321,0))*('1.1 Control Panel'!V813)</f>
        <v>0</v>
      </c>
      <c r="W97" s="28">
        <f>'1.1 Control Panel'!W814*'1.1 Control Panel'!W922*('1.1 Control Panel'!W321-IF(ISNUMBER('1.1 Control Panel'!V321),'1.1 Control Panel'!V321,0))*('1.1 Control Panel'!W813)</f>
        <v>0</v>
      </c>
      <c r="X97" s="28">
        <f>'1.1 Control Panel'!X814*'1.1 Control Panel'!X922*('1.1 Control Panel'!X321-IF(ISNUMBER('1.1 Control Panel'!W321),'1.1 Control Panel'!W321,0))*('1.1 Control Panel'!X813)</f>
        <v>0</v>
      </c>
      <c r="Y97" s="28">
        <f>'1.1 Control Panel'!Y814*'1.1 Control Panel'!Y922*('1.1 Control Panel'!Y321-IF(ISNUMBER('1.1 Control Panel'!X321),'1.1 Control Panel'!X321,0))*('1.1 Control Panel'!Y813)</f>
        <v>0</v>
      </c>
      <c r="Z97" s="28">
        <f>'1.1 Control Panel'!Z814*'1.1 Control Panel'!Z922*('1.1 Control Panel'!Z321-IF(ISNUMBER('1.1 Control Panel'!Y321),'1.1 Control Panel'!Y321,0))*('1.1 Control Panel'!Z813)</f>
        <v>0</v>
      </c>
      <c r="AA97" s="28">
        <f>'1.1 Control Panel'!AA814*'1.1 Control Panel'!AA922*('1.1 Control Panel'!AA321-IF(ISNUMBER('1.1 Control Panel'!Z321),'1.1 Control Panel'!Z321,0))*('1.1 Control Panel'!AA813)</f>
        <v>0</v>
      </c>
      <c r="AB97" s="28">
        <f>'1.1 Control Panel'!AB814*'1.1 Control Panel'!AB922*('1.1 Control Panel'!AB321-IF(ISNUMBER('1.1 Control Panel'!AA321),'1.1 Control Panel'!AA321,0))*('1.1 Control Panel'!AB813)</f>
        <v>0</v>
      </c>
      <c r="AC97" s="28">
        <f>'1.1 Control Panel'!AC814*'1.1 Control Panel'!AC922*('1.1 Control Panel'!AC321-IF(ISNUMBER('1.1 Control Panel'!AB321),'1.1 Control Panel'!AB321,0))*('1.1 Control Panel'!AC813)</f>
        <v>24000</v>
      </c>
      <c r="AD97" s="28">
        <f>'1.1 Control Panel'!AD814*'1.1 Control Panel'!AD922*('1.1 Control Panel'!AD321-IF(ISNUMBER('1.1 Control Panel'!AC321),'1.1 Control Panel'!AC321,0))*('1.1 Control Panel'!AD813)</f>
        <v>0</v>
      </c>
      <c r="AE97" s="28">
        <f>'1.1 Control Panel'!AE814*'1.1 Control Panel'!AE922*('1.1 Control Panel'!AE321-IF(ISNUMBER('1.1 Control Panel'!AD321),'1.1 Control Panel'!AD321,0))*('1.1 Control Panel'!AE813)</f>
        <v>0</v>
      </c>
      <c r="AF97" s="28">
        <f>'1.1 Control Panel'!AF814*'1.1 Control Panel'!AF922*('1.1 Control Panel'!AF321-IF(ISNUMBER('1.1 Control Panel'!AE321),'1.1 Control Panel'!AE321,0))*('1.1 Control Panel'!AF813)</f>
        <v>0</v>
      </c>
      <c r="AG97" s="28">
        <f>'1.1 Control Panel'!AG814*'1.1 Control Panel'!AG922*('1.1 Control Panel'!AG321-IF(ISNUMBER('1.1 Control Panel'!AF321),'1.1 Control Panel'!AF321,0))*('1.1 Control Panel'!AG813)</f>
        <v>24000</v>
      </c>
      <c r="AH97" s="28">
        <f>'1.1 Control Panel'!AH814*'1.1 Control Panel'!AH922*('1.1 Control Panel'!AH321-IF(ISNUMBER('1.1 Control Panel'!AG321),'1.1 Control Panel'!AG321,0))*('1.1 Control Panel'!AH813)</f>
        <v>0</v>
      </c>
      <c r="AI97" s="28">
        <f>'1.1 Control Panel'!AI814*'1.1 Control Panel'!AI922*('1.1 Control Panel'!AI321-IF(ISNUMBER('1.1 Control Panel'!AH321),'1.1 Control Panel'!AH321,0))*('1.1 Control Panel'!AI813)</f>
        <v>0</v>
      </c>
      <c r="AJ97" s="28">
        <f>'1.1 Control Panel'!AJ814*'1.1 Control Panel'!AJ922*('1.1 Control Panel'!AJ321-IF(ISNUMBER('1.1 Control Panel'!AI321),'1.1 Control Panel'!AI321,0))*('1.1 Control Panel'!AJ813)</f>
        <v>0</v>
      </c>
      <c r="AK97" s="28">
        <f>'1.1 Control Panel'!AK814*'1.1 Control Panel'!AK922*('1.1 Control Panel'!AK321-IF(ISNUMBER('1.1 Control Panel'!AJ321),'1.1 Control Panel'!AJ321,0))*('1.1 Control Panel'!AK813)</f>
        <v>0</v>
      </c>
      <c r="AL97" s="28">
        <f>'1.1 Control Panel'!AL814*'1.1 Control Panel'!AL922*('1.1 Control Panel'!AL321-IF(ISNUMBER('1.1 Control Panel'!AK321),'1.1 Control Panel'!AK321,0))*('1.1 Control Panel'!AL813)</f>
        <v>0</v>
      </c>
      <c r="AM97" s="28">
        <f>'1.1 Control Panel'!AM814*'1.1 Control Panel'!AM922*('1.1 Control Panel'!AM321-IF(ISNUMBER('1.1 Control Panel'!AL321),'1.1 Control Panel'!AL321,0))*('1.1 Control Panel'!AM813)</f>
        <v>0</v>
      </c>
      <c r="AN97" s="28">
        <f>'1.1 Control Panel'!AN814*'1.1 Control Panel'!AN922*('1.1 Control Panel'!AN321-IF(ISNUMBER('1.1 Control Panel'!AM321),'1.1 Control Panel'!AM321,0))*('1.1 Control Panel'!AN813)</f>
        <v>0</v>
      </c>
      <c r="AP97" s="20"/>
    </row>
    <row r="98" spans="3:42" ht="11.5" hidden="1" customHeight="1" x14ac:dyDescent="0.25">
      <c r="C98" s="21" t="s">
        <v>604</v>
      </c>
      <c r="D98" s="38" t="s">
        <v>46</v>
      </c>
      <c r="E98" s="376">
        <f>'1.1 Control Panel'!E814*'1.1 Control Panel'!E923*('1.1 Control Panel'!E352-IF(ISNUMBER('1.1 Control Panel'!D352),'1.1 Control Panel'!D352,0))*('1.1 Control Panel'!E813)</f>
        <v>24000</v>
      </c>
      <c r="F98" s="376">
        <f>'1.1 Control Panel'!F814*'1.1 Control Panel'!F923*('1.1 Control Panel'!F352-IF(ISNUMBER('1.1 Control Panel'!E352),'1.1 Control Panel'!E352,0))*('1.1 Control Panel'!F813)</f>
        <v>0</v>
      </c>
      <c r="G98" s="376">
        <f>'1.1 Control Panel'!G814*'1.1 Control Panel'!G923*('1.1 Control Panel'!G352-IF(ISNUMBER('1.1 Control Panel'!F352),'1.1 Control Panel'!F352,0))*('1.1 Control Panel'!G813)</f>
        <v>0</v>
      </c>
      <c r="H98" s="376">
        <f>'1.1 Control Panel'!H814*'1.1 Control Panel'!H923*('1.1 Control Panel'!H352-IF(ISNUMBER('1.1 Control Panel'!G352),'1.1 Control Panel'!G352,0))*('1.1 Control Panel'!H813)</f>
        <v>0</v>
      </c>
      <c r="I98" s="376">
        <f>'1.1 Control Panel'!I814*'1.1 Control Panel'!I923*('1.1 Control Panel'!I352-IF(ISNUMBER('1.1 Control Panel'!H352),'1.1 Control Panel'!H352,0))*('1.1 Control Panel'!I813)</f>
        <v>0</v>
      </c>
      <c r="J98" s="376">
        <f>'1.1 Control Panel'!J814*'1.1 Control Panel'!J923*('1.1 Control Panel'!J352-IF(ISNUMBER('1.1 Control Panel'!I352),'1.1 Control Panel'!I352,0))*('1.1 Control Panel'!J813)</f>
        <v>24000</v>
      </c>
      <c r="K98" s="376">
        <f>'1.1 Control Panel'!K814*'1.1 Control Panel'!K923*('1.1 Control Panel'!K352-IF(ISNUMBER('1.1 Control Panel'!J352),'1.1 Control Panel'!J352,0))*('1.1 Control Panel'!K813)</f>
        <v>0</v>
      </c>
      <c r="L98" s="376">
        <f>'1.1 Control Panel'!L814*'1.1 Control Panel'!L923*('1.1 Control Panel'!L352-IF(ISNUMBER('1.1 Control Panel'!K352),'1.1 Control Panel'!K352,0))*('1.1 Control Panel'!L813)</f>
        <v>0</v>
      </c>
      <c r="M98" s="376">
        <f>'1.1 Control Panel'!M814*'1.1 Control Panel'!M923*('1.1 Control Panel'!M352-IF(ISNUMBER('1.1 Control Panel'!L352),'1.1 Control Panel'!L352,0))*('1.1 Control Panel'!M813)</f>
        <v>0</v>
      </c>
      <c r="N98" s="376">
        <f>'1.1 Control Panel'!N814*'1.1 Control Panel'!N923*('1.1 Control Panel'!N352-IF(ISNUMBER('1.1 Control Panel'!M352),'1.1 Control Panel'!M352,0))*('1.1 Control Panel'!N813)</f>
        <v>0</v>
      </c>
      <c r="O98" s="376">
        <f>'1.1 Control Panel'!O814*'1.1 Control Panel'!O923*('1.1 Control Panel'!O352-IF(ISNUMBER('1.1 Control Panel'!N352),'1.1 Control Panel'!N352,0))*('1.1 Control Panel'!O813)</f>
        <v>0</v>
      </c>
      <c r="P98" s="376">
        <f>'1.1 Control Panel'!P814*'1.1 Control Panel'!P923*('1.1 Control Panel'!P352-IF(ISNUMBER('1.1 Control Panel'!O352),'1.1 Control Panel'!O352,0))*('1.1 Control Panel'!P813)</f>
        <v>0</v>
      </c>
      <c r="Q98" s="376">
        <f>'1.1 Control Panel'!Q814*'1.1 Control Panel'!Q923*('1.1 Control Panel'!Q352-IF(ISNUMBER('1.1 Control Panel'!P352),'1.1 Control Panel'!P352,0))*('1.1 Control Panel'!Q813)</f>
        <v>24000</v>
      </c>
      <c r="R98" s="376">
        <f>'1.1 Control Panel'!R814*'1.1 Control Panel'!R923*('1.1 Control Panel'!R352-IF(ISNUMBER('1.1 Control Panel'!Q352),'1.1 Control Panel'!Q352,0))*('1.1 Control Panel'!R813)</f>
        <v>0</v>
      </c>
      <c r="S98" s="376">
        <f>'1.1 Control Panel'!S814*'1.1 Control Panel'!S923*('1.1 Control Panel'!S352-IF(ISNUMBER('1.1 Control Panel'!R352),'1.1 Control Panel'!R352,0))*('1.1 Control Panel'!S813)</f>
        <v>0</v>
      </c>
      <c r="T98" s="376">
        <f>'1.1 Control Panel'!T814*'1.1 Control Panel'!T923*('1.1 Control Panel'!T352-IF(ISNUMBER('1.1 Control Panel'!S352),'1.1 Control Panel'!S352,0))*('1.1 Control Panel'!T813)</f>
        <v>0</v>
      </c>
      <c r="U98" s="376">
        <f>'1.1 Control Panel'!U814*'1.1 Control Panel'!U923*('1.1 Control Panel'!U352-IF(ISNUMBER('1.1 Control Panel'!T352),'1.1 Control Panel'!T352,0))*('1.1 Control Panel'!U813)</f>
        <v>24000</v>
      </c>
      <c r="V98" s="376">
        <f>'1.1 Control Panel'!V814*'1.1 Control Panel'!V923*('1.1 Control Panel'!V352-IF(ISNUMBER('1.1 Control Panel'!U352),'1.1 Control Panel'!U352,0))*('1.1 Control Panel'!V813)</f>
        <v>0</v>
      </c>
      <c r="W98" s="376">
        <f>'1.1 Control Panel'!W814*'1.1 Control Panel'!W923*('1.1 Control Panel'!W352-IF(ISNUMBER('1.1 Control Panel'!V352),'1.1 Control Panel'!V352,0))*('1.1 Control Panel'!W813)</f>
        <v>0</v>
      </c>
      <c r="X98" s="376">
        <f>'1.1 Control Panel'!X814*'1.1 Control Panel'!X923*('1.1 Control Panel'!X352-IF(ISNUMBER('1.1 Control Panel'!W352),'1.1 Control Panel'!W352,0))*('1.1 Control Panel'!X813)</f>
        <v>0</v>
      </c>
      <c r="Y98" s="376">
        <f>'1.1 Control Panel'!Y814*'1.1 Control Panel'!Y923*('1.1 Control Panel'!Y352-IF(ISNUMBER('1.1 Control Panel'!X352),'1.1 Control Panel'!X352,0))*('1.1 Control Panel'!Y813)</f>
        <v>24000</v>
      </c>
      <c r="Z98" s="376">
        <f>'1.1 Control Panel'!Z814*'1.1 Control Panel'!Z923*('1.1 Control Panel'!Z352-IF(ISNUMBER('1.1 Control Panel'!Y352),'1.1 Control Panel'!Y352,0))*('1.1 Control Panel'!Z813)</f>
        <v>0</v>
      </c>
      <c r="AA98" s="376">
        <f>'1.1 Control Panel'!AA814*'1.1 Control Panel'!AA923*('1.1 Control Panel'!AA352-IF(ISNUMBER('1.1 Control Panel'!Z352),'1.1 Control Panel'!Z352,0))*('1.1 Control Panel'!AA813)</f>
        <v>0</v>
      </c>
      <c r="AB98" s="376">
        <f>'1.1 Control Panel'!AB814*'1.1 Control Panel'!AB923*('1.1 Control Panel'!AB352-IF(ISNUMBER('1.1 Control Panel'!AA352),'1.1 Control Panel'!AA352,0))*('1.1 Control Panel'!AB813)</f>
        <v>0</v>
      </c>
      <c r="AC98" s="376">
        <f>'1.1 Control Panel'!AC814*'1.1 Control Panel'!AC923*('1.1 Control Panel'!AC352-IF(ISNUMBER('1.1 Control Panel'!AB352),'1.1 Control Panel'!AB352,0))*('1.1 Control Panel'!AC813)</f>
        <v>96000</v>
      </c>
      <c r="AD98" s="376">
        <f>'1.1 Control Panel'!AD814*'1.1 Control Panel'!AD923*('1.1 Control Panel'!AD352-IF(ISNUMBER('1.1 Control Panel'!AC352),'1.1 Control Panel'!AC352,0))*('1.1 Control Panel'!AD813)</f>
        <v>0</v>
      </c>
      <c r="AE98" s="376">
        <f>'1.1 Control Panel'!AE814*'1.1 Control Panel'!AE923*('1.1 Control Panel'!AE352-IF(ISNUMBER('1.1 Control Panel'!AD352),'1.1 Control Panel'!AD352,0))*('1.1 Control Panel'!AE813)</f>
        <v>0</v>
      </c>
      <c r="AF98" s="376">
        <f>'1.1 Control Panel'!AF814*'1.1 Control Panel'!AF923*('1.1 Control Panel'!AF352-IF(ISNUMBER('1.1 Control Panel'!AE352),'1.1 Control Panel'!AE352,0))*('1.1 Control Panel'!AF813)</f>
        <v>0</v>
      </c>
      <c r="AG98" s="376">
        <f>'1.1 Control Panel'!AG814*'1.1 Control Panel'!AG923*('1.1 Control Panel'!AG352-IF(ISNUMBER('1.1 Control Panel'!AF352),'1.1 Control Panel'!AF352,0))*('1.1 Control Panel'!AG813)</f>
        <v>96000</v>
      </c>
      <c r="AH98" s="376">
        <f>'1.1 Control Panel'!AH814*'1.1 Control Panel'!AH923*('1.1 Control Panel'!AH352-IF(ISNUMBER('1.1 Control Panel'!AG352),'1.1 Control Panel'!AG352,0))*('1.1 Control Panel'!AH813)</f>
        <v>0</v>
      </c>
      <c r="AI98" s="376">
        <f>'1.1 Control Panel'!AI814*'1.1 Control Panel'!AI923*('1.1 Control Panel'!AI352-IF(ISNUMBER('1.1 Control Panel'!AH352),'1.1 Control Panel'!AH352,0))*('1.1 Control Panel'!AI813)</f>
        <v>0</v>
      </c>
      <c r="AJ98" s="376">
        <f>'1.1 Control Panel'!AJ814*'1.1 Control Panel'!AJ923*('1.1 Control Panel'!AJ352-IF(ISNUMBER('1.1 Control Panel'!AI352),'1.1 Control Panel'!AI352,0))*('1.1 Control Panel'!AJ813)</f>
        <v>0</v>
      </c>
      <c r="AK98" s="376">
        <f>'1.1 Control Panel'!AK814*'1.1 Control Panel'!AK923*('1.1 Control Panel'!AK352-IF(ISNUMBER('1.1 Control Panel'!AJ352),'1.1 Control Panel'!AJ352,0))*('1.1 Control Panel'!AK813)</f>
        <v>96000</v>
      </c>
      <c r="AL98" s="376">
        <f>'1.1 Control Panel'!AL814*'1.1 Control Panel'!AL923*('1.1 Control Panel'!AL352-IF(ISNUMBER('1.1 Control Panel'!AK352),'1.1 Control Panel'!AK352,0))*('1.1 Control Panel'!AL813)</f>
        <v>0</v>
      </c>
      <c r="AM98" s="376">
        <f>'1.1 Control Panel'!AM814*'1.1 Control Panel'!AM923*('1.1 Control Panel'!AM352-IF(ISNUMBER('1.1 Control Panel'!AL352),'1.1 Control Panel'!AL352,0))*('1.1 Control Panel'!AM813)</f>
        <v>0</v>
      </c>
      <c r="AN98" s="376">
        <f>'1.1 Control Panel'!AN814*'1.1 Control Panel'!AN923*('1.1 Control Panel'!AN352-IF(ISNUMBER('1.1 Control Panel'!AM352),'1.1 Control Panel'!AM352,0))*('1.1 Control Panel'!AN813)</f>
        <v>0</v>
      </c>
      <c r="AP98" s="21"/>
    </row>
    <row r="99" spans="3:42" ht="11.5" hidden="1" customHeight="1" x14ac:dyDescent="0.25">
      <c r="C99" s="21" t="s">
        <v>601</v>
      </c>
      <c r="D99" s="38" t="s">
        <v>46</v>
      </c>
      <c r="E99" s="376">
        <f>'1.1 Control Panel'!E814*'1.1 Control Panel'!E924*('1.1 Control Panel'!E383-IF(ISNUMBER('1.1 Control Panel'!D383),'1.1 Control Panel'!D383,0))*('1.1 Control Panel'!E813)</f>
        <v>0</v>
      </c>
      <c r="F99" s="376">
        <f>'1.1 Control Panel'!F814*'1.1 Control Panel'!F924*('1.1 Control Panel'!F383-IF(ISNUMBER('1.1 Control Panel'!E383),'1.1 Control Panel'!E383,0))*('1.1 Control Panel'!F813)</f>
        <v>0</v>
      </c>
      <c r="G99" s="376">
        <f>'1.1 Control Panel'!G814*'1.1 Control Panel'!G924*('1.1 Control Panel'!G383-IF(ISNUMBER('1.1 Control Panel'!F383),'1.1 Control Panel'!F383,0))*('1.1 Control Panel'!G813)</f>
        <v>0</v>
      </c>
      <c r="H99" s="376">
        <f>'1.1 Control Panel'!H814*'1.1 Control Panel'!H924*('1.1 Control Panel'!H383-IF(ISNUMBER('1.1 Control Panel'!G383),'1.1 Control Panel'!G383,0))*('1.1 Control Panel'!H813)</f>
        <v>0</v>
      </c>
      <c r="I99" s="376">
        <f>'1.1 Control Panel'!I814*'1.1 Control Panel'!I924*('1.1 Control Panel'!I383-IF(ISNUMBER('1.1 Control Panel'!H383),'1.1 Control Panel'!H383,0))*('1.1 Control Panel'!I813)</f>
        <v>0</v>
      </c>
      <c r="J99" s="376">
        <f>'1.1 Control Panel'!J814*'1.1 Control Panel'!J924*('1.1 Control Panel'!J383-IF(ISNUMBER('1.1 Control Panel'!I383),'1.1 Control Panel'!I383,0))*('1.1 Control Panel'!J813)</f>
        <v>0</v>
      </c>
      <c r="K99" s="376">
        <f>'1.1 Control Panel'!K814*'1.1 Control Panel'!K924*('1.1 Control Panel'!K383-IF(ISNUMBER('1.1 Control Panel'!J383),'1.1 Control Panel'!J383,0))*('1.1 Control Panel'!K813)</f>
        <v>0</v>
      </c>
      <c r="L99" s="376">
        <f>'1.1 Control Panel'!L814*'1.1 Control Panel'!L924*('1.1 Control Panel'!L383-IF(ISNUMBER('1.1 Control Panel'!K383),'1.1 Control Panel'!K383,0))*('1.1 Control Panel'!L813)</f>
        <v>0</v>
      </c>
      <c r="M99" s="376">
        <f>'1.1 Control Panel'!M814*'1.1 Control Panel'!M924*('1.1 Control Panel'!M383-IF(ISNUMBER('1.1 Control Panel'!L383),'1.1 Control Panel'!L383,0))*('1.1 Control Panel'!M813)</f>
        <v>0</v>
      </c>
      <c r="N99" s="376">
        <f>'1.1 Control Panel'!N814*'1.1 Control Panel'!N924*('1.1 Control Panel'!N383-IF(ISNUMBER('1.1 Control Panel'!M383),'1.1 Control Panel'!M383,0))*('1.1 Control Panel'!N813)</f>
        <v>0</v>
      </c>
      <c r="O99" s="376">
        <f>'1.1 Control Panel'!O814*'1.1 Control Panel'!O924*('1.1 Control Panel'!O383-IF(ISNUMBER('1.1 Control Panel'!N383),'1.1 Control Panel'!N383,0))*('1.1 Control Panel'!O813)</f>
        <v>0</v>
      </c>
      <c r="P99" s="376">
        <f>'1.1 Control Panel'!P814*'1.1 Control Panel'!P924*('1.1 Control Panel'!P383-IF(ISNUMBER('1.1 Control Panel'!O383),'1.1 Control Panel'!O383,0))*('1.1 Control Panel'!P813)</f>
        <v>0</v>
      </c>
      <c r="Q99" s="376">
        <f>'1.1 Control Panel'!Q814*'1.1 Control Panel'!Q924*('1.1 Control Panel'!Q383-IF(ISNUMBER('1.1 Control Panel'!P383),'1.1 Control Panel'!P383,0))*('1.1 Control Panel'!Q813)</f>
        <v>24000</v>
      </c>
      <c r="R99" s="376">
        <f>'1.1 Control Panel'!R814*'1.1 Control Panel'!R924*('1.1 Control Panel'!R383-IF(ISNUMBER('1.1 Control Panel'!Q383),'1.1 Control Panel'!Q383,0))*('1.1 Control Panel'!R813)</f>
        <v>0</v>
      </c>
      <c r="S99" s="376">
        <f>'1.1 Control Panel'!S814*'1.1 Control Panel'!S924*('1.1 Control Panel'!S383-IF(ISNUMBER('1.1 Control Panel'!R383),'1.1 Control Panel'!R383,0))*('1.1 Control Panel'!S813)</f>
        <v>0</v>
      </c>
      <c r="T99" s="376">
        <f>'1.1 Control Panel'!T814*'1.1 Control Panel'!T924*('1.1 Control Panel'!T383-IF(ISNUMBER('1.1 Control Panel'!S383),'1.1 Control Panel'!S383,0))*('1.1 Control Panel'!T813)</f>
        <v>0</v>
      </c>
      <c r="U99" s="376">
        <f>'1.1 Control Panel'!U814*'1.1 Control Panel'!U924*('1.1 Control Panel'!U383-IF(ISNUMBER('1.1 Control Panel'!T383),'1.1 Control Panel'!T383,0))*('1.1 Control Panel'!U813)</f>
        <v>24000</v>
      </c>
      <c r="V99" s="376">
        <f>'1.1 Control Panel'!V814*'1.1 Control Panel'!V924*('1.1 Control Panel'!V383-IF(ISNUMBER('1.1 Control Panel'!U383),'1.1 Control Panel'!U383,0))*('1.1 Control Panel'!V813)</f>
        <v>0</v>
      </c>
      <c r="W99" s="376">
        <f>'1.1 Control Panel'!W814*'1.1 Control Panel'!W924*('1.1 Control Panel'!W383-IF(ISNUMBER('1.1 Control Panel'!V383),'1.1 Control Panel'!V383,0))*('1.1 Control Panel'!W813)</f>
        <v>0</v>
      </c>
      <c r="X99" s="376">
        <f>'1.1 Control Panel'!X814*'1.1 Control Panel'!X924*('1.1 Control Panel'!X383-IF(ISNUMBER('1.1 Control Panel'!W383),'1.1 Control Panel'!W383,0))*('1.1 Control Panel'!X813)</f>
        <v>0</v>
      </c>
      <c r="Y99" s="376">
        <f>'1.1 Control Panel'!Y814*'1.1 Control Panel'!Y924*('1.1 Control Panel'!Y383-IF(ISNUMBER('1.1 Control Panel'!X383),'1.1 Control Panel'!X383,0))*('1.1 Control Panel'!Y813)</f>
        <v>0</v>
      </c>
      <c r="Z99" s="376">
        <f>'1.1 Control Panel'!Z814*'1.1 Control Panel'!Z924*('1.1 Control Panel'!Z383-IF(ISNUMBER('1.1 Control Panel'!Y383),'1.1 Control Panel'!Y383,0))*('1.1 Control Panel'!Z813)</f>
        <v>0</v>
      </c>
      <c r="AA99" s="376">
        <f>'1.1 Control Panel'!AA814*'1.1 Control Panel'!AA924*('1.1 Control Panel'!AA383-IF(ISNUMBER('1.1 Control Panel'!Z383),'1.1 Control Panel'!Z383,0))*('1.1 Control Panel'!AA813)</f>
        <v>0</v>
      </c>
      <c r="AB99" s="376">
        <f>'1.1 Control Panel'!AB814*'1.1 Control Panel'!AB924*('1.1 Control Panel'!AB383-IF(ISNUMBER('1.1 Control Panel'!AA383),'1.1 Control Panel'!AA383,0))*('1.1 Control Panel'!AB813)</f>
        <v>0</v>
      </c>
      <c r="AC99" s="376">
        <f>'1.1 Control Panel'!AC814*'1.1 Control Panel'!AC924*('1.1 Control Panel'!AC383-IF(ISNUMBER('1.1 Control Panel'!AB383),'1.1 Control Panel'!AB383,0))*('1.1 Control Panel'!AC813)</f>
        <v>24000</v>
      </c>
      <c r="AD99" s="376">
        <f>'1.1 Control Panel'!AD814*'1.1 Control Panel'!AD924*('1.1 Control Panel'!AD383-IF(ISNUMBER('1.1 Control Panel'!AC383),'1.1 Control Panel'!AC383,0))*('1.1 Control Panel'!AD813)</f>
        <v>0</v>
      </c>
      <c r="AE99" s="376">
        <f>'1.1 Control Panel'!AE814*'1.1 Control Panel'!AE924*('1.1 Control Panel'!AE383-IF(ISNUMBER('1.1 Control Panel'!AD383),'1.1 Control Panel'!AD383,0))*('1.1 Control Panel'!AE813)</f>
        <v>0</v>
      </c>
      <c r="AF99" s="376">
        <f>'1.1 Control Panel'!AF814*'1.1 Control Panel'!AF924*('1.1 Control Panel'!AF383-IF(ISNUMBER('1.1 Control Panel'!AE383),'1.1 Control Panel'!AE383,0))*('1.1 Control Panel'!AF813)</f>
        <v>0</v>
      </c>
      <c r="AG99" s="376">
        <f>'1.1 Control Panel'!AG814*'1.1 Control Panel'!AG924*('1.1 Control Panel'!AG383-IF(ISNUMBER('1.1 Control Panel'!AF383),'1.1 Control Panel'!AF383,0))*('1.1 Control Panel'!AG813)</f>
        <v>24000</v>
      </c>
      <c r="AH99" s="376">
        <f>'1.1 Control Panel'!AH814*'1.1 Control Panel'!AH924*('1.1 Control Panel'!AH383-IF(ISNUMBER('1.1 Control Panel'!AG383),'1.1 Control Panel'!AG383,0))*('1.1 Control Panel'!AH813)</f>
        <v>0</v>
      </c>
      <c r="AI99" s="376">
        <f>'1.1 Control Panel'!AI814*'1.1 Control Panel'!AI924*('1.1 Control Panel'!AI383-IF(ISNUMBER('1.1 Control Panel'!AH383),'1.1 Control Panel'!AH383,0))*('1.1 Control Panel'!AI813)</f>
        <v>0</v>
      </c>
      <c r="AJ99" s="376">
        <f>'1.1 Control Panel'!AJ814*'1.1 Control Panel'!AJ924*('1.1 Control Panel'!AJ383-IF(ISNUMBER('1.1 Control Panel'!AI383),'1.1 Control Panel'!AI383,0))*('1.1 Control Panel'!AJ813)</f>
        <v>0</v>
      </c>
      <c r="AK99" s="376">
        <f>'1.1 Control Panel'!AK814*'1.1 Control Panel'!AK924*('1.1 Control Panel'!AK383-IF(ISNUMBER('1.1 Control Panel'!AJ383),'1.1 Control Panel'!AJ383,0))*('1.1 Control Panel'!AK813)</f>
        <v>24000</v>
      </c>
      <c r="AL99" s="376">
        <f>'1.1 Control Panel'!AL814*'1.1 Control Panel'!AL924*('1.1 Control Panel'!AL383-IF(ISNUMBER('1.1 Control Panel'!AK383),'1.1 Control Panel'!AK383,0))*('1.1 Control Panel'!AL813)</f>
        <v>0</v>
      </c>
      <c r="AM99" s="376">
        <f>'1.1 Control Panel'!AM814*'1.1 Control Panel'!AM924*('1.1 Control Panel'!AM383-IF(ISNUMBER('1.1 Control Panel'!AL383),'1.1 Control Panel'!AL383,0))*('1.1 Control Panel'!AM813)</f>
        <v>0</v>
      </c>
      <c r="AN99" s="376">
        <f>'1.1 Control Panel'!AN814*'1.1 Control Panel'!AN924*('1.1 Control Panel'!AN383-IF(ISNUMBER('1.1 Control Panel'!AM383),'1.1 Control Panel'!AM383,0))*('1.1 Control Panel'!AN813)</f>
        <v>0</v>
      </c>
      <c r="AP99" s="21"/>
    </row>
    <row r="100" spans="3:42" ht="11.5" hidden="1" customHeight="1" x14ac:dyDescent="0.25">
      <c r="C100" s="21" t="s">
        <v>154</v>
      </c>
      <c r="D100" s="38" t="s">
        <v>46</v>
      </c>
      <c r="E100" s="376">
        <f>'1.1 Control Panel'!E814*'1.1 Control Panel'!E925*('1.1 Control Panel'!E414-IF(ISNUMBER('1.1 Control Panel'!D414),'1.1 Control Panel'!D414,0))*('1.1 Control Panel'!E813)</f>
        <v>24000</v>
      </c>
      <c r="F100" s="376">
        <f>'1.1 Control Panel'!F814*'1.1 Control Panel'!F925*('1.1 Control Panel'!F414-IF(ISNUMBER('1.1 Control Panel'!E414),'1.1 Control Panel'!E414,0))*('1.1 Control Panel'!F813)</f>
        <v>0</v>
      </c>
      <c r="G100" s="376">
        <f>'1.1 Control Panel'!G814*'1.1 Control Panel'!G925*('1.1 Control Panel'!G414-IF(ISNUMBER('1.1 Control Panel'!F414),'1.1 Control Panel'!F414,0))*('1.1 Control Panel'!G813)</f>
        <v>0</v>
      </c>
      <c r="H100" s="376">
        <f>'1.1 Control Panel'!H814*'1.1 Control Panel'!H925*('1.1 Control Panel'!H414-IF(ISNUMBER('1.1 Control Panel'!G414),'1.1 Control Panel'!G414,0))*('1.1 Control Panel'!H813)</f>
        <v>0</v>
      </c>
      <c r="I100" s="376">
        <f>'1.1 Control Panel'!I814*'1.1 Control Panel'!I925*('1.1 Control Panel'!I414-IF(ISNUMBER('1.1 Control Panel'!H414),'1.1 Control Panel'!H414,0))*('1.1 Control Panel'!I813)</f>
        <v>0</v>
      </c>
      <c r="J100" s="376">
        <f>'1.1 Control Panel'!J814*'1.1 Control Panel'!J925*('1.1 Control Panel'!J414-IF(ISNUMBER('1.1 Control Panel'!I414),'1.1 Control Panel'!I414,0))*('1.1 Control Panel'!J813)</f>
        <v>24000</v>
      </c>
      <c r="K100" s="376">
        <f>'1.1 Control Panel'!K814*'1.1 Control Panel'!K925*('1.1 Control Panel'!K414-IF(ISNUMBER('1.1 Control Panel'!J414),'1.1 Control Panel'!J414,0))*('1.1 Control Panel'!K813)</f>
        <v>0</v>
      </c>
      <c r="L100" s="376">
        <f>'1.1 Control Panel'!L814*'1.1 Control Panel'!L925*('1.1 Control Panel'!L414-IF(ISNUMBER('1.1 Control Panel'!K414),'1.1 Control Panel'!K414,0))*('1.1 Control Panel'!L813)</f>
        <v>0</v>
      </c>
      <c r="M100" s="376">
        <f>'1.1 Control Panel'!M814*'1.1 Control Panel'!M925*('1.1 Control Panel'!M414-IF(ISNUMBER('1.1 Control Panel'!L414),'1.1 Control Panel'!L414,0))*('1.1 Control Panel'!M813)</f>
        <v>0</v>
      </c>
      <c r="N100" s="376">
        <f>'1.1 Control Panel'!N814*'1.1 Control Panel'!N925*('1.1 Control Panel'!N414-IF(ISNUMBER('1.1 Control Panel'!M414),'1.1 Control Panel'!M414,0))*('1.1 Control Panel'!N813)</f>
        <v>0</v>
      </c>
      <c r="O100" s="376">
        <f>'1.1 Control Panel'!O814*'1.1 Control Panel'!O925*('1.1 Control Panel'!O414-IF(ISNUMBER('1.1 Control Panel'!N414),'1.1 Control Panel'!N414,0))*('1.1 Control Panel'!O813)</f>
        <v>0</v>
      </c>
      <c r="P100" s="376">
        <f>'1.1 Control Panel'!P814*'1.1 Control Panel'!P925*('1.1 Control Panel'!P414-IF(ISNUMBER('1.1 Control Panel'!O414),'1.1 Control Panel'!O414,0))*('1.1 Control Panel'!P813)</f>
        <v>0</v>
      </c>
      <c r="Q100" s="376">
        <f>'1.1 Control Panel'!Q814*'1.1 Control Panel'!Q925*('1.1 Control Panel'!Q414-IF(ISNUMBER('1.1 Control Panel'!P414),'1.1 Control Panel'!P414,0))*('1.1 Control Panel'!Q813)</f>
        <v>24000</v>
      </c>
      <c r="R100" s="376">
        <f>'1.1 Control Panel'!R814*'1.1 Control Panel'!R925*('1.1 Control Panel'!R414-IF(ISNUMBER('1.1 Control Panel'!Q414),'1.1 Control Panel'!Q414,0))*('1.1 Control Panel'!R813)</f>
        <v>0</v>
      </c>
      <c r="S100" s="376">
        <f>'1.1 Control Panel'!S814*'1.1 Control Panel'!S925*('1.1 Control Panel'!S414-IF(ISNUMBER('1.1 Control Panel'!R414),'1.1 Control Panel'!R414,0))*('1.1 Control Panel'!S813)</f>
        <v>0</v>
      </c>
      <c r="T100" s="376">
        <f>'1.1 Control Panel'!T814*'1.1 Control Panel'!T925*('1.1 Control Panel'!T414-IF(ISNUMBER('1.1 Control Panel'!S414),'1.1 Control Panel'!S414,0))*('1.1 Control Panel'!T813)</f>
        <v>0</v>
      </c>
      <c r="U100" s="376">
        <f>'1.1 Control Panel'!U814*'1.1 Control Panel'!U925*('1.1 Control Panel'!U414-IF(ISNUMBER('1.1 Control Panel'!T414),'1.1 Control Panel'!T414,0))*('1.1 Control Panel'!U813)</f>
        <v>24000</v>
      </c>
      <c r="V100" s="376">
        <f>'1.1 Control Panel'!V814*'1.1 Control Panel'!V925*('1.1 Control Panel'!V414-IF(ISNUMBER('1.1 Control Panel'!U414),'1.1 Control Panel'!U414,0))*('1.1 Control Panel'!V813)</f>
        <v>0</v>
      </c>
      <c r="W100" s="376">
        <f>'1.1 Control Panel'!W814*'1.1 Control Panel'!W925*('1.1 Control Panel'!W414-IF(ISNUMBER('1.1 Control Panel'!V414),'1.1 Control Panel'!V414,0))*('1.1 Control Panel'!W813)</f>
        <v>0</v>
      </c>
      <c r="X100" s="376">
        <f>'1.1 Control Panel'!X814*'1.1 Control Panel'!X925*('1.1 Control Panel'!X414-IF(ISNUMBER('1.1 Control Panel'!W414),'1.1 Control Panel'!W414,0))*('1.1 Control Panel'!X813)</f>
        <v>0</v>
      </c>
      <c r="Y100" s="376">
        <f>'1.1 Control Panel'!Y814*'1.1 Control Panel'!Y925*('1.1 Control Panel'!Y414-IF(ISNUMBER('1.1 Control Panel'!X414),'1.1 Control Panel'!X414,0))*('1.1 Control Panel'!Y813)</f>
        <v>0</v>
      </c>
      <c r="Z100" s="376">
        <f>'1.1 Control Panel'!Z814*'1.1 Control Panel'!Z925*('1.1 Control Panel'!Z414-IF(ISNUMBER('1.1 Control Panel'!Y414),'1.1 Control Panel'!Y414,0))*('1.1 Control Panel'!Z813)</f>
        <v>0</v>
      </c>
      <c r="AA100" s="376">
        <f>'1.1 Control Panel'!AA814*'1.1 Control Panel'!AA925*('1.1 Control Panel'!AA414-IF(ISNUMBER('1.1 Control Panel'!Z414),'1.1 Control Panel'!Z414,0))*('1.1 Control Panel'!AA813)</f>
        <v>0</v>
      </c>
      <c r="AB100" s="376">
        <f>'1.1 Control Panel'!AB814*'1.1 Control Panel'!AB925*('1.1 Control Panel'!AB414-IF(ISNUMBER('1.1 Control Panel'!AA414),'1.1 Control Panel'!AA414,0))*('1.1 Control Panel'!AB813)</f>
        <v>0</v>
      </c>
      <c r="AC100" s="376">
        <f>'1.1 Control Panel'!AC814*'1.1 Control Panel'!AC925*('1.1 Control Panel'!AC414-IF(ISNUMBER('1.1 Control Panel'!AB414),'1.1 Control Panel'!AB414,0))*('1.1 Control Panel'!AC813)</f>
        <v>96000</v>
      </c>
      <c r="AD100" s="376">
        <f>'1.1 Control Panel'!AD814*'1.1 Control Panel'!AD925*('1.1 Control Panel'!AD414-IF(ISNUMBER('1.1 Control Panel'!AC414),'1.1 Control Panel'!AC414,0))*('1.1 Control Panel'!AD813)</f>
        <v>0</v>
      </c>
      <c r="AE100" s="376">
        <f>'1.1 Control Panel'!AE814*'1.1 Control Panel'!AE925*('1.1 Control Panel'!AE414-IF(ISNUMBER('1.1 Control Panel'!AD414),'1.1 Control Panel'!AD414,0))*('1.1 Control Panel'!AE813)</f>
        <v>0</v>
      </c>
      <c r="AF100" s="376">
        <f>'1.1 Control Panel'!AF814*'1.1 Control Panel'!AF925*('1.1 Control Panel'!AF414-IF(ISNUMBER('1.1 Control Panel'!AE414),'1.1 Control Panel'!AE414,0))*('1.1 Control Panel'!AF813)</f>
        <v>0</v>
      </c>
      <c r="AG100" s="376">
        <f>'1.1 Control Panel'!AG814*'1.1 Control Panel'!AG925*('1.1 Control Panel'!AG414-IF(ISNUMBER('1.1 Control Panel'!AF414),'1.1 Control Panel'!AF414,0))*('1.1 Control Panel'!AG813)</f>
        <v>96000</v>
      </c>
      <c r="AH100" s="376">
        <f>'1.1 Control Panel'!AH814*'1.1 Control Panel'!AH925*('1.1 Control Panel'!AH414-IF(ISNUMBER('1.1 Control Panel'!AG414),'1.1 Control Panel'!AG414,0))*('1.1 Control Panel'!AH813)</f>
        <v>0</v>
      </c>
      <c r="AI100" s="376">
        <f>'1.1 Control Panel'!AI814*'1.1 Control Panel'!AI925*('1.1 Control Panel'!AI414-IF(ISNUMBER('1.1 Control Panel'!AH414),'1.1 Control Panel'!AH414,0))*('1.1 Control Panel'!AI813)</f>
        <v>0</v>
      </c>
      <c r="AJ100" s="376">
        <f>'1.1 Control Panel'!AJ814*'1.1 Control Panel'!AJ925*('1.1 Control Panel'!AJ414-IF(ISNUMBER('1.1 Control Panel'!AI414),'1.1 Control Panel'!AI414,0))*('1.1 Control Panel'!AJ813)</f>
        <v>0</v>
      </c>
      <c r="AK100" s="376">
        <f>'1.1 Control Panel'!AK814*'1.1 Control Panel'!AK925*('1.1 Control Panel'!AK414-IF(ISNUMBER('1.1 Control Panel'!AJ414),'1.1 Control Panel'!AJ414,0))*('1.1 Control Panel'!AK813)</f>
        <v>96000</v>
      </c>
      <c r="AL100" s="376">
        <f>'1.1 Control Panel'!AL814*'1.1 Control Panel'!AL925*('1.1 Control Panel'!AL414-IF(ISNUMBER('1.1 Control Panel'!AK414),'1.1 Control Panel'!AK414,0))*('1.1 Control Panel'!AL813)</f>
        <v>0</v>
      </c>
      <c r="AM100" s="376">
        <f>'1.1 Control Panel'!AM814*'1.1 Control Panel'!AM925*('1.1 Control Panel'!AM414-IF(ISNUMBER('1.1 Control Panel'!AL414),'1.1 Control Panel'!AL414,0))*('1.1 Control Panel'!AM813)</f>
        <v>0</v>
      </c>
      <c r="AN100" s="376">
        <f>'1.1 Control Panel'!AN814*'1.1 Control Panel'!AN925*('1.1 Control Panel'!AN414-IF(ISNUMBER('1.1 Control Panel'!AM414),'1.1 Control Panel'!AM414,0))*('1.1 Control Panel'!AN813)</f>
        <v>0</v>
      </c>
      <c r="AP100" s="21"/>
    </row>
    <row r="101" spans="3:42" ht="11.5" hidden="1" customHeight="1" x14ac:dyDescent="0.25">
      <c r="C101" s="21" t="s">
        <v>153</v>
      </c>
      <c r="D101" s="38" t="s">
        <v>46</v>
      </c>
      <c r="E101" s="376">
        <f>'1.1 Control Panel'!E814*'1.1 Control Panel'!E926*('1.1 Control Panel'!E445-IF(ISNUMBER('1.1 Control Panel'!D445),'1.1 Control Panel'!D445,0))*('1.1 Control Panel'!E813)</f>
        <v>0</v>
      </c>
      <c r="F101" s="376">
        <f>'1.1 Control Panel'!F814*'1.1 Control Panel'!F926*('1.1 Control Panel'!F445-IF(ISNUMBER('1.1 Control Panel'!E445),'1.1 Control Panel'!E445,0))*('1.1 Control Panel'!F813)</f>
        <v>0</v>
      </c>
      <c r="G101" s="376">
        <f>'1.1 Control Panel'!G814*'1.1 Control Panel'!G926*('1.1 Control Panel'!G445-IF(ISNUMBER('1.1 Control Panel'!F445),'1.1 Control Panel'!F445,0))*('1.1 Control Panel'!G813)</f>
        <v>24000</v>
      </c>
      <c r="H101" s="376">
        <f>'1.1 Control Panel'!H814*'1.1 Control Panel'!H926*('1.1 Control Panel'!H445-IF(ISNUMBER('1.1 Control Panel'!G445),'1.1 Control Panel'!G445,0))*('1.1 Control Panel'!H813)</f>
        <v>0</v>
      </c>
      <c r="I101" s="376">
        <f>'1.1 Control Panel'!I814*'1.1 Control Panel'!I926*('1.1 Control Panel'!I445-IF(ISNUMBER('1.1 Control Panel'!H445),'1.1 Control Panel'!H445,0))*('1.1 Control Panel'!I813)</f>
        <v>0</v>
      </c>
      <c r="J101" s="376">
        <f>'1.1 Control Panel'!J814*'1.1 Control Panel'!J926*('1.1 Control Panel'!J445-IF(ISNUMBER('1.1 Control Panel'!I445),'1.1 Control Panel'!I445,0))*('1.1 Control Panel'!J813)</f>
        <v>0</v>
      </c>
      <c r="K101" s="376">
        <f>'1.1 Control Panel'!K814*'1.1 Control Panel'!K926*('1.1 Control Panel'!K445-IF(ISNUMBER('1.1 Control Panel'!J445),'1.1 Control Panel'!J445,0))*('1.1 Control Panel'!K813)</f>
        <v>0</v>
      </c>
      <c r="L101" s="376">
        <f>'1.1 Control Panel'!L814*'1.1 Control Panel'!L926*('1.1 Control Panel'!L445-IF(ISNUMBER('1.1 Control Panel'!K445),'1.1 Control Panel'!K445,0))*('1.1 Control Panel'!L813)</f>
        <v>0</v>
      </c>
      <c r="M101" s="376">
        <f>'1.1 Control Panel'!M814*'1.1 Control Panel'!M926*('1.1 Control Panel'!M445-IF(ISNUMBER('1.1 Control Panel'!L445),'1.1 Control Panel'!L445,0))*('1.1 Control Panel'!M813)</f>
        <v>0</v>
      </c>
      <c r="N101" s="376">
        <f>'1.1 Control Panel'!N814*'1.1 Control Panel'!N926*('1.1 Control Panel'!N445-IF(ISNUMBER('1.1 Control Panel'!M445),'1.1 Control Panel'!M445,0))*('1.1 Control Panel'!N813)</f>
        <v>0</v>
      </c>
      <c r="O101" s="376">
        <f>'1.1 Control Panel'!O814*'1.1 Control Panel'!O926*('1.1 Control Panel'!O445-IF(ISNUMBER('1.1 Control Panel'!N445),'1.1 Control Panel'!N445,0))*('1.1 Control Panel'!O813)</f>
        <v>0</v>
      </c>
      <c r="P101" s="376">
        <f>'1.1 Control Panel'!P814*'1.1 Control Panel'!P926*('1.1 Control Panel'!P445-IF(ISNUMBER('1.1 Control Panel'!O445),'1.1 Control Panel'!O445,0))*('1.1 Control Panel'!P813)</f>
        <v>0</v>
      </c>
      <c r="Q101" s="376">
        <f>'1.1 Control Panel'!Q814*'1.1 Control Panel'!Q926*('1.1 Control Panel'!Q445-IF(ISNUMBER('1.1 Control Panel'!P445),'1.1 Control Panel'!P445,0))*('1.1 Control Panel'!Q813)</f>
        <v>24000</v>
      </c>
      <c r="R101" s="376">
        <f>'1.1 Control Panel'!R814*'1.1 Control Panel'!R926*('1.1 Control Panel'!R445-IF(ISNUMBER('1.1 Control Panel'!Q445),'1.1 Control Panel'!Q445,0))*('1.1 Control Panel'!R813)</f>
        <v>0</v>
      </c>
      <c r="S101" s="376">
        <f>'1.1 Control Panel'!S814*'1.1 Control Panel'!S926*('1.1 Control Panel'!S445-IF(ISNUMBER('1.1 Control Panel'!R445),'1.1 Control Panel'!R445,0))*('1.1 Control Panel'!S813)</f>
        <v>0</v>
      </c>
      <c r="T101" s="376">
        <f>'1.1 Control Panel'!T814*'1.1 Control Panel'!T926*('1.1 Control Panel'!T445-IF(ISNUMBER('1.1 Control Panel'!S445),'1.1 Control Panel'!S445,0))*('1.1 Control Panel'!T813)</f>
        <v>0</v>
      </c>
      <c r="U101" s="376">
        <f>'1.1 Control Panel'!U814*'1.1 Control Panel'!U926*('1.1 Control Panel'!U445-IF(ISNUMBER('1.1 Control Panel'!T445),'1.1 Control Panel'!T445,0))*('1.1 Control Panel'!U813)</f>
        <v>24000</v>
      </c>
      <c r="V101" s="376">
        <f>'1.1 Control Panel'!V814*'1.1 Control Panel'!V926*('1.1 Control Panel'!V445-IF(ISNUMBER('1.1 Control Panel'!U445),'1.1 Control Panel'!U445,0))*('1.1 Control Panel'!V813)</f>
        <v>0</v>
      </c>
      <c r="W101" s="376">
        <f>'1.1 Control Panel'!W814*'1.1 Control Panel'!W926*('1.1 Control Panel'!W445-IF(ISNUMBER('1.1 Control Panel'!V445),'1.1 Control Panel'!V445,0))*('1.1 Control Panel'!W813)</f>
        <v>0</v>
      </c>
      <c r="X101" s="376">
        <f>'1.1 Control Panel'!X814*'1.1 Control Panel'!X926*('1.1 Control Panel'!X445-IF(ISNUMBER('1.1 Control Panel'!W445),'1.1 Control Panel'!W445,0))*('1.1 Control Panel'!X813)</f>
        <v>0</v>
      </c>
      <c r="Y101" s="376">
        <f>'1.1 Control Panel'!Y814*'1.1 Control Panel'!Y926*('1.1 Control Panel'!Y445-IF(ISNUMBER('1.1 Control Panel'!X445),'1.1 Control Panel'!X445,0))*('1.1 Control Panel'!Y813)</f>
        <v>0</v>
      </c>
      <c r="Z101" s="376">
        <f>'1.1 Control Panel'!Z814*'1.1 Control Panel'!Z926*('1.1 Control Panel'!Z445-IF(ISNUMBER('1.1 Control Panel'!Y445),'1.1 Control Panel'!Y445,0))*('1.1 Control Panel'!Z813)</f>
        <v>0</v>
      </c>
      <c r="AA101" s="376">
        <f>'1.1 Control Panel'!AA814*'1.1 Control Panel'!AA926*('1.1 Control Panel'!AA445-IF(ISNUMBER('1.1 Control Panel'!Z445),'1.1 Control Panel'!Z445,0))*('1.1 Control Panel'!AA813)</f>
        <v>0</v>
      </c>
      <c r="AB101" s="376">
        <f>'1.1 Control Panel'!AB814*'1.1 Control Panel'!AB926*('1.1 Control Panel'!AB445-IF(ISNUMBER('1.1 Control Panel'!AA445),'1.1 Control Panel'!AA445,0))*('1.1 Control Panel'!AB813)</f>
        <v>0</v>
      </c>
      <c r="AC101" s="376">
        <f>'1.1 Control Panel'!AC814*'1.1 Control Panel'!AC926*('1.1 Control Panel'!AC445-IF(ISNUMBER('1.1 Control Panel'!AB445),'1.1 Control Panel'!AB445,0))*('1.1 Control Panel'!AC813)</f>
        <v>48000</v>
      </c>
      <c r="AD101" s="376">
        <f>'1.1 Control Panel'!AD814*'1.1 Control Panel'!AD926*('1.1 Control Panel'!AD445-IF(ISNUMBER('1.1 Control Panel'!AC445),'1.1 Control Panel'!AC445,0))*('1.1 Control Panel'!AD813)</f>
        <v>0</v>
      </c>
      <c r="AE101" s="376">
        <f>'1.1 Control Panel'!AE814*'1.1 Control Panel'!AE926*('1.1 Control Panel'!AE445-IF(ISNUMBER('1.1 Control Panel'!AD445),'1.1 Control Panel'!AD445,0))*('1.1 Control Panel'!AE813)</f>
        <v>0</v>
      </c>
      <c r="AF101" s="376">
        <f>'1.1 Control Panel'!AF814*'1.1 Control Panel'!AF926*('1.1 Control Panel'!AF445-IF(ISNUMBER('1.1 Control Panel'!AE445),'1.1 Control Panel'!AE445,0))*('1.1 Control Panel'!AF813)</f>
        <v>0</v>
      </c>
      <c r="AG101" s="376">
        <f>'1.1 Control Panel'!AG814*'1.1 Control Panel'!AG926*('1.1 Control Panel'!AG445-IF(ISNUMBER('1.1 Control Panel'!AF445),'1.1 Control Panel'!AF445,0))*('1.1 Control Panel'!AG813)</f>
        <v>48000</v>
      </c>
      <c r="AH101" s="376">
        <f>'1.1 Control Panel'!AH814*'1.1 Control Panel'!AH926*('1.1 Control Panel'!AH445-IF(ISNUMBER('1.1 Control Panel'!AG445),'1.1 Control Panel'!AG445,0))*('1.1 Control Panel'!AH813)</f>
        <v>0</v>
      </c>
      <c r="AI101" s="376">
        <f>'1.1 Control Panel'!AI814*'1.1 Control Panel'!AI926*('1.1 Control Panel'!AI445-IF(ISNUMBER('1.1 Control Panel'!AH445),'1.1 Control Panel'!AH445,0))*('1.1 Control Panel'!AI813)</f>
        <v>0</v>
      </c>
      <c r="AJ101" s="376">
        <f>'1.1 Control Panel'!AJ814*'1.1 Control Panel'!AJ926*('1.1 Control Panel'!AJ445-IF(ISNUMBER('1.1 Control Panel'!AI445),'1.1 Control Panel'!AI445,0))*('1.1 Control Panel'!AJ813)</f>
        <v>0</v>
      </c>
      <c r="AK101" s="376">
        <f>'1.1 Control Panel'!AK814*'1.1 Control Panel'!AK926*('1.1 Control Panel'!AK445-IF(ISNUMBER('1.1 Control Panel'!AJ445),'1.1 Control Panel'!AJ445,0))*('1.1 Control Panel'!AK813)</f>
        <v>24000</v>
      </c>
      <c r="AL101" s="376">
        <f>'1.1 Control Panel'!AL814*'1.1 Control Panel'!AL926*('1.1 Control Panel'!AL445-IF(ISNUMBER('1.1 Control Panel'!AK445),'1.1 Control Panel'!AK445,0))*('1.1 Control Panel'!AL813)</f>
        <v>0</v>
      </c>
      <c r="AM101" s="376">
        <f>'1.1 Control Panel'!AM814*'1.1 Control Panel'!AM926*('1.1 Control Panel'!AM445-IF(ISNUMBER('1.1 Control Panel'!AL445),'1.1 Control Panel'!AL445,0))*('1.1 Control Panel'!AM813)</f>
        <v>0</v>
      </c>
      <c r="AN101" s="376">
        <f>'1.1 Control Panel'!AN814*'1.1 Control Panel'!AN926*('1.1 Control Panel'!AN445-IF(ISNUMBER('1.1 Control Panel'!AM445),'1.1 Control Panel'!AM445,0))*('1.1 Control Panel'!AN813)</f>
        <v>0</v>
      </c>
      <c r="AP101" s="21"/>
    </row>
    <row r="102" spans="3:42" ht="11.5" hidden="1" customHeight="1" x14ac:dyDescent="0.25">
      <c r="C102" s="21" t="s">
        <v>607</v>
      </c>
      <c r="D102" s="38" t="s">
        <v>46</v>
      </c>
      <c r="E102" s="376">
        <f>'1.1 Control Panel'!E814*'1.1 Control Panel'!E927*('1.1 Control Panel'!E476-IF(ISNUMBER('1.1 Control Panel'!D476),'1.1 Control Panel'!D476,0))*('1.1 Control Panel'!E813)</f>
        <v>0</v>
      </c>
      <c r="F102" s="376">
        <f>'1.1 Control Panel'!F814*'1.1 Control Panel'!F927*('1.1 Control Panel'!F476-IF(ISNUMBER('1.1 Control Panel'!E476),'1.1 Control Panel'!E476,0))*('1.1 Control Panel'!F813)</f>
        <v>0</v>
      </c>
      <c r="G102" s="376">
        <f>'1.1 Control Panel'!G814*'1.1 Control Panel'!G927*('1.1 Control Panel'!G476-IF(ISNUMBER('1.1 Control Panel'!F476),'1.1 Control Panel'!F476,0))*('1.1 Control Panel'!G813)</f>
        <v>0</v>
      </c>
      <c r="H102" s="376">
        <f>'1.1 Control Panel'!H814*'1.1 Control Panel'!H927*('1.1 Control Panel'!H476-IF(ISNUMBER('1.1 Control Panel'!G476),'1.1 Control Panel'!G476,0))*('1.1 Control Panel'!H813)</f>
        <v>0</v>
      </c>
      <c r="I102" s="376">
        <f>'1.1 Control Panel'!I814*'1.1 Control Panel'!I927*('1.1 Control Panel'!I476-IF(ISNUMBER('1.1 Control Panel'!H476),'1.1 Control Panel'!H476,0))*('1.1 Control Panel'!I813)</f>
        <v>0</v>
      </c>
      <c r="J102" s="376">
        <f>'1.1 Control Panel'!J814*'1.1 Control Panel'!J927*('1.1 Control Panel'!J476-IF(ISNUMBER('1.1 Control Panel'!I476),'1.1 Control Panel'!I476,0))*('1.1 Control Panel'!J813)</f>
        <v>0</v>
      </c>
      <c r="K102" s="376">
        <f>'1.1 Control Panel'!K814*'1.1 Control Panel'!K927*('1.1 Control Panel'!K476-IF(ISNUMBER('1.1 Control Panel'!J476),'1.1 Control Panel'!J476,0))*('1.1 Control Panel'!K813)</f>
        <v>0</v>
      </c>
      <c r="L102" s="376">
        <f>'1.1 Control Panel'!L814*'1.1 Control Panel'!L927*('1.1 Control Panel'!L476-IF(ISNUMBER('1.1 Control Panel'!K476),'1.1 Control Panel'!K476,0))*('1.1 Control Panel'!L813)</f>
        <v>0</v>
      </c>
      <c r="M102" s="376">
        <f>'1.1 Control Panel'!M814*'1.1 Control Panel'!M927*('1.1 Control Panel'!M476-IF(ISNUMBER('1.1 Control Panel'!L476),'1.1 Control Panel'!L476,0))*('1.1 Control Panel'!M813)</f>
        <v>0</v>
      </c>
      <c r="N102" s="376">
        <f>'1.1 Control Panel'!N814*'1.1 Control Panel'!N927*('1.1 Control Panel'!N476-IF(ISNUMBER('1.1 Control Panel'!M476),'1.1 Control Panel'!M476,0))*('1.1 Control Panel'!N813)</f>
        <v>0</v>
      </c>
      <c r="O102" s="376">
        <f>'1.1 Control Panel'!O814*'1.1 Control Panel'!O927*('1.1 Control Panel'!O476-IF(ISNUMBER('1.1 Control Panel'!N476),'1.1 Control Panel'!N476,0))*('1.1 Control Panel'!O813)</f>
        <v>0</v>
      </c>
      <c r="P102" s="376">
        <f>'1.1 Control Panel'!P814*'1.1 Control Panel'!P927*('1.1 Control Panel'!P476-IF(ISNUMBER('1.1 Control Panel'!O476),'1.1 Control Panel'!O476,0))*('1.1 Control Panel'!P813)</f>
        <v>0</v>
      </c>
      <c r="Q102" s="376">
        <f>'1.1 Control Panel'!Q814*'1.1 Control Panel'!Q927*('1.1 Control Panel'!Q476-IF(ISNUMBER('1.1 Control Panel'!P476),'1.1 Control Panel'!P476,0))*('1.1 Control Panel'!Q813)</f>
        <v>24000</v>
      </c>
      <c r="R102" s="376">
        <f>'1.1 Control Panel'!R814*'1.1 Control Panel'!R927*('1.1 Control Panel'!R476-IF(ISNUMBER('1.1 Control Panel'!Q476),'1.1 Control Panel'!Q476,0))*('1.1 Control Panel'!R813)</f>
        <v>0</v>
      </c>
      <c r="S102" s="376">
        <f>'1.1 Control Panel'!S814*'1.1 Control Panel'!S927*('1.1 Control Panel'!S476-IF(ISNUMBER('1.1 Control Panel'!R476),'1.1 Control Panel'!R476,0))*('1.1 Control Panel'!S813)</f>
        <v>0</v>
      </c>
      <c r="T102" s="376">
        <f>'1.1 Control Panel'!T814*'1.1 Control Panel'!T927*('1.1 Control Panel'!T476-IF(ISNUMBER('1.1 Control Panel'!S476),'1.1 Control Panel'!S476,0))*('1.1 Control Panel'!T813)</f>
        <v>0</v>
      </c>
      <c r="U102" s="376">
        <f>'1.1 Control Panel'!U814*'1.1 Control Panel'!U927*('1.1 Control Panel'!U476-IF(ISNUMBER('1.1 Control Panel'!T476),'1.1 Control Panel'!T476,0))*('1.1 Control Panel'!U813)</f>
        <v>24000</v>
      </c>
      <c r="V102" s="376">
        <f>'1.1 Control Panel'!V814*'1.1 Control Panel'!V927*('1.1 Control Panel'!V476-IF(ISNUMBER('1.1 Control Panel'!U476),'1.1 Control Panel'!U476,0))*('1.1 Control Panel'!V813)</f>
        <v>0</v>
      </c>
      <c r="W102" s="376">
        <f>'1.1 Control Panel'!W814*'1.1 Control Panel'!W927*('1.1 Control Panel'!W476-IF(ISNUMBER('1.1 Control Panel'!V476),'1.1 Control Panel'!V476,0))*('1.1 Control Panel'!W813)</f>
        <v>0</v>
      </c>
      <c r="X102" s="376">
        <f>'1.1 Control Panel'!X814*'1.1 Control Panel'!X927*('1.1 Control Panel'!X476-IF(ISNUMBER('1.1 Control Panel'!W476),'1.1 Control Panel'!W476,0))*('1.1 Control Panel'!X813)</f>
        <v>0</v>
      </c>
      <c r="Y102" s="376">
        <f>'1.1 Control Panel'!Y814*'1.1 Control Panel'!Y927*('1.1 Control Panel'!Y476-IF(ISNUMBER('1.1 Control Panel'!X476),'1.1 Control Panel'!X476,0))*('1.1 Control Panel'!Y813)</f>
        <v>0</v>
      </c>
      <c r="Z102" s="376">
        <f>'1.1 Control Panel'!Z814*'1.1 Control Panel'!Z927*('1.1 Control Panel'!Z476-IF(ISNUMBER('1.1 Control Panel'!Y476),'1.1 Control Panel'!Y476,0))*('1.1 Control Panel'!Z813)</f>
        <v>0</v>
      </c>
      <c r="AA102" s="376">
        <f>'1.1 Control Panel'!AA814*'1.1 Control Panel'!AA927*('1.1 Control Panel'!AA476-IF(ISNUMBER('1.1 Control Panel'!Z476),'1.1 Control Panel'!Z476,0))*('1.1 Control Panel'!AA813)</f>
        <v>0</v>
      </c>
      <c r="AB102" s="376">
        <f>'1.1 Control Panel'!AB814*'1.1 Control Panel'!AB927*('1.1 Control Panel'!AB476-IF(ISNUMBER('1.1 Control Panel'!AA476),'1.1 Control Panel'!AA476,0))*('1.1 Control Panel'!AB813)</f>
        <v>0</v>
      </c>
      <c r="AC102" s="376">
        <f>'1.1 Control Panel'!AC814*'1.1 Control Panel'!AC927*('1.1 Control Panel'!AC476-IF(ISNUMBER('1.1 Control Panel'!AB476),'1.1 Control Panel'!AB476,0))*('1.1 Control Panel'!AC813)</f>
        <v>96000</v>
      </c>
      <c r="AD102" s="376">
        <f>'1.1 Control Panel'!AD814*'1.1 Control Panel'!AD927*('1.1 Control Panel'!AD476-IF(ISNUMBER('1.1 Control Panel'!AC476),'1.1 Control Panel'!AC476,0))*('1.1 Control Panel'!AD813)</f>
        <v>0</v>
      </c>
      <c r="AE102" s="376">
        <f>'1.1 Control Panel'!AE814*'1.1 Control Panel'!AE927*('1.1 Control Panel'!AE476-IF(ISNUMBER('1.1 Control Panel'!AD476),'1.1 Control Panel'!AD476,0))*('1.1 Control Panel'!AE813)</f>
        <v>0</v>
      </c>
      <c r="AF102" s="376">
        <f>'1.1 Control Panel'!AF814*'1.1 Control Panel'!AF927*('1.1 Control Panel'!AF476-IF(ISNUMBER('1.1 Control Panel'!AE476),'1.1 Control Panel'!AE476,0))*('1.1 Control Panel'!AF813)</f>
        <v>0</v>
      </c>
      <c r="AG102" s="376">
        <f>'1.1 Control Panel'!AG814*'1.1 Control Panel'!AG927*('1.1 Control Panel'!AG476-IF(ISNUMBER('1.1 Control Panel'!AF476),'1.1 Control Panel'!AF476,0))*('1.1 Control Panel'!AG813)</f>
        <v>96000</v>
      </c>
      <c r="AH102" s="376">
        <f>'1.1 Control Panel'!AH814*'1.1 Control Panel'!AH927*('1.1 Control Panel'!AH476-IF(ISNUMBER('1.1 Control Panel'!AG476),'1.1 Control Panel'!AG476,0))*('1.1 Control Panel'!AH813)</f>
        <v>0</v>
      </c>
      <c r="AI102" s="376">
        <f>'1.1 Control Panel'!AI814*'1.1 Control Panel'!AI927*('1.1 Control Panel'!AI476-IF(ISNUMBER('1.1 Control Panel'!AH476),'1.1 Control Panel'!AH476,0))*('1.1 Control Panel'!AI813)</f>
        <v>0</v>
      </c>
      <c r="AJ102" s="376">
        <f>'1.1 Control Panel'!AJ814*'1.1 Control Panel'!AJ927*('1.1 Control Panel'!AJ476-IF(ISNUMBER('1.1 Control Panel'!AI476),'1.1 Control Panel'!AI476,0))*('1.1 Control Panel'!AJ813)</f>
        <v>0</v>
      </c>
      <c r="AK102" s="376">
        <f>'1.1 Control Panel'!AK814*'1.1 Control Panel'!AK927*('1.1 Control Panel'!AK476-IF(ISNUMBER('1.1 Control Panel'!AJ476),'1.1 Control Panel'!AJ476,0))*('1.1 Control Panel'!AK813)</f>
        <v>72000</v>
      </c>
      <c r="AL102" s="376">
        <f>'1.1 Control Panel'!AL814*'1.1 Control Panel'!AL927*('1.1 Control Panel'!AL476-IF(ISNUMBER('1.1 Control Panel'!AK476),'1.1 Control Panel'!AK476,0))*('1.1 Control Panel'!AL813)</f>
        <v>0</v>
      </c>
      <c r="AM102" s="376">
        <f>'1.1 Control Panel'!AM814*'1.1 Control Panel'!AM927*('1.1 Control Panel'!AM476-IF(ISNUMBER('1.1 Control Panel'!AL476),'1.1 Control Panel'!AL476,0))*('1.1 Control Panel'!AM813)</f>
        <v>0</v>
      </c>
      <c r="AN102" s="376">
        <f>'1.1 Control Panel'!AN814*'1.1 Control Panel'!AN927*('1.1 Control Panel'!AN476-IF(ISNUMBER('1.1 Control Panel'!AM476),'1.1 Control Panel'!AM476,0))*('1.1 Control Panel'!AN813)</f>
        <v>0</v>
      </c>
      <c r="AP102" s="21"/>
    </row>
    <row r="103" spans="3:42" ht="11.5" hidden="1" customHeight="1" x14ac:dyDescent="0.25">
      <c r="C103" s="21" t="s">
        <v>616</v>
      </c>
      <c r="D103" s="38" t="s">
        <v>46</v>
      </c>
      <c r="E103" s="406">
        <f>'1.1 Control Panel'!E814*'1.1 Control Panel'!E928*('1.1 Control Panel'!E507-IF(ISNUMBER('1.1 Control Panel'!D507),'1.1 Control Panel'!D507,0))*('1.1 Control Panel'!E813)</f>
        <v>24000</v>
      </c>
      <c r="F103" s="406">
        <f>'1.1 Control Panel'!F814*'1.1 Control Panel'!F928*('1.1 Control Panel'!F507-IF(ISNUMBER('1.1 Control Panel'!E507),'1.1 Control Panel'!E507,0))*('1.1 Control Panel'!F813)</f>
        <v>0</v>
      </c>
      <c r="G103" s="406">
        <f>'1.1 Control Panel'!G814*'1.1 Control Panel'!G928*('1.1 Control Panel'!G507-IF(ISNUMBER('1.1 Control Panel'!F507),'1.1 Control Panel'!F507,0))*('1.1 Control Panel'!G813)</f>
        <v>72000</v>
      </c>
      <c r="H103" s="406">
        <f>'1.1 Control Panel'!H814*'1.1 Control Panel'!H928*('1.1 Control Panel'!H507-IF(ISNUMBER('1.1 Control Panel'!G507),'1.1 Control Panel'!G507,0))*('1.1 Control Panel'!H813)</f>
        <v>0</v>
      </c>
      <c r="I103" s="406">
        <f>'1.1 Control Panel'!I814*'1.1 Control Panel'!I928*('1.1 Control Panel'!I507-IF(ISNUMBER('1.1 Control Panel'!H507),'1.1 Control Panel'!H507,0))*('1.1 Control Panel'!I813)</f>
        <v>0</v>
      </c>
      <c r="J103" s="406">
        <f>'1.1 Control Panel'!J814*'1.1 Control Panel'!J928*('1.1 Control Panel'!J507-IF(ISNUMBER('1.1 Control Panel'!I507),'1.1 Control Panel'!I507,0))*('1.1 Control Panel'!J813)</f>
        <v>48000</v>
      </c>
      <c r="K103" s="406">
        <f>'1.1 Control Panel'!K814*'1.1 Control Panel'!K928*('1.1 Control Panel'!K507-IF(ISNUMBER('1.1 Control Panel'!J507),'1.1 Control Panel'!J507,0))*('1.1 Control Panel'!K813)</f>
        <v>0</v>
      </c>
      <c r="L103" s="406">
        <f>'1.1 Control Panel'!L814*'1.1 Control Panel'!L928*('1.1 Control Panel'!L507-IF(ISNUMBER('1.1 Control Panel'!K507),'1.1 Control Panel'!K507,0))*('1.1 Control Panel'!L813)</f>
        <v>0</v>
      </c>
      <c r="M103" s="406">
        <f>'1.1 Control Panel'!M814*'1.1 Control Panel'!M928*('1.1 Control Panel'!M507-IF(ISNUMBER('1.1 Control Panel'!L507),'1.1 Control Panel'!L507,0))*('1.1 Control Panel'!M813)</f>
        <v>24000</v>
      </c>
      <c r="N103" s="406">
        <f>'1.1 Control Panel'!N814*'1.1 Control Panel'!N928*('1.1 Control Panel'!N507-IF(ISNUMBER('1.1 Control Panel'!M507),'1.1 Control Panel'!M507,0))*('1.1 Control Panel'!N813)</f>
        <v>0</v>
      </c>
      <c r="O103" s="406">
        <f>'1.1 Control Panel'!O814*'1.1 Control Panel'!O928*('1.1 Control Panel'!O507-IF(ISNUMBER('1.1 Control Panel'!N507),'1.1 Control Panel'!N507,0))*('1.1 Control Panel'!O813)</f>
        <v>0</v>
      </c>
      <c r="P103" s="406">
        <f>'1.1 Control Panel'!P814*'1.1 Control Panel'!P928*('1.1 Control Panel'!P507-IF(ISNUMBER('1.1 Control Panel'!O507),'1.1 Control Panel'!O507,0))*('1.1 Control Panel'!P813)</f>
        <v>0</v>
      </c>
      <c r="Q103" s="406">
        <f>'1.1 Control Panel'!Q814*'1.1 Control Panel'!Q928*('1.1 Control Panel'!Q507-IF(ISNUMBER('1.1 Control Panel'!P507),'1.1 Control Panel'!P507,0))*('1.1 Control Panel'!Q813)</f>
        <v>24000</v>
      </c>
      <c r="R103" s="406">
        <f>'1.1 Control Panel'!R814*'1.1 Control Panel'!R928*('1.1 Control Panel'!R507-IF(ISNUMBER('1.1 Control Panel'!Q507),'1.1 Control Panel'!Q507,0))*('1.1 Control Panel'!R813)</f>
        <v>0</v>
      </c>
      <c r="S103" s="406">
        <f>'1.1 Control Panel'!S814*'1.1 Control Panel'!S928*('1.1 Control Panel'!S507-IF(ISNUMBER('1.1 Control Panel'!R507),'1.1 Control Panel'!R507,0))*('1.1 Control Panel'!S813)</f>
        <v>0</v>
      </c>
      <c r="T103" s="406">
        <f>'1.1 Control Panel'!T814*'1.1 Control Panel'!T928*('1.1 Control Panel'!T507-IF(ISNUMBER('1.1 Control Panel'!S507),'1.1 Control Panel'!S507,0))*('1.1 Control Panel'!T813)</f>
        <v>0</v>
      </c>
      <c r="U103" s="406">
        <f>'1.1 Control Panel'!U814*'1.1 Control Panel'!U928*('1.1 Control Panel'!U507-IF(ISNUMBER('1.1 Control Panel'!T507),'1.1 Control Panel'!T507,0))*('1.1 Control Panel'!U813)</f>
        <v>24000</v>
      </c>
      <c r="V103" s="406">
        <f>'1.1 Control Panel'!V814*'1.1 Control Panel'!V928*('1.1 Control Panel'!V507-IF(ISNUMBER('1.1 Control Panel'!U507),'1.1 Control Panel'!U507,0))*('1.1 Control Panel'!V813)</f>
        <v>0</v>
      </c>
      <c r="W103" s="406">
        <f>'1.1 Control Panel'!W814*'1.1 Control Panel'!W928*('1.1 Control Panel'!W507-IF(ISNUMBER('1.1 Control Panel'!V507),'1.1 Control Panel'!V507,0))*('1.1 Control Panel'!W813)</f>
        <v>0</v>
      </c>
      <c r="X103" s="406">
        <f>'1.1 Control Panel'!X814*'1.1 Control Panel'!X928*('1.1 Control Panel'!X507-IF(ISNUMBER('1.1 Control Panel'!W507),'1.1 Control Panel'!W507,0))*('1.1 Control Panel'!X813)</f>
        <v>0</v>
      </c>
      <c r="Y103" s="406">
        <f>'1.1 Control Panel'!Y814*'1.1 Control Panel'!Y928*('1.1 Control Panel'!Y507-IF(ISNUMBER('1.1 Control Panel'!X507),'1.1 Control Panel'!X507,0))*('1.1 Control Panel'!Y813)</f>
        <v>24000</v>
      </c>
      <c r="Z103" s="406">
        <f>'1.1 Control Panel'!Z814*'1.1 Control Panel'!Z928*('1.1 Control Panel'!Z507-IF(ISNUMBER('1.1 Control Panel'!Y507),'1.1 Control Panel'!Y507,0))*('1.1 Control Panel'!Z813)</f>
        <v>0</v>
      </c>
      <c r="AA103" s="406">
        <f>'1.1 Control Panel'!AA814*'1.1 Control Panel'!AA928*('1.1 Control Panel'!AA507-IF(ISNUMBER('1.1 Control Panel'!Z507),'1.1 Control Panel'!Z507,0))*('1.1 Control Panel'!AA813)</f>
        <v>0</v>
      </c>
      <c r="AB103" s="406">
        <f>'1.1 Control Panel'!AB814*'1.1 Control Panel'!AB928*('1.1 Control Panel'!AB507-IF(ISNUMBER('1.1 Control Panel'!AA507),'1.1 Control Panel'!AA507,0))*('1.1 Control Panel'!AB813)</f>
        <v>0</v>
      </c>
      <c r="AC103" s="406">
        <f>'1.1 Control Panel'!AC814*'1.1 Control Panel'!AC928*('1.1 Control Panel'!AC507-IF(ISNUMBER('1.1 Control Panel'!AB507),'1.1 Control Panel'!AB507,0))*('1.1 Control Panel'!AC813)</f>
        <v>120000</v>
      </c>
      <c r="AD103" s="406">
        <f>'1.1 Control Panel'!AD814*'1.1 Control Panel'!AD928*('1.1 Control Panel'!AD507-IF(ISNUMBER('1.1 Control Panel'!AC507),'1.1 Control Panel'!AC507,0))*('1.1 Control Panel'!AD813)</f>
        <v>0</v>
      </c>
      <c r="AE103" s="406">
        <f>'1.1 Control Panel'!AE814*'1.1 Control Panel'!AE928*('1.1 Control Panel'!AE507-IF(ISNUMBER('1.1 Control Panel'!AD507),'1.1 Control Panel'!AD507,0))*('1.1 Control Panel'!AE813)</f>
        <v>0</v>
      </c>
      <c r="AF103" s="406">
        <f>'1.1 Control Panel'!AF814*'1.1 Control Panel'!AF928*('1.1 Control Panel'!AF507-IF(ISNUMBER('1.1 Control Panel'!AE507),'1.1 Control Panel'!AE507,0))*('1.1 Control Panel'!AF813)</f>
        <v>0</v>
      </c>
      <c r="AG103" s="406">
        <f>'1.1 Control Panel'!AG814*'1.1 Control Panel'!AG928*('1.1 Control Panel'!AG507-IF(ISNUMBER('1.1 Control Panel'!AF507),'1.1 Control Panel'!AF507,0))*('1.1 Control Panel'!AG813)</f>
        <v>144000</v>
      </c>
      <c r="AH103" s="406">
        <f>'1.1 Control Panel'!AH814*'1.1 Control Panel'!AH928*('1.1 Control Panel'!AH507-IF(ISNUMBER('1.1 Control Panel'!AG507),'1.1 Control Panel'!AG507,0))*('1.1 Control Panel'!AH813)</f>
        <v>0</v>
      </c>
      <c r="AI103" s="406">
        <f>'1.1 Control Panel'!AI814*'1.1 Control Panel'!AI928*('1.1 Control Panel'!AI507-IF(ISNUMBER('1.1 Control Panel'!AH507),'1.1 Control Panel'!AH507,0))*('1.1 Control Panel'!AI813)</f>
        <v>0</v>
      </c>
      <c r="AJ103" s="406">
        <f>'1.1 Control Panel'!AJ814*'1.1 Control Panel'!AJ928*('1.1 Control Panel'!AJ507-IF(ISNUMBER('1.1 Control Panel'!AI507),'1.1 Control Panel'!AI507,0))*('1.1 Control Panel'!AJ813)</f>
        <v>0</v>
      </c>
      <c r="AK103" s="406">
        <f>'1.1 Control Panel'!AK814*'1.1 Control Panel'!AK928*('1.1 Control Panel'!AK507-IF(ISNUMBER('1.1 Control Panel'!AJ507),'1.1 Control Panel'!AJ507,0))*('1.1 Control Panel'!AK813)</f>
        <v>120000</v>
      </c>
      <c r="AL103" s="406">
        <f>'1.1 Control Panel'!AL814*'1.1 Control Panel'!AL928*('1.1 Control Panel'!AL507-IF(ISNUMBER('1.1 Control Panel'!AK507),'1.1 Control Panel'!AK507,0))*('1.1 Control Panel'!AL813)</f>
        <v>0</v>
      </c>
      <c r="AM103" s="406">
        <f>'1.1 Control Panel'!AM814*'1.1 Control Panel'!AM928*('1.1 Control Panel'!AM507-IF(ISNUMBER('1.1 Control Panel'!AL507),'1.1 Control Panel'!AL507,0))*('1.1 Control Panel'!AM813)</f>
        <v>0</v>
      </c>
      <c r="AN103" s="406">
        <f>'1.1 Control Panel'!AN814*'1.1 Control Panel'!AN928*('1.1 Control Panel'!AN507-IF(ISNUMBER('1.1 Control Panel'!AM507),'1.1 Control Panel'!AM507,0))*('1.1 Control Panel'!AN813)</f>
        <v>0</v>
      </c>
      <c r="AP103" s="21"/>
    </row>
    <row r="104" spans="3:42" ht="11.5" hidden="1" customHeight="1" x14ac:dyDescent="0.25">
      <c r="C104" s="21" t="s">
        <v>605</v>
      </c>
      <c r="D104" s="38" t="s">
        <v>46</v>
      </c>
      <c r="E104" s="406">
        <f>'1.1 Control Panel'!E814*'1.1 Control Panel'!E929*('1.1 Control Panel'!E538-IF(ISNUMBER('1.1 Control Panel'!D538),'1.1 Control Panel'!D538,0))*('1.1 Control Panel'!E813)</f>
        <v>0</v>
      </c>
      <c r="F104" s="406">
        <f>'1.1 Control Panel'!F814*'1.1 Control Panel'!F929*('1.1 Control Panel'!F538-IF(ISNUMBER('1.1 Control Panel'!E538),'1.1 Control Panel'!E538,0))*('1.1 Control Panel'!F813)</f>
        <v>0</v>
      </c>
      <c r="G104" s="406">
        <f>'1.1 Control Panel'!G814*'1.1 Control Panel'!G929*('1.1 Control Panel'!G538-IF(ISNUMBER('1.1 Control Panel'!F538),'1.1 Control Panel'!F538,0))*('1.1 Control Panel'!G813)</f>
        <v>0</v>
      </c>
      <c r="H104" s="406">
        <f>'1.1 Control Panel'!H814*'1.1 Control Panel'!H929*('1.1 Control Panel'!H538-IF(ISNUMBER('1.1 Control Panel'!G538),'1.1 Control Panel'!G538,0))*('1.1 Control Panel'!H813)</f>
        <v>0</v>
      </c>
      <c r="I104" s="406">
        <f>'1.1 Control Panel'!I814*'1.1 Control Panel'!I929*('1.1 Control Panel'!I538-IF(ISNUMBER('1.1 Control Panel'!H538),'1.1 Control Panel'!H538,0))*('1.1 Control Panel'!I813)</f>
        <v>24000</v>
      </c>
      <c r="J104" s="406">
        <f>'1.1 Control Panel'!J814*'1.1 Control Panel'!J929*('1.1 Control Panel'!J538-IF(ISNUMBER('1.1 Control Panel'!I538),'1.1 Control Panel'!I538,0))*('1.1 Control Panel'!J813)</f>
        <v>0</v>
      </c>
      <c r="K104" s="406">
        <f>'1.1 Control Panel'!K814*'1.1 Control Panel'!K929*('1.1 Control Panel'!K538-IF(ISNUMBER('1.1 Control Panel'!J538),'1.1 Control Panel'!J538,0))*('1.1 Control Panel'!K813)</f>
        <v>0</v>
      </c>
      <c r="L104" s="406">
        <f>'1.1 Control Panel'!L814*'1.1 Control Panel'!L929*('1.1 Control Panel'!L538-IF(ISNUMBER('1.1 Control Panel'!K538),'1.1 Control Panel'!K538,0))*('1.1 Control Panel'!L813)</f>
        <v>0</v>
      </c>
      <c r="M104" s="406">
        <f>'1.1 Control Panel'!M814*'1.1 Control Panel'!M929*('1.1 Control Panel'!M538-IF(ISNUMBER('1.1 Control Panel'!L538),'1.1 Control Panel'!L538,0))*('1.1 Control Panel'!M813)</f>
        <v>0</v>
      </c>
      <c r="N104" s="406">
        <f>'1.1 Control Panel'!N814*'1.1 Control Panel'!N929*('1.1 Control Panel'!N538-IF(ISNUMBER('1.1 Control Panel'!M538),'1.1 Control Panel'!M538,0))*('1.1 Control Panel'!N813)</f>
        <v>0</v>
      </c>
      <c r="O104" s="406">
        <f>'1.1 Control Panel'!O814*'1.1 Control Panel'!O929*('1.1 Control Panel'!O538-IF(ISNUMBER('1.1 Control Panel'!N538),'1.1 Control Panel'!N538,0))*('1.1 Control Panel'!O813)</f>
        <v>0</v>
      </c>
      <c r="P104" s="406">
        <f>'1.1 Control Panel'!P814*'1.1 Control Panel'!P929*('1.1 Control Panel'!P538-IF(ISNUMBER('1.1 Control Panel'!O538),'1.1 Control Panel'!O538,0))*('1.1 Control Panel'!P813)</f>
        <v>0</v>
      </c>
      <c r="Q104" s="406">
        <f>'1.1 Control Panel'!Q814*'1.1 Control Panel'!Q929*('1.1 Control Panel'!Q538-IF(ISNUMBER('1.1 Control Panel'!P538),'1.1 Control Panel'!P538,0))*('1.1 Control Panel'!Q813)</f>
        <v>24000</v>
      </c>
      <c r="R104" s="406">
        <f>'1.1 Control Panel'!R814*'1.1 Control Panel'!R929*('1.1 Control Panel'!R538-IF(ISNUMBER('1.1 Control Panel'!Q538),'1.1 Control Panel'!Q538,0))*('1.1 Control Panel'!R813)</f>
        <v>0</v>
      </c>
      <c r="S104" s="406">
        <f>'1.1 Control Panel'!S814*'1.1 Control Panel'!S929*('1.1 Control Panel'!S538-IF(ISNUMBER('1.1 Control Panel'!R538),'1.1 Control Panel'!R538,0))*('1.1 Control Panel'!S813)</f>
        <v>0</v>
      </c>
      <c r="T104" s="406">
        <f>'1.1 Control Panel'!T814*'1.1 Control Panel'!T929*('1.1 Control Panel'!T538-IF(ISNUMBER('1.1 Control Panel'!S538),'1.1 Control Panel'!S538,0))*('1.1 Control Panel'!T813)</f>
        <v>0</v>
      </c>
      <c r="U104" s="406">
        <f>'1.1 Control Panel'!U814*'1.1 Control Panel'!U929*('1.1 Control Panel'!U538-IF(ISNUMBER('1.1 Control Panel'!T538),'1.1 Control Panel'!T538,0))*('1.1 Control Panel'!U813)</f>
        <v>24000</v>
      </c>
      <c r="V104" s="406">
        <f>'1.1 Control Panel'!V814*'1.1 Control Panel'!V929*('1.1 Control Panel'!V538-IF(ISNUMBER('1.1 Control Panel'!U538),'1.1 Control Panel'!U538,0))*('1.1 Control Panel'!V813)</f>
        <v>0</v>
      </c>
      <c r="W104" s="406">
        <f>'1.1 Control Panel'!W814*'1.1 Control Panel'!W929*('1.1 Control Panel'!W538-IF(ISNUMBER('1.1 Control Panel'!V538),'1.1 Control Panel'!V538,0))*('1.1 Control Panel'!W813)</f>
        <v>0</v>
      </c>
      <c r="X104" s="406">
        <f>'1.1 Control Panel'!X814*'1.1 Control Panel'!X929*('1.1 Control Panel'!X538-IF(ISNUMBER('1.1 Control Panel'!W538),'1.1 Control Panel'!W538,0))*('1.1 Control Panel'!X813)</f>
        <v>0</v>
      </c>
      <c r="Y104" s="406">
        <f>'1.1 Control Panel'!Y814*'1.1 Control Panel'!Y929*('1.1 Control Panel'!Y538-IF(ISNUMBER('1.1 Control Panel'!X538),'1.1 Control Panel'!X538,0))*('1.1 Control Panel'!Y813)</f>
        <v>0</v>
      </c>
      <c r="Z104" s="406">
        <f>'1.1 Control Panel'!Z814*'1.1 Control Panel'!Z929*('1.1 Control Panel'!Z538-IF(ISNUMBER('1.1 Control Panel'!Y538),'1.1 Control Panel'!Y538,0))*('1.1 Control Panel'!Z813)</f>
        <v>0</v>
      </c>
      <c r="AA104" s="406">
        <f>'1.1 Control Panel'!AA814*'1.1 Control Panel'!AA929*('1.1 Control Panel'!AA538-IF(ISNUMBER('1.1 Control Panel'!Z538),'1.1 Control Panel'!Z538,0))*('1.1 Control Panel'!AA813)</f>
        <v>0</v>
      </c>
      <c r="AB104" s="406">
        <f>'1.1 Control Panel'!AB814*'1.1 Control Panel'!AB929*('1.1 Control Panel'!AB538-IF(ISNUMBER('1.1 Control Panel'!AA538),'1.1 Control Panel'!AA538,0))*('1.1 Control Panel'!AB813)</f>
        <v>0</v>
      </c>
      <c r="AC104" s="406">
        <f>'1.1 Control Panel'!AC814*'1.1 Control Panel'!AC929*('1.1 Control Panel'!AC538-IF(ISNUMBER('1.1 Control Panel'!AB538),'1.1 Control Panel'!AB538,0))*('1.1 Control Panel'!AC813)</f>
        <v>24000</v>
      </c>
      <c r="AD104" s="406">
        <f>'1.1 Control Panel'!AD814*'1.1 Control Panel'!AD929*('1.1 Control Panel'!AD538-IF(ISNUMBER('1.1 Control Panel'!AC538),'1.1 Control Panel'!AC538,0))*('1.1 Control Panel'!AD813)</f>
        <v>0</v>
      </c>
      <c r="AE104" s="406">
        <f>'1.1 Control Panel'!AE814*'1.1 Control Panel'!AE929*('1.1 Control Panel'!AE538-IF(ISNUMBER('1.1 Control Panel'!AD538),'1.1 Control Panel'!AD538,0))*('1.1 Control Panel'!AE813)</f>
        <v>0</v>
      </c>
      <c r="AF104" s="406">
        <f>'1.1 Control Panel'!AF814*'1.1 Control Panel'!AF929*('1.1 Control Panel'!AF538-IF(ISNUMBER('1.1 Control Panel'!AE538),'1.1 Control Panel'!AE538,0))*('1.1 Control Panel'!AF813)</f>
        <v>0</v>
      </c>
      <c r="AG104" s="406">
        <f>'1.1 Control Panel'!AG814*'1.1 Control Panel'!AG929*('1.1 Control Panel'!AG538-IF(ISNUMBER('1.1 Control Panel'!AF538),'1.1 Control Panel'!AF538,0))*('1.1 Control Panel'!AG813)</f>
        <v>48000</v>
      </c>
      <c r="AH104" s="406">
        <f>'1.1 Control Panel'!AH814*'1.1 Control Panel'!AH929*('1.1 Control Panel'!AH538-IF(ISNUMBER('1.1 Control Panel'!AG538),'1.1 Control Panel'!AG538,0))*('1.1 Control Panel'!AH813)</f>
        <v>0</v>
      </c>
      <c r="AI104" s="406">
        <f>'1.1 Control Panel'!AI814*'1.1 Control Panel'!AI929*('1.1 Control Panel'!AI538-IF(ISNUMBER('1.1 Control Panel'!AH538),'1.1 Control Panel'!AH538,0))*('1.1 Control Panel'!AI813)</f>
        <v>0</v>
      </c>
      <c r="AJ104" s="406">
        <f>'1.1 Control Panel'!AJ814*'1.1 Control Panel'!AJ929*('1.1 Control Panel'!AJ538-IF(ISNUMBER('1.1 Control Panel'!AI538),'1.1 Control Panel'!AI538,0))*('1.1 Control Panel'!AJ813)</f>
        <v>0</v>
      </c>
      <c r="AK104" s="406">
        <f>'1.1 Control Panel'!AK814*'1.1 Control Panel'!AK929*('1.1 Control Panel'!AK538-IF(ISNUMBER('1.1 Control Panel'!AJ538),'1.1 Control Panel'!AJ538,0))*('1.1 Control Panel'!AK813)</f>
        <v>24000</v>
      </c>
      <c r="AL104" s="406">
        <f>'1.1 Control Panel'!AL814*'1.1 Control Panel'!AL929*('1.1 Control Panel'!AL538-IF(ISNUMBER('1.1 Control Panel'!AK538),'1.1 Control Panel'!AK538,0))*('1.1 Control Panel'!AL813)</f>
        <v>0</v>
      </c>
      <c r="AM104" s="406">
        <f>'1.1 Control Panel'!AM814*'1.1 Control Panel'!AM929*('1.1 Control Panel'!AM538-IF(ISNUMBER('1.1 Control Panel'!AL538),'1.1 Control Panel'!AL538,0))*('1.1 Control Panel'!AM813)</f>
        <v>0</v>
      </c>
      <c r="AN104" s="406">
        <f>'1.1 Control Panel'!AN814*'1.1 Control Panel'!AN929*('1.1 Control Panel'!AN538-IF(ISNUMBER('1.1 Control Panel'!AM538),'1.1 Control Panel'!AM538,0))*('1.1 Control Panel'!AN813)</f>
        <v>0</v>
      </c>
      <c r="AP104" s="21"/>
    </row>
    <row r="105" spans="3:42" ht="11.5" hidden="1" customHeight="1" x14ac:dyDescent="0.25">
      <c r="C105" s="21" t="s">
        <v>608</v>
      </c>
      <c r="D105" s="38" t="s">
        <v>46</v>
      </c>
      <c r="E105" s="406">
        <f>'1.1 Control Panel'!E814*'1.1 Control Panel'!E930*('1.1 Control Panel'!E569-IF(ISNUMBER('1.1 Control Panel'!D569),'1.1 Control Panel'!D569,0))*('1.1 Control Panel'!E813)</f>
        <v>72000</v>
      </c>
      <c r="F105" s="406">
        <f>'1.1 Control Panel'!F814*'1.1 Control Panel'!F930*('1.1 Control Panel'!F569-IF(ISNUMBER('1.1 Control Panel'!E569),'1.1 Control Panel'!E569,0))*('1.1 Control Panel'!F813)</f>
        <v>0</v>
      </c>
      <c r="G105" s="406">
        <f>'1.1 Control Panel'!G814*'1.1 Control Panel'!G930*('1.1 Control Panel'!G569-IF(ISNUMBER('1.1 Control Panel'!F569),'1.1 Control Panel'!F569,0))*('1.1 Control Panel'!G813)</f>
        <v>-72000</v>
      </c>
      <c r="H105" s="406">
        <f>'1.1 Control Panel'!H814*'1.1 Control Panel'!H930*('1.1 Control Panel'!H569-IF(ISNUMBER('1.1 Control Panel'!G569),'1.1 Control Panel'!G569,0))*('1.1 Control Panel'!H813)</f>
        <v>0</v>
      </c>
      <c r="I105" s="406">
        <f>'1.1 Control Panel'!I814*'1.1 Control Panel'!I930*('1.1 Control Panel'!I569-IF(ISNUMBER('1.1 Control Panel'!H569),'1.1 Control Panel'!H569,0))*('1.1 Control Panel'!I813)</f>
        <v>0</v>
      </c>
      <c r="J105" s="406">
        <f>'1.1 Control Panel'!J814*'1.1 Control Panel'!J930*('1.1 Control Panel'!J569-IF(ISNUMBER('1.1 Control Panel'!I569),'1.1 Control Panel'!I569,0))*('1.1 Control Panel'!J813)</f>
        <v>0</v>
      </c>
      <c r="K105" s="406">
        <f>'1.1 Control Panel'!K814*'1.1 Control Panel'!K930*('1.1 Control Panel'!K569-IF(ISNUMBER('1.1 Control Panel'!J569),'1.1 Control Panel'!J569,0))*('1.1 Control Panel'!K813)</f>
        <v>0</v>
      </c>
      <c r="L105" s="406">
        <f>'1.1 Control Panel'!L814*'1.1 Control Panel'!L930*('1.1 Control Panel'!L569-IF(ISNUMBER('1.1 Control Panel'!K569),'1.1 Control Panel'!K569,0))*('1.1 Control Panel'!L813)</f>
        <v>0</v>
      </c>
      <c r="M105" s="406">
        <f>'1.1 Control Panel'!M814*'1.1 Control Panel'!M930*('1.1 Control Panel'!M569-IF(ISNUMBER('1.1 Control Panel'!L569),'1.1 Control Panel'!L569,0))*('1.1 Control Panel'!M813)</f>
        <v>0</v>
      </c>
      <c r="N105" s="406">
        <f>'1.1 Control Panel'!N814*'1.1 Control Panel'!N930*('1.1 Control Panel'!N569-IF(ISNUMBER('1.1 Control Panel'!M569),'1.1 Control Panel'!M569,0))*('1.1 Control Panel'!N813)</f>
        <v>0</v>
      </c>
      <c r="O105" s="406">
        <f>'1.1 Control Panel'!O814*'1.1 Control Panel'!O930*('1.1 Control Panel'!O569-IF(ISNUMBER('1.1 Control Panel'!N569),'1.1 Control Panel'!N569,0))*('1.1 Control Panel'!O813)</f>
        <v>0</v>
      </c>
      <c r="P105" s="406">
        <f>'1.1 Control Panel'!P814*'1.1 Control Panel'!P930*('1.1 Control Panel'!P569-IF(ISNUMBER('1.1 Control Panel'!O569),'1.1 Control Panel'!O569,0))*('1.1 Control Panel'!P813)</f>
        <v>0</v>
      </c>
      <c r="Q105" s="406">
        <f>'1.1 Control Panel'!Q814*'1.1 Control Panel'!Q930*('1.1 Control Panel'!Q569-IF(ISNUMBER('1.1 Control Panel'!P569),'1.1 Control Panel'!P569,0))*('1.1 Control Panel'!Q813)</f>
        <v>24000</v>
      </c>
      <c r="R105" s="406">
        <f>'1.1 Control Panel'!R814*'1.1 Control Panel'!R930*('1.1 Control Panel'!R569-IF(ISNUMBER('1.1 Control Panel'!Q569),'1.1 Control Panel'!Q569,0))*('1.1 Control Panel'!R813)</f>
        <v>0</v>
      </c>
      <c r="S105" s="406">
        <f>'1.1 Control Panel'!S814*'1.1 Control Panel'!S930*('1.1 Control Panel'!S569-IF(ISNUMBER('1.1 Control Panel'!R569),'1.1 Control Panel'!R569,0))*('1.1 Control Panel'!S813)</f>
        <v>0</v>
      </c>
      <c r="T105" s="406">
        <f>'1.1 Control Panel'!T814*'1.1 Control Panel'!T930*('1.1 Control Panel'!T569-IF(ISNUMBER('1.1 Control Panel'!S569),'1.1 Control Panel'!S569,0))*('1.1 Control Panel'!T813)</f>
        <v>0</v>
      </c>
      <c r="U105" s="406">
        <f>'1.1 Control Panel'!U814*'1.1 Control Panel'!U930*('1.1 Control Panel'!U569-IF(ISNUMBER('1.1 Control Panel'!T569),'1.1 Control Panel'!T569,0))*('1.1 Control Panel'!U813)</f>
        <v>48000</v>
      </c>
      <c r="V105" s="406">
        <f>'1.1 Control Panel'!V814*'1.1 Control Panel'!V930*('1.1 Control Panel'!V569-IF(ISNUMBER('1.1 Control Panel'!U569),'1.1 Control Panel'!U569,0))*('1.1 Control Panel'!V813)</f>
        <v>0</v>
      </c>
      <c r="W105" s="406">
        <f>'1.1 Control Panel'!W814*'1.1 Control Panel'!W930*('1.1 Control Panel'!W569-IF(ISNUMBER('1.1 Control Panel'!V569),'1.1 Control Panel'!V569,0))*('1.1 Control Panel'!W813)</f>
        <v>0</v>
      </c>
      <c r="X105" s="406">
        <f>'1.1 Control Panel'!X814*'1.1 Control Panel'!X930*('1.1 Control Panel'!X569-IF(ISNUMBER('1.1 Control Panel'!W569),'1.1 Control Panel'!W569,0))*('1.1 Control Panel'!X813)</f>
        <v>0</v>
      </c>
      <c r="Y105" s="406">
        <f>'1.1 Control Panel'!Y814*'1.1 Control Panel'!Y930*('1.1 Control Panel'!Y569-IF(ISNUMBER('1.1 Control Panel'!X569),'1.1 Control Panel'!X569,0))*('1.1 Control Panel'!Y813)</f>
        <v>24000</v>
      </c>
      <c r="Z105" s="406">
        <f>'1.1 Control Panel'!Z814*'1.1 Control Panel'!Z930*('1.1 Control Panel'!Z569-IF(ISNUMBER('1.1 Control Panel'!Y569),'1.1 Control Panel'!Y569,0))*('1.1 Control Panel'!Z813)</f>
        <v>0</v>
      </c>
      <c r="AA105" s="406">
        <f>'1.1 Control Panel'!AA814*'1.1 Control Panel'!AA930*('1.1 Control Panel'!AA569-IF(ISNUMBER('1.1 Control Panel'!Z569),'1.1 Control Panel'!Z569,0))*('1.1 Control Panel'!AA813)</f>
        <v>0</v>
      </c>
      <c r="AB105" s="406">
        <f>'1.1 Control Panel'!AB814*'1.1 Control Panel'!AB930*('1.1 Control Panel'!AB569-IF(ISNUMBER('1.1 Control Panel'!AA569),'1.1 Control Panel'!AA569,0))*('1.1 Control Panel'!AB813)</f>
        <v>0</v>
      </c>
      <c r="AC105" s="406">
        <f>'1.1 Control Panel'!AC814*'1.1 Control Panel'!AC930*('1.1 Control Panel'!AC569-IF(ISNUMBER('1.1 Control Panel'!AB569),'1.1 Control Panel'!AB569,0))*('1.1 Control Panel'!AC813)</f>
        <v>72000</v>
      </c>
      <c r="AD105" s="406">
        <f>'1.1 Control Panel'!AD814*'1.1 Control Panel'!AD930*('1.1 Control Panel'!AD569-IF(ISNUMBER('1.1 Control Panel'!AC569),'1.1 Control Panel'!AC569,0))*('1.1 Control Panel'!AD813)</f>
        <v>0</v>
      </c>
      <c r="AE105" s="406">
        <f>'1.1 Control Panel'!AE814*'1.1 Control Panel'!AE930*('1.1 Control Panel'!AE569-IF(ISNUMBER('1.1 Control Panel'!AD569),'1.1 Control Panel'!AD569,0))*('1.1 Control Panel'!AE813)</f>
        <v>0</v>
      </c>
      <c r="AF105" s="406">
        <f>'1.1 Control Panel'!AF814*'1.1 Control Panel'!AF930*('1.1 Control Panel'!AF569-IF(ISNUMBER('1.1 Control Panel'!AE569),'1.1 Control Panel'!AE569,0))*('1.1 Control Panel'!AF813)</f>
        <v>0</v>
      </c>
      <c r="AG105" s="406">
        <f>'1.1 Control Panel'!AG814*'1.1 Control Panel'!AG930*('1.1 Control Panel'!AG569-IF(ISNUMBER('1.1 Control Panel'!AF569),'1.1 Control Panel'!AF569,0))*('1.1 Control Panel'!AG813)</f>
        <v>72000</v>
      </c>
      <c r="AH105" s="406">
        <f>'1.1 Control Panel'!AH814*'1.1 Control Panel'!AH930*('1.1 Control Panel'!AH569-IF(ISNUMBER('1.1 Control Panel'!AG569),'1.1 Control Panel'!AG569,0))*('1.1 Control Panel'!AH813)</f>
        <v>0</v>
      </c>
      <c r="AI105" s="406">
        <f>'1.1 Control Panel'!AI814*'1.1 Control Panel'!AI930*('1.1 Control Panel'!AI569-IF(ISNUMBER('1.1 Control Panel'!AH569),'1.1 Control Panel'!AH569,0))*('1.1 Control Panel'!AI813)</f>
        <v>0</v>
      </c>
      <c r="AJ105" s="406">
        <f>'1.1 Control Panel'!AJ814*'1.1 Control Panel'!AJ930*('1.1 Control Panel'!AJ569-IF(ISNUMBER('1.1 Control Panel'!AI569),'1.1 Control Panel'!AI569,0))*('1.1 Control Panel'!AJ813)</f>
        <v>0</v>
      </c>
      <c r="AK105" s="406">
        <f>'1.1 Control Panel'!AK814*'1.1 Control Panel'!AK930*('1.1 Control Panel'!AK569-IF(ISNUMBER('1.1 Control Panel'!AJ569),'1.1 Control Panel'!AJ569,0))*('1.1 Control Panel'!AK813)</f>
        <v>48000</v>
      </c>
      <c r="AL105" s="406">
        <f>'1.1 Control Panel'!AL814*'1.1 Control Panel'!AL930*('1.1 Control Panel'!AL569-IF(ISNUMBER('1.1 Control Panel'!AK569),'1.1 Control Panel'!AK569,0))*('1.1 Control Panel'!AL813)</f>
        <v>0</v>
      </c>
      <c r="AM105" s="406">
        <f>'1.1 Control Panel'!AM814*'1.1 Control Panel'!AM930*('1.1 Control Panel'!AM569-IF(ISNUMBER('1.1 Control Panel'!AL569),'1.1 Control Panel'!AL569,0))*('1.1 Control Panel'!AM813)</f>
        <v>0</v>
      </c>
      <c r="AN105" s="406">
        <f>'1.1 Control Panel'!AN814*'1.1 Control Panel'!AN930*('1.1 Control Panel'!AN569-IF(ISNUMBER('1.1 Control Panel'!AM569),'1.1 Control Panel'!AM569,0))*('1.1 Control Panel'!AN813)</f>
        <v>0</v>
      </c>
      <c r="AP105" s="21"/>
    </row>
    <row r="106" spans="3:42" ht="11.5" hidden="1" customHeight="1" x14ac:dyDescent="0.25">
      <c r="C106" s="21" t="s">
        <v>606</v>
      </c>
      <c r="D106" s="38" t="s">
        <v>46</v>
      </c>
      <c r="E106" s="406">
        <f>'1.1 Control Panel'!E814*'1.1 Control Panel'!E931*('1.1 Control Panel'!E600-IF(ISNUMBER('1.1 Control Panel'!D600),'1.1 Control Panel'!D600,0))*('1.1 Control Panel'!E813)</f>
        <v>48000</v>
      </c>
      <c r="F106" s="406">
        <f>'1.1 Control Panel'!F814*'1.1 Control Panel'!F931*('1.1 Control Panel'!F600-IF(ISNUMBER('1.1 Control Panel'!E600),'1.1 Control Panel'!E600,0))*('1.1 Control Panel'!F813)</f>
        <v>0</v>
      </c>
      <c r="G106" s="406">
        <f>'1.1 Control Panel'!G814*'1.1 Control Panel'!G931*('1.1 Control Panel'!G600-IF(ISNUMBER('1.1 Control Panel'!F600),'1.1 Control Panel'!F600,0))*('1.1 Control Panel'!G813)</f>
        <v>-24000</v>
      </c>
      <c r="H106" s="406">
        <f>'1.1 Control Panel'!H814*'1.1 Control Panel'!H931*('1.1 Control Panel'!H600-IF(ISNUMBER('1.1 Control Panel'!G600),'1.1 Control Panel'!G600,0))*('1.1 Control Panel'!H813)</f>
        <v>0</v>
      </c>
      <c r="I106" s="406">
        <f>'1.1 Control Panel'!I814*'1.1 Control Panel'!I931*('1.1 Control Panel'!I600-IF(ISNUMBER('1.1 Control Panel'!H600),'1.1 Control Panel'!H600,0))*('1.1 Control Panel'!I813)</f>
        <v>24000</v>
      </c>
      <c r="J106" s="406">
        <f>'1.1 Control Panel'!J814*'1.1 Control Panel'!J931*('1.1 Control Panel'!J600-IF(ISNUMBER('1.1 Control Panel'!I600),'1.1 Control Panel'!I600,0))*('1.1 Control Panel'!J813)</f>
        <v>0</v>
      </c>
      <c r="K106" s="406">
        <f>'1.1 Control Panel'!K814*'1.1 Control Panel'!K931*('1.1 Control Panel'!K600-IF(ISNUMBER('1.1 Control Panel'!J600),'1.1 Control Panel'!J600,0))*('1.1 Control Panel'!K813)</f>
        <v>0</v>
      </c>
      <c r="L106" s="406">
        <f>'1.1 Control Panel'!L814*'1.1 Control Panel'!L931*('1.1 Control Panel'!L600-IF(ISNUMBER('1.1 Control Panel'!K600),'1.1 Control Panel'!K600,0))*('1.1 Control Panel'!L813)</f>
        <v>0</v>
      </c>
      <c r="M106" s="406">
        <f>'1.1 Control Panel'!M814*'1.1 Control Panel'!M931*('1.1 Control Panel'!M600-IF(ISNUMBER('1.1 Control Panel'!L600),'1.1 Control Panel'!L600,0))*('1.1 Control Panel'!M813)</f>
        <v>48000</v>
      </c>
      <c r="N106" s="406">
        <f>'1.1 Control Panel'!N814*'1.1 Control Panel'!N931*('1.1 Control Panel'!N600-IF(ISNUMBER('1.1 Control Panel'!M600),'1.1 Control Panel'!M600,0))*('1.1 Control Panel'!N813)</f>
        <v>24000</v>
      </c>
      <c r="O106" s="406">
        <f>'1.1 Control Panel'!O814*'1.1 Control Panel'!O931*('1.1 Control Panel'!O600-IF(ISNUMBER('1.1 Control Panel'!N600),'1.1 Control Panel'!N600,0))*('1.1 Control Panel'!O813)</f>
        <v>24000</v>
      </c>
      <c r="P106" s="406">
        <f>'1.1 Control Panel'!P814*'1.1 Control Panel'!P931*('1.1 Control Panel'!P600-IF(ISNUMBER('1.1 Control Panel'!O600),'1.1 Control Panel'!O600,0))*('1.1 Control Panel'!P813)</f>
        <v>24000</v>
      </c>
      <c r="Q106" s="406">
        <f>'1.1 Control Panel'!Q814*'1.1 Control Panel'!Q931*('1.1 Control Panel'!Q600-IF(ISNUMBER('1.1 Control Panel'!P600),'1.1 Control Panel'!P600,0))*('1.1 Control Panel'!Q813)</f>
        <v>24000</v>
      </c>
      <c r="R106" s="406">
        <f>'1.1 Control Panel'!R814*'1.1 Control Panel'!R931*('1.1 Control Panel'!R600-IF(ISNUMBER('1.1 Control Panel'!Q600),'1.1 Control Panel'!Q600,0))*('1.1 Control Panel'!R813)</f>
        <v>0</v>
      </c>
      <c r="S106" s="406">
        <f>'1.1 Control Panel'!S814*'1.1 Control Panel'!S931*('1.1 Control Panel'!S600-IF(ISNUMBER('1.1 Control Panel'!R600),'1.1 Control Panel'!R600,0))*('1.1 Control Panel'!S813)</f>
        <v>0</v>
      </c>
      <c r="T106" s="406">
        <f>'1.1 Control Panel'!T814*'1.1 Control Panel'!T931*('1.1 Control Panel'!T600-IF(ISNUMBER('1.1 Control Panel'!S600),'1.1 Control Panel'!S600,0))*('1.1 Control Panel'!T813)</f>
        <v>0</v>
      </c>
      <c r="U106" s="406">
        <f>'1.1 Control Panel'!U814*'1.1 Control Panel'!U931*('1.1 Control Panel'!U600-IF(ISNUMBER('1.1 Control Panel'!T600),'1.1 Control Panel'!T600,0))*('1.1 Control Panel'!U813)</f>
        <v>48000</v>
      </c>
      <c r="V106" s="406">
        <f>'1.1 Control Panel'!V814*'1.1 Control Panel'!V931*('1.1 Control Panel'!V600-IF(ISNUMBER('1.1 Control Panel'!U600),'1.1 Control Panel'!U600,0))*('1.1 Control Panel'!V813)</f>
        <v>0</v>
      </c>
      <c r="W106" s="406">
        <f>'1.1 Control Panel'!W814*'1.1 Control Panel'!W931*('1.1 Control Panel'!W600-IF(ISNUMBER('1.1 Control Panel'!V600),'1.1 Control Panel'!V600,0))*('1.1 Control Panel'!W813)</f>
        <v>0</v>
      </c>
      <c r="X106" s="406">
        <f>'1.1 Control Panel'!X814*'1.1 Control Panel'!X931*('1.1 Control Panel'!X600-IF(ISNUMBER('1.1 Control Panel'!W600),'1.1 Control Panel'!W600,0))*('1.1 Control Panel'!X813)</f>
        <v>0</v>
      </c>
      <c r="Y106" s="406">
        <f>'1.1 Control Panel'!Y814*'1.1 Control Panel'!Y931*('1.1 Control Panel'!Y600-IF(ISNUMBER('1.1 Control Panel'!X600),'1.1 Control Panel'!X600,0))*('1.1 Control Panel'!Y813)</f>
        <v>24000</v>
      </c>
      <c r="Z106" s="406">
        <f>'1.1 Control Panel'!Z814*'1.1 Control Panel'!Z931*('1.1 Control Panel'!Z600-IF(ISNUMBER('1.1 Control Panel'!Y600),'1.1 Control Panel'!Y600,0))*('1.1 Control Panel'!Z813)</f>
        <v>0</v>
      </c>
      <c r="AA106" s="406">
        <f>'1.1 Control Panel'!AA814*'1.1 Control Panel'!AA931*('1.1 Control Panel'!AA600-IF(ISNUMBER('1.1 Control Panel'!Z600),'1.1 Control Panel'!Z600,0))*('1.1 Control Panel'!AA813)</f>
        <v>0</v>
      </c>
      <c r="AB106" s="406">
        <f>'1.1 Control Panel'!AB814*'1.1 Control Panel'!AB931*('1.1 Control Panel'!AB600-IF(ISNUMBER('1.1 Control Panel'!AA600),'1.1 Control Panel'!AA600,0))*('1.1 Control Panel'!AB813)</f>
        <v>0</v>
      </c>
      <c r="AC106" s="406">
        <f>'1.1 Control Panel'!AC814*'1.1 Control Panel'!AC931*('1.1 Control Panel'!AC600-IF(ISNUMBER('1.1 Control Panel'!AB600),'1.1 Control Panel'!AB600,0))*('1.1 Control Panel'!AC813)</f>
        <v>120000</v>
      </c>
      <c r="AD106" s="406">
        <f>'1.1 Control Panel'!AD814*'1.1 Control Panel'!AD931*('1.1 Control Panel'!AD600-IF(ISNUMBER('1.1 Control Panel'!AC600),'1.1 Control Panel'!AC600,0))*('1.1 Control Panel'!AD813)</f>
        <v>0</v>
      </c>
      <c r="AE106" s="406">
        <f>'1.1 Control Panel'!AE814*'1.1 Control Panel'!AE931*('1.1 Control Panel'!AE600-IF(ISNUMBER('1.1 Control Panel'!AD600),'1.1 Control Panel'!AD600,0))*('1.1 Control Panel'!AE813)</f>
        <v>0</v>
      </c>
      <c r="AF106" s="406">
        <f>'1.1 Control Panel'!AF814*'1.1 Control Panel'!AF931*('1.1 Control Panel'!AF600-IF(ISNUMBER('1.1 Control Panel'!AE600),'1.1 Control Panel'!AE600,0))*('1.1 Control Panel'!AF813)</f>
        <v>0</v>
      </c>
      <c r="AG106" s="406">
        <f>'1.1 Control Panel'!AG814*'1.1 Control Panel'!AG931*('1.1 Control Panel'!AG600-IF(ISNUMBER('1.1 Control Panel'!AF600),'1.1 Control Panel'!AF600,0))*('1.1 Control Panel'!AG813)</f>
        <v>120000</v>
      </c>
      <c r="AH106" s="406">
        <f>'1.1 Control Panel'!AH814*'1.1 Control Panel'!AH931*('1.1 Control Panel'!AH600-IF(ISNUMBER('1.1 Control Panel'!AG600),'1.1 Control Panel'!AG600,0))*('1.1 Control Panel'!AH813)</f>
        <v>0</v>
      </c>
      <c r="AI106" s="406">
        <f>'1.1 Control Panel'!AI814*'1.1 Control Panel'!AI931*('1.1 Control Panel'!AI600-IF(ISNUMBER('1.1 Control Panel'!AH600),'1.1 Control Panel'!AH600,0))*('1.1 Control Panel'!AI813)</f>
        <v>0</v>
      </c>
      <c r="AJ106" s="406">
        <f>'1.1 Control Panel'!AJ814*'1.1 Control Panel'!AJ931*('1.1 Control Panel'!AJ600-IF(ISNUMBER('1.1 Control Panel'!AI600),'1.1 Control Panel'!AI600,0))*('1.1 Control Panel'!AJ813)</f>
        <v>0</v>
      </c>
      <c r="AK106" s="406">
        <f>'1.1 Control Panel'!AK814*'1.1 Control Panel'!AK931*('1.1 Control Panel'!AK600-IF(ISNUMBER('1.1 Control Panel'!AJ600),'1.1 Control Panel'!AJ600,0))*('1.1 Control Panel'!AK813)</f>
        <v>120000</v>
      </c>
      <c r="AL106" s="406">
        <f>'1.1 Control Panel'!AL814*'1.1 Control Panel'!AL931*('1.1 Control Panel'!AL600-IF(ISNUMBER('1.1 Control Panel'!AK600),'1.1 Control Panel'!AK600,0))*('1.1 Control Panel'!AL813)</f>
        <v>0</v>
      </c>
      <c r="AM106" s="406">
        <f>'1.1 Control Panel'!AM814*'1.1 Control Panel'!AM931*('1.1 Control Panel'!AM600-IF(ISNUMBER('1.1 Control Panel'!AL600),'1.1 Control Panel'!AL600,0))*('1.1 Control Panel'!AM813)</f>
        <v>0</v>
      </c>
      <c r="AN106" s="406">
        <f>'1.1 Control Panel'!AN814*'1.1 Control Panel'!AN931*('1.1 Control Panel'!AN600-IF(ISNUMBER('1.1 Control Panel'!AM600),'1.1 Control Panel'!AM600,0))*('1.1 Control Panel'!AN813)</f>
        <v>0</v>
      </c>
      <c r="AP106" s="21"/>
    </row>
    <row r="107" spans="3:42" ht="11.5" hidden="1" customHeight="1" x14ac:dyDescent="0.25">
      <c r="C107" s="21" t="s">
        <v>617</v>
      </c>
      <c r="D107" s="38" t="s">
        <v>46</v>
      </c>
      <c r="E107" s="406">
        <f>'1.1 Control Panel'!E814*'1.1 Control Panel'!E932*('1.1 Control Panel'!E631-IF(ISNUMBER('1.1 Control Panel'!D631),'1.1 Control Panel'!D631,0))*('1.1 Control Panel'!E813)</f>
        <v>0</v>
      </c>
      <c r="F107" s="406">
        <f>'1.1 Control Panel'!F814*'1.1 Control Panel'!F932*('1.1 Control Panel'!F631-IF(ISNUMBER('1.1 Control Panel'!E631),'1.1 Control Panel'!E631,0))*('1.1 Control Panel'!F813)</f>
        <v>0</v>
      </c>
      <c r="G107" s="406">
        <f>'1.1 Control Panel'!G814*'1.1 Control Panel'!G932*('1.1 Control Panel'!G631-IF(ISNUMBER('1.1 Control Panel'!F631),'1.1 Control Panel'!F631,0))*('1.1 Control Panel'!G813)</f>
        <v>0</v>
      </c>
      <c r="H107" s="406">
        <f>'1.1 Control Panel'!H814*'1.1 Control Panel'!H932*('1.1 Control Panel'!H631-IF(ISNUMBER('1.1 Control Panel'!G631),'1.1 Control Panel'!G631,0))*('1.1 Control Panel'!H813)</f>
        <v>0</v>
      </c>
      <c r="I107" s="406">
        <f>'1.1 Control Panel'!I814*'1.1 Control Panel'!I932*('1.1 Control Panel'!I631-IF(ISNUMBER('1.1 Control Panel'!H631),'1.1 Control Panel'!H631,0))*('1.1 Control Panel'!I813)</f>
        <v>24000</v>
      </c>
      <c r="J107" s="406">
        <f>'1.1 Control Panel'!J814*'1.1 Control Panel'!J932*('1.1 Control Panel'!J631-IF(ISNUMBER('1.1 Control Panel'!I631),'1.1 Control Panel'!I631,0))*('1.1 Control Panel'!J813)</f>
        <v>0</v>
      </c>
      <c r="K107" s="406">
        <f>'1.1 Control Panel'!K814*'1.1 Control Panel'!K932*('1.1 Control Panel'!K631-IF(ISNUMBER('1.1 Control Panel'!J631),'1.1 Control Panel'!J631,0))*('1.1 Control Panel'!K813)</f>
        <v>0</v>
      </c>
      <c r="L107" s="406">
        <f>'1.1 Control Panel'!L814*'1.1 Control Panel'!L932*('1.1 Control Panel'!L631-IF(ISNUMBER('1.1 Control Panel'!K631),'1.1 Control Panel'!K631,0))*('1.1 Control Panel'!L813)</f>
        <v>0</v>
      </c>
      <c r="M107" s="406">
        <f>'1.1 Control Panel'!M814*'1.1 Control Panel'!M932*('1.1 Control Panel'!M631-IF(ISNUMBER('1.1 Control Panel'!L631),'1.1 Control Panel'!L631,0))*('1.1 Control Panel'!M813)</f>
        <v>0</v>
      </c>
      <c r="N107" s="406">
        <f>'1.1 Control Panel'!N814*'1.1 Control Panel'!N932*('1.1 Control Panel'!N631-IF(ISNUMBER('1.1 Control Panel'!M631),'1.1 Control Panel'!M631,0))*('1.1 Control Panel'!N813)</f>
        <v>0</v>
      </c>
      <c r="O107" s="406">
        <f>'1.1 Control Panel'!O814*'1.1 Control Panel'!O932*('1.1 Control Panel'!O631-IF(ISNUMBER('1.1 Control Panel'!N631),'1.1 Control Panel'!N631,0))*('1.1 Control Panel'!O813)</f>
        <v>0</v>
      </c>
      <c r="P107" s="406">
        <f>'1.1 Control Panel'!P814*'1.1 Control Panel'!P932*('1.1 Control Panel'!P631-IF(ISNUMBER('1.1 Control Panel'!O631),'1.1 Control Panel'!O631,0))*('1.1 Control Panel'!P813)</f>
        <v>0</v>
      </c>
      <c r="Q107" s="406">
        <f>'1.1 Control Panel'!Q814*'1.1 Control Panel'!Q932*('1.1 Control Panel'!Q631-IF(ISNUMBER('1.1 Control Panel'!P631),'1.1 Control Panel'!P631,0))*('1.1 Control Panel'!Q813)</f>
        <v>24000</v>
      </c>
      <c r="R107" s="406">
        <f>'1.1 Control Panel'!R814*'1.1 Control Panel'!R932*('1.1 Control Panel'!R631-IF(ISNUMBER('1.1 Control Panel'!Q631),'1.1 Control Panel'!Q631,0))*('1.1 Control Panel'!R813)</f>
        <v>0</v>
      </c>
      <c r="S107" s="406">
        <f>'1.1 Control Panel'!S814*'1.1 Control Panel'!S932*('1.1 Control Panel'!S631-IF(ISNUMBER('1.1 Control Panel'!R631),'1.1 Control Panel'!R631,0))*('1.1 Control Panel'!S813)</f>
        <v>0</v>
      </c>
      <c r="T107" s="406">
        <f>'1.1 Control Panel'!T814*'1.1 Control Panel'!T932*('1.1 Control Panel'!T631-IF(ISNUMBER('1.1 Control Panel'!S631),'1.1 Control Panel'!S631,0))*('1.1 Control Panel'!T813)</f>
        <v>0</v>
      </c>
      <c r="U107" s="406">
        <f>'1.1 Control Panel'!U814*'1.1 Control Panel'!U932*('1.1 Control Panel'!U631-IF(ISNUMBER('1.1 Control Panel'!T631),'1.1 Control Panel'!T631,0))*('1.1 Control Panel'!U813)</f>
        <v>24000</v>
      </c>
      <c r="V107" s="406">
        <f>'1.1 Control Panel'!V814*'1.1 Control Panel'!V932*('1.1 Control Panel'!V631-IF(ISNUMBER('1.1 Control Panel'!U631),'1.1 Control Panel'!U631,0))*('1.1 Control Panel'!V813)</f>
        <v>0</v>
      </c>
      <c r="W107" s="406">
        <f>'1.1 Control Panel'!W814*'1.1 Control Panel'!W932*('1.1 Control Panel'!W631-IF(ISNUMBER('1.1 Control Panel'!V631),'1.1 Control Panel'!V631,0))*('1.1 Control Panel'!W813)</f>
        <v>0</v>
      </c>
      <c r="X107" s="406">
        <f>'1.1 Control Panel'!X814*'1.1 Control Panel'!X932*('1.1 Control Panel'!X631-IF(ISNUMBER('1.1 Control Panel'!W631),'1.1 Control Panel'!W631,0))*('1.1 Control Panel'!X813)</f>
        <v>0</v>
      </c>
      <c r="Y107" s="406">
        <f>'1.1 Control Panel'!Y814*'1.1 Control Panel'!Y932*('1.1 Control Panel'!Y631-IF(ISNUMBER('1.1 Control Panel'!X631),'1.1 Control Panel'!X631,0))*('1.1 Control Panel'!Y813)</f>
        <v>0</v>
      </c>
      <c r="Z107" s="406">
        <f>'1.1 Control Panel'!Z814*'1.1 Control Panel'!Z932*('1.1 Control Panel'!Z631-IF(ISNUMBER('1.1 Control Panel'!Y631),'1.1 Control Panel'!Y631,0))*('1.1 Control Panel'!Z813)</f>
        <v>0</v>
      </c>
      <c r="AA107" s="406">
        <f>'1.1 Control Panel'!AA814*'1.1 Control Panel'!AA932*('1.1 Control Panel'!AA631-IF(ISNUMBER('1.1 Control Panel'!Z631),'1.1 Control Panel'!Z631,0))*('1.1 Control Panel'!AA813)</f>
        <v>0</v>
      </c>
      <c r="AB107" s="406">
        <f>'1.1 Control Panel'!AB814*'1.1 Control Panel'!AB932*('1.1 Control Panel'!AB631-IF(ISNUMBER('1.1 Control Panel'!AA631),'1.1 Control Panel'!AA631,0))*('1.1 Control Panel'!AB813)</f>
        <v>0</v>
      </c>
      <c r="AC107" s="406">
        <f>'1.1 Control Panel'!AC814*'1.1 Control Panel'!AC932*('1.1 Control Panel'!AC631-IF(ISNUMBER('1.1 Control Panel'!AB631),'1.1 Control Panel'!AB631,0))*('1.1 Control Panel'!AC813)</f>
        <v>48000</v>
      </c>
      <c r="AD107" s="406">
        <f>'1.1 Control Panel'!AD814*'1.1 Control Panel'!AD932*('1.1 Control Panel'!AD631-IF(ISNUMBER('1.1 Control Panel'!AC631),'1.1 Control Panel'!AC631,0))*('1.1 Control Panel'!AD813)</f>
        <v>0</v>
      </c>
      <c r="AE107" s="406">
        <f>'1.1 Control Panel'!AE814*'1.1 Control Panel'!AE932*('1.1 Control Panel'!AE631-IF(ISNUMBER('1.1 Control Panel'!AD631),'1.1 Control Panel'!AD631,0))*('1.1 Control Panel'!AE813)</f>
        <v>0</v>
      </c>
      <c r="AF107" s="406">
        <f>'1.1 Control Panel'!AF814*'1.1 Control Panel'!AF932*('1.1 Control Panel'!AF631-IF(ISNUMBER('1.1 Control Panel'!AE631),'1.1 Control Panel'!AE631,0))*('1.1 Control Panel'!AF813)</f>
        <v>0</v>
      </c>
      <c r="AG107" s="406">
        <f>'1.1 Control Panel'!AG814*'1.1 Control Panel'!AG932*('1.1 Control Panel'!AG631-IF(ISNUMBER('1.1 Control Panel'!AF631),'1.1 Control Panel'!AF631,0))*('1.1 Control Panel'!AG813)</f>
        <v>72000</v>
      </c>
      <c r="AH107" s="406">
        <f>'1.1 Control Panel'!AH814*'1.1 Control Panel'!AH932*('1.1 Control Panel'!AH631-IF(ISNUMBER('1.1 Control Panel'!AG631),'1.1 Control Panel'!AG631,0))*('1.1 Control Panel'!AH813)</f>
        <v>0</v>
      </c>
      <c r="AI107" s="406">
        <f>'1.1 Control Panel'!AI814*'1.1 Control Panel'!AI932*('1.1 Control Panel'!AI631-IF(ISNUMBER('1.1 Control Panel'!AH631),'1.1 Control Panel'!AH631,0))*('1.1 Control Panel'!AI813)</f>
        <v>0</v>
      </c>
      <c r="AJ107" s="406">
        <f>'1.1 Control Panel'!AJ814*'1.1 Control Panel'!AJ932*('1.1 Control Panel'!AJ631-IF(ISNUMBER('1.1 Control Panel'!AI631),'1.1 Control Panel'!AI631,0))*('1.1 Control Panel'!AJ813)</f>
        <v>0</v>
      </c>
      <c r="AK107" s="406">
        <f>'1.1 Control Panel'!AK814*'1.1 Control Panel'!AK932*('1.1 Control Panel'!AK631-IF(ISNUMBER('1.1 Control Panel'!AJ631),'1.1 Control Panel'!AJ631,0))*('1.1 Control Panel'!AK813)</f>
        <v>48000</v>
      </c>
      <c r="AL107" s="406">
        <f>'1.1 Control Panel'!AL814*'1.1 Control Panel'!AL932*('1.1 Control Panel'!AL631-IF(ISNUMBER('1.1 Control Panel'!AK631),'1.1 Control Panel'!AK631,0))*('1.1 Control Panel'!AL813)</f>
        <v>0</v>
      </c>
      <c r="AM107" s="406">
        <f>'1.1 Control Panel'!AM814*'1.1 Control Panel'!AM932*('1.1 Control Panel'!AM631-IF(ISNUMBER('1.1 Control Panel'!AL631),'1.1 Control Panel'!AL631,0))*('1.1 Control Panel'!AM813)</f>
        <v>0</v>
      </c>
      <c r="AN107" s="406">
        <f>'1.1 Control Panel'!AN814*'1.1 Control Panel'!AN932*('1.1 Control Panel'!AN631-IF(ISNUMBER('1.1 Control Panel'!AM631),'1.1 Control Panel'!AM631,0))*('1.1 Control Panel'!AN813)</f>
        <v>0</v>
      </c>
      <c r="AP107" s="21"/>
    </row>
    <row r="108" spans="3:42" ht="11.5" hidden="1" customHeight="1" x14ac:dyDescent="0.25">
      <c r="C108" s="27" t="s">
        <v>609</v>
      </c>
      <c r="D108" s="40" t="s">
        <v>46</v>
      </c>
      <c r="E108" s="480">
        <f>'1.1 Control Panel'!E814*'1.1 Control Panel'!E933*('1.1 Control Panel'!E662-IF(ISNUMBER('1.1 Control Panel'!D662),'1.1 Control Panel'!D662,0))*('1.1 Control Panel'!E813)</f>
        <v>0</v>
      </c>
      <c r="F108" s="480">
        <f>'1.1 Control Panel'!F814*'1.1 Control Panel'!F933*('1.1 Control Panel'!F662-IF(ISNUMBER('1.1 Control Panel'!E662),'1.1 Control Panel'!E662,0))*('1.1 Control Panel'!F813)</f>
        <v>0</v>
      </c>
      <c r="G108" s="480">
        <f>'1.1 Control Panel'!G814*'1.1 Control Panel'!G933*('1.1 Control Panel'!G662-IF(ISNUMBER('1.1 Control Panel'!F662),'1.1 Control Panel'!F662,0))*('1.1 Control Panel'!G813)</f>
        <v>0</v>
      </c>
      <c r="H108" s="480">
        <f>'1.1 Control Panel'!H814*'1.1 Control Panel'!H933*('1.1 Control Panel'!H662-IF(ISNUMBER('1.1 Control Panel'!G662),'1.1 Control Panel'!G662,0))*('1.1 Control Panel'!H813)</f>
        <v>0</v>
      </c>
      <c r="I108" s="480">
        <f>'1.1 Control Panel'!I814*'1.1 Control Panel'!I933*('1.1 Control Panel'!I662-IF(ISNUMBER('1.1 Control Panel'!H662),'1.1 Control Panel'!H662,0))*('1.1 Control Panel'!I813)</f>
        <v>0</v>
      </c>
      <c r="J108" s="480">
        <f>'1.1 Control Panel'!J814*'1.1 Control Panel'!J933*('1.1 Control Panel'!J662-IF(ISNUMBER('1.1 Control Panel'!I662),'1.1 Control Panel'!I662,0))*('1.1 Control Panel'!J813)</f>
        <v>0</v>
      </c>
      <c r="K108" s="480">
        <f>'1.1 Control Panel'!K814*'1.1 Control Panel'!K933*('1.1 Control Panel'!K662-IF(ISNUMBER('1.1 Control Panel'!J662),'1.1 Control Panel'!J662,0))*('1.1 Control Panel'!K813)</f>
        <v>0</v>
      </c>
      <c r="L108" s="480">
        <f>'1.1 Control Panel'!L814*'1.1 Control Panel'!L933*('1.1 Control Panel'!L662-IF(ISNUMBER('1.1 Control Panel'!K662),'1.1 Control Panel'!K662,0))*('1.1 Control Panel'!L813)</f>
        <v>0</v>
      </c>
      <c r="M108" s="480">
        <f>'1.1 Control Panel'!M814*'1.1 Control Panel'!M933*('1.1 Control Panel'!M662-IF(ISNUMBER('1.1 Control Panel'!L662),'1.1 Control Panel'!L662,0))*('1.1 Control Panel'!M813)</f>
        <v>0</v>
      </c>
      <c r="N108" s="480">
        <f>'1.1 Control Panel'!N814*'1.1 Control Panel'!N933*('1.1 Control Panel'!N662-IF(ISNUMBER('1.1 Control Panel'!M662),'1.1 Control Panel'!M662,0))*('1.1 Control Panel'!N813)</f>
        <v>0</v>
      </c>
      <c r="O108" s="480">
        <f>'1.1 Control Panel'!O814*'1.1 Control Panel'!O933*('1.1 Control Panel'!O662-IF(ISNUMBER('1.1 Control Panel'!N662),'1.1 Control Panel'!N662,0))*('1.1 Control Panel'!O813)</f>
        <v>0</v>
      </c>
      <c r="P108" s="480">
        <f>'1.1 Control Panel'!P814*'1.1 Control Panel'!P933*('1.1 Control Panel'!P662-IF(ISNUMBER('1.1 Control Panel'!O662),'1.1 Control Panel'!O662,0))*('1.1 Control Panel'!P813)</f>
        <v>0</v>
      </c>
      <c r="Q108" s="480">
        <f>'1.1 Control Panel'!Q814*'1.1 Control Panel'!Q933*('1.1 Control Panel'!Q662-IF(ISNUMBER('1.1 Control Panel'!P662),'1.1 Control Panel'!P662,0))*('1.1 Control Panel'!Q813)</f>
        <v>24000</v>
      </c>
      <c r="R108" s="480">
        <f>'1.1 Control Panel'!R814*'1.1 Control Panel'!R933*('1.1 Control Panel'!R662-IF(ISNUMBER('1.1 Control Panel'!Q662),'1.1 Control Panel'!Q662,0))*('1.1 Control Panel'!R813)</f>
        <v>0</v>
      </c>
      <c r="S108" s="480">
        <f>'1.1 Control Panel'!S814*'1.1 Control Panel'!S933*('1.1 Control Panel'!S662-IF(ISNUMBER('1.1 Control Panel'!R662),'1.1 Control Panel'!R662,0))*('1.1 Control Panel'!S813)</f>
        <v>0</v>
      </c>
      <c r="T108" s="480">
        <f>'1.1 Control Panel'!T814*'1.1 Control Panel'!T933*('1.1 Control Panel'!T662-IF(ISNUMBER('1.1 Control Panel'!S662),'1.1 Control Panel'!S662,0))*('1.1 Control Panel'!T813)</f>
        <v>0</v>
      </c>
      <c r="U108" s="480">
        <f>'1.1 Control Panel'!U814*'1.1 Control Panel'!U933*('1.1 Control Panel'!U662-IF(ISNUMBER('1.1 Control Panel'!T662),'1.1 Control Panel'!T662,0))*('1.1 Control Panel'!U813)</f>
        <v>24000</v>
      </c>
      <c r="V108" s="480">
        <f>'1.1 Control Panel'!V814*'1.1 Control Panel'!V933*('1.1 Control Panel'!V662-IF(ISNUMBER('1.1 Control Panel'!U662),'1.1 Control Panel'!U662,0))*('1.1 Control Panel'!V813)</f>
        <v>0</v>
      </c>
      <c r="W108" s="480">
        <f>'1.1 Control Panel'!W814*'1.1 Control Panel'!W933*('1.1 Control Panel'!W662-IF(ISNUMBER('1.1 Control Panel'!V662),'1.1 Control Panel'!V662,0))*('1.1 Control Panel'!W813)</f>
        <v>0</v>
      </c>
      <c r="X108" s="480">
        <f>'1.1 Control Panel'!X814*'1.1 Control Panel'!X933*('1.1 Control Panel'!X662-IF(ISNUMBER('1.1 Control Panel'!W662),'1.1 Control Panel'!W662,0))*('1.1 Control Panel'!X813)</f>
        <v>0</v>
      </c>
      <c r="Y108" s="480">
        <f>'1.1 Control Panel'!Y814*'1.1 Control Panel'!Y933*('1.1 Control Panel'!Y662-IF(ISNUMBER('1.1 Control Panel'!X662),'1.1 Control Panel'!X662,0))*('1.1 Control Panel'!Y813)</f>
        <v>0</v>
      </c>
      <c r="Z108" s="480">
        <f>'1.1 Control Panel'!Z814*'1.1 Control Panel'!Z933*('1.1 Control Panel'!Z662-IF(ISNUMBER('1.1 Control Panel'!Y662),'1.1 Control Panel'!Y662,0))*('1.1 Control Panel'!Z813)</f>
        <v>0</v>
      </c>
      <c r="AA108" s="480">
        <f>'1.1 Control Panel'!AA814*'1.1 Control Panel'!AA933*('1.1 Control Panel'!AA662-IF(ISNUMBER('1.1 Control Panel'!Z662),'1.1 Control Panel'!Z662,0))*('1.1 Control Panel'!AA813)</f>
        <v>0</v>
      </c>
      <c r="AB108" s="480">
        <f>'1.1 Control Panel'!AB814*'1.1 Control Panel'!AB933*('1.1 Control Panel'!AB662-IF(ISNUMBER('1.1 Control Panel'!AA662),'1.1 Control Panel'!AA662,0))*('1.1 Control Panel'!AB813)</f>
        <v>0</v>
      </c>
      <c r="AC108" s="480">
        <f>'1.1 Control Panel'!AC814*'1.1 Control Panel'!AC933*('1.1 Control Panel'!AC662-IF(ISNUMBER('1.1 Control Panel'!AB662),'1.1 Control Panel'!AB662,0))*('1.1 Control Panel'!AC813)</f>
        <v>48000</v>
      </c>
      <c r="AD108" s="480">
        <f>'1.1 Control Panel'!AD814*'1.1 Control Panel'!AD933*('1.1 Control Panel'!AD662-IF(ISNUMBER('1.1 Control Panel'!AC662),'1.1 Control Panel'!AC662,0))*('1.1 Control Panel'!AD813)</f>
        <v>0</v>
      </c>
      <c r="AE108" s="480">
        <f>'1.1 Control Panel'!AE814*'1.1 Control Panel'!AE933*('1.1 Control Panel'!AE662-IF(ISNUMBER('1.1 Control Panel'!AD662),'1.1 Control Panel'!AD662,0))*('1.1 Control Panel'!AE813)</f>
        <v>0</v>
      </c>
      <c r="AF108" s="480">
        <f>'1.1 Control Panel'!AF814*'1.1 Control Panel'!AF933*('1.1 Control Panel'!AF662-IF(ISNUMBER('1.1 Control Panel'!AE662),'1.1 Control Panel'!AE662,0))*('1.1 Control Panel'!AF813)</f>
        <v>0</v>
      </c>
      <c r="AG108" s="480">
        <f>'1.1 Control Panel'!AG814*'1.1 Control Panel'!AG933*('1.1 Control Panel'!AG662-IF(ISNUMBER('1.1 Control Panel'!AF662),'1.1 Control Panel'!AF662,0))*('1.1 Control Panel'!AG813)</f>
        <v>48000</v>
      </c>
      <c r="AH108" s="480">
        <f>'1.1 Control Panel'!AH814*'1.1 Control Panel'!AH933*('1.1 Control Panel'!AH662-IF(ISNUMBER('1.1 Control Panel'!AG662),'1.1 Control Panel'!AG662,0))*('1.1 Control Panel'!AH813)</f>
        <v>0</v>
      </c>
      <c r="AI108" s="480">
        <f>'1.1 Control Panel'!AI814*'1.1 Control Panel'!AI933*('1.1 Control Panel'!AI662-IF(ISNUMBER('1.1 Control Panel'!AH662),'1.1 Control Panel'!AH662,0))*('1.1 Control Panel'!AI813)</f>
        <v>0</v>
      </c>
      <c r="AJ108" s="480">
        <f>'1.1 Control Panel'!AJ814*'1.1 Control Panel'!AJ933*('1.1 Control Panel'!AJ662-IF(ISNUMBER('1.1 Control Panel'!AI662),'1.1 Control Panel'!AI662,0))*('1.1 Control Panel'!AJ813)</f>
        <v>0</v>
      </c>
      <c r="AK108" s="480">
        <f>'1.1 Control Panel'!AK814*'1.1 Control Panel'!AK933*('1.1 Control Panel'!AK662-IF(ISNUMBER('1.1 Control Panel'!AJ662),'1.1 Control Panel'!AJ662,0))*('1.1 Control Panel'!AK813)</f>
        <v>24000</v>
      </c>
      <c r="AL108" s="480">
        <f>'1.1 Control Panel'!AL814*'1.1 Control Panel'!AL933*('1.1 Control Panel'!AL662-IF(ISNUMBER('1.1 Control Panel'!AK662),'1.1 Control Panel'!AK662,0))*('1.1 Control Panel'!AL813)</f>
        <v>0</v>
      </c>
      <c r="AM108" s="480">
        <f>'1.1 Control Panel'!AM814*'1.1 Control Panel'!AM933*('1.1 Control Panel'!AM662-IF(ISNUMBER('1.1 Control Panel'!AL662),'1.1 Control Panel'!AL662,0))*('1.1 Control Panel'!AM813)</f>
        <v>0</v>
      </c>
      <c r="AN108" s="480">
        <f>'1.1 Control Panel'!AN814*'1.1 Control Panel'!AN933*('1.1 Control Panel'!AN662-IF(ISNUMBER('1.1 Control Panel'!AM662),'1.1 Control Panel'!AM662,0))*('1.1 Control Panel'!AN813)</f>
        <v>0</v>
      </c>
      <c r="AP108" s="2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07B43-191E-4BBC-AE4B-9F13C80E7892}">
  <dimension ref="A1:AQ59"/>
  <sheetViews>
    <sheetView showGridLines="0" zoomScale="70" zoomScaleNormal="70" workbookViewId="0"/>
  </sheetViews>
  <sheetFormatPr defaultColWidth="0" defaultRowHeight="11.5" customHeight="1" zeroHeight="1" x14ac:dyDescent="0.25"/>
  <cols>
    <col min="1" max="2" width="3.6328125" style="3" customWidth="1"/>
    <col min="3" max="3" width="50.6328125" style="3" customWidth="1"/>
    <col min="4" max="4" width="8.7265625" style="3" customWidth="1"/>
    <col min="5" max="40" width="12.6328125" style="136" customWidth="1"/>
    <col min="41" max="41" width="0.453125" style="3" customWidth="1"/>
    <col min="42" max="42" width="50.6328125" style="3" customWidth="1"/>
    <col min="43" max="43" width="3.6328125" style="3" customWidth="1"/>
    <col min="44" max="16384" width="8.7265625" style="3" hidden="1"/>
  </cols>
  <sheetData>
    <row r="1" spans="1:42" s="4" customFormat="1" ht="14" x14ac:dyDescent="0.3">
      <c r="A1" s="103" t="str">
        <f ca="1">MID(CELL("filename",A1),FIND("]",CELL("filename",A1))+1,255)</f>
        <v>3.5 Staff</v>
      </c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5"/>
    </row>
    <row r="2" spans="1:42" s="5" customFormat="1" x14ac:dyDescent="0.25">
      <c r="A2" s="7" t="s">
        <v>970</v>
      </c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  <c r="Q2" s="128"/>
      <c r="R2" s="128"/>
      <c r="S2" s="128"/>
      <c r="T2" s="128"/>
      <c r="U2" s="128"/>
      <c r="V2" s="128"/>
      <c r="W2" s="128"/>
      <c r="X2" s="128"/>
      <c r="Y2" s="128"/>
      <c r="Z2" s="128"/>
      <c r="AA2" s="128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</row>
    <row r="3" spans="1:42" ht="11.5" customHeight="1" x14ac:dyDescent="0.25">
      <c r="C3" s="2"/>
    </row>
    <row r="4" spans="1:42" ht="11.5" customHeight="1" x14ac:dyDescent="0.25">
      <c r="B4" s="6" t="s">
        <v>0</v>
      </c>
      <c r="C4" s="10" t="s">
        <v>427</v>
      </c>
      <c r="D4" s="29" t="s">
        <v>14</v>
      </c>
      <c r="E4" s="252">
        <v>45688</v>
      </c>
      <c r="F4" s="252">
        <v>45716</v>
      </c>
      <c r="G4" s="252">
        <v>45747</v>
      </c>
      <c r="H4" s="252">
        <v>45777</v>
      </c>
      <c r="I4" s="252">
        <v>45808</v>
      </c>
      <c r="J4" s="252">
        <v>45838</v>
      </c>
      <c r="K4" s="252">
        <v>45869</v>
      </c>
      <c r="L4" s="252">
        <v>45900</v>
      </c>
      <c r="M4" s="252">
        <v>45930</v>
      </c>
      <c r="N4" s="252">
        <v>45961</v>
      </c>
      <c r="O4" s="252">
        <v>45991</v>
      </c>
      <c r="P4" s="252">
        <v>46022</v>
      </c>
      <c r="Q4" s="252">
        <f>E4+365.25</f>
        <v>46053.25</v>
      </c>
      <c r="R4" s="252">
        <f t="shared" ref="R4:AN4" si="0">F4+365.25</f>
        <v>46081.25</v>
      </c>
      <c r="S4" s="252">
        <f t="shared" si="0"/>
        <v>46112.25</v>
      </c>
      <c r="T4" s="252">
        <f t="shared" si="0"/>
        <v>46142.25</v>
      </c>
      <c r="U4" s="252">
        <f t="shared" si="0"/>
        <v>46173.25</v>
      </c>
      <c r="V4" s="252">
        <f t="shared" si="0"/>
        <v>46203.25</v>
      </c>
      <c r="W4" s="252">
        <f t="shared" si="0"/>
        <v>46234.25</v>
      </c>
      <c r="X4" s="252">
        <f t="shared" si="0"/>
        <v>46265.25</v>
      </c>
      <c r="Y4" s="252">
        <f t="shared" si="0"/>
        <v>46295.25</v>
      </c>
      <c r="Z4" s="252">
        <f t="shared" si="0"/>
        <v>46326.25</v>
      </c>
      <c r="AA4" s="252">
        <f t="shared" si="0"/>
        <v>46356.25</v>
      </c>
      <c r="AB4" s="252">
        <f t="shared" si="0"/>
        <v>46387.25</v>
      </c>
      <c r="AC4" s="252">
        <f t="shared" si="0"/>
        <v>46418.5</v>
      </c>
      <c r="AD4" s="252">
        <f t="shared" si="0"/>
        <v>46446.5</v>
      </c>
      <c r="AE4" s="252">
        <f t="shared" si="0"/>
        <v>46477.5</v>
      </c>
      <c r="AF4" s="252">
        <f t="shared" si="0"/>
        <v>46507.5</v>
      </c>
      <c r="AG4" s="252">
        <f t="shared" si="0"/>
        <v>46538.5</v>
      </c>
      <c r="AH4" s="252">
        <f t="shared" si="0"/>
        <v>46568.5</v>
      </c>
      <c r="AI4" s="252">
        <f t="shared" si="0"/>
        <v>46599.5</v>
      </c>
      <c r="AJ4" s="252">
        <f t="shared" si="0"/>
        <v>46630.5</v>
      </c>
      <c r="AK4" s="252">
        <f t="shared" si="0"/>
        <v>46660.5</v>
      </c>
      <c r="AL4" s="252">
        <f t="shared" si="0"/>
        <v>46691.5</v>
      </c>
      <c r="AM4" s="252">
        <f t="shared" si="0"/>
        <v>46721.5</v>
      </c>
      <c r="AN4" s="252">
        <f t="shared" si="0"/>
        <v>46752.5</v>
      </c>
      <c r="AO4" s="74"/>
      <c r="AP4" s="100" t="s">
        <v>45</v>
      </c>
    </row>
    <row r="5" spans="1:42" ht="11.5" customHeight="1" x14ac:dyDescent="0.25">
      <c r="C5" s="20" t="s">
        <v>802</v>
      </c>
      <c r="D5" s="270" t="s">
        <v>162</v>
      </c>
      <c r="E5" s="137">
        <f>E17</f>
        <v>2</v>
      </c>
      <c r="F5" s="137">
        <f t="shared" ref="F5:AN5" si="1">F17</f>
        <v>2</v>
      </c>
      <c r="G5" s="137">
        <f t="shared" si="1"/>
        <v>2</v>
      </c>
      <c r="H5" s="137">
        <f t="shared" si="1"/>
        <v>2</v>
      </c>
      <c r="I5" s="137">
        <f t="shared" si="1"/>
        <v>2</v>
      </c>
      <c r="J5" s="137">
        <f t="shared" si="1"/>
        <v>2</v>
      </c>
      <c r="K5" s="137">
        <f t="shared" si="1"/>
        <v>2</v>
      </c>
      <c r="L5" s="137">
        <f t="shared" si="1"/>
        <v>2</v>
      </c>
      <c r="M5" s="137">
        <f t="shared" si="1"/>
        <v>2</v>
      </c>
      <c r="N5" s="137">
        <f t="shared" si="1"/>
        <v>2</v>
      </c>
      <c r="O5" s="137">
        <f t="shared" si="1"/>
        <v>2</v>
      </c>
      <c r="P5" s="137">
        <f t="shared" si="1"/>
        <v>2</v>
      </c>
      <c r="Q5" s="137">
        <f t="shared" si="1"/>
        <v>2</v>
      </c>
      <c r="R5" s="137">
        <f t="shared" si="1"/>
        <v>2</v>
      </c>
      <c r="S5" s="137">
        <f t="shared" si="1"/>
        <v>2</v>
      </c>
      <c r="T5" s="137">
        <f t="shared" si="1"/>
        <v>2</v>
      </c>
      <c r="U5" s="137">
        <f t="shared" si="1"/>
        <v>2</v>
      </c>
      <c r="V5" s="137">
        <f t="shared" si="1"/>
        <v>2</v>
      </c>
      <c r="W5" s="137">
        <f t="shared" si="1"/>
        <v>2</v>
      </c>
      <c r="X5" s="137">
        <f t="shared" si="1"/>
        <v>2</v>
      </c>
      <c r="Y5" s="137">
        <f t="shared" si="1"/>
        <v>2</v>
      </c>
      <c r="Z5" s="137">
        <f t="shared" si="1"/>
        <v>2</v>
      </c>
      <c r="AA5" s="137">
        <f t="shared" si="1"/>
        <v>2</v>
      </c>
      <c r="AB5" s="137">
        <f t="shared" si="1"/>
        <v>2</v>
      </c>
      <c r="AC5" s="137">
        <f t="shared" si="1"/>
        <v>2</v>
      </c>
      <c r="AD5" s="137">
        <f t="shared" si="1"/>
        <v>2</v>
      </c>
      <c r="AE5" s="137">
        <f t="shared" si="1"/>
        <v>2</v>
      </c>
      <c r="AF5" s="137">
        <f t="shared" si="1"/>
        <v>2</v>
      </c>
      <c r="AG5" s="137">
        <f t="shared" si="1"/>
        <v>2</v>
      </c>
      <c r="AH5" s="137">
        <f t="shared" si="1"/>
        <v>2</v>
      </c>
      <c r="AI5" s="137">
        <f t="shared" si="1"/>
        <v>2</v>
      </c>
      <c r="AJ5" s="137">
        <f t="shared" si="1"/>
        <v>2</v>
      </c>
      <c r="AK5" s="137">
        <f t="shared" si="1"/>
        <v>2</v>
      </c>
      <c r="AL5" s="137">
        <f t="shared" si="1"/>
        <v>2</v>
      </c>
      <c r="AM5" s="137">
        <f t="shared" si="1"/>
        <v>2</v>
      </c>
      <c r="AN5" s="137">
        <f t="shared" si="1"/>
        <v>2</v>
      </c>
      <c r="AP5" s="20"/>
    </row>
    <row r="6" spans="1:42" ht="11.5" customHeight="1" x14ac:dyDescent="0.25">
      <c r="C6" s="20" t="s">
        <v>795</v>
      </c>
      <c r="D6" s="270" t="s">
        <v>162</v>
      </c>
      <c r="E6" s="137">
        <f>E18</f>
        <v>1</v>
      </c>
      <c r="F6" s="137">
        <f t="shared" ref="F6:AN6" si="2">F18</f>
        <v>1</v>
      </c>
      <c r="G6" s="137">
        <f t="shared" si="2"/>
        <v>1</v>
      </c>
      <c r="H6" s="137">
        <f t="shared" si="2"/>
        <v>1</v>
      </c>
      <c r="I6" s="137">
        <f t="shared" si="2"/>
        <v>1</v>
      </c>
      <c r="J6" s="137">
        <f t="shared" si="2"/>
        <v>1</v>
      </c>
      <c r="K6" s="137">
        <f t="shared" si="2"/>
        <v>1</v>
      </c>
      <c r="L6" s="137">
        <f t="shared" si="2"/>
        <v>1</v>
      </c>
      <c r="M6" s="137">
        <f t="shared" si="2"/>
        <v>2</v>
      </c>
      <c r="N6" s="137">
        <f t="shared" si="2"/>
        <v>2</v>
      </c>
      <c r="O6" s="137">
        <f t="shared" si="2"/>
        <v>2</v>
      </c>
      <c r="P6" s="137">
        <f t="shared" si="2"/>
        <v>2</v>
      </c>
      <c r="Q6" s="137">
        <f t="shared" si="2"/>
        <v>5</v>
      </c>
      <c r="R6" s="137">
        <f t="shared" si="2"/>
        <v>5</v>
      </c>
      <c r="S6" s="137">
        <f t="shared" si="2"/>
        <v>5</v>
      </c>
      <c r="T6" s="137">
        <f t="shared" si="2"/>
        <v>5</v>
      </c>
      <c r="U6" s="137">
        <f t="shared" si="2"/>
        <v>7</v>
      </c>
      <c r="V6" s="137">
        <f t="shared" si="2"/>
        <v>7</v>
      </c>
      <c r="W6" s="137">
        <f t="shared" si="2"/>
        <v>7</v>
      </c>
      <c r="X6" s="137">
        <f t="shared" si="2"/>
        <v>7</v>
      </c>
      <c r="Y6" s="137">
        <f t="shared" si="2"/>
        <v>9</v>
      </c>
      <c r="Z6" s="137">
        <f t="shared" si="2"/>
        <v>9</v>
      </c>
      <c r="AA6" s="137">
        <f t="shared" si="2"/>
        <v>9</v>
      </c>
      <c r="AB6" s="137">
        <f t="shared" si="2"/>
        <v>9</v>
      </c>
      <c r="AC6" s="137">
        <f t="shared" si="2"/>
        <v>14</v>
      </c>
      <c r="AD6" s="137">
        <f t="shared" si="2"/>
        <v>14</v>
      </c>
      <c r="AE6" s="137">
        <f t="shared" si="2"/>
        <v>14</v>
      </c>
      <c r="AF6" s="137">
        <f t="shared" si="2"/>
        <v>14</v>
      </c>
      <c r="AG6" s="137">
        <f t="shared" si="2"/>
        <v>22</v>
      </c>
      <c r="AH6" s="137">
        <f t="shared" si="2"/>
        <v>22</v>
      </c>
      <c r="AI6" s="137">
        <f t="shared" si="2"/>
        <v>22</v>
      </c>
      <c r="AJ6" s="137">
        <f t="shared" si="2"/>
        <v>22</v>
      </c>
      <c r="AK6" s="137">
        <f t="shared" si="2"/>
        <v>27</v>
      </c>
      <c r="AL6" s="137">
        <f t="shared" si="2"/>
        <v>27</v>
      </c>
      <c r="AM6" s="137">
        <f t="shared" si="2"/>
        <v>27</v>
      </c>
      <c r="AN6" s="137">
        <f t="shared" si="2"/>
        <v>27</v>
      </c>
      <c r="AP6" s="20"/>
    </row>
    <row r="7" spans="1:42" ht="11.5" customHeight="1" x14ac:dyDescent="0.25">
      <c r="C7" s="20" t="s">
        <v>794</v>
      </c>
      <c r="D7" s="270" t="s">
        <v>162</v>
      </c>
      <c r="E7" s="137">
        <f>E22</f>
        <v>1</v>
      </c>
      <c r="F7" s="137">
        <f t="shared" ref="F7:AN7" si="3">F22</f>
        <v>1</v>
      </c>
      <c r="G7" s="137">
        <f t="shared" si="3"/>
        <v>1</v>
      </c>
      <c r="H7" s="137">
        <f t="shared" si="3"/>
        <v>1</v>
      </c>
      <c r="I7" s="137">
        <f t="shared" si="3"/>
        <v>1</v>
      </c>
      <c r="J7" s="137">
        <f t="shared" si="3"/>
        <v>1</v>
      </c>
      <c r="K7" s="137">
        <f t="shared" si="3"/>
        <v>1</v>
      </c>
      <c r="L7" s="137">
        <f t="shared" si="3"/>
        <v>1</v>
      </c>
      <c r="M7" s="137">
        <f t="shared" si="3"/>
        <v>2</v>
      </c>
      <c r="N7" s="137">
        <f t="shared" si="3"/>
        <v>2</v>
      </c>
      <c r="O7" s="137">
        <f t="shared" si="3"/>
        <v>2</v>
      </c>
      <c r="P7" s="137">
        <f t="shared" si="3"/>
        <v>2</v>
      </c>
      <c r="Q7" s="137">
        <f t="shared" si="3"/>
        <v>5</v>
      </c>
      <c r="R7" s="137">
        <f t="shared" si="3"/>
        <v>5</v>
      </c>
      <c r="S7" s="137">
        <f t="shared" si="3"/>
        <v>5</v>
      </c>
      <c r="T7" s="137">
        <f t="shared" si="3"/>
        <v>5</v>
      </c>
      <c r="U7" s="137">
        <f t="shared" si="3"/>
        <v>7</v>
      </c>
      <c r="V7" s="137">
        <f t="shared" si="3"/>
        <v>7</v>
      </c>
      <c r="W7" s="137">
        <f t="shared" si="3"/>
        <v>7</v>
      </c>
      <c r="X7" s="137">
        <f t="shared" si="3"/>
        <v>7</v>
      </c>
      <c r="Y7" s="137">
        <f t="shared" si="3"/>
        <v>9</v>
      </c>
      <c r="Z7" s="137">
        <f t="shared" si="3"/>
        <v>9</v>
      </c>
      <c r="AA7" s="137">
        <f t="shared" si="3"/>
        <v>9</v>
      </c>
      <c r="AB7" s="137">
        <f t="shared" si="3"/>
        <v>9</v>
      </c>
      <c r="AC7" s="137">
        <f t="shared" si="3"/>
        <v>14</v>
      </c>
      <c r="AD7" s="137">
        <f t="shared" si="3"/>
        <v>14</v>
      </c>
      <c r="AE7" s="137">
        <f t="shared" si="3"/>
        <v>14</v>
      </c>
      <c r="AF7" s="137">
        <f t="shared" si="3"/>
        <v>14</v>
      </c>
      <c r="AG7" s="137">
        <f t="shared" si="3"/>
        <v>22</v>
      </c>
      <c r="AH7" s="137">
        <f t="shared" si="3"/>
        <v>22</v>
      </c>
      <c r="AI7" s="137">
        <f t="shared" si="3"/>
        <v>22</v>
      </c>
      <c r="AJ7" s="137">
        <f t="shared" si="3"/>
        <v>22</v>
      </c>
      <c r="AK7" s="137">
        <f t="shared" si="3"/>
        <v>27</v>
      </c>
      <c r="AL7" s="137">
        <f t="shared" si="3"/>
        <v>27</v>
      </c>
      <c r="AM7" s="137">
        <f t="shared" si="3"/>
        <v>27</v>
      </c>
      <c r="AN7" s="137">
        <f t="shared" si="3"/>
        <v>27</v>
      </c>
      <c r="AP7" s="20"/>
    </row>
    <row r="8" spans="1:42" ht="11.5" customHeight="1" x14ac:dyDescent="0.25">
      <c r="C8" s="20" t="s">
        <v>801</v>
      </c>
      <c r="D8" s="270" t="s">
        <v>162</v>
      </c>
      <c r="E8" s="137">
        <f>E26</f>
        <v>1</v>
      </c>
      <c r="F8" s="137">
        <f t="shared" ref="F8:AN8" si="4">F26</f>
        <v>1</v>
      </c>
      <c r="G8" s="137">
        <f t="shared" si="4"/>
        <v>1</v>
      </c>
      <c r="H8" s="137">
        <f t="shared" si="4"/>
        <v>1</v>
      </c>
      <c r="I8" s="137">
        <f t="shared" si="4"/>
        <v>1</v>
      </c>
      <c r="J8" s="137">
        <f t="shared" si="4"/>
        <v>1</v>
      </c>
      <c r="K8" s="137">
        <f t="shared" si="4"/>
        <v>1</v>
      </c>
      <c r="L8" s="137">
        <f t="shared" si="4"/>
        <v>1</v>
      </c>
      <c r="M8" s="137">
        <f t="shared" si="4"/>
        <v>2</v>
      </c>
      <c r="N8" s="137">
        <f t="shared" si="4"/>
        <v>2</v>
      </c>
      <c r="O8" s="137">
        <f t="shared" si="4"/>
        <v>2</v>
      </c>
      <c r="P8" s="137">
        <f t="shared" si="4"/>
        <v>2</v>
      </c>
      <c r="Q8" s="137">
        <f t="shared" si="4"/>
        <v>5</v>
      </c>
      <c r="R8" s="137">
        <f t="shared" si="4"/>
        <v>5</v>
      </c>
      <c r="S8" s="137">
        <f t="shared" si="4"/>
        <v>5</v>
      </c>
      <c r="T8" s="137">
        <f t="shared" si="4"/>
        <v>5</v>
      </c>
      <c r="U8" s="137">
        <f t="shared" si="4"/>
        <v>7</v>
      </c>
      <c r="V8" s="137">
        <f t="shared" si="4"/>
        <v>7</v>
      </c>
      <c r="W8" s="137">
        <f t="shared" si="4"/>
        <v>7</v>
      </c>
      <c r="X8" s="137">
        <f t="shared" si="4"/>
        <v>7</v>
      </c>
      <c r="Y8" s="137">
        <f t="shared" si="4"/>
        <v>9</v>
      </c>
      <c r="Z8" s="137">
        <f t="shared" si="4"/>
        <v>9</v>
      </c>
      <c r="AA8" s="137">
        <f t="shared" si="4"/>
        <v>9</v>
      </c>
      <c r="AB8" s="137">
        <f t="shared" si="4"/>
        <v>9</v>
      </c>
      <c r="AC8" s="137">
        <f t="shared" si="4"/>
        <v>14</v>
      </c>
      <c r="AD8" s="137">
        <f t="shared" si="4"/>
        <v>14</v>
      </c>
      <c r="AE8" s="137">
        <f t="shared" si="4"/>
        <v>14</v>
      </c>
      <c r="AF8" s="137">
        <f t="shared" si="4"/>
        <v>14</v>
      </c>
      <c r="AG8" s="137">
        <f t="shared" si="4"/>
        <v>22</v>
      </c>
      <c r="AH8" s="137">
        <f t="shared" si="4"/>
        <v>22</v>
      </c>
      <c r="AI8" s="137">
        <f t="shared" si="4"/>
        <v>22</v>
      </c>
      <c r="AJ8" s="137">
        <f t="shared" si="4"/>
        <v>22</v>
      </c>
      <c r="AK8" s="137">
        <f t="shared" si="4"/>
        <v>27</v>
      </c>
      <c r="AL8" s="137">
        <f t="shared" si="4"/>
        <v>27</v>
      </c>
      <c r="AM8" s="137">
        <f t="shared" si="4"/>
        <v>27</v>
      </c>
      <c r="AN8" s="137">
        <f t="shared" si="4"/>
        <v>27</v>
      </c>
      <c r="AP8" s="20"/>
    </row>
    <row r="9" spans="1:42" ht="11.5" customHeight="1" x14ac:dyDescent="0.25">
      <c r="C9" s="20" t="s">
        <v>788</v>
      </c>
      <c r="D9" s="270" t="s">
        <v>162</v>
      </c>
      <c r="E9" s="137">
        <f>E30</f>
        <v>3</v>
      </c>
      <c r="F9" s="137">
        <f t="shared" ref="F9:AN9" si="5">F30</f>
        <v>3</v>
      </c>
      <c r="G9" s="137">
        <f t="shared" si="5"/>
        <v>3</v>
      </c>
      <c r="H9" s="137">
        <f t="shared" si="5"/>
        <v>3</v>
      </c>
      <c r="I9" s="137">
        <f t="shared" si="5"/>
        <v>3</v>
      </c>
      <c r="J9" s="137">
        <f t="shared" si="5"/>
        <v>3</v>
      </c>
      <c r="K9" s="137">
        <f t="shared" si="5"/>
        <v>3</v>
      </c>
      <c r="L9" s="137">
        <f t="shared" si="5"/>
        <v>3</v>
      </c>
      <c r="M9" s="137">
        <f t="shared" si="5"/>
        <v>6</v>
      </c>
      <c r="N9" s="137">
        <f t="shared" si="5"/>
        <v>6</v>
      </c>
      <c r="O9" s="137">
        <f t="shared" si="5"/>
        <v>6</v>
      </c>
      <c r="P9" s="137">
        <f t="shared" si="5"/>
        <v>6</v>
      </c>
      <c r="Q9" s="137">
        <f t="shared" si="5"/>
        <v>15</v>
      </c>
      <c r="R9" s="137">
        <f t="shared" si="5"/>
        <v>15</v>
      </c>
      <c r="S9" s="137">
        <f t="shared" si="5"/>
        <v>15</v>
      </c>
      <c r="T9" s="137">
        <f t="shared" si="5"/>
        <v>15</v>
      </c>
      <c r="U9" s="137">
        <f t="shared" si="5"/>
        <v>21</v>
      </c>
      <c r="V9" s="137">
        <f t="shared" si="5"/>
        <v>21</v>
      </c>
      <c r="W9" s="137">
        <f t="shared" si="5"/>
        <v>21</v>
      </c>
      <c r="X9" s="137">
        <f t="shared" si="5"/>
        <v>21</v>
      </c>
      <c r="Y9" s="137">
        <f t="shared" si="5"/>
        <v>27</v>
      </c>
      <c r="Z9" s="137">
        <f t="shared" si="5"/>
        <v>27</v>
      </c>
      <c r="AA9" s="137">
        <f t="shared" si="5"/>
        <v>27</v>
      </c>
      <c r="AB9" s="137">
        <f t="shared" si="5"/>
        <v>27</v>
      </c>
      <c r="AC9" s="137">
        <f t="shared" si="5"/>
        <v>42</v>
      </c>
      <c r="AD9" s="137">
        <f t="shared" si="5"/>
        <v>42</v>
      </c>
      <c r="AE9" s="137">
        <f t="shared" si="5"/>
        <v>42</v>
      </c>
      <c r="AF9" s="137">
        <f t="shared" si="5"/>
        <v>42</v>
      </c>
      <c r="AG9" s="137">
        <f t="shared" si="5"/>
        <v>66</v>
      </c>
      <c r="AH9" s="137">
        <f t="shared" si="5"/>
        <v>66</v>
      </c>
      <c r="AI9" s="137">
        <f t="shared" si="5"/>
        <v>66</v>
      </c>
      <c r="AJ9" s="137">
        <f t="shared" si="5"/>
        <v>66</v>
      </c>
      <c r="AK9" s="137">
        <f t="shared" si="5"/>
        <v>81</v>
      </c>
      <c r="AL9" s="137">
        <f t="shared" si="5"/>
        <v>81</v>
      </c>
      <c r="AM9" s="137">
        <f t="shared" si="5"/>
        <v>81</v>
      </c>
      <c r="AN9" s="137">
        <f t="shared" si="5"/>
        <v>81</v>
      </c>
      <c r="AP9" s="20"/>
    </row>
    <row r="10" spans="1:42" ht="11.5" customHeight="1" x14ac:dyDescent="0.25">
      <c r="C10" s="20" t="s">
        <v>796</v>
      </c>
      <c r="D10" s="270" t="s">
        <v>162</v>
      </c>
      <c r="E10" s="137">
        <f>E43</f>
        <v>1</v>
      </c>
      <c r="F10" s="137">
        <f t="shared" ref="F10:AN10" si="6">F43</f>
        <v>1</v>
      </c>
      <c r="G10" s="137">
        <f t="shared" si="6"/>
        <v>1</v>
      </c>
      <c r="H10" s="137">
        <f t="shared" si="6"/>
        <v>1</v>
      </c>
      <c r="I10" s="137">
        <f t="shared" si="6"/>
        <v>1</v>
      </c>
      <c r="J10" s="137">
        <f t="shared" si="6"/>
        <v>1</v>
      </c>
      <c r="K10" s="137">
        <f t="shared" si="6"/>
        <v>1</v>
      </c>
      <c r="L10" s="137">
        <f t="shared" si="6"/>
        <v>1</v>
      </c>
      <c r="M10" s="137">
        <f t="shared" si="6"/>
        <v>2</v>
      </c>
      <c r="N10" s="137">
        <f t="shared" si="6"/>
        <v>2</v>
      </c>
      <c r="O10" s="137">
        <f t="shared" si="6"/>
        <v>2</v>
      </c>
      <c r="P10" s="137">
        <f t="shared" si="6"/>
        <v>2</v>
      </c>
      <c r="Q10" s="137">
        <f t="shared" si="6"/>
        <v>5</v>
      </c>
      <c r="R10" s="137">
        <f t="shared" si="6"/>
        <v>5</v>
      </c>
      <c r="S10" s="137">
        <f t="shared" si="6"/>
        <v>5</v>
      </c>
      <c r="T10" s="137">
        <f t="shared" si="6"/>
        <v>5</v>
      </c>
      <c r="U10" s="137">
        <f t="shared" si="6"/>
        <v>7</v>
      </c>
      <c r="V10" s="137">
        <f t="shared" si="6"/>
        <v>7</v>
      </c>
      <c r="W10" s="137">
        <f t="shared" si="6"/>
        <v>7</v>
      </c>
      <c r="X10" s="137">
        <f t="shared" si="6"/>
        <v>7</v>
      </c>
      <c r="Y10" s="137">
        <f t="shared" si="6"/>
        <v>9</v>
      </c>
      <c r="Z10" s="137">
        <f t="shared" si="6"/>
        <v>9</v>
      </c>
      <c r="AA10" s="137">
        <f t="shared" si="6"/>
        <v>9</v>
      </c>
      <c r="AB10" s="137">
        <f t="shared" si="6"/>
        <v>9</v>
      </c>
      <c r="AC10" s="137">
        <f t="shared" si="6"/>
        <v>14</v>
      </c>
      <c r="AD10" s="137">
        <f t="shared" si="6"/>
        <v>14</v>
      </c>
      <c r="AE10" s="137">
        <f t="shared" si="6"/>
        <v>14</v>
      </c>
      <c r="AF10" s="137">
        <f t="shared" si="6"/>
        <v>14</v>
      </c>
      <c r="AG10" s="137">
        <f t="shared" si="6"/>
        <v>22</v>
      </c>
      <c r="AH10" s="137">
        <f t="shared" si="6"/>
        <v>22</v>
      </c>
      <c r="AI10" s="137">
        <f t="shared" si="6"/>
        <v>22</v>
      </c>
      <c r="AJ10" s="137">
        <f t="shared" si="6"/>
        <v>22</v>
      </c>
      <c r="AK10" s="137">
        <f t="shared" si="6"/>
        <v>27</v>
      </c>
      <c r="AL10" s="137">
        <f t="shared" si="6"/>
        <v>27</v>
      </c>
      <c r="AM10" s="137">
        <f t="shared" si="6"/>
        <v>27</v>
      </c>
      <c r="AN10" s="137">
        <f t="shared" si="6"/>
        <v>27</v>
      </c>
      <c r="AP10" s="20"/>
    </row>
    <row r="11" spans="1:42" ht="11.5" customHeight="1" x14ac:dyDescent="0.25">
      <c r="C11" s="21" t="s">
        <v>797</v>
      </c>
      <c r="D11" s="270" t="s">
        <v>162</v>
      </c>
      <c r="E11" s="137">
        <f>E47</f>
        <v>1</v>
      </c>
      <c r="F11" s="137">
        <f t="shared" ref="F11:AN11" si="7">F47</f>
        <v>1</v>
      </c>
      <c r="G11" s="137">
        <f t="shared" si="7"/>
        <v>1</v>
      </c>
      <c r="H11" s="137">
        <f t="shared" si="7"/>
        <v>1</v>
      </c>
      <c r="I11" s="137">
        <f t="shared" si="7"/>
        <v>1</v>
      </c>
      <c r="J11" s="137">
        <f t="shared" si="7"/>
        <v>1</v>
      </c>
      <c r="K11" s="137">
        <f t="shared" si="7"/>
        <v>1</v>
      </c>
      <c r="L11" s="137">
        <f t="shared" si="7"/>
        <v>1</v>
      </c>
      <c r="M11" s="137">
        <f t="shared" si="7"/>
        <v>2</v>
      </c>
      <c r="N11" s="137">
        <f t="shared" si="7"/>
        <v>2</v>
      </c>
      <c r="O11" s="137">
        <f t="shared" si="7"/>
        <v>2</v>
      </c>
      <c r="P11" s="137">
        <f t="shared" si="7"/>
        <v>2</v>
      </c>
      <c r="Q11" s="137">
        <f t="shared" si="7"/>
        <v>5</v>
      </c>
      <c r="R11" s="137">
        <f t="shared" si="7"/>
        <v>5</v>
      </c>
      <c r="S11" s="137">
        <f t="shared" si="7"/>
        <v>5</v>
      </c>
      <c r="T11" s="137">
        <f t="shared" si="7"/>
        <v>5</v>
      </c>
      <c r="U11" s="137">
        <f t="shared" si="7"/>
        <v>7</v>
      </c>
      <c r="V11" s="137">
        <f t="shared" si="7"/>
        <v>7</v>
      </c>
      <c r="W11" s="137">
        <f t="shared" si="7"/>
        <v>7</v>
      </c>
      <c r="X11" s="137">
        <f t="shared" si="7"/>
        <v>7</v>
      </c>
      <c r="Y11" s="137">
        <f t="shared" si="7"/>
        <v>9</v>
      </c>
      <c r="Z11" s="137">
        <f t="shared" si="7"/>
        <v>9</v>
      </c>
      <c r="AA11" s="137">
        <f t="shared" si="7"/>
        <v>9</v>
      </c>
      <c r="AB11" s="137">
        <f t="shared" si="7"/>
        <v>9</v>
      </c>
      <c r="AC11" s="137">
        <f t="shared" si="7"/>
        <v>14</v>
      </c>
      <c r="AD11" s="137">
        <f t="shared" si="7"/>
        <v>14</v>
      </c>
      <c r="AE11" s="137">
        <f t="shared" si="7"/>
        <v>14</v>
      </c>
      <c r="AF11" s="137">
        <f t="shared" si="7"/>
        <v>14</v>
      </c>
      <c r="AG11" s="137">
        <f t="shared" si="7"/>
        <v>22</v>
      </c>
      <c r="AH11" s="137">
        <f t="shared" si="7"/>
        <v>22</v>
      </c>
      <c r="AI11" s="137">
        <f t="shared" si="7"/>
        <v>22</v>
      </c>
      <c r="AJ11" s="137">
        <f t="shared" si="7"/>
        <v>22</v>
      </c>
      <c r="AK11" s="137">
        <f t="shared" si="7"/>
        <v>27</v>
      </c>
      <c r="AL11" s="137">
        <f t="shared" si="7"/>
        <v>27</v>
      </c>
      <c r="AM11" s="137">
        <f t="shared" si="7"/>
        <v>27</v>
      </c>
      <c r="AN11" s="137">
        <f t="shared" si="7"/>
        <v>27</v>
      </c>
      <c r="AP11" s="20"/>
    </row>
    <row r="12" spans="1:42" ht="11.5" customHeight="1" x14ac:dyDescent="0.25">
      <c r="C12" s="22" t="s">
        <v>798</v>
      </c>
      <c r="D12" s="270" t="s">
        <v>162</v>
      </c>
      <c r="E12" s="137">
        <f>E51</f>
        <v>1</v>
      </c>
      <c r="F12" s="137">
        <f t="shared" ref="F12:AN12" si="8">F51</f>
        <v>1</v>
      </c>
      <c r="G12" s="137">
        <f t="shared" si="8"/>
        <v>1</v>
      </c>
      <c r="H12" s="137">
        <f t="shared" si="8"/>
        <v>1</v>
      </c>
      <c r="I12" s="137">
        <f t="shared" si="8"/>
        <v>1</v>
      </c>
      <c r="J12" s="137">
        <f t="shared" si="8"/>
        <v>1</v>
      </c>
      <c r="K12" s="137">
        <f t="shared" si="8"/>
        <v>1</v>
      </c>
      <c r="L12" s="137">
        <f t="shared" si="8"/>
        <v>1</v>
      </c>
      <c r="M12" s="137">
        <f t="shared" si="8"/>
        <v>2</v>
      </c>
      <c r="N12" s="137">
        <f t="shared" si="8"/>
        <v>2</v>
      </c>
      <c r="O12" s="137">
        <f t="shared" si="8"/>
        <v>2</v>
      </c>
      <c r="P12" s="137">
        <f t="shared" si="8"/>
        <v>2</v>
      </c>
      <c r="Q12" s="137">
        <f t="shared" si="8"/>
        <v>5</v>
      </c>
      <c r="R12" s="137">
        <f t="shared" si="8"/>
        <v>5</v>
      </c>
      <c r="S12" s="137">
        <f t="shared" si="8"/>
        <v>5</v>
      </c>
      <c r="T12" s="137">
        <f t="shared" si="8"/>
        <v>5</v>
      </c>
      <c r="U12" s="137">
        <f t="shared" si="8"/>
        <v>7</v>
      </c>
      <c r="V12" s="137">
        <f t="shared" si="8"/>
        <v>7</v>
      </c>
      <c r="W12" s="137">
        <f t="shared" si="8"/>
        <v>7</v>
      </c>
      <c r="X12" s="137">
        <f t="shared" si="8"/>
        <v>7</v>
      </c>
      <c r="Y12" s="137">
        <f t="shared" si="8"/>
        <v>9</v>
      </c>
      <c r="Z12" s="137">
        <f t="shared" si="8"/>
        <v>9</v>
      </c>
      <c r="AA12" s="137">
        <f t="shared" si="8"/>
        <v>9</v>
      </c>
      <c r="AB12" s="137">
        <f t="shared" si="8"/>
        <v>9</v>
      </c>
      <c r="AC12" s="137">
        <f t="shared" si="8"/>
        <v>14</v>
      </c>
      <c r="AD12" s="137">
        <f t="shared" si="8"/>
        <v>14</v>
      </c>
      <c r="AE12" s="137">
        <f t="shared" si="8"/>
        <v>14</v>
      </c>
      <c r="AF12" s="137">
        <f t="shared" si="8"/>
        <v>14</v>
      </c>
      <c r="AG12" s="137">
        <f t="shared" si="8"/>
        <v>22</v>
      </c>
      <c r="AH12" s="137">
        <f t="shared" si="8"/>
        <v>22</v>
      </c>
      <c r="AI12" s="137">
        <f t="shared" si="8"/>
        <v>22</v>
      </c>
      <c r="AJ12" s="137">
        <f t="shared" si="8"/>
        <v>22</v>
      </c>
      <c r="AK12" s="137">
        <f t="shared" si="8"/>
        <v>27</v>
      </c>
      <c r="AL12" s="137">
        <f t="shared" si="8"/>
        <v>27</v>
      </c>
      <c r="AM12" s="137">
        <f t="shared" si="8"/>
        <v>27</v>
      </c>
      <c r="AN12" s="137">
        <f t="shared" si="8"/>
        <v>27</v>
      </c>
      <c r="AP12" s="20"/>
    </row>
    <row r="13" spans="1:42" ht="11.5" customHeight="1" x14ac:dyDescent="0.25">
      <c r="C13" s="27" t="s">
        <v>799</v>
      </c>
      <c r="D13" s="40" t="s">
        <v>162</v>
      </c>
      <c r="E13" s="134">
        <f>E55</f>
        <v>1</v>
      </c>
      <c r="F13" s="134">
        <f t="shared" ref="F13:AN13" si="9">F55</f>
        <v>1</v>
      </c>
      <c r="G13" s="134">
        <f t="shared" si="9"/>
        <v>1</v>
      </c>
      <c r="H13" s="134">
        <f t="shared" si="9"/>
        <v>1</v>
      </c>
      <c r="I13" s="134">
        <f t="shared" si="9"/>
        <v>1</v>
      </c>
      <c r="J13" s="134">
        <f t="shared" si="9"/>
        <v>1</v>
      </c>
      <c r="K13" s="134">
        <f t="shared" si="9"/>
        <v>1</v>
      </c>
      <c r="L13" s="134">
        <f t="shared" si="9"/>
        <v>1</v>
      </c>
      <c r="M13" s="134">
        <f t="shared" si="9"/>
        <v>2</v>
      </c>
      <c r="N13" s="134">
        <f t="shared" si="9"/>
        <v>2</v>
      </c>
      <c r="O13" s="134">
        <f t="shared" si="9"/>
        <v>2</v>
      </c>
      <c r="P13" s="134">
        <f t="shared" si="9"/>
        <v>2</v>
      </c>
      <c r="Q13" s="134">
        <f t="shared" si="9"/>
        <v>5</v>
      </c>
      <c r="R13" s="134">
        <f t="shared" si="9"/>
        <v>5</v>
      </c>
      <c r="S13" s="134">
        <f t="shared" si="9"/>
        <v>5</v>
      </c>
      <c r="T13" s="134">
        <f t="shared" si="9"/>
        <v>5</v>
      </c>
      <c r="U13" s="134">
        <f t="shared" si="9"/>
        <v>7</v>
      </c>
      <c r="V13" s="134">
        <f t="shared" si="9"/>
        <v>7</v>
      </c>
      <c r="W13" s="134">
        <f t="shared" si="9"/>
        <v>7</v>
      </c>
      <c r="X13" s="134">
        <f t="shared" si="9"/>
        <v>7</v>
      </c>
      <c r="Y13" s="134">
        <f t="shared" si="9"/>
        <v>9</v>
      </c>
      <c r="Z13" s="134">
        <f t="shared" si="9"/>
        <v>9</v>
      </c>
      <c r="AA13" s="134">
        <f t="shared" si="9"/>
        <v>9</v>
      </c>
      <c r="AB13" s="134">
        <f t="shared" si="9"/>
        <v>9</v>
      </c>
      <c r="AC13" s="134">
        <f t="shared" si="9"/>
        <v>14</v>
      </c>
      <c r="AD13" s="134">
        <f t="shared" si="9"/>
        <v>14</v>
      </c>
      <c r="AE13" s="134">
        <f t="shared" si="9"/>
        <v>14</v>
      </c>
      <c r="AF13" s="134">
        <f t="shared" si="9"/>
        <v>14</v>
      </c>
      <c r="AG13" s="134">
        <f t="shared" si="9"/>
        <v>22</v>
      </c>
      <c r="AH13" s="134">
        <f t="shared" si="9"/>
        <v>22</v>
      </c>
      <c r="AI13" s="134">
        <f t="shared" si="9"/>
        <v>22</v>
      </c>
      <c r="AJ13" s="134">
        <f t="shared" si="9"/>
        <v>22</v>
      </c>
      <c r="AK13" s="134">
        <f t="shared" si="9"/>
        <v>27</v>
      </c>
      <c r="AL13" s="134">
        <f t="shared" si="9"/>
        <v>27</v>
      </c>
      <c r="AM13" s="134">
        <f t="shared" si="9"/>
        <v>27</v>
      </c>
      <c r="AN13" s="134">
        <f t="shared" si="9"/>
        <v>27</v>
      </c>
      <c r="AP13" s="27"/>
    </row>
    <row r="14" spans="1:42" ht="11.5" customHeight="1" x14ac:dyDescent="0.25">
      <c r="C14" s="135" t="s">
        <v>791</v>
      </c>
      <c r="D14" s="154" t="s">
        <v>162</v>
      </c>
      <c r="E14" s="577">
        <f t="shared" ref="E14:AN14" si="10">SUM(E5:E13)</f>
        <v>12</v>
      </c>
      <c r="F14" s="577">
        <f t="shared" si="10"/>
        <v>12</v>
      </c>
      <c r="G14" s="577">
        <f t="shared" si="10"/>
        <v>12</v>
      </c>
      <c r="H14" s="135">
        <f t="shared" si="10"/>
        <v>12</v>
      </c>
      <c r="I14" s="135">
        <f t="shared" si="10"/>
        <v>12</v>
      </c>
      <c r="J14" s="135">
        <f t="shared" si="10"/>
        <v>12</v>
      </c>
      <c r="K14" s="135">
        <f t="shared" si="10"/>
        <v>12</v>
      </c>
      <c r="L14" s="135">
        <f t="shared" si="10"/>
        <v>12</v>
      </c>
      <c r="M14" s="135">
        <f t="shared" si="10"/>
        <v>22</v>
      </c>
      <c r="N14" s="135">
        <f t="shared" si="10"/>
        <v>22</v>
      </c>
      <c r="O14" s="135">
        <f t="shared" si="10"/>
        <v>22</v>
      </c>
      <c r="P14" s="135">
        <f t="shared" si="10"/>
        <v>22</v>
      </c>
      <c r="Q14" s="135">
        <f t="shared" si="10"/>
        <v>52</v>
      </c>
      <c r="R14" s="135">
        <f t="shared" si="10"/>
        <v>52</v>
      </c>
      <c r="S14" s="135">
        <f t="shared" si="10"/>
        <v>52</v>
      </c>
      <c r="T14" s="135">
        <f t="shared" si="10"/>
        <v>52</v>
      </c>
      <c r="U14" s="135">
        <f t="shared" si="10"/>
        <v>72</v>
      </c>
      <c r="V14" s="135">
        <f t="shared" si="10"/>
        <v>72</v>
      </c>
      <c r="W14" s="135">
        <f t="shared" si="10"/>
        <v>72</v>
      </c>
      <c r="X14" s="135">
        <f t="shared" si="10"/>
        <v>72</v>
      </c>
      <c r="Y14" s="135">
        <f t="shared" si="10"/>
        <v>92</v>
      </c>
      <c r="Z14" s="135">
        <f t="shared" si="10"/>
        <v>92</v>
      </c>
      <c r="AA14" s="135">
        <f t="shared" si="10"/>
        <v>92</v>
      </c>
      <c r="AB14" s="135">
        <f t="shared" si="10"/>
        <v>92</v>
      </c>
      <c r="AC14" s="135">
        <f t="shared" si="10"/>
        <v>142</v>
      </c>
      <c r="AD14" s="135">
        <f t="shared" si="10"/>
        <v>142</v>
      </c>
      <c r="AE14" s="135">
        <f t="shared" si="10"/>
        <v>142</v>
      </c>
      <c r="AF14" s="135">
        <f t="shared" si="10"/>
        <v>142</v>
      </c>
      <c r="AG14" s="135">
        <f t="shared" si="10"/>
        <v>222</v>
      </c>
      <c r="AH14" s="135">
        <f t="shared" si="10"/>
        <v>222</v>
      </c>
      <c r="AI14" s="135">
        <f t="shared" si="10"/>
        <v>222</v>
      </c>
      <c r="AJ14" s="135">
        <f t="shared" si="10"/>
        <v>222</v>
      </c>
      <c r="AK14" s="135">
        <f t="shared" si="10"/>
        <v>272</v>
      </c>
      <c r="AL14" s="135">
        <f t="shared" si="10"/>
        <v>272</v>
      </c>
      <c r="AM14" s="135">
        <f t="shared" si="10"/>
        <v>272</v>
      </c>
      <c r="AN14" s="135">
        <f t="shared" si="10"/>
        <v>272</v>
      </c>
      <c r="AP14" s="135"/>
    </row>
    <row r="15" spans="1:42" ht="3" customHeight="1" x14ac:dyDescent="0.25"/>
    <row r="16" spans="1:42" s="12" customFormat="1" ht="11.5" customHeight="1" x14ac:dyDescent="0.25">
      <c r="B16" s="13" t="s">
        <v>0</v>
      </c>
      <c r="C16" s="14" t="s">
        <v>16</v>
      </c>
      <c r="D16" s="253" t="s">
        <v>14</v>
      </c>
      <c r="E16" s="254">
        <v>45688</v>
      </c>
      <c r="F16" s="254">
        <v>45716</v>
      </c>
      <c r="G16" s="254">
        <v>45747</v>
      </c>
      <c r="H16" s="254">
        <v>45777</v>
      </c>
      <c r="I16" s="254">
        <v>45808</v>
      </c>
      <c r="J16" s="254">
        <v>45838</v>
      </c>
      <c r="K16" s="254">
        <v>45869</v>
      </c>
      <c r="L16" s="254">
        <v>45900</v>
      </c>
      <c r="M16" s="254">
        <v>45930</v>
      </c>
      <c r="N16" s="254">
        <v>45961</v>
      </c>
      <c r="O16" s="254">
        <v>45991</v>
      </c>
      <c r="P16" s="254">
        <v>46022</v>
      </c>
      <c r="Q16" s="254">
        <f>E16+365.25</f>
        <v>46053.25</v>
      </c>
      <c r="R16" s="254">
        <f t="shared" ref="R16:AN16" si="11">F16+365.25</f>
        <v>46081.25</v>
      </c>
      <c r="S16" s="254">
        <f t="shared" si="11"/>
        <v>46112.25</v>
      </c>
      <c r="T16" s="254">
        <f t="shared" si="11"/>
        <v>46142.25</v>
      </c>
      <c r="U16" s="254">
        <f t="shared" si="11"/>
        <v>46173.25</v>
      </c>
      <c r="V16" s="254">
        <f t="shared" si="11"/>
        <v>46203.25</v>
      </c>
      <c r="W16" s="254">
        <f t="shared" si="11"/>
        <v>46234.25</v>
      </c>
      <c r="X16" s="254">
        <f t="shared" si="11"/>
        <v>46265.25</v>
      </c>
      <c r="Y16" s="254">
        <f t="shared" si="11"/>
        <v>46295.25</v>
      </c>
      <c r="Z16" s="254">
        <f t="shared" si="11"/>
        <v>46326.25</v>
      </c>
      <c r="AA16" s="254">
        <f t="shared" si="11"/>
        <v>46356.25</v>
      </c>
      <c r="AB16" s="254">
        <f t="shared" si="11"/>
        <v>46387.25</v>
      </c>
      <c r="AC16" s="254">
        <f t="shared" si="11"/>
        <v>46418.5</v>
      </c>
      <c r="AD16" s="254">
        <f t="shared" si="11"/>
        <v>46446.5</v>
      </c>
      <c r="AE16" s="254">
        <f t="shared" si="11"/>
        <v>46477.5</v>
      </c>
      <c r="AF16" s="254">
        <f t="shared" si="11"/>
        <v>46507.5</v>
      </c>
      <c r="AG16" s="254">
        <f t="shared" si="11"/>
        <v>46538.5</v>
      </c>
      <c r="AH16" s="254">
        <f t="shared" si="11"/>
        <v>46568.5</v>
      </c>
      <c r="AI16" s="254">
        <f t="shared" si="11"/>
        <v>46599.5</v>
      </c>
      <c r="AJ16" s="254">
        <f t="shared" si="11"/>
        <v>46630.5</v>
      </c>
      <c r="AK16" s="254">
        <f t="shared" si="11"/>
        <v>46660.5</v>
      </c>
      <c r="AL16" s="254">
        <f t="shared" si="11"/>
        <v>46691.5</v>
      </c>
      <c r="AM16" s="254">
        <f t="shared" si="11"/>
        <v>46721.5</v>
      </c>
      <c r="AN16" s="254">
        <f t="shared" si="11"/>
        <v>46752.5</v>
      </c>
      <c r="AP16" s="15"/>
    </row>
    <row r="17" spans="2:42" ht="11.5" customHeight="1" x14ac:dyDescent="0.25">
      <c r="B17" s="33" t="s">
        <v>9</v>
      </c>
      <c r="C17" s="537" t="s">
        <v>802</v>
      </c>
      <c r="D17" s="538" t="s">
        <v>162</v>
      </c>
      <c r="E17" s="580">
        <f>'1.1 Control Panel'!E879</f>
        <v>2</v>
      </c>
      <c r="F17" s="580">
        <f>'1.1 Control Panel'!F879</f>
        <v>2</v>
      </c>
      <c r="G17" s="580">
        <f>'1.1 Control Panel'!G879</f>
        <v>2</v>
      </c>
      <c r="H17" s="580">
        <f>'1.1 Control Panel'!H879</f>
        <v>2</v>
      </c>
      <c r="I17" s="580">
        <f>'1.1 Control Panel'!I879</f>
        <v>2</v>
      </c>
      <c r="J17" s="580">
        <f>'1.1 Control Panel'!J879</f>
        <v>2</v>
      </c>
      <c r="K17" s="580">
        <f>'1.1 Control Panel'!K879</f>
        <v>2</v>
      </c>
      <c r="L17" s="580">
        <f>'1.1 Control Panel'!L879</f>
        <v>2</v>
      </c>
      <c r="M17" s="580">
        <f>'1.1 Control Panel'!M879</f>
        <v>2</v>
      </c>
      <c r="N17" s="580">
        <f>'1.1 Control Panel'!N879</f>
        <v>2</v>
      </c>
      <c r="O17" s="580">
        <f>'1.1 Control Panel'!O879</f>
        <v>2</v>
      </c>
      <c r="P17" s="580">
        <f>'1.1 Control Panel'!P879</f>
        <v>2</v>
      </c>
      <c r="Q17" s="580">
        <f>'1.1 Control Panel'!Q879</f>
        <v>2</v>
      </c>
      <c r="R17" s="580">
        <f>'1.1 Control Panel'!R879</f>
        <v>2</v>
      </c>
      <c r="S17" s="580">
        <f>'1.1 Control Panel'!S879</f>
        <v>2</v>
      </c>
      <c r="T17" s="580">
        <f>'1.1 Control Panel'!T879</f>
        <v>2</v>
      </c>
      <c r="U17" s="580">
        <f>'1.1 Control Panel'!U879</f>
        <v>2</v>
      </c>
      <c r="V17" s="580">
        <f>'1.1 Control Panel'!V879</f>
        <v>2</v>
      </c>
      <c r="W17" s="580">
        <f>'1.1 Control Panel'!W879</f>
        <v>2</v>
      </c>
      <c r="X17" s="580">
        <f>'1.1 Control Panel'!X879</f>
        <v>2</v>
      </c>
      <c r="Y17" s="580">
        <f>'1.1 Control Panel'!Y879</f>
        <v>2</v>
      </c>
      <c r="Z17" s="580">
        <f>'1.1 Control Panel'!Z879</f>
        <v>2</v>
      </c>
      <c r="AA17" s="580">
        <f>'1.1 Control Panel'!AA879</f>
        <v>2</v>
      </c>
      <c r="AB17" s="580">
        <f>'1.1 Control Panel'!AB879</f>
        <v>2</v>
      </c>
      <c r="AC17" s="580">
        <f>'1.1 Control Panel'!AC879</f>
        <v>2</v>
      </c>
      <c r="AD17" s="580">
        <f>'1.1 Control Panel'!AD879</f>
        <v>2</v>
      </c>
      <c r="AE17" s="580">
        <f>'1.1 Control Panel'!AE879</f>
        <v>2</v>
      </c>
      <c r="AF17" s="580">
        <f>'1.1 Control Panel'!AF879</f>
        <v>2</v>
      </c>
      <c r="AG17" s="580">
        <f>'1.1 Control Panel'!AG879</f>
        <v>2</v>
      </c>
      <c r="AH17" s="580">
        <f>'1.1 Control Panel'!AH879</f>
        <v>2</v>
      </c>
      <c r="AI17" s="580">
        <f>'1.1 Control Panel'!AI879</f>
        <v>2</v>
      </c>
      <c r="AJ17" s="580">
        <f>'1.1 Control Panel'!AJ879</f>
        <v>2</v>
      </c>
      <c r="AK17" s="580">
        <f>'1.1 Control Panel'!AK879</f>
        <v>2</v>
      </c>
      <c r="AL17" s="580">
        <f>'1.1 Control Panel'!AL879</f>
        <v>2</v>
      </c>
      <c r="AM17" s="580">
        <f>'1.1 Control Panel'!AM879</f>
        <v>2</v>
      </c>
      <c r="AN17" s="580">
        <f>'1.1 Control Panel'!AN879</f>
        <v>2</v>
      </c>
      <c r="AP17" s="534"/>
    </row>
    <row r="18" spans="2:42" s="269" customFormat="1" ht="11.5" customHeight="1" x14ac:dyDescent="0.25">
      <c r="B18" s="33" t="s">
        <v>9</v>
      </c>
      <c r="C18" s="536" t="s">
        <v>795</v>
      </c>
      <c r="D18" s="535" t="s">
        <v>162</v>
      </c>
      <c r="E18" s="550">
        <f>SUM(E19:E21)</f>
        <v>1</v>
      </c>
      <c r="F18" s="550">
        <f t="shared" ref="F18:AN18" si="12">SUM(F19:F21)</f>
        <v>1</v>
      </c>
      <c r="G18" s="550">
        <f t="shared" si="12"/>
        <v>1</v>
      </c>
      <c r="H18" s="550">
        <f t="shared" si="12"/>
        <v>1</v>
      </c>
      <c r="I18" s="550">
        <f t="shared" si="12"/>
        <v>1</v>
      </c>
      <c r="J18" s="550">
        <f t="shared" si="12"/>
        <v>1</v>
      </c>
      <c r="K18" s="550">
        <f t="shared" si="12"/>
        <v>1</v>
      </c>
      <c r="L18" s="550">
        <f t="shared" si="12"/>
        <v>1</v>
      </c>
      <c r="M18" s="550">
        <f t="shared" si="12"/>
        <v>2</v>
      </c>
      <c r="N18" s="550">
        <f t="shared" si="12"/>
        <v>2</v>
      </c>
      <c r="O18" s="550">
        <f t="shared" si="12"/>
        <v>2</v>
      </c>
      <c r="P18" s="550">
        <f t="shared" si="12"/>
        <v>2</v>
      </c>
      <c r="Q18" s="550">
        <f t="shared" si="12"/>
        <v>5</v>
      </c>
      <c r="R18" s="550">
        <f t="shared" si="12"/>
        <v>5</v>
      </c>
      <c r="S18" s="550">
        <f t="shared" si="12"/>
        <v>5</v>
      </c>
      <c r="T18" s="550">
        <f t="shared" si="12"/>
        <v>5</v>
      </c>
      <c r="U18" s="550">
        <f t="shared" si="12"/>
        <v>7</v>
      </c>
      <c r="V18" s="550">
        <f t="shared" si="12"/>
        <v>7</v>
      </c>
      <c r="W18" s="550">
        <f t="shared" si="12"/>
        <v>7</v>
      </c>
      <c r="X18" s="550">
        <f t="shared" si="12"/>
        <v>7</v>
      </c>
      <c r="Y18" s="550">
        <f t="shared" si="12"/>
        <v>9</v>
      </c>
      <c r="Z18" s="550">
        <f t="shared" si="12"/>
        <v>9</v>
      </c>
      <c r="AA18" s="550">
        <f t="shared" si="12"/>
        <v>9</v>
      </c>
      <c r="AB18" s="550">
        <f t="shared" si="12"/>
        <v>9</v>
      </c>
      <c r="AC18" s="550">
        <f t="shared" si="12"/>
        <v>14</v>
      </c>
      <c r="AD18" s="550">
        <f t="shared" si="12"/>
        <v>14</v>
      </c>
      <c r="AE18" s="550">
        <f t="shared" si="12"/>
        <v>14</v>
      </c>
      <c r="AF18" s="550">
        <f t="shared" si="12"/>
        <v>14</v>
      </c>
      <c r="AG18" s="550">
        <f t="shared" si="12"/>
        <v>22</v>
      </c>
      <c r="AH18" s="550">
        <f t="shared" si="12"/>
        <v>22</v>
      </c>
      <c r="AI18" s="550">
        <f t="shared" si="12"/>
        <v>22</v>
      </c>
      <c r="AJ18" s="550">
        <f t="shared" si="12"/>
        <v>22</v>
      </c>
      <c r="AK18" s="550">
        <f t="shared" si="12"/>
        <v>27</v>
      </c>
      <c r="AL18" s="550">
        <f t="shared" si="12"/>
        <v>27</v>
      </c>
      <c r="AM18" s="550">
        <f t="shared" si="12"/>
        <v>27</v>
      </c>
      <c r="AN18" s="550">
        <f t="shared" si="12"/>
        <v>27</v>
      </c>
      <c r="AP18" s="550"/>
    </row>
    <row r="19" spans="2:42" ht="11.5" customHeight="1" x14ac:dyDescent="0.25">
      <c r="C19" s="20" t="s">
        <v>804</v>
      </c>
      <c r="D19" s="34" t="s">
        <v>162</v>
      </c>
      <c r="E19" s="20">
        <f>ROUNDDOWN('3.4 OpEx'!E$82/'1.1 Control Panel'!E881,0)</f>
        <v>0</v>
      </c>
      <c r="F19" s="20">
        <f>ROUNDDOWN('3.4 OpEx'!F$82/'1.1 Control Panel'!F881,0)</f>
        <v>0</v>
      </c>
      <c r="G19" s="20">
        <f>ROUNDDOWN('3.4 OpEx'!G$82/'1.1 Control Panel'!G881,0)</f>
        <v>0</v>
      </c>
      <c r="H19" s="20">
        <f>ROUNDDOWN('3.4 OpEx'!H$82/'1.1 Control Panel'!H881,0)</f>
        <v>0</v>
      </c>
      <c r="I19" s="20">
        <f>ROUNDDOWN('3.4 OpEx'!I$82/'1.1 Control Panel'!I881,0)</f>
        <v>0</v>
      </c>
      <c r="J19" s="20">
        <f>ROUNDDOWN('3.4 OpEx'!J$82/'1.1 Control Panel'!J881,0)</f>
        <v>0</v>
      </c>
      <c r="K19" s="20">
        <f>ROUNDDOWN('3.4 OpEx'!K$82/'1.1 Control Panel'!K881,0)</f>
        <v>0</v>
      </c>
      <c r="L19" s="20">
        <f>ROUNDDOWN('3.4 OpEx'!L$82/'1.1 Control Panel'!L881,0)</f>
        <v>0</v>
      </c>
      <c r="M19" s="20">
        <f>ROUNDDOWN('3.4 OpEx'!M$82/'1.1 Control Panel'!M881,0)</f>
        <v>0</v>
      </c>
      <c r="N19" s="20">
        <f>ROUNDDOWN('3.4 OpEx'!N$82/'1.1 Control Panel'!N881,0)</f>
        <v>0</v>
      </c>
      <c r="O19" s="20">
        <f>ROUNDDOWN('3.4 OpEx'!O$82/'1.1 Control Panel'!O881,0)</f>
        <v>0</v>
      </c>
      <c r="P19" s="20">
        <f>ROUNDDOWN('3.4 OpEx'!P$82/'1.1 Control Panel'!P881,0)</f>
        <v>0</v>
      </c>
      <c r="Q19" s="20">
        <f>ROUNDDOWN('3.4 OpEx'!Q$82/'1.1 Control Panel'!Q881,0)</f>
        <v>0</v>
      </c>
      <c r="R19" s="20">
        <f>ROUNDDOWN('3.4 OpEx'!R$82/'1.1 Control Panel'!R881,0)</f>
        <v>0</v>
      </c>
      <c r="S19" s="20">
        <f>ROUNDDOWN('3.4 OpEx'!S$82/'1.1 Control Panel'!S881,0)</f>
        <v>0</v>
      </c>
      <c r="T19" s="20">
        <f>ROUNDDOWN('3.4 OpEx'!T$82/'1.1 Control Panel'!T881,0)</f>
        <v>0</v>
      </c>
      <c r="U19" s="20">
        <f>ROUNDDOWN('3.4 OpEx'!U$82/'1.1 Control Panel'!U881,0)</f>
        <v>0</v>
      </c>
      <c r="V19" s="20">
        <f>ROUNDDOWN('3.4 OpEx'!V$82/'1.1 Control Panel'!V881,0)</f>
        <v>0</v>
      </c>
      <c r="W19" s="20">
        <f>ROUNDDOWN('3.4 OpEx'!W$82/'1.1 Control Panel'!W881,0)</f>
        <v>0</v>
      </c>
      <c r="X19" s="20">
        <f>ROUNDDOWN('3.4 OpEx'!X$82/'1.1 Control Panel'!X881,0)</f>
        <v>0</v>
      </c>
      <c r="Y19" s="20">
        <f>ROUNDDOWN('3.4 OpEx'!Y$82/'1.1 Control Panel'!Y881,0)</f>
        <v>1</v>
      </c>
      <c r="Z19" s="20">
        <f>ROUNDDOWN('3.4 OpEx'!Z$82/'1.1 Control Panel'!Z881,0)</f>
        <v>1</v>
      </c>
      <c r="AA19" s="20">
        <f>ROUNDDOWN('3.4 OpEx'!AA$82/'1.1 Control Panel'!AA881,0)</f>
        <v>1</v>
      </c>
      <c r="AB19" s="20">
        <f>ROUNDDOWN('3.4 OpEx'!AB$82/'1.1 Control Panel'!AB881,0)</f>
        <v>1</v>
      </c>
      <c r="AC19" s="20">
        <f>ROUNDDOWN('3.4 OpEx'!AC$82/'1.1 Control Panel'!AC881,0)</f>
        <v>1</v>
      </c>
      <c r="AD19" s="20">
        <f>ROUNDDOWN('3.4 OpEx'!AD$82/'1.1 Control Panel'!AD881,0)</f>
        <v>1</v>
      </c>
      <c r="AE19" s="20">
        <f>ROUNDDOWN('3.4 OpEx'!AE$82/'1.1 Control Panel'!AE881,0)</f>
        <v>1</v>
      </c>
      <c r="AF19" s="20">
        <f>ROUNDDOWN('3.4 OpEx'!AF$82/'1.1 Control Panel'!AF881,0)</f>
        <v>1</v>
      </c>
      <c r="AG19" s="20">
        <f>ROUNDDOWN('3.4 OpEx'!AG$82/'1.1 Control Panel'!AG881,0)</f>
        <v>2</v>
      </c>
      <c r="AH19" s="20">
        <f>ROUNDDOWN('3.4 OpEx'!AH$82/'1.1 Control Panel'!AH881,0)</f>
        <v>2</v>
      </c>
      <c r="AI19" s="20">
        <f>ROUNDDOWN('3.4 OpEx'!AI$82/'1.1 Control Panel'!AI881,0)</f>
        <v>2</v>
      </c>
      <c r="AJ19" s="20">
        <f>ROUNDDOWN('3.4 OpEx'!AJ$82/'1.1 Control Panel'!AJ881,0)</f>
        <v>2</v>
      </c>
      <c r="AK19" s="20">
        <f>ROUNDDOWN('3.4 OpEx'!AK$82/'1.1 Control Panel'!AK881,0)</f>
        <v>3</v>
      </c>
      <c r="AL19" s="20">
        <f>ROUNDDOWN('3.4 OpEx'!AL$82/'1.1 Control Panel'!AL881,0)</f>
        <v>3</v>
      </c>
      <c r="AM19" s="20">
        <f>ROUNDDOWN('3.4 OpEx'!AM$82/'1.1 Control Panel'!AM881,0)</f>
        <v>3</v>
      </c>
      <c r="AN19" s="20">
        <f>ROUNDDOWN('3.4 OpEx'!AN$82/'1.1 Control Panel'!AN881,0)</f>
        <v>3</v>
      </c>
      <c r="AP19" s="20"/>
    </row>
    <row r="20" spans="2:42" ht="11.5" customHeight="1" x14ac:dyDescent="0.25">
      <c r="C20" s="20" t="s">
        <v>803</v>
      </c>
      <c r="D20" s="34" t="s">
        <v>162</v>
      </c>
      <c r="E20" s="20">
        <f>ROUNDDOWN('3.4 OpEx'!E$82/'1.1 Control Panel'!E882,0)</f>
        <v>0</v>
      </c>
      <c r="F20" s="20">
        <f>ROUNDDOWN('3.4 OpEx'!F$82/'1.1 Control Panel'!F882,0)</f>
        <v>0</v>
      </c>
      <c r="G20" s="20">
        <f>ROUNDDOWN('3.4 OpEx'!G$82/'1.1 Control Panel'!G882,0)</f>
        <v>0</v>
      </c>
      <c r="H20" s="20">
        <f>ROUNDDOWN('3.4 OpEx'!H$82/'1.1 Control Panel'!H882,0)</f>
        <v>0</v>
      </c>
      <c r="I20" s="20">
        <f>ROUNDDOWN('3.4 OpEx'!I$82/'1.1 Control Panel'!I882,0)</f>
        <v>0</v>
      </c>
      <c r="J20" s="20">
        <f>ROUNDDOWN('3.4 OpEx'!J$82/'1.1 Control Panel'!J882,0)</f>
        <v>0</v>
      </c>
      <c r="K20" s="20">
        <f>ROUNDDOWN('3.4 OpEx'!K$82/'1.1 Control Panel'!K882,0)</f>
        <v>0</v>
      </c>
      <c r="L20" s="20">
        <f>ROUNDDOWN('3.4 OpEx'!L$82/'1.1 Control Panel'!L882,0)</f>
        <v>0</v>
      </c>
      <c r="M20" s="20">
        <f>ROUNDDOWN('3.4 OpEx'!M$82/'1.1 Control Panel'!M882,0)</f>
        <v>0</v>
      </c>
      <c r="N20" s="20">
        <f>ROUNDDOWN('3.4 OpEx'!N$82/'1.1 Control Panel'!N882,0)</f>
        <v>0</v>
      </c>
      <c r="O20" s="20">
        <f>ROUNDDOWN('3.4 OpEx'!O$82/'1.1 Control Panel'!O882,0)</f>
        <v>0</v>
      </c>
      <c r="P20" s="20">
        <f>ROUNDDOWN('3.4 OpEx'!P$82/'1.1 Control Panel'!P882,0)</f>
        <v>0</v>
      </c>
      <c r="Q20" s="20">
        <f>ROUNDDOWN('3.4 OpEx'!Q$82/'1.1 Control Panel'!Q882,0)</f>
        <v>1</v>
      </c>
      <c r="R20" s="20">
        <f>ROUNDDOWN('3.4 OpEx'!R$82/'1.1 Control Panel'!R882,0)</f>
        <v>1</v>
      </c>
      <c r="S20" s="20">
        <f>ROUNDDOWN('3.4 OpEx'!S$82/'1.1 Control Panel'!S882,0)</f>
        <v>1</v>
      </c>
      <c r="T20" s="20">
        <f>ROUNDDOWN('3.4 OpEx'!T$82/'1.1 Control Panel'!T882,0)</f>
        <v>1</v>
      </c>
      <c r="U20" s="20">
        <f>ROUNDDOWN('3.4 OpEx'!U$82/'1.1 Control Panel'!U882,0)</f>
        <v>2</v>
      </c>
      <c r="V20" s="20">
        <f>ROUNDDOWN('3.4 OpEx'!V$82/'1.1 Control Panel'!V882,0)</f>
        <v>2</v>
      </c>
      <c r="W20" s="20">
        <f>ROUNDDOWN('3.4 OpEx'!W$82/'1.1 Control Panel'!W882,0)</f>
        <v>2</v>
      </c>
      <c r="X20" s="20">
        <f>ROUNDDOWN('3.4 OpEx'!X$82/'1.1 Control Panel'!X882,0)</f>
        <v>2</v>
      </c>
      <c r="Y20" s="20">
        <f>ROUNDDOWN('3.4 OpEx'!Y$82/'1.1 Control Panel'!Y882,0)</f>
        <v>2</v>
      </c>
      <c r="Z20" s="20">
        <f>ROUNDDOWN('3.4 OpEx'!Z$82/'1.1 Control Panel'!Z882,0)</f>
        <v>2</v>
      </c>
      <c r="AA20" s="20">
        <f>ROUNDDOWN('3.4 OpEx'!AA$82/'1.1 Control Panel'!AA882,0)</f>
        <v>2</v>
      </c>
      <c r="AB20" s="20">
        <f>ROUNDDOWN('3.4 OpEx'!AB$82/'1.1 Control Panel'!AB882,0)</f>
        <v>2</v>
      </c>
      <c r="AC20" s="20">
        <f>ROUNDDOWN('3.4 OpEx'!AC$82/'1.1 Control Panel'!AC882,0)</f>
        <v>3</v>
      </c>
      <c r="AD20" s="20">
        <f>ROUNDDOWN('3.4 OpEx'!AD$82/'1.1 Control Panel'!AD882,0)</f>
        <v>3</v>
      </c>
      <c r="AE20" s="20">
        <f>ROUNDDOWN('3.4 OpEx'!AE$82/'1.1 Control Panel'!AE882,0)</f>
        <v>3</v>
      </c>
      <c r="AF20" s="20">
        <f>ROUNDDOWN('3.4 OpEx'!AF$82/'1.1 Control Panel'!AF882,0)</f>
        <v>3</v>
      </c>
      <c r="AG20" s="20">
        <f>ROUNDDOWN('3.4 OpEx'!AG$82/'1.1 Control Panel'!AG882,0)</f>
        <v>5</v>
      </c>
      <c r="AH20" s="20">
        <f>ROUNDDOWN('3.4 OpEx'!AH$82/'1.1 Control Panel'!AH882,0)</f>
        <v>5</v>
      </c>
      <c r="AI20" s="20">
        <f>ROUNDDOWN('3.4 OpEx'!AI$82/'1.1 Control Panel'!AI882,0)</f>
        <v>5</v>
      </c>
      <c r="AJ20" s="20">
        <f>ROUNDDOWN('3.4 OpEx'!AJ$82/'1.1 Control Panel'!AJ882,0)</f>
        <v>5</v>
      </c>
      <c r="AK20" s="20">
        <f>ROUNDDOWN('3.4 OpEx'!AK$82/'1.1 Control Panel'!AK882,0)</f>
        <v>6</v>
      </c>
      <c r="AL20" s="20">
        <f>ROUNDDOWN('3.4 OpEx'!AL$82/'1.1 Control Panel'!AL882,0)</f>
        <v>6</v>
      </c>
      <c r="AM20" s="20">
        <f>ROUNDDOWN('3.4 OpEx'!AM$82/'1.1 Control Panel'!AM882,0)</f>
        <v>6</v>
      </c>
      <c r="AN20" s="20">
        <f>ROUNDDOWN('3.4 OpEx'!AN$82/'1.1 Control Panel'!AN882,0)</f>
        <v>6</v>
      </c>
      <c r="AP20" s="20"/>
    </row>
    <row r="21" spans="2:42" ht="11.5" customHeight="1" x14ac:dyDescent="0.25">
      <c r="C21" s="26" t="s">
        <v>805</v>
      </c>
      <c r="D21" s="319" t="s">
        <v>162</v>
      </c>
      <c r="E21" s="26">
        <f>ROUNDDOWN('3.4 OpEx'!E$82/'1.1 Control Panel'!E883,0)</f>
        <v>1</v>
      </c>
      <c r="F21" s="26">
        <f>ROUNDDOWN('3.4 OpEx'!F$82/'1.1 Control Panel'!F883,0)</f>
        <v>1</v>
      </c>
      <c r="G21" s="26">
        <f>ROUNDDOWN('3.4 OpEx'!G$82/'1.1 Control Panel'!G883,0)</f>
        <v>1</v>
      </c>
      <c r="H21" s="26">
        <f>ROUNDDOWN('3.4 OpEx'!H$82/'1.1 Control Panel'!H883,0)</f>
        <v>1</v>
      </c>
      <c r="I21" s="26">
        <f>ROUNDDOWN('3.4 OpEx'!I$82/'1.1 Control Panel'!I883,0)</f>
        <v>1</v>
      </c>
      <c r="J21" s="26">
        <f>ROUNDDOWN('3.4 OpEx'!J$82/'1.1 Control Panel'!J883,0)</f>
        <v>1</v>
      </c>
      <c r="K21" s="26">
        <f>ROUNDDOWN('3.4 OpEx'!K$82/'1.1 Control Panel'!K883,0)</f>
        <v>1</v>
      </c>
      <c r="L21" s="26">
        <f>ROUNDDOWN('3.4 OpEx'!L$82/'1.1 Control Panel'!L883,0)</f>
        <v>1</v>
      </c>
      <c r="M21" s="26">
        <f>ROUNDDOWN('3.4 OpEx'!M$82/'1.1 Control Panel'!M883,0)</f>
        <v>2</v>
      </c>
      <c r="N21" s="26">
        <f>ROUNDDOWN('3.4 OpEx'!N$82/'1.1 Control Panel'!N883,0)</f>
        <v>2</v>
      </c>
      <c r="O21" s="26">
        <f>ROUNDDOWN('3.4 OpEx'!O$82/'1.1 Control Panel'!O883,0)</f>
        <v>2</v>
      </c>
      <c r="P21" s="26">
        <f>ROUNDDOWN('3.4 OpEx'!P$82/'1.1 Control Panel'!P883,0)</f>
        <v>2</v>
      </c>
      <c r="Q21" s="26">
        <f>ROUNDDOWN('3.4 OpEx'!Q$82/'1.1 Control Panel'!Q883,0)</f>
        <v>4</v>
      </c>
      <c r="R21" s="26">
        <f>ROUNDDOWN('3.4 OpEx'!R$82/'1.1 Control Panel'!R883,0)</f>
        <v>4</v>
      </c>
      <c r="S21" s="26">
        <f>ROUNDDOWN('3.4 OpEx'!S$82/'1.1 Control Panel'!S883,0)</f>
        <v>4</v>
      </c>
      <c r="T21" s="26">
        <f>ROUNDDOWN('3.4 OpEx'!T$82/'1.1 Control Panel'!T883,0)</f>
        <v>4</v>
      </c>
      <c r="U21" s="26">
        <f>ROUNDDOWN('3.4 OpEx'!U$82/'1.1 Control Panel'!U883,0)</f>
        <v>5</v>
      </c>
      <c r="V21" s="26">
        <f>ROUNDDOWN('3.4 OpEx'!V$82/'1.1 Control Panel'!V883,0)</f>
        <v>5</v>
      </c>
      <c r="W21" s="26">
        <f>ROUNDDOWN('3.4 OpEx'!W$82/'1.1 Control Panel'!W883,0)</f>
        <v>5</v>
      </c>
      <c r="X21" s="26">
        <f>ROUNDDOWN('3.4 OpEx'!X$82/'1.1 Control Panel'!X883,0)</f>
        <v>5</v>
      </c>
      <c r="Y21" s="26">
        <f>ROUNDDOWN('3.4 OpEx'!Y$82/'1.1 Control Panel'!Y883,0)</f>
        <v>6</v>
      </c>
      <c r="Z21" s="26">
        <f>ROUNDDOWN('3.4 OpEx'!Z$82/'1.1 Control Panel'!Z883,0)</f>
        <v>6</v>
      </c>
      <c r="AA21" s="26">
        <f>ROUNDDOWN('3.4 OpEx'!AA$82/'1.1 Control Panel'!AA883,0)</f>
        <v>6</v>
      </c>
      <c r="AB21" s="26">
        <f>ROUNDDOWN('3.4 OpEx'!AB$82/'1.1 Control Panel'!AB883,0)</f>
        <v>6</v>
      </c>
      <c r="AC21" s="26">
        <f>ROUNDDOWN('3.4 OpEx'!AC$82/'1.1 Control Panel'!AC883,0)</f>
        <v>10</v>
      </c>
      <c r="AD21" s="26">
        <f>ROUNDDOWN('3.4 OpEx'!AD$82/'1.1 Control Panel'!AD883,0)</f>
        <v>10</v>
      </c>
      <c r="AE21" s="26">
        <f>ROUNDDOWN('3.4 OpEx'!AE$82/'1.1 Control Panel'!AE883,0)</f>
        <v>10</v>
      </c>
      <c r="AF21" s="26">
        <f>ROUNDDOWN('3.4 OpEx'!AF$82/'1.1 Control Panel'!AF883,0)</f>
        <v>10</v>
      </c>
      <c r="AG21" s="26">
        <f>ROUNDDOWN('3.4 OpEx'!AG$82/'1.1 Control Panel'!AG883,0)</f>
        <v>15</v>
      </c>
      <c r="AH21" s="26">
        <f>ROUNDDOWN('3.4 OpEx'!AH$82/'1.1 Control Panel'!AH883,0)</f>
        <v>15</v>
      </c>
      <c r="AI21" s="26">
        <f>ROUNDDOWN('3.4 OpEx'!AI$82/'1.1 Control Panel'!AI883,0)</f>
        <v>15</v>
      </c>
      <c r="AJ21" s="26">
        <f>ROUNDDOWN('3.4 OpEx'!AJ$82/'1.1 Control Panel'!AJ883,0)</f>
        <v>15</v>
      </c>
      <c r="AK21" s="26">
        <f>ROUNDDOWN('3.4 OpEx'!AK$82/'1.1 Control Panel'!AK883,0)</f>
        <v>18</v>
      </c>
      <c r="AL21" s="26">
        <f>ROUNDDOWN('3.4 OpEx'!AL$82/'1.1 Control Panel'!AL883,0)</f>
        <v>18</v>
      </c>
      <c r="AM21" s="26">
        <f>ROUNDDOWN('3.4 OpEx'!AM$82/'1.1 Control Panel'!AM883,0)</f>
        <v>18</v>
      </c>
      <c r="AN21" s="26">
        <f>ROUNDDOWN('3.4 OpEx'!AN$82/'1.1 Control Panel'!AN883,0)</f>
        <v>18</v>
      </c>
      <c r="AP21" s="26"/>
    </row>
    <row r="22" spans="2:42" ht="11.5" customHeight="1" x14ac:dyDescent="0.25">
      <c r="B22" s="33" t="s">
        <v>9</v>
      </c>
      <c r="C22" s="536" t="s">
        <v>794</v>
      </c>
      <c r="D22" s="535" t="s">
        <v>162</v>
      </c>
      <c r="E22" s="550">
        <f>SUM(E23:E25)</f>
        <v>1</v>
      </c>
      <c r="F22" s="550">
        <f t="shared" ref="F22" si="13">SUM(F23:F25)</f>
        <v>1</v>
      </c>
      <c r="G22" s="550">
        <f t="shared" ref="G22" si="14">SUM(G23:G25)</f>
        <v>1</v>
      </c>
      <c r="H22" s="550">
        <f t="shared" ref="H22" si="15">SUM(H23:H25)</f>
        <v>1</v>
      </c>
      <c r="I22" s="550">
        <f t="shared" ref="I22" si="16">SUM(I23:I25)</f>
        <v>1</v>
      </c>
      <c r="J22" s="550">
        <f t="shared" ref="J22" si="17">SUM(J23:J25)</f>
        <v>1</v>
      </c>
      <c r="K22" s="550">
        <f t="shared" ref="K22" si="18">SUM(K23:K25)</f>
        <v>1</v>
      </c>
      <c r="L22" s="550">
        <f t="shared" ref="L22" si="19">SUM(L23:L25)</f>
        <v>1</v>
      </c>
      <c r="M22" s="550">
        <f t="shared" ref="M22" si="20">SUM(M23:M25)</f>
        <v>2</v>
      </c>
      <c r="N22" s="550">
        <f t="shared" ref="N22" si="21">SUM(N23:N25)</f>
        <v>2</v>
      </c>
      <c r="O22" s="550">
        <f t="shared" ref="O22" si="22">SUM(O23:O25)</f>
        <v>2</v>
      </c>
      <c r="P22" s="550">
        <f t="shared" ref="P22" si="23">SUM(P23:P25)</f>
        <v>2</v>
      </c>
      <c r="Q22" s="550">
        <f t="shared" ref="Q22" si="24">SUM(Q23:Q25)</f>
        <v>5</v>
      </c>
      <c r="R22" s="550">
        <f t="shared" ref="R22" si="25">SUM(R23:R25)</f>
        <v>5</v>
      </c>
      <c r="S22" s="550">
        <f t="shared" ref="S22" si="26">SUM(S23:S25)</f>
        <v>5</v>
      </c>
      <c r="T22" s="550">
        <f t="shared" ref="T22" si="27">SUM(T23:T25)</f>
        <v>5</v>
      </c>
      <c r="U22" s="550">
        <f t="shared" ref="U22" si="28">SUM(U23:U25)</f>
        <v>7</v>
      </c>
      <c r="V22" s="550">
        <f t="shared" ref="V22" si="29">SUM(V23:V25)</f>
        <v>7</v>
      </c>
      <c r="W22" s="550">
        <f t="shared" ref="W22" si="30">SUM(W23:W25)</f>
        <v>7</v>
      </c>
      <c r="X22" s="550">
        <f t="shared" ref="X22" si="31">SUM(X23:X25)</f>
        <v>7</v>
      </c>
      <c r="Y22" s="550">
        <f t="shared" ref="Y22" si="32">SUM(Y23:Y25)</f>
        <v>9</v>
      </c>
      <c r="Z22" s="550">
        <f t="shared" ref="Z22" si="33">SUM(Z23:Z25)</f>
        <v>9</v>
      </c>
      <c r="AA22" s="550">
        <f t="shared" ref="AA22" si="34">SUM(AA23:AA25)</f>
        <v>9</v>
      </c>
      <c r="AB22" s="550">
        <f t="shared" ref="AB22" si="35">SUM(AB23:AB25)</f>
        <v>9</v>
      </c>
      <c r="AC22" s="550">
        <f t="shared" ref="AC22" si="36">SUM(AC23:AC25)</f>
        <v>14</v>
      </c>
      <c r="AD22" s="550">
        <f t="shared" ref="AD22" si="37">SUM(AD23:AD25)</f>
        <v>14</v>
      </c>
      <c r="AE22" s="550">
        <f t="shared" ref="AE22" si="38">SUM(AE23:AE25)</f>
        <v>14</v>
      </c>
      <c r="AF22" s="550">
        <f t="shared" ref="AF22" si="39">SUM(AF23:AF25)</f>
        <v>14</v>
      </c>
      <c r="AG22" s="550">
        <f t="shared" ref="AG22" si="40">SUM(AG23:AG25)</f>
        <v>22</v>
      </c>
      <c r="AH22" s="550">
        <f t="shared" ref="AH22" si="41">SUM(AH23:AH25)</f>
        <v>22</v>
      </c>
      <c r="AI22" s="550">
        <f t="shared" ref="AI22" si="42">SUM(AI23:AI25)</f>
        <v>22</v>
      </c>
      <c r="AJ22" s="550">
        <f t="shared" ref="AJ22" si="43">SUM(AJ23:AJ25)</f>
        <v>22</v>
      </c>
      <c r="AK22" s="550">
        <f t="shared" ref="AK22" si="44">SUM(AK23:AK25)</f>
        <v>27</v>
      </c>
      <c r="AL22" s="550">
        <f t="shared" ref="AL22" si="45">SUM(AL23:AL25)</f>
        <v>27</v>
      </c>
      <c r="AM22" s="550">
        <f t="shared" ref="AM22" si="46">SUM(AM23:AM25)</f>
        <v>27</v>
      </c>
      <c r="AN22" s="550">
        <f t="shared" ref="AN22" si="47">SUM(AN23:AN25)</f>
        <v>27</v>
      </c>
      <c r="AP22" s="456"/>
    </row>
    <row r="23" spans="2:42" ht="11.5" customHeight="1" x14ac:dyDescent="0.25">
      <c r="C23" s="20" t="s">
        <v>804</v>
      </c>
      <c r="D23" s="34" t="s">
        <v>162</v>
      </c>
      <c r="E23" s="20">
        <f>ROUNDDOWN('3.4 OpEx'!E$82/'1.1 Control Panel'!E885,0)</f>
        <v>0</v>
      </c>
      <c r="F23" s="20">
        <f>ROUNDDOWN('3.4 OpEx'!F$82/'1.1 Control Panel'!F885,0)</f>
        <v>0</v>
      </c>
      <c r="G23" s="20">
        <f>ROUNDDOWN('3.4 OpEx'!G$82/'1.1 Control Panel'!G885,0)</f>
        <v>0</v>
      </c>
      <c r="H23" s="20">
        <f>ROUNDDOWN('3.4 OpEx'!H$82/'1.1 Control Panel'!H885,0)</f>
        <v>0</v>
      </c>
      <c r="I23" s="20">
        <f>ROUNDDOWN('3.4 OpEx'!I$82/'1.1 Control Panel'!I885,0)</f>
        <v>0</v>
      </c>
      <c r="J23" s="20">
        <f>ROUNDDOWN('3.4 OpEx'!J$82/'1.1 Control Panel'!J885,0)</f>
        <v>0</v>
      </c>
      <c r="K23" s="20">
        <f>ROUNDDOWN('3.4 OpEx'!K$82/'1.1 Control Panel'!K885,0)</f>
        <v>0</v>
      </c>
      <c r="L23" s="20">
        <f>ROUNDDOWN('3.4 OpEx'!L$82/'1.1 Control Panel'!L885,0)</f>
        <v>0</v>
      </c>
      <c r="M23" s="20">
        <f>ROUNDDOWN('3.4 OpEx'!M$82/'1.1 Control Panel'!M885,0)</f>
        <v>0</v>
      </c>
      <c r="N23" s="20">
        <f>ROUNDDOWN('3.4 OpEx'!N$82/'1.1 Control Panel'!N885,0)</f>
        <v>0</v>
      </c>
      <c r="O23" s="20">
        <f>ROUNDDOWN('3.4 OpEx'!O$82/'1.1 Control Panel'!O885,0)</f>
        <v>0</v>
      </c>
      <c r="P23" s="20">
        <f>ROUNDDOWN('3.4 OpEx'!P$82/'1.1 Control Panel'!P885,0)</f>
        <v>0</v>
      </c>
      <c r="Q23" s="20">
        <f>ROUNDDOWN('3.4 OpEx'!Q$82/'1.1 Control Panel'!Q885,0)</f>
        <v>0</v>
      </c>
      <c r="R23" s="20">
        <f>ROUNDDOWN('3.4 OpEx'!R$82/'1.1 Control Panel'!R885,0)</f>
        <v>0</v>
      </c>
      <c r="S23" s="20">
        <f>ROUNDDOWN('3.4 OpEx'!S$82/'1.1 Control Panel'!S885,0)</f>
        <v>0</v>
      </c>
      <c r="T23" s="20">
        <f>ROUNDDOWN('3.4 OpEx'!T$82/'1.1 Control Panel'!T885,0)</f>
        <v>0</v>
      </c>
      <c r="U23" s="20">
        <f>ROUNDDOWN('3.4 OpEx'!U$82/'1.1 Control Panel'!U885,0)</f>
        <v>0</v>
      </c>
      <c r="V23" s="20">
        <f>ROUNDDOWN('3.4 OpEx'!V$82/'1.1 Control Panel'!V885,0)</f>
        <v>0</v>
      </c>
      <c r="W23" s="20">
        <f>ROUNDDOWN('3.4 OpEx'!W$82/'1.1 Control Panel'!W885,0)</f>
        <v>0</v>
      </c>
      <c r="X23" s="20">
        <f>ROUNDDOWN('3.4 OpEx'!X$82/'1.1 Control Panel'!X885,0)</f>
        <v>0</v>
      </c>
      <c r="Y23" s="20">
        <f>ROUNDDOWN('3.4 OpEx'!Y$82/'1.1 Control Panel'!Y885,0)</f>
        <v>1</v>
      </c>
      <c r="Z23" s="20">
        <f>ROUNDDOWN('3.4 OpEx'!Z$82/'1.1 Control Panel'!Z885,0)</f>
        <v>1</v>
      </c>
      <c r="AA23" s="20">
        <f>ROUNDDOWN('3.4 OpEx'!AA$82/'1.1 Control Panel'!AA885,0)</f>
        <v>1</v>
      </c>
      <c r="AB23" s="20">
        <f>ROUNDDOWN('3.4 OpEx'!AB$82/'1.1 Control Panel'!AB885,0)</f>
        <v>1</v>
      </c>
      <c r="AC23" s="20">
        <f>ROUNDDOWN('3.4 OpEx'!AC$82/'1.1 Control Panel'!AC885,0)</f>
        <v>1</v>
      </c>
      <c r="AD23" s="20">
        <f>ROUNDDOWN('3.4 OpEx'!AD$82/'1.1 Control Panel'!AD885,0)</f>
        <v>1</v>
      </c>
      <c r="AE23" s="20">
        <f>ROUNDDOWN('3.4 OpEx'!AE$82/'1.1 Control Panel'!AE885,0)</f>
        <v>1</v>
      </c>
      <c r="AF23" s="20">
        <f>ROUNDDOWN('3.4 OpEx'!AF$82/'1.1 Control Panel'!AF885,0)</f>
        <v>1</v>
      </c>
      <c r="AG23" s="20">
        <f>ROUNDDOWN('3.4 OpEx'!AG$82/'1.1 Control Panel'!AG885,0)</f>
        <v>2</v>
      </c>
      <c r="AH23" s="20">
        <f>ROUNDDOWN('3.4 OpEx'!AH$82/'1.1 Control Panel'!AH885,0)</f>
        <v>2</v>
      </c>
      <c r="AI23" s="20">
        <f>ROUNDDOWN('3.4 OpEx'!AI$82/'1.1 Control Panel'!AI885,0)</f>
        <v>2</v>
      </c>
      <c r="AJ23" s="20">
        <f>ROUNDDOWN('3.4 OpEx'!AJ$82/'1.1 Control Panel'!AJ885,0)</f>
        <v>2</v>
      </c>
      <c r="AK23" s="20">
        <f>ROUNDDOWN('3.4 OpEx'!AK$82/'1.1 Control Panel'!AK885,0)</f>
        <v>3</v>
      </c>
      <c r="AL23" s="20">
        <f>ROUNDDOWN('3.4 OpEx'!AL$82/'1.1 Control Panel'!AL885,0)</f>
        <v>3</v>
      </c>
      <c r="AM23" s="20">
        <f>ROUNDDOWN('3.4 OpEx'!AM$82/'1.1 Control Panel'!AM885,0)</f>
        <v>3</v>
      </c>
      <c r="AN23" s="20">
        <f>ROUNDDOWN('3.4 OpEx'!AN$82/'1.1 Control Panel'!AN885,0)</f>
        <v>3</v>
      </c>
      <c r="AP23" s="20"/>
    </row>
    <row r="24" spans="2:42" ht="11.5" customHeight="1" x14ac:dyDescent="0.25">
      <c r="C24" s="20" t="s">
        <v>803</v>
      </c>
      <c r="D24" s="34" t="s">
        <v>162</v>
      </c>
      <c r="E24" s="20">
        <f>ROUNDDOWN('3.4 OpEx'!E$82/'1.1 Control Panel'!E886,0)</f>
        <v>0</v>
      </c>
      <c r="F24" s="20">
        <f>ROUNDDOWN('3.4 OpEx'!F$82/'1.1 Control Panel'!F886,0)</f>
        <v>0</v>
      </c>
      <c r="G24" s="20">
        <f>ROUNDDOWN('3.4 OpEx'!G$82/'1.1 Control Panel'!G886,0)</f>
        <v>0</v>
      </c>
      <c r="H24" s="20">
        <f>ROUNDDOWN('3.4 OpEx'!H$82/'1.1 Control Panel'!H886,0)</f>
        <v>0</v>
      </c>
      <c r="I24" s="20">
        <f>ROUNDDOWN('3.4 OpEx'!I$82/'1.1 Control Panel'!I886,0)</f>
        <v>0</v>
      </c>
      <c r="J24" s="20">
        <f>ROUNDDOWN('3.4 OpEx'!J$82/'1.1 Control Panel'!J886,0)</f>
        <v>0</v>
      </c>
      <c r="K24" s="20">
        <f>ROUNDDOWN('3.4 OpEx'!K$82/'1.1 Control Panel'!K886,0)</f>
        <v>0</v>
      </c>
      <c r="L24" s="20">
        <f>ROUNDDOWN('3.4 OpEx'!L$82/'1.1 Control Panel'!L886,0)</f>
        <v>0</v>
      </c>
      <c r="M24" s="20">
        <f>ROUNDDOWN('3.4 OpEx'!M$82/'1.1 Control Panel'!M886,0)</f>
        <v>0</v>
      </c>
      <c r="N24" s="20">
        <f>ROUNDDOWN('3.4 OpEx'!N$82/'1.1 Control Panel'!N886,0)</f>
        <v>0</v>
      </c>
      <c r="O24" s="20">
        <f>ROUNDDOWN('3.4 OpEx'!O$82/'1.1 Control Panel'!O886,0)</f>
        <v>0</v>
      </c>
      <c r="P24" s="20">
        <f>ROUNDDOWN('3.4 OpEx'!P$82/'1.1 Control Panel'!P886,0)</f>
        <v>0</v>
      </c>
      <c r="Q24" s="20">
        <f>ROUNDDOWN('3.4 OpEx'!Q$82/'1.1 Control Panel'!Q886,0)</f>
        <v>1</v>
      </c>
      <c r="R24" s="20">
        <f>ROUNDDOWN('3.4 OpEx'!R$82/'1.1 Control Panel'!R886,0)</f>
        <v>1</v>
      </c>
      <c r="S24" s="20">
        <f>ROUNDDOWN('3.4 OpEx'!S$82/'1.1 Control Panel'!S886,0)</f>
        <v>1</v>
      </c>
      <c r="T24" s="20">
        <f>ROUNDDOWN('3.4 OpEx'!T$82/'1.1 Control Panel'!T886,0)</f>
        <v>1</v>
      </c>
      <c r="U24" s="20">
        <f>ROUNDDOWN('3.4 OpEx'!U$82/'1.1 Control Panel'!U886,0)</f>
        <v>2</v>
      </c>
      <c r="V24" s="20">
        <f>ROUNDDOWN('3.4 OpEx'!V$82/'1.1 Control Panel'!V886,0)</f>
        <v>2</v>
      </c>
      <c r="W24" s="20">
        <f>ROUNDDOWN('3.4 OpEx'!W$82/'1.1 Control Panel'!W886,0)</f>
        <v>2</v>
      </c>
      <c r="X24" s="20">
        <f>ROUNDDOWN('3.4 OpEx'!X$82/'1.1 Control Panel'!X886,0)</f>
        <v>2</v>
      </c>
      <c r="Y24" s="20">
        <f>ROUNDDOWN('3.4 OpEx'!Y$82/'1.1 Control Panel'!Y886,0)</f>
        <v>2</v>
      </c>
      <c r="Z24" s="20">
        <f>ROUNDDOWN('3.4 OpEx'!Z$82/'1.1 Control Panel'!Z886,0)</f>
        <v>2</v>
      </c>
      <c r="AA24" s="20">
        <f>ROUNDDOWN('3.4 OpEx'!AA$82/'1.1 Control Panel'!AA886,0)</f>
        <v>2</v>
      </c>
      <c r="AB24" s="20">
        <f>ROUNDDOWN('3.4 OpEx'!AB$82/'1.1 Control Panel'!AB886,0)</f>
        <v>2</v>
      </c>
      <c r="AC24" s="20">
        <f>ROUNDDOWN('3.4 OpEx'!AC$82/'1.1 Control Panel'!AC886,0)</f>
        <v>3</v>
      </c>
      <c r="AD24" s="20">
        <f>ROUNDDOWN('3.4 OpEx'!AD$82/'1.1 Control Panel'!AD886,0)</f>
        <v>3</v>
      </c>
      <c r="AE24" s="20">
        <f>ROUNDDOWN('3.4 OpEx'!AE$82/'1.1 Control Panel'!AE886,0)</f>
        <v>3</v>
      </c>
      <c r="AF24" s="20">
        <f>ROUNDDOWN('3.4 OpEx'!AF$82/'1.1 Control Panel'!AF886,0)</f>
        <v>3</v>
      </c>
      <c r="AG24" s="20">
        <f>ROUNDDOWN('3.4 OpEx'!AG$82/'1.1 Control Panel'!AG886,0)</f>
        <v>5</v>
      </c>
      <c r="AH24" s="20">
        <f>ROUNDDOWN('3.4 OpEx'!AH$82/'1.1 Control Panel'!AH886,0)</f>
        <v>5</v>
      </c>
      <c r="AI24" s="20">
        <f>ROUNDDOWN('3.4 OpEx'!AI$82/'1.1 Control Panel'!AI886,0)</f>
        <v>5</v>
      </c>
      <c r="AJ24" s="20">
        <f>ROUNDDOWN('3.4 OpEx'!AJ$82/'1.1 Control Panel'!AJ886,0)</f>
        <v>5</v>
      </c>
      <c r="AK24" s="20">
        <f>ROUNDDOWN('3.4 OpEx'!AK$82/'1.1 Control Panel'!AK886,0)</f>
        <v>6</v>
      </c>
      <c r="AL24" s="20">
        <f>ROUNDDOWN('3.4 OpEx'!AL$82/'1.1 Control Panel'!AL886,0)</f>
        <v>6</v>
      </c>
      <c r="AM24" s="20">
        <f>ROUNDDOWN('3.4 OpEx'!AM$82/'1.1 Control Panel'!AM886,0)</f>
        <v>6</v>
      </c>
      <c r="AN24" s="20">
        <f>ROUNDDOWN('3.4 OpEx'!AN$82/'1.1 Control Panel'!AN886,0)</f>
        <v>6</v>
      </c>
      <c r="AP24" s="20"/>
    </row>
    <row r="25" spans="2:42" ht="11.5" customHeight="1" x14ac:dyDescent="0.25">
      <c r="C25" s="26" t="s">
        <v>805</v>
      </c>
      <c r="D25" s="319" t="s">
        <v>162</v>
      </c>
      <c r="E25" s="20">
        <f>ROUNDDOWN('3.4 OpEx'!E$82/'1.1 Control Panel'!E887,0)</f>
        <v>1</v>
      </c>
      <c r="F25" s="20">
        <f>ROUNDDOWN('3.4 OpEx'!F$82/'1.1 Control Panel'!F887,0)</f>
        <v>1</v>
      </c>
      <c r="G25" s="20">
        <f>ROUNDDOWN('3.4 OpEx'!G$82/'1.1 Control Panel'!G887,0)</f>
        <v>1</v>
      </c>
      <c r="H25" s="20">
        <f>ROUNDDOWN('3.4 OpEx'!H$82/'1.1 Control Panel'!H887,0)</f>
        <v>1</v>
      </c>
      <c r="I25" s="20">
        <f>ROUNDDOWN('3.4 OpEx'!I$82/'1.1 Control Panel'!I887,0)</f>
        <v>1</v>
      </c>
      <c r="J25" s="20">
        <f>ROUNDDOWN('3.4 OpEx'!J$82/'1.1 Control Panel'!J887,0)</f>
        <v>1</v>
      </c>
      <c r="K25" s="20">
        <f>ROUNDDOWN('3.4 OpEx'!K$82/'1.1 Control Panel'!K887,0)</f>
        <v>1</v>
      </c>
      <c r="L25" s="20">
        <f>ROUNDDOWN('3.4 OpEx'!L$82/'1.1 Control Panel'!L887,0)</f>
        <v>1</v>
      </c>
      <c r="M25" s="20">
        <f>ROUNDDOWN('3.4 OpEx'!M$82/'1.1 Control Panel'!M887,0)</f>
        <v>2</v>
      </c>
      <c r="N25" s="20">
        <f>ROUNDDOWN('3.4 OpEx'!N$82/'1.1 Control Panel'!N887,0)</f>
        <v>2</v>
      </c>
      <c r="O25" s="20">
        <f>ROUNDDOWN('3.4 OpEx'!O$82/'1.1 Control Panel'!O887,0)</f>
        <v>2</v>
      </c>
      <c r="P25" s="20">
        <f>ROUNDDOWN('3.4 OpEx'!P$82/'1.1 Control Panel'!P887,0)</f>
        <v>2</v>
      </c>
      <c r="Q25" s="20">
        <f>ROUNDDOWN('3.4 OpEx'!Q$82/'1.1 Control Panel'!Q887,0)</f>
        <v>4</v>
      </c>
      <c r="R25" s="20">
        <f>ROUNDDOWN('3.4 OpEx'!R$82/'1.1 Control Panel'!R887,0)</f>
        <v>4</v>
      </c>
      <c r="S25" s="20">
        <f>ROUNDDOWN('3.4 OpEx'!S$82/'1.1 Control Panel'!S887,0)</f>
        <v>4</v>
      </c>
      <c r="T25" s="20">
        <f>ROUNDDOWN('3.4 OpEx'!T$82/'1.1 Control Panel'!T887,0)</f>
        <v>4</v>
      </c>
      <c r="U25" s="20">
        <f>ROUNDDOWN('3.4 OpEx'!U$82/'1.1 Control Panel'!U887,0)</f>
        <v>5</v>
      </c>
      <c r="V25" s="20">
        <f>ROUNDDOWN('3.4 OpEx'!V$82/'1.1 Control Panel'!V887,0)</f>
        <v>5</v>
      </c>
      <c r="W25" s="20">
        <f>ROUNDDOWN('3.4 OpEx'!W$82/'1.1 Control Panel'!W887,0)</f>
        <v>5</v>
      </c>
      <c r="X25" s="20">
        <f>ROUNDDOWN('3.4 OpEx'!X$82/'1.1 Control Panel'!X887,0)</f>
        <v>5</v>
      </c>
      <c r="Y25" s="20">
        <f>ROUNDDOWN('3.4 OpEx'!Y$82/'1.1 Control Panel'!Y887,0)</f>
        <v>6</v>
      </c>
      <c r="Z25" s="20">
        <f>ROUNDDOWN('3.4 OpEx'!Z$82/'1.1 Control Panel'!Z887,0)</f>
        <v>6</v>
      </c>
      <c r="AA25" s="20">
        <f>ROUNDDOWN('3.4 OpEx'!AA$82/'1.1 Control Panel'!AA887,0)</f>
        <v>6</v>
      </c>
      <c r="AB25" s="20">
        <f>ROUNDDOWN('3.4 OpEx'!AB$82/'1.1 Control Panel'!AB887,0)</f>
        <v>6</v>
      </c>
      <c r="AC25" s="20">
        <f>ROUNDDOWN('3.4 OpEx'!AC$82/'1.1 Control Panel'!AC887,0)</f>
        <v>10</v>
      </c>
      <c r="AD25" s="20">
        <f>ROUNDDOWN('3.4 OpEx'!AD$82/'1.1 Control Panel'!AD887,0)</f>
        <v>10</v>
      </c>
      <c r="AE25" s="20">
        <f>ROUNDDOWN('3.4 OpEx'!AE$82/'1.1 Control Panel'!AE887,0)</f>
        <v>10</v>
      </c>
      <c r="AF25" s="20">
        <f>ROUNDDOWN('3.4 OpEx'!AF$82/'1.1 Control Panel'!AF887,0)</f>
        <v>10</v>
      </c>
      <c r="AG25" s="20">
        <f>ROUNDDOWN('3.4 OpEx'!AG$82/'1.1 Control Panel'!AG887,0)</f>
        <v>15</v>
      </c>
      <c r="AH25" s="20">
        <f>ROUNDDOWN('3.4 OpEx'!AH$82/'1.1 Control Panel'!AH887,0)</f>
        <v>15</v>
      </c>
      <c r="AI25" s="20">
        <f>ROUNDDOWN('3.4 OpEx'!AI$82/'1.1 Control Panel'!AI887,0)</f>
        <v>15</v>
      </c>
      <c r="AJ25" s="20">
        <f>ROUNDDOWN('3.4 OpEx'!AJ$82/'1.1 Control Panel'!AJ887,0)</f>
        <v>15</v>
      </c>
      <c r="AK25" s="20">
        <f>ROUNDDOWN('3.4 OpEx'!AK$82/'1.1 Control Panel'!AK887,0)</f>
        <v>18</v>
      </c>
      <c r="AL25" s="20">
        <f>ROUNDDOWN('3.4 OpEx'!AL$82/'1.1 Control Panel'!AL887,0)</f>
        <v>18</v>
      </c>
      <c r="AM25" s="20">
        <f>ROUNDDOWN('3.4 OpEx'!AM$82/'1.1 Control Panel'!AM887,0)</f>
        <v>18</v>
      </c>
      <c r="AN25" s="20">
        <f>ROUNDDOWN('3.4 OpEx'!AN$82/'1.1 Control Panel'!AN887,0)</f>
        <v>18</v>
      </c>
      <c r="AP25" s="20"/>
    </row>
    <row r="26" spans="2:42" ht="11.5" customHeight="1" x14ac:dyDescent="0.25">
      <c r="B26" s="33" t="s">
        <v>9</v>
      </c>
      <c r="C26" s="536" t="s">
        <v>801</v>
      </c>
      <c r="D26" s="535" t="s">
        <v>162</v>
      </c>
      <c r="E26" s="550">
        <f>SUM(E27:E29)</f>
        <v>1</v>
      </c>
      <c r="F26" s="550">
        <f t="shared" ref="F26" si="48">SUM(F27:F29)</f>
        <v>1</v>
      </c>
      <c r="G26" s="550">
        <f t="shared" ref="G26" si="49">SUM(G27:G29)</f>
        <v>1</v>
      </c>
      <c r="H26" s="550">
        <f t="shared" ref="H26" si="50">SUM(H27:H29)</f>
        <v>1</v>
      </c>
      <c r="I26" s="550">
        <f t="shared" ref="I26" si="51">SUM(I27:I29)</f>
        <v>1</v>
      </c>
      <c r="J26" s="550">
        <f t="shared" ref="J26" si="52">SUM(J27:J29)</f>
        <v>1</v>
      </c>
      <c r="K26" s="550">
        <f t="shared" ref="K26" si="53">SUM(K27:K29)</f>
        <v>1</v>
      </c>
      <c r="L26" s="550">
        <f t="shared" ref="L26" si="54">SUM(L27:L29)</f>
        <v>1</v>
      </c>
      <c r="M26" s="550">
        <f t="shared" ref="M26" si="55">SUM(M27:M29)</f>
        <v>2</v>
      </c>
      <c r="N26" s="550">
        <f t="shared" ref="N26" si="56">SUM(N27:N29)</f>
        <v>2</v>
      </c>
      <c r="O26" s="550">
        <f t="shared" ref="O26" si="57">SUM(O27:O29)</f>
        <v>2</v>
      </c>
      <c r="P26" s="550">
        <f t="shared" ref="P26" si="58">SUM(P27:P29)</f>
        <v>2</v>
      </c>
      <c r="Q26" s="550">
        <f t="shared" ref="Q26" si="59">SUM(Q27:Q29)</f>
        <v>5</v>
      </c>
      <c r="R26" s="550">
        <f t="shared" ref="R26" si="60">SUM(R27:R29)</f>
        <v>5</v>
      </c>
      <c r="S26" s="550">
        <f t="shared" ref="S26" si="61">SUM(S27:S29)</f>
        <v>5</v>
      </c>
      <c r="T26" s="550">
        <f t="shared" ref="T26" si="62">SUM(T27:T29)</f>
        <v>5</v>
      </c>
      <c r="U26" s="550">
        <f t="shared" ref="U26" si="63">SUM(U27:U29)</f>
        <v>7</v>
      </c>
      <c r="V26" s="550">
        <f t="shared" ref="V26" si="64">SUM(V27:V29)</f>
        <v>7</v>
      </c>
      <c r="W26" s="550">
        <f t="shared" ref="W26" si="65">SUM(W27:W29)</f>
        <v>7</v>
      </c>
      <c r="X26" s="550">
        <f t="shared" ref="X26" si="66">SUM(X27:X29)</f>
        <v>7</v>
      </c>
      <c r="Y26" s="550">
        <f t="shared" ref="Y26" si="67">SUM(Y27:Y29)</f>
        <v>9</v>
      </c>
      <c r="Z26" s="550">
        <f t="shared" ref="Z26" si="68">SUM(Z27:Z29)</f>
        <v>9</v>
      </c>
      <c r="AA26" s="550">
        <f t="shared" ref="AA26" si="69">SUM(AA27:AA29)</f>
        <v>9</v>
      </c>
      <c r="AB26" s="550">
        <f t="shared" ref="AB26" si="70">SUM(AB27:AB29)</f>
        <v>9</v>
      </c>
      <c r="AC26" s="550">
        <f t="shared" ref="AC26" si="71">SUM(AC27:AC29)</f>
        <v>14</v>
      </c>
      <c r="AD26" s="550">
        <f t="shared" ref="AD26" si="72">SUM(AD27:AD29)</f>
        <v>14</v>
      </c>
      <c r="AE26" s="550">
        <f t="shared" ref="AE26" si="73">SUM(AE27:AE29)</f>
        <v>14</v>
      </c>
      <c r="AF26" s="550">
        <f t="shared" ref="AF26" si="74">SUM(AF27:AF29)</f>
        <v>14</v>
      </c>
      <c r="AG26" s="550">
        <f t="shared" ref="AG26" si="75">SUM(AG27:AG29)</f>
        <v>22</v>
      </c>
      <c r="AH26" s="550">
        <f t="shared" ref="AH26" si="76">SUM(AH27:AH29)</f>
        <v>22</v>
      </c>
      <c r="AI26" s="550">
        <f t="shared" ref="AI26" si="77">SUM(AI27:AI29)</f>
        <v>22</v>
      </c>
      <c r="AJ26" s="550">
        <f t="shared" ref="AJ26" si="78">SUM(AJ27:AJ29)</f>
        <v>22</v>
      </c>
      <c r="AK26" s="550">
        <f t="shared" ref="AK26" si="79">SUM(AK27:AK29)</f>
        <v>27</v>
      </c>
      <c r="AL26" s="550">
        <f t="shared" ref="AL26" si="80">SUM(AL27:AL29)</f>
        <v>27</v>
      </c>
      <c r="AM26" s="550">
        <f t="shared" ref="AM26" si="81">SUM(AM27:AM29)</f>
        <v>27</v>
      </c>
      <c r="AN26" s="550">
        <f t="shared" ref="AN26" si="82">SUM(AN27:AN29)</f>
        <v>27</v>
      </c>
      <c r="AP26" s="456"/>
    </row>
    <row r="27" spans="2:42" ht="11.5" customHeight="1" x14ac:dyDescent="0.25">
      <c r="C27" s="20" t="s">
        <v>804</v>
      </c>
      <c r="D27" s="34" t="s">
        <v>162</v>
      </c>
      <c r="E27" s="20">
        <f>ROUNDDOWN('3.4 OpEx'!E$82/'1.1 Control Panel'!E889,0)</f>
        <v>0</v>
      </c>
      <c r="F27" s="20">
        <f>ROUNDDOWN('3.4 OpEx'!F$82/'1.1 Control Panel'!F889,0)</f>
        <v>0</v>
      </c>
      <c r="G27" s="20">
        <f>ROUNDDOWN('3.4 OpEx'!G$82/'1.1 Control Panel'!G889,0)</f>
        <v>0</v>
      </c>
      <c r="H27" s="20">
        <f>ROUNDDOWN('3.4 OpEx'!H$82/'1.1 Control Panel'!H889,0)</f>
        <v>0</v>
      </c>
      <c r="I27" s="20">
        <f>ROUNDDOWN('3.4 OpEx'!I$82/'1.1 Control Panel'!I889,0)</f>
        <v>0</v>
      </c>
      <c r="J27" s="20">
        <f>ROUNDDOWN('3.4 OpEx'!J$82/'1.1 Control Panel'!J889,0)</f>
        <v>0</v>
      </c>
      <c r="K27" s="20">
        <f>ROUNDDOWN('3.4 OpEx'!K$82/'1.1 Control Panel'!K889,0)</f>
        <v>0</v>
      </c>
      <c r="L27" s="20">
        <f>ROUNDDOWN('3.4 OpEx'!L$82/'1.1 Control Panel'!L889,0)</f>
        <v>0</v>
      </c>
      <c r="M27" s="20">
        <f>ROUNDDOWN('3.4 OpEx'!M$82/'1.1 Control Panel'!M889,0)</f>
        <v>0</v>
      </c>
      <c r="N27" s="20">
        <f>ROUNDDOWN('3.4 OpEx'!N$82/'1.1 Control Panel'!N889,0)</f>
        <v>0</v>
      </c>
      <c r="O27" s="20">
        <f>ROUNDDOWN('3.4 OpEx'!O$82/'1.1 Control Panel'!O889,0)</f>
        <v>0</v>
      </c>
      <c r="P27" s="20">
        <f>ROUNDDOWN('3.4 OpEx'!P$82/'1.1 Control Panel'!P889,0)</f>
        <v>0</v>
      </c>
      <c r="Q27" s="20">
        <f>ROUNDDOWN('3.4 OpEx'!Q$82/'1.1 Control Panel'!Q889,0)</f>
        <v>0</v>
      </c>
      <c r="R27" s="20">
        <f>ROUNDDOWN('3.4 OpEx'!R$82/'1.1 Control Panel'!R889,0)</f>
        <v>0</v>
      </c>
      <c r="S27" s="20">
        <f>ROUNDDOWN('3.4 OpEx'!S$82/'1.1 Control Panel'!S889,0)</f>
        <v>0</v>
      </c>
      <c r="T27" s="20">
        <f>ROUNDDOWN('3.4 OpEx'!T$82/'1.1 Control Panel'!T889,0)</f>
        <v>0</v>
      </c>
      <c r="U27" s="20">
        <f>ROUNDDOWN('3.4 OpEx'!U$82/'1.1 Control Panel'!U889,0)</f>
        <v>0</v>
      </c>
      <c r="V27" s="20">
        <f>ROUNDDOWN('3.4 OpEx'!V$82/'1.1 Control Panel'!V889,0)</f>
        <v>0</v>
      </c>
      <c r="W27" s="20">
        <f>ROUNDDOWN('3.4 OpEx'!W$82/'1.1 Control Panel'!W889,0)</f>
        <v>0</v>
      </c>
      <c r="X27" s="20">
        <f>ROUNDDOWN('3.4 OpEx'!X$82/'1.1 Control Panel'!X889,0)</f>
        <v>0</v>
      </c>
      <c r="Y27" s="20">
        <f>ROUNDDOWN('3.4 OpEx'!Y$82/'1.1 Control Panel'!Y889,0)</f>
        <v>1</v>
      </c>
      <c r="Z27" s="20">
        <f>ROUNDDOWN('3.4 OpEx'!Z$82/'1.1 Control Panel'!Z889,0)</f>
        <v>1</v>
      </c>
      <c r="AA27" s="20">
        <f>ROUNDDOWN('3.4 OpEx'!AA$82/'1.1 Control Panel'!AA889,0)</f>
        <v>1</v>
      </c>
      <c r="AB27" s="20">
        <f>ROUNDDOWN('3.4 OpEx'!AB$82/'1.1 Control Panel'!AB889,0)</f>
        <v>1</v>
      </c>
      <c r="AC27" s="20">
        <f>ROUNDDOWN('3.4 OpEx'!AC$82/'1.1 Control Panel'!AC889,0)</f>
        <v>1</v>
      </c>
      <c r="AD27" s="20">
        <f>ROUNDDOWN('3.4 OpEx'!AD$82/'1.1 Control Panel'!AD889,0)</f>
        <v>1</v>
      </c>
      <c r="AE27" s="20">
        <f>ROUNDDOWN('3.4 OpEx'!AE$82/'1.1 Control Panel'!AE889,0)</f>
        <v>1</v>
      </c>
      <c r="AF27" s="20">
        <f>ROUNDDOWN('3.4 OpEx'!AF$82/'1.1 Control Panel'!AF889,0)</f>
        <v>1</v>
      </c>
      <c r="AG27" s="20">
        <f>ROUNDDOWN('3.4 OpEx'!AG$82/'1.1 Control Panel'!AG889,0)</f>
        <v>2</v>
      </c>
      <c r="AH27" s="20">
        <f>ROUNDDOWN('3.4 OpEx'!AH$82/'1.1 Control Panel'!AH889,0)</f>
        <v>2</v>
      </c>
      <c r="AI27" s="20">
        <f>ROUNDDOWN('3.4 OpEx'!AI$82/'1.1 Control Panel'!AI889,0)</f>
        <v>2</v>
      </c>
      <c r="AJ27" s="20">
        <f>ROUNDDOWN('3.4 OpEx'!AJ$82/'1.1 Control Panel'!AJ889,0)</f>
        <v>2</v>
      </c>
      <c r="AK27" s="20">
        <f>ROUNDDOWN('3.4 OpEx'!AK$82/'1.1 Control Panel'!AK889,0)</f>
        <v>3</v>
      </c>
      <c r="AL27" s="20">
        <f>ROUNDDOWN('3.4 OpEx'!AL$82/'1.1 Control Panel'!AL889,0)</f>
        <v>3</v>
      </c>
      <c r="AM27" s="20">
        <f>ROUNDDOWN('3.4 OpEx'!AM$82/'1.1 Control Panel'!AM889,0)</f>
        <v>3</v>
      </c>
      <c r="AN27" s="20">
        <f>ROUNDDOWN('3.4 OpEx'!AN$82/'1.1 Control Panel'!AN889,0)</f>
        <v>3</v>
      </c>
      <c r="AP27" s="20"/>
    </row>
    <row r="28" spans="2:42" ht="11.5" customHeight="1" x14ac:dyDescent="0.25">
      <c r="C28" s="20" t="s">
        <v>803</v>
      </c>
      <c r="D28" s="34" t="s">
        <v>162</v>
      </c>
      <c r="E28" s="20">
        <f>ROUNDDOWN('3.4 OpEx'!E$82/'1.1 Control Panel'!E890,0)</f>
        <v>0</v>
      </c>
      <c r="F28" s="20">
        <f>ROUNDDOWN('3.4 OpEx'!F$82/'1.1 Control Panel'!F890,0)</f>
        <v>0</v>
      </c>
      <c r="G28" s="20">
        <f>ROUNDDOWN('3.4 OpEx'!G$82/'1.1 Control Panel'!G890,0)</f>
        <v>0</v>
      </c>
      <c r="H28" s="20">
        <f>ROUNDDOWN('3.4 OpEx'!H$82/'1.1 Control Panel'!H890,0)</f>
        <v>0</v>
      </c>
      <c r="I28" s="20">
        <f>ROUNDDOWN('3.4 OpEx'!I$82/'1.1 Control Panel'!I890,0)</f>
        <v>0</v>
      </c>
      <c r="J28" s="20">
        <f>ROUNDDOWN('3.4 OpEx'!J$82/'1.1 Control Panel'!J890,0)</f>
        <v>0</v>
      </c>
      <c r="K28" s="20">
        <f>ROUNDDOWN('3.4 OpEx'!K$82/'1.1 Control Panel'!K890,0)</f>
        <v>0</v>
      </c>
      <c r="L28" s="20">
        <f>ROUNDDOWN('3.4 OpEx'!L$82/'1.1 Control Panel'!L890,0)</f>
        <v>0</v>
      </c>
      <c r="M28" s="20">
        <f>ROUNDDOWN('3.4 OpEx'!M$82/'1.1 Control Panel'!M890,0)</f>
        <v>0</v>
      </c>
      <c r="N28" s="20">
        <f>ROUNDDOWN('3.4 OpEx'!N$82/'1.1 Control Panel'!N890,0)</f>
        <v>0</v>
      </c>
      <c r="O28" s="20">
        <f>ROUNDDOWN('3.4 OpEx'!O$82/'1.1 Control Panel'!O890,0)</f>
        <v>0</v>
      </c>
      <c r="P28" s="20">
        <f>ROUNDDOWN('3.4 OpEx'!P$82/'1.1 Control Panel'!P890,0)</f>
        <v>0</v>
      </c>
      <c r="Q28" s="20">
        <f>ROUNDDOWN('3.4 OpEx'!Q$82/'1.1 Control Panel'!Q890,0)</f>
        <v>1</v>
      </c>
      <c r="R28" s="20">
        <f>ROUNDDOWN('3.4 OpEx'!R$82/'1.1 Control Panel'!R890,0)</f>
        <v>1</v>
      </c>
      <c r="S28" s="20">
        <f>ROUNDDOWN('3.4 OpEx'!S$82/'1.1 Control Panel'!S890,0)</f>
        <v>1</v>
      </c>
      <c r="T28" s="20">
        <f>ROUNDDOWN('3.4 OpEx'!T$82/'1.1 Control Panel'!T890,0)</f>
        <v>1</v>
      </c>
      <c r="U28" s="20">
        <f>ROUNDDOWN('3.4 OpEx'!U$82/'1.1 Control Panel'!U890,0)</f>
        <v>2</v>
      </c>
      <c r="V28" s="20">
        <f>ROUNDDOWN('3.4 OpEx'!V$82/'1.1 Control Panel'!V890,0)</f>
        <v>2</v>
      </c>
      <c r="W28" s="20">
        <f>ROUNDDOWN('3.4 OpEx'!W$82/'1.1 Control Panel'!W890,0)</f>
        <v>2</v>
      </c>
      <c r="X28" s="20">
        <f>ROUNDDOWN('3.4 OpEx'!X$82/'1.1 Control Panel'!X890,0)</f>
        <v>2</v>
      </c>
      <c r="Y28" s="20">
        <f>ROUNDDOWN('3.4 OpEx'!Y$82/'1.1 Control Panel'!Y890,0)</f>
        <v>2</v>
      </c>
      <c r="Z28" s="20">
        <f>ROUNDDOWN('3.4 OpEx'!Z$82/'1.1 Control Panel'!Z890,0)</f>
        <v>2</v>
      </c>
      <c r="AA28" s="20">
        <f>ROUNDDOWN('3.4 OpEx'!AA$82/'1.1 Control Panel'!AA890,0)</f>
        <v>2</v>
      </c>
      <c r="AB28" s="20">
        <f>ROUNDDOWN('3.4 OpEx'!AB$82/'1.1 Control Panel'!AB890,0)</f>
        <v>2</v>
      </c>
      <c r="AC28" s="20">
        <f>ROUNDDOWN('3.4 OpEx'!AC$82/'1.1 Control Panel'!AC890,0)</f>
        <v>3</v>
      </c>
      <c r="AD28" s="20">
        <f>ROUNDDOWN('3.4 OpEx'!AD$82/'1.1 Control Panel'!AD890,0)</f>
        <v>3</v>
      </c>
      <c r="AE28" s="20">
        <f>ROUNDDOWN('3.4 OpEx'!AE$82/'1.1 Control Panel'!AE890,0)</f>
        <v>3</v>
      </c>
      <c r="AF28" s="20">
        <f>ROUNDDOWN('3.4 OpEx'!AF$82/'1.1 Control Panel'!AF890,0)</f>
        <v>3</v>
      </c>
      <c r="AG28" s="20">
        <f>ROUNDDOWN('3.4 OpEx'!AG$82/'1.1 Control Panel'!AG890,0)</f>
        <v>5</v>
      </c>
      <c r="AH28" s="20">
        <f>ROUNDDOWN('3.4 OpEx'!AH$82/'1.1 Control Panel'!AH890,0)</f>
        <v>5</v>
      </c>
      <c r="AI28" s="20">
        <f>ROUNDDOWN('3.4 OpEx'!AI$82/'1.1 Control Panel'!AI890,0)</f>
        <v>5</v>
      </c>
      <c r="AJ28" s="20">
        <f>ROUNDDOWN('3.4 OpEx'!AJ$82/'1.1 Control Panel'!AJ890,0)</f>
        <v>5</v>
      </c>
      <c r="AK28" s="20">
        <f>ROUNDDOWN('3.4 OpEx'!AK$82/'1.1 Control Panel'!AK890,0)</f>
        <v>6</v>
      </c>
      <c r="AL28" s="20">
        <f>ROUNDDOWN('3.4 OpEx'!AL$82/'1.1 Control Panel'!AL890,0)</f>
        <v>6</v>
      </c>
      <c r="AM28" s="20">
        <f>ROUNDDOWN('3.4 OpEx'!AM$82/'1.1 Control Panel'!AM890,0)</f>
        <v>6</v>
      </c>
      <c r="AN28" s="20">
        <f>ROUNDDOWN('3.4 OpEx'!AN$82/'1.1 Control Panel'!AN890,0)</f>
        <v>6</v>
      </c>
      <c r="AP28" s="20"/>
    </row>
    <row r="29" spans="2:42" ht="11.5" customHeight="1" x14ac:dyDescent="0.25">
      <c r="C29" s="26" t="s">
        <v>805</v>
      </c>
      <c r="D29" s="319" t="s">
        <v>162</v>
      </c>
      <c r="E29" s="20">
        <f>ROUNDDOWN('3.4 OpEx'!E$82/'1.1 Control Panel'!E891,0)</f>
        <v>1</v>
      </c>
      <c r="F29" s="20">
        <f>ROUNDDOWN('3.4 OpEx'!F$82/'1.1 Control Panel'!F891,0)</f>
        <v>1</v>
      </c>
      <c r="G29" s="20">
        <f>ROUNDDOWN('3.4 OpEx'!G$82/'1.1 Control Panel'!G891,0)</f>
        <v>1</v>
      </c>
      <c r="H29" s="20">
        <f>ROUNDDOWN('3.4 OpEx'!H$82/'1.1 Control Panel'!H891,0)</f>
        <v>1</v>
      </c>
      <c r="I29" s="20">
        <f>ROUNDDOWN('3.4 OpEx'!I$82/'1.1 Control Panel'!I891,0)</f>
        <v>1</v>
      </c>
      <c r="J29" s="20">
        <f>ROUNDDOWN('3.4 OpEx'!J$82/'1.1 Control Panel'!J891,0)</f>
        <v>1</v>
      </c>
      <c r="K29" s="20">
        <f>ROUNDDOWN('3.4 OpEx'!K$82/'1.1 Control Panel'!K891,0)</f>
        <v>1</v>
      </c>
      <c r="L29" s="20">
        <f>ROUNDDOWN('3.4 OpEx'!L$82/'1.1 Control Panel'!L891,0)</f>
        <v>1</v>
      </c>
      <c r="M29" s="20">
        <f>ROUNDDOWN('3.4 OpEx'!M$82/'1.1 Control Panel'!M891,0)</f>
        <v>2</v>
      </c>
      <c r="N29" s="20">
        <f>ROUNDDOWN('3.4 OpEx'!N$82/'1.1 Control Panel'!N891,0)</f>
        <v>2</v>
      </c>
      <c r="O29" s="20">
        <f>ROUNDDOWN('3.4 OpEx'!O$82/'1.1 Control Panel'!O891,0)</f>
        <v>2</v>
      </c>
      <c r="P29" s="20">
        <f>ROUNDDOWN('3.4 OpEx'!P$82/'1.1 Control Panel'!P891,0)</f>
        <v>2</v>
      </c>
      <c r="Q29" s="20">
        <f>ROUNDDOWN('3.4 OpEx'!Q$82/'1.1 Control Panel'!Q891,0)</f>
        <v>4</v>
      </c>
      <c r="R29" s="20">
        <f>ROUNDDOWN('3.4 OpEx'!R$82/'1.1 Control Panel'!R891,0)</f>
        <v>4</v>
      </c>
      <c r="S29" s="20">
        <f>ROUNDDOWN('3.4 OpEx'!S$82/'1.1 Control Panel'!S891,0)</f>
        <v>4</v>
      </c>
      <c r="T29" s="20">
        <f>ROUNDDOWN('3.4 OpEx'!T$82/'1.1 Control Panel'!T891,0)</f>
        <v>4</v>
      </c>
      <c r="U29" s="20">
        <f>ROUNDDOWN('3.4 OpEx'!U$82/'1.1 Control Panel'!U891,0)</f>
        <v>5</v>
      </c>
      <c r="V29" s="20">
        <f>ROUNDDOWN('3.4 OpEx'!V$82/'1.1 Control Panel'!V891,0)</f>
        <v>5</v>
      </c>
      <c r="W29" s="20">
        <f>ROUNDDOWN('3.4 OpEx'!W$82/'1.1 Control Panel'!W891,0)</f>
        <v>5</v>
      </c>
      <c r="X29" s="20">
        <f>ROUNDDOWN('3.4 OpEx'!X$82/'1.1 Control Panel'!X891,0)</f>
        <v>5</v>
      </c>
      <c r="Y29" s="20">
        <f>ROUNDDOWN('3.4 OpEx'!Y$82/'1.1 Control Panel'!Y891,0)</f>
        <v>6</v>
      </c>
      <c r="Z29" s="20">
        <f>ROUNDDOWN('3.4 OpEx'!Z$82/'1.1 Control Panel'!Z891,0)</f>
        <v>6</v>
      </c>
      <c r="AA29" s="20">
        <f>ROUNDDOWN('3.4 OpEx'!AA$82/'1.1 Control Panel'!AA891,0)</f>
        <v>6</v>
      </c>
      <c r="AB29" s="20">
        <f>ROUNDDOWN('3.4 OpEx'!AB$82/'1.1 Control Panel'!AB891,0)</f>
        <v>6</v>
      </c>
      <c r="AC29" s="20">
        <f>ROUNDDOWN('3.4 OpEx'!AC$82/'1.1 Control Panel'!AC891,0)</f>
        <v>10</v>
      </c>
      <c r="AD29" s="20">
        <f>ROUNDDOWN('3.4 OpEx'!AD$82/'1.1 Control Panel'!AD891,0)</f>
        <v>10</v>
      </c>
      <c r="AE29" s="20">
        <f>ROUNDDOWN('3.4 OpEx'!AE$82/'1.1 Control Panel'!AE891,0)</f>
        <v>10</v>
      </c>
      <c r="AF29" s="20">
        <f>ROUNDDOWN('3.4 OpEx'!AF$82/'1.1 Control Panel'!AF891,0)</f>
        <v>10</v>
      </c>
      <c r="AG29" s="20">
        <f>ROUNDDOWN('3.4 OpEx'!AG$82/'1.1 Control Panel'!AG891,0)</f>
        <v>15</v>
      </c>
      <c r="AH29" s="20">
        <f>ROUNDDOWN('3.4 OpEx'!AH$82/'1.1 Control Panel'!AH891,0)</f>
        <v>15</v>
      </c>
      <c r="AI29" s="20">
        <f>ROUNDDOWN('3.4 OpEx'!AI$82/'1.1 Control Panel'!AI891,0)</f>
        <v>15</v>
      </c>
      <c r="AJ29" s="20">
        <f>ROUNDDOWN('3.4 OpEx'!AJ$82/'1.1 Control Panel'!AJ891,0)</f>
        <v>15</v>
      </c>
      <c r="AK29" s="20">
        <f>ROUNDDOWN('3.4 OpEx'!AK$82/'1.1 Control Panel'!AK891,0)</f>
        <v>18</v>
      </c>
      <c r="AL29" s="20">
        <f>ROUNDDOWN('3.4 OpEx'!AL$82/'1.1 Control Panel'!AL891,0)</f>
        <v>18</v>
      </c>
      <c r="AM29" s="20">
        <f>ROUNDDOWN('3.4 OpEx'!AM$82/'1.1 Control Panel'!AM891,0)</f>
        <v>18</v>
      </c>
      <c r="AN29" s="20">
        <f>ROUNDDOWN('3.4 OpEx'!AN$82/'1.1 Control Panel'!AN891,0)</f>
        <v>18</v>
      </c>
      <c r="AP29" s="20"/>
    </row>
    <row r="30" spans="2:42" ht="11.5" customHeight="1" x14ac:dyDescent="0.25">
      <c r="B30" s="33" t="s">
        <v>9</v>
      </c>
      <c r="C30" s="537" t="s">
        <v>788</v>
      </c>
      <c r="D30" s="535" t="s">
        <v>162</v>
      </c>
      <c r="E30" s="550">
        <f>SUM(E31,E35,E39)</f>
        <v>3</v>
      </c>
      <c r="F30" s="550">
        <f t="shared" ref="F30:AN30" si="83">SUM(F31,F35,F39)</f>
        <v>3</v>
      </c>
      <c r="G30" s="550">
        <f t="shared" si="83"/>
        <v>3</v>
      </c>
      <c r="H30" s="550">
        <f t="shared" si="83"/>
        <v>3</v>
      </c>
      <c r="I30" s="550">
        <f t="shared" si="83"/>
        <v>3</v>
      </c>
      <c r="J30" s="550">
        <f t="shared" si="83"/>
        <v>3</v>
      </c>
      <c r="K30" s="550">
        <f t="shared" si="83"/>
        <v>3</v>
      </c>
      <c r="L30" s="550">
        <f t="shared" si="83"/>
        <v>3</v>
      </c>
      <c r="M30" s="550">
        <f t="shared" si="83"/>
        <v>6</v>
      </c>
      <c r="N30" s="550">
        <f t="shared" si="83"/>
        <v>6</v>
      </c>
      <c r="O30" s="550">
        <f t="shared" si="83"/>
        <v>6</v>
      </c>
      <c r="P30" s="550">
        <f t="shared" si="83"/>
        <v>6</v>
      </c>
      <c r="Q30" s="550">
        <f t="shared" si="83"/>
        <v>15</v>
      </c>
      <c r="R30" s="550">
        <f t="shared" si="83"/>
        <v>15</v>
      </c>
      <c r="S30" s="550">
        <f t="shared" si="83"/>
        <v>15</v>
      </c>
      <c r="T30" s="550">
        <f t="shared" si="83"/>
        <v>15</v>
      </c>
      <c r="U30" s="550">
        <f t="shared" si="83"/>
        <v>21</v>
      </c>
      <c r="V30" s="550">
        <f t="shared" si="83"/>
        <v>21</v>
      </c>
      <c r="W30" s="550">
        <f t="shared" si="83"/>
        <v>21</v>
      </c>
      <c r="X30" s="550">
        <f t="shared" si="83"/>
        <v>21</v>
      </c>
      <c r="Y30" s="550">
        <f t="shared" si="83"/>
        <v>27</v>
      </c>
      <c r="Z30" s="550">
        <f t="shared" si="83"/>
        <v>27</v>
      </c>
      <c r="AA30" s="550">
        <f t="shared" si="83"/>
        <v>27</v>
      </c>
      <c r="AB30" s="550">
        <f t="shared" si="83"/>
        <v>27</v>
      </c>
      <c r="AC30" s="550">
        <f t="shared" si="83"/>
        <v>42</v>
      </c>
      <c r="AD30" s="550">
        <f t="shared" si="83"/>
        <v>42</v>
      </c>
      <c r="AE30" s="550">
        <f t="shared" si="83"/>
        <v>42</v>
      </c>
      <c r="AF30" s="550">
        <f t="shared" si="83"/>
        <v>42</v>
      </c>
      <c r="AG30" s="550">
        <f t="shared" si="83"/>
        <v>66</v>
      </c>
      <c r="AH30" s="550">
        <f t="shared" si="83"/>
        <v>66</v>
      </c>
      <c r="AI30" s="550">
        <f t="shared" si="83"/>
        <v>66</v>
      </c>
      <c r="AJ30" s="550">
        <f t="shared" si="83"/>
        <v>66</v>
      </c>
      <c r="AK30" s="550">
        <f t="shared" si="83"/>
        <v>81</v>
      </c>
      <c r="AL30" s="550">
        <f t="shared" si="83"/>
        <v>81</v>
      </c>
      <c r="AM30" s="550">
        <f t="shared" si="83"/>
        <v>81</v>
      </c>
      <c r="AN30" s="550">
        <f t="shared" si="83"/>
        <v>81</v>
      </c>
      <c r="AP30" s="534"/>
    </row>
    <row r="31" spans="2:42" s="12" customFormat="1" ht="11.5" customHeight="1" x14ac:dyDescent="0.25">
      <c r="C31" s="584" t="s">
        <v>806</v>
      </c>
      <c r="D31" s="172" t="s">
        <v>162</v>
      </c>
      <c r="E31" s="588">
        <f>SUM(E32:E34)</f>
        <v>1</v>
      </c>
      <c r="F31" s="584">
        <f t="shared" ref="F31:AN31" si="84">SUM(F32:F34)</f>
        <v>1</v>
      </c>
      <c r="G31" s="584">
        <f t="shared" si="84"/>
        <v>1</v>
      </c>
      <c r="H31" s="584">
        <f t="shared" si="84"/>
        <v>1</v>
      </c>
      <c r="I31" s="584">
        <f t="shared" si="84"/>
        <v>1</v>
      </c>
      <c r="J31" s="584">
        <f t="shared" si="84"/>
        <v>1</v>
      </c>
      <c r="K31" s="584">
        <f t="shared" si="84"/>
        <v>1</v>
      </c>
      <c r="L31" s="584">
        <f t="shared" si="84"/>
        <v>1</v>
      </c>
      <c r="M31" s="584">
        <f t="shared" si="84"/>
        <v>2</v>
      </c>
      <c r="N31" s="584">
        <f t="shared" si="84"/>
        <v>2</v>
      </c>
      <c r="O31" s="584">
        <f t="shared" si="84"/>
        <v>2</v>
      </c>
      <c r="P31" s="584">
        <f t="shared" si="84"/>
        <v>2</v>
      </c>
      <c r="Q31" s="584">
        <f t="shared" si="84"/>
        <v>5</v>
      </c>
      <c r="R31" s="584">
        <f t="shared" si="84"/>
        <v>5</v>
      </c>
      <c r="S31" s="584">
        <f t="shared" si="84"/>
        <v>5</v>
      </c>
      <c r="T31" s="584">
        <f t="shared" si="84"/>
        <v>5</v>
      </c>
      <c r="U31" s="584">
        <f t="shared" si="84"/>
        <v>7</v>
      </c>
      <c r="V31" s="584">
        <f t="shared" si="84"/>
        <v>7</v>
      </c>
      <c r="W31" s="584">
        <f t="shared" si="84"/>
        <v>7</v>
      </c>
      <c r="X31" s="584">
        <f t="shared" si="84"/>
        <v>7</v>
      </c>
      <c r="Y31" s="584">
        <f t="shared" si="84"/>
        <v>9</v>
      </c>
      <c r="Z31" s="584">
        <f t="shared" si="84"/>
        <v>9</v>
      </c>
      <c r="AA31" s="584">
        <f t="shared" si="84"/>
        <v>9</v>
      </c>
      <c r="AB31" s="584">
        <f t="shared" si="84"/>
        <v>9</v>
      </c>
      <c r="AC31" s="584">
        <f t="shared" si="84"/>
        <v>14</v>
      </c>
      <c r="AD31" s="584">
        <f t="shared" si="84"/>
        <v>14</v>
      </c>
      <c r="AE31" s="584">
        <f t="shared" si="84"/>
        <v>14</v>
      </c>
      <c r="AF31" s="584">
        <f t="shared" si="84"/>
        <v>14</v>
      </c>
      <c r="AG31" s="584">
        <f t="shared" si="84"/>
        <v>22</v>
      </c>
      <c r="AH31" s="584">
        <f t="shared" si="84"/>
        <v>22</v>
      </c>
      <c r="AI31" s="584">
        <f t="shared" si="84"/>
        <v>22</v>
      </c>
      <c r="AJ31" s="584">
        <f t="shared" si="84"/>
        <v>22</v>
      </c>
      <c r="AK31" s="584">
        <f t="shared" si="84"/>
        <v>27</v>
      </c>
      <c r="AL31" s="584">
        <f t="shared" si="84"/>
        <v>27</v>
      </c>
      <c r="AM31" s="584">
        <f t="shared" si="84"/>
        <v>27</v>
      </c>
      <c r="AN31" s="584">
        <f t="shared" si="84"/>
        <v>27</v>
      </c>
      <c r="AP31" s="584"/>
    </row>
    <row r="32" spans="2:42" ht="11.5" customHeight="1" x14ac:dyDescent="0.25">
      <c r="C32" s="20" t="s">
        <v>804</v>
      </c>
      <c r="D32" s="34" t="s">
        <v>162</v>
      </c>
      <c r="E32" s="20">
        <f>ROUNDDOWN('3.4 OpEx'!E$82/'1.1 Control Panel'!E894,0)</f>
        <v>0</v>
      </c>
      <c r="F32" s="20">
        <f>ROUNDDOWN('3.4 OpEx'!F$82/'1.1 Control Panel'!F894,0)</f>
        <v>0</v>
      </c>
      <c r="G32" s="20">
        <f>ROUNDDOWN('3.4 OpEx'!G$82/'1.1 Control Panel'!G894,0)</f>
        <v>0</v>
      </c>
      <c r="H32" s="20">
        <f>ROUNDDOWN('3.4 OpEx'!H$82/'1.1 Control Panel'!H894,0)</f>
        <v>0</v>
      </c>
      <c r="I32" s="20">
        <f>ROUNDDOWN('3.4 OpEx'!I$82/'1.1 Control Panel'!I894,0)</f>
        <v>0</v>
      </c>
      <c r="J32" s="20">
        <f>ROUNDDOWN('3.4 OpEx'!J$82/'1.1 Control Panel'!J894,0)</f>
        <v>0</v>
      </c>
      <c r="K32" s="20">
        <f>ROUNDDOWN('3.4 OpEx'!K$82/'1.1 Control Panel'!K894,0)</f>
        <v>0</v>
      </c>
      <c r="L32" s="20">
        <f>ROUNDDOWN('3.4 OpEx'!L$82/'1.1 Control Panel'!L894,0)</f>
        <v>0</v>
      </c>
      <c r="M32" s="20">
        <f>ROUNDDOWN('3.4 OpEx'!M$82/'1.1 Control Panel'!M894,0)</f>
        <v>0</v>
      </c>
      <c r="N32" s="20">
        <f>ROUNDDOWN('3.4 OpEx'!N$82/'1.1 Control Panel'!N894,0)</f>
        <v>0</v>
      </c>
      <c r="O32" s="20">
        <f>ROUNDDOWN('3.4 OpEx'!O$82/'1.1 Control Panel'!O894,0)</f>
        <v>0</v>
      </c>
      <c r="P32" s="20">
        <f>ROUNDDOWN('3.4 OpEx'!P$82/'1.1 Control Panel'!P894,0)</f>
        <v>0</v>
      </c>
      <c r="Q32" s="20">
        <f>ROUNDDOWN('3.4 OpEx'!Q$82/'1.1 Control Panel'!Q894,0)</f>
        <v>0</v>
      </c>
      <c r="R32" s="20">
        <f>ROUNDDOWN('3.4 OpEx'!R$82/'1.1 Control Panel'!R894,0)</f>
        <v>0</v>
      </c>
      <c r="S32" s="20">
        <f>ROUNDDOWN('3.4 OpEx'!S$82/'1.1 Control Panel'!S894,0)</f>
        <v>0</v>
      </c>
      <c r="T32" s="20">
        <f>ROUNDDOWN('3.4 OpEx'!T$82/'1.1 Control Panel'!T894,0)</f>
        <v>0</v>
      </c>
      <c r="U32" s="20">
        <f>ROUNDDOWN('3.4 OpEx'!U$82/'1.1 Control Panel'!U894,0)</f>
        <v>0</v>
      </c>
      <c r="V32" s="20">
        <f>ROUNDDOWN('3.4 OpEx'!V$82/'1.1 Control Panel'!V894,0)</f>
        <v>0</v>
      </c>
      <c r="W32" s="20">
        <f>ROUNDDOWN('3.4 OpEx'!W$82/'1.1 Control Panel'!W894,0)</f>
        <v>0</v>
      </c>
      <c r="X32" s="20">
        <f>ROUNDDOWN('3.4 OpEx'!X$82/'1.1 Control Panel'!X894,0)</f>
        <v>0</v>
      </c>
      <c r="Y32" s="20">
        <f>ROUNDDOWN('3.4 OpEx'!Y$82/'1.1 Control Panel'!Y894,0)</f>
        <v>1</v>
      </c>
      <c r="Z32" s="20">
        <f>ROUNDDOWN('3.4 OpEx'!Z$82/'1.1 Control Panel'!Z894,0)</f>
        <v>1</v>
      </c>
      <c r="AA32" s="20">
        <f>ROUNDDOWN('3.4 OpEx'!AA$82/'1.1 Control Panel'!AA894,0)</f>
        <v>1</v>
      </c>
      <c r="AB32" s="20">
        <f>ROUNDDOWN('3.4 OpEx'!AB$82/'1.1 Control Panel'!AB894,0)</f>
        <v>1</v>
      </c>
      <c r="AC32" s="20">
        <f>ROUNDDOWN('3.4 OpEx'!AC$82/'1.1 Control Panel'!AC894,0)</f>
        <v>1</v>
      </c>
      <c r="AD32" s="20">
        <f>ROUNDDOWN('3.4 OpEx'!AD$82/'1.1 Control Panel'!AD894,0)</f>
        <v>1</v>
      </c>
      <c r="AE32" s="20">
        <f>ROUNDDOWN('3.4 OpEx'!AE$82/'1.1 Control Panel'!AE894,0)</f>
        <v>1</v>
      </c>
      <c r="AF32" s="20">
        <f>ROUNDDOWN('3.4 OpEx'!AF$82/'1.1 Control Panel'!AF894,0)</f>
        <v>1</v>
      </c>
      <c r="AG32" s="20">
        <f>ROUNDDOWN('3.4 OpEx'!AG$82/'1.1 Control Panel'!AG894,0)</f>
        <v>2</v>
      </c>
      <c r="AH32" s="20">
        <f>ROUNDDOWN('3.4 OpEx'!AH$82/'1.1 Control Panel'!AH894,0)</f>
        <v>2</v>
      </c>
      <c r="AI32" s="20">
        <f>ROUNDDOWN('3.4 OpEx'!AI$82/'1.1 Control Panel'!AI894,0)</f>
        <v>2</v>
      </c>
      <c r="AJ32" s="20">
        <f>ROUNDDOWN('3.4 OpEx'!AJ$82/'1.1 Control Panel'!AJ894,0)</f>
        <v>2</v>
      </c>
      <c r="AK32" s="20">
        <f>ROUNDDOWN('3.4 OpEx'!AK$82/'1.1 Control Panel'!AK894,0)</f>
        <v>3</v>
      </c>
      <c r="AL32" s="20">
        <f>ROUNDDOWN('3.4 OpEx'!AL$82/'1.1 Control Panel'!AL894,0)</f>
        <v>3</v>
      </c>
      <c r="AM32" s="20">
        <f>ROUNDDOWN('3.4 OpEx'!AM$82/'1.1 Control Panel'!AM894,0)</f>
        <v>3</v>
      </c>
      <c r="AN32" s="20">
        <f>ROUNDDOWN('3.4 OpEx'!AN$82/'1.1 Control Panel'!AN894,0)</f>
        <v>3</v>
      </c>
      <c r="AP32" s="20"/>
    </row>
    <row r="33" spans="2:42" ht="11.5" customHeight="1" x14ac:dyDescent="0.25">
      <c r="C33" s="20" t="s">
        <v>803</v>
      </c>
      <c r="D33" s="34" t="s">
        <v>162</v>
      </c>
      <c r="E33" s="20">
        <f>ROUNDDOWN('3.4 OpEx'!E$82/'1.1 Control Panel'!E895,0)</f>
        <v>0</v>
      </c>
      <c r="F33" s="20">
        <f>ROUNDDOWN('3.4 OpEx'!F$82/'1.1 Control Panel'!F895,0)</f>
        <v>0</v>
      </c>
      <c r="G33" s="20">
        <f>ROUNDDOWN('3.4 OpEx'!G$82/'1.1 Control Panel'!G895,0)</f>
        <v>0</v>
      </c>
      <c r="H33" s="20">
        <f>ROUNDDOWN('3.4 OpEx'!H$82/'1.1 Control Panel'!H895,0)</f>
        <v>0</v>
      </c>
      <c r="I33" s="20">
        <f>ROUNDDOWN('3.4 OpEx'!I$82/'1.1 Control Panel'!I895,0)</f>
        <v>0</v>
      </c>
      <c r="J33" s="20">
        <f>ROUNDDOWN('3.4 OpEx'!J$82/'1.1 Control Panel'!J895,0)</f>
        <v>0</v>
      </c>
      <c r="K33" s="20">
        <f>ROUNDDOWN('3.4 OpEx'!K$82/'1.1 Control Panel'!K895,0)</f>
        <v>0</v>
      </c>
      <c r="L33" s="20">
        <f>ROUNDDOWN('3.4 OpEx'!L$82/'1.1 Control Panel'!L895,0)</f>
        <v>0</v>
      </c>
      <c r="M33" s="20">
        <f>ROUNDDOWN('3.4 OpEx'!M$82/'1.1 Control Panel'!M895,0)</f>
        <v>0</v>
      </c>
      <c r="N33" s="20">
        <f>ROUNDDOWN('3.4 OpEx'!N$82/'1.1 Control Panel'!N895,0)</f>
        <v>0</v>
      </c>
      <c r="O33" s="20">
        <f>ROUNDDOWN('3.4 OpEx'!O$82/'1.1 Control Panel'!O895,0)</f>
        <v>0</v>
      </c>
      <c r="P33" s="20">
        <f>ROUNDDOWN('3.4 OpEx'!P$82/'1.1 Control Panel'!P895,0)</f>
        <v>0</v>
      </c>
      <c r="Q33" s="20">
        <f>ROUNDDOWN('3.4 OpEx'!Q$82/'1.1 Control Panel'!Q895,0)</f>
        <v>1</v>
      </c>
      <c r="R33" s="20">
        <f>ROUNDDOWN('3.4 OpEx'!R$82/'1.1 Control Panel'!R895,0)</f>
        <v>1</v>
      </c>
      <c r="S33" s="20">
        <f>ROUNDDOWN('3.4 OpEx'!S$82/'1.1 Control Panel'!S895,0)</f>
        <v>1</v>
      </c>
      <c r="T33" s="20">
        <f>ROUNDDOWN('3.4 OpEx'!T$82/'1.1 Control Panel'!T895,0)</f>
        <v>1</v>
      </c>
      <c r="U33" s="20">
        <f>ROUNDDOWN('3.4 OpEx'!U$82/'1.1 Control Panel'!U895,0)</f>
        <v>2</v>
      </c>
      <c r="V33" s="20">
        <f>ROUNDDOWN('3.4 OpEx'!V$82/'1.1 Control Panel'!V895,0)</f>
        <v>2</v>
      </c>
      <c r="W33" s="20">
        <f>ROUNDDOWN('3.4 OpEx'!W$82/'1.1 Control Panel'!W895,0)</f>
        <v>2</v>
      </c>
      <c r="X33" s="20">
        <f>ROUNDDOWN('3.4 OpEx'!X$82/'1.1 Control Panel'!X895,0)</f>
        <v>2</v>
      </c>
      <c r="Y33" s="20">
        <f>ROUNDDOWN('3.4 OpEx'!Y$82/'1.1 Control Panel'!Y895,0)</f>
        <v>2</v>
      </c>
      <c r="Z33" s="20">
        <f>ROUNDDOWN('3.4 OpEx'!Z$82/'1.1 Control Panel'!Z895,0)</f>
        <v>2</v>
      </c>
      <c r="AA33" s="20">
        <f>ROUNDDOWN('3.4 OpEx'!AA$82/'1.1 Control Panel'!AA895,0)</f>
        <v>2</v>
      </c>
      <c r="AB33" s="20">
        <f>ROUNDDOWN('3.4 OpEx'!AB$82/'1.1 Control Panel'!AB895,0)</f>
        <v>2</v>
      </c>
      <c r="AC33" s="20">
        <f>ROUNDDOWN('3.4 OpEx'!AC$82/'1.1 Control Panel'!AC895,0)</f>
        <v>3</v>
      </c>
      <c r="AD33" s="20">
        <f>ROUNDDOWN('3.4 OpEx'!AD$82/'1.1 Control Panel'!AD895,0)</f>
        <v>3</v>
      </c>
      <c r="AE33" s="20">
        <f>ROUNDDOWN('3.4 OpEx'!AE$82/'1.1 Control Panel'!AE895,0)</f>
        <v>3</v>
      </c>
      <c r="AF33" s="20">
        <f>ROUNDDOWN('3.4 OpEx'!AF$82/'1.1 Control Panel'!AF895,0)</f>
        <v>3</v>
      </c>
      <c r="AG33" s="20">
        <f>ROUNDDOWN('3.4 OpEx'!AG$82/'1.1 Control Panel'!AG895,0)</f>
        <v>5</v>
      </c>
      <c r="AH33" s="20">
        <f>ROUNDDOWN('3.4 OpEx'!AH$82/'1.1 Control Panel'!AH895,0)</f>
        <v>5</v>
      </c>
      <c r="AI33" s="20">
        <f>ROUNDDOWN('3.4 OpEx'!AI$82/'1.1 Control Panel'!AI895,0)</f>
        <v>5</v>
      </c>
      <c r="AJ33" s="20">
        <f>ROUNDDOWN('3.4 OpEx'!AJ$82/'1.1 Control Panel'!AJ895,0)</f>
        <v>5</v>
      </c>
      <c r="AK33" s="20">
        <f>ROUNDDOWN('3.4 OpEx'!AK$82/'1.1 Control Panel'!AK895,0)</f>
        <v>6</v>
      </c>
      <c r="AL33" s="20">
        <f>ROUNDDOWN('3.4 OpEx'!AL$82/'1.1 Control Panel'!AL895,0)</f>
        <v>6</v>
      </c>
      <c r="AM33" s="20">
        <f>ROUNDDOWN('3.4 OpEx'!AM$82/'1.1 Control Panel'!AM895,0)</f>
        <v>6</v>
      </c>
      <c r="AN33" s="20">
        <f>ROUNDDOWN('3.4 OpEx'!AN$82/'1.1 Control Panel'!AN895,0)</f>
        <v>6</v>
      </c>
      <c r="AP33" s="20"/>
    </row>
    <row r="34" spans="2:42" ht="11.5" customHeight="1" x14ac:dyDescent="0.25">
      <c r="C34" s="22" t="s">
        <v>805</v>
      </c>
      <c r="D34" s="236" t="s">
        <v>162</v>
      </c>
      <c r="E34" s="3">
        <f>ROUNDDOWN('3.4 OpEx'!E$82/'1.1 Control Panel'!E896,0)</f>
        <v>1</v>
      </c>
      <c r="F34" s="3">
        <f>ROUNDDOWN('3.4 OpEx'!F$82/'1.1 Control Panel'!F896,0)</f>
        <v>1</v>
      </c>
      <c r="G34" s="3">
        <f>ROUNDDOWN('3.4 OpEx'!G$82/'1.1 Control Panel'!G896,0)</f>
        <v>1</v>
      </c>
      <c r="H34" s="3">
        <f>ROUNDDOWN('3.4 OpEx'!H$82/'1.1 Control Panel'!H896,0)</f>
        <v>1</v>
      </c>
      <c r="I34" s="3">
        <f>ROUNDDOWN('3.4 OpEx'!I$82/'1.1 Control Panel'!I896,0)</f>
        <v>1</v>
      </c>
      <c r="J34" s="3">
        <f>ROUNDDOWN('3.4 OpEx'!J$82/'1.1 Control Panel'!J896,0)</f>
        <v>1</v>
      </c>
      <c r="K34" s="3">
        <f>ROUNDDOWN('3.4 OpEx'!K$82/'1.1 Control Panel'!K896,0)</f>
        <v>1</v>
      </c>
      <c r="L34" s="3">
        <f>ROUNDDOWN('3.4 OpEx'!L$82/'1.1 Control Panel'!L896,0)</f>
        <v>1</v>
      </c>
      <c r="M34" s="3">
        <f>ROUNDDOWN('3.4 OpEx'!M$82/'1.1 Control Panel'!M896,0)</f>
        <v>2</v>
      </c>
      <c r="N34" s="3">
        <f>ROUNDDOWN('3.4 OpEx'!N$82/'1.1 Control Panel'!N896,0)</f>
        <v>2</v>
      </c>
      <c r="O34" s="3">
        <f>ROUNDDOWN('3.4 OpEx'!O$82/'1.1 Control Panel'!O896,0)</f>
        <v>2</v>
      </c>
      <c r="P34" s="3">
        <f>ROUNDDOWN('3.4 OpEx'!P$82/'1.1 Control Panel'!P896,0)</f>
        <v>2</v>
      </c>
      <c r="Q34" s="3">
        <f>ROUNDDOWN('3.4 OpEx'!Q$82/'1.1 Control Panel'!Q896,0)</f>
        <v>4</v>
      </c>
      <c r="R34" s="3">
        <f>ROUNDDOWN('3.4 OpEx'!R$82/'1.1 Control Panel'!R896,0)</f>
        <v>4</v>
      </c>
      <c r="S34" s="3">
        <f>ROUNDDOWN('3.4 OpEx'!S$82/'1.1 Control Panel'!S896,0)</f>
        <v>4</v>
      </c>
      <c r="T34" s="3">
        <f>ROUNDDOWN('3.4 OpEx'!T$82/'1.1 Control Panel'!T896,0)</f>
        <v>4</v>
      </c>
      <c r="U34" s="3">
        <f>ROUNDDOWN('3.4 OpEx'!U$82/'1.1 Control Panel'!U896,0)</f>
        <v>5</v>
      </c>
      <c r="V34" s="3">
        <f>ROUNDDOWN('3.4 OpEx'!V$82/'1.1 Control Panel'!V896,0)</f>
        <v>5</v>
      </c>
      <c r="W34" s="3">
        <f>ROUNDDOWN('3.4 OpEx'!W$82/'1.1 Control Panel'!W896,0)</f>
        <v>5</v>
      </c>
      <c r="X34" s="3">
        <f>ROUNDDOWN('3.4 OpEx'!X$82/'1.1 Control Panel'!X896,0)</f>
        <v>5</v>
      </c>
      <c r="Y34" s="3">
        <f>ROUNDDOWN('3.4 OpEx'!Y$82/'1.1 Control Panel'!Y896,0)</f>
        <v>6</v>
      </c>
      <c r="Z34" s="3">
        <f>ROUNDDOWN('3.4 OpEx'!Z$82/'1.1 Control Panel'!Z896,0)</f>
        <v>6</v>
      </c>
      <c r="AA34" s="3">
        <f>ROUNDDOWN('3.4 OpEx'!AA$82/'1.1 Control Panel'!AA896,0)</f>
        <v>6</v>
      </c>
      <c r="AB34" s="3">
        <f>ROUNDDOWN('3.4 OpEx'!AB$82/'1.1 Control Panel'!AB896,0)</f>
        <v>6</v>
      </c>
      <c r="AC34" s="3">
        <f>ROUNDDOWN('3.4 OpEx'!AC$82/'1.1 Control Panel'!AC896,0)</f>
        <v>10</v>
      </c>
      <c r="AD34" s="3">
        <f>ROUNDDOWN('3.4 OpEx'!AD$82/'1.1 Control Panel'!AD896,0)</f>
        <v>10</v>
      </c>
      <c r="AE34" s="3">
        <f>ROUNDDOWN('3.4 OpEx'!AE$82/'1.1 Control Panel'!AE896,0)</f>
        <v>10</v>
      </c>
      <c r="AF34" s="3">
        <f>ROUNDDOWN('3.4 OpEx'!AF$82/'1.1 Control Panel'!AF896,0)</f>
        <v>10</v>
      </c>
      <c r="AG34" s="3">
        <f>ROUNDDOWN('3.4 OpEx'!AG$82/'1.1 Control Panel'!AG896,0)</f>
        <v>15</v>
      </c>
      <c r="AH34" s="3">
        <f>ROUNDDOWN('3.4 OpEx'!AH$82/'1.1 Control Panel'!AH896,0)</f>
        <v>15</v>
      </c>
      <c r="AI34" s="3">
        <f>ROUNDDOWN('3.4 OpEx'!AI$82/'1.1 Control Panel'!AI896,0)</f>
        <v>15</v>
      </c>
      <c r="AJ34" s="3">
        <f>ROUNDDOWN('3.4 OpEx'!AJ$82/'1.1 Control Panel'!AJ896,0)</f>
        <v>15</v>
      </c>
      <c r="AK34" s="3">
        <f>ROUNDDOWN('3.4 OpEx'!AK$82/'1.1 Control Panel'!AK896,0)</f>
        <v>18</v>
      </c>
      <c r="AL34" s="3">
        <f>ROUNDDOWN('3.4 OpEx'!AL$82/'1.1 Control Panel'!AL896,0)</f>
        <v>18</v>
      </c>
      <c r="AM34" s="3">
        <f>ROUNDDOWN('3.4 OpEx'!AM$82/'1.1 Control Panel'!AM896,0)</f>
        <v>18</v>
      </c>
      <c r="AN34" s="3">
        <f>ROUNDDOWN('3.4 OpEx'!AN$82/'1.1 Control Panel'!AN896,0)</f>
        <v>18</v>
      </c>
    </row>
    <row r="35" spans="2:42" s="12" customFormat="1" ht="11.5" customHeight="1" x14ac:dyDescent="0.25">
      <c r="C35" s="584" t="s">
        <v>807</v>
      </c>
      <c r="D35" s="172" t="s">
        <v>162</v>
      </c>
      <c r="E35" s="584">
        <f>SUM(E36:E38)</f>
        <v>1</v>
      </c>
      <c r="F35" s="584">
        <f t="shared" ref="F35" si="85">SUM(F36:F38)</f>
        <v>1</v>
      </c>
      <c r="G35" s="584">
        <f t="shared" ref="G35" si="86">SUM(G36:G38)</f>
        <v>1</v>
      </c>
      <c r="H35" s="584">
        <f t="shared" ref="H35" si="87">SUM(H36:H38)</f>
        <v>1</v>
      </c>
      <c r="I35" s="584">
        <f t="shared" ref="I35" si="88">SUM(I36:I38)</f>
        <v>1</v>
      </c>
      <c r="J35" s="584">
        <f t="shared" ref="J35" si="89">SUM(J36:J38)</f>
        <v>1</v>
      </c>
      <c r="K35" s="584">
        <f t="shared" ref="K35" si="90">SUM(K36:K38)</f>
        <v>1</v>
      </c>
      <c r="L35" s="584">
        <f t="shared" ref="L35" si="91">SUM(L36:L38)</f>
        <v>1</v>
      </c>
      <c r="M35" s="584">
        <f t="shared" ref="M35" si="92">SUM(M36:M38)</f>
        <v>2</v>
      </c>
      <c r="N35" s="584">
        <f t="shared" ref="N35" si="93">SUM(N36:N38)</f>
        <v>2</v>
      </c>
      <c r="O35" s="584">
        <f t="shared" ref="O35" si="94">SUM(O36:O38)</f>
        <v>2</v>
      </c>
      <c r="P35" s="584">
        <f t="shared" ref="P35" si="95">SUM(P36:P38)</f>
        <v>2</v>
      </c>
      <c r="Q35" s="584">
        <f t="shared" ref="Q35" si="96">SUM(Q36:Q38)</f>
        <v>5</v>
      </c>
      <c r="R35" s="584">
        <f t="shared" ref="R35" si="97">SUM(R36:R38)</f>
        <v>5</v>
      </c>
      <c r="S35" s="584">
        <f t="shared" ref="S35" si="98">SUM(S36:S38)</f>
        <v>5</v>
      </c>
      <c r="T35" s="584">
        <f t="shared" ref="T35" si="99">SUM(T36:T38)</f>
        <v>5</v>
      </c>
      <c r="U35" s="584">
        <f t="shared" ref="U35" si="100">SUM(U36:U38)</f>
        <v>7</v>
      </c>
      <c r="V35" s="584">
        <f t="shared" ref="V35" si="101">SUM(V36:V38)</f>
        <v>7</v>
      </c>
      <c r="W35" s="584">
        <f t="shared" ref="W35" si="102">SUM(W36:W38)</f>
        <v>7</v>
      </c>
      <c r="X35" s="584">
        <f t="shared" ref="X35" si="103">SUM(X36:X38)</f>
        <v>7</v>
      </c>
      <c r="Y35" s="584">
        <f t="shared" ref="Y35" si="104">SUM(Y36:Y38)</f>
        <v>9</v>
      </c>
      <c r="Z35" s="584">
        <f t="shared" ref="Z35" si="105">SUM(Z36:Z38)</f>
        <v>9</v>
      </c>
      <c r="AA35" s="584">
        <f t="shared" ref="AA35" si="106">SUM(AA36:AA38)</f>
        <v>9</v>
      </c>
      <c r="AB35" s="584">
        <f t="shared" ref="AB35" si="107">SUM(AB36:AB38)</f>
        <v>9</v>
      </c>
      <c r="AC35" s="584">
        <f t="shared" ref="AC35" si="108">SUM(AC36:AC38)</f>
        <v>14</v>
      </c>
      <c r="AD35" s="584">
        <f t="shared" ref="AD35" si="109">SUM(AD36:AD38)</f>
        <v>14</v>
      </c>
      <c r="AE35" s="584">
        <f t="shared" ref="AE35" si="110">SUM(AE36:AE38)</f>
        <v>14</v>
      </c>
      <c r="AF35" s="584">
        <f t="shared" ref="AF35" si="111">SUM(AF36:AF38)</f>
        <v>14</v>
      </c>
      <c r="AG35" s="584">
        <f t="shared" ref="AG35" si="112">SUM(AG36:AG38)</f>
        <v>22</v>
      </c>
      <c r="AH35" s="584">
        <f t="shared" ref="AH35" si="113">SUM(AH36:AH38)</f>
        <v>22</v>
      </c>
      <c r="AI35" s="584">
        <f t="shared" ref="AI35" si="114">SUM(AI36:AI38)</f>
        <v>22</v>
      </c>
      <c r="AJ35" s="584">
        <f t="shared" ref="AJ35" si="115">SUM(AJ36:AJ38)</f>
        <v>22</v>
      </c>
      <c r="AK35" s="584">
        <f t="shared" ref="AK35" si="116">SUM(AK36:AK38)</f>
        <v>27</v>
      </c>
      <c r="AL35" s="584">
        <f t="shared" ref="AL35" si="117">SUM(AL36:AL38)</f>
        <v>27</v>
      </c>
      <c r="AM35" s="584">
        <f t="shared" ref="AM35" si="118">SUM(AM36:AM38)</f>
        <v>27</v>
      </c>
      <c r="AN35" s="584">
        <f t="shared" ref="AN35" si="119">SUM(AN36:AN38)</f>
        <v>27</v>
      </c>
      <c r="AP35" s="584"/>
    </row>
    <row r="36" spans="2:42" ht="11.5" customHeight="1" x14ac:dyDescent="0.25">
      <c r="C36" s="20" t="s">
        <v>804</v>
      </c>
      <c r="D36" s="34" t="s">
        <v>162</v>
      </c>
      <c r="E36" s="20">
        <f>ROUNDDOWN('3.4 OpEx'!E$82/'1.1 Control Panel'!E898,0)</f>
        <v>0</v>
      </c>
      <c r="F36" s="20">
        <f>ROUNDDOWN('3.4 OpEx'!F$82/'1.1 Control Panel'!F898,0)</f>
        <v>0</v>
      </c>
      <c r="G36" s="20">
        <f>ROUNDDOWN('3.4 OpEx'!G$82/'1.1 Control Panel'!G898,0)</f>
        <v>0</v>
      </c>
      <c r="H36" s="20">
        <f>ROUNDDOWN('3.4 OpEx'!H$82/'1.1 Control Panel'!H898,0)</f>
        <v>0</v>
      </c>
      <c r="I36" s="20">
        <f>ROUNDDOWN('3.4 OpEx'!I$82/'1.1 Control Panel'!I898,0)</f>
        <v>0</v>
      </c>
      <c r="J36" s="20">
        <f>ROUNDDOWN('3.4 OpEx'!J$82/'1.1 Control Panel'!J898,0)</f>
        <v>0</v>
      </c>
      <c r="K36" s="20">
        <f>ROUNDDOWN('3.4 OpEx'!K$82/'1.1 Control Panel'!K898,0)</f>
        <v>0</v>
      </c>
      <c r="L36" s="20">
        <f>ROUNDDOWN('3.4 OpEx'!L$82/'1.1 Control Panel'!L898,0)</f>
        <v>0</v>
      </c>
      <c r="M36" s="20">
        <f>ROUNDDOWN('3.4 OpEx'!M$82/'1.1 Control Panel'!M898,0)</f>
        <v>0</v>
      </c>
      <c r="N36" s="20">
        <f>ROUNDDOWN('3.4 OpEx'!N$82/'1.1 Control Panel'!N898,0)</f>
        <v>0</v>
      </c>
      <c r="O36" s="20">
        <f>ROUNDDOWN('3.4 OpEx'!O$82/'1.1 Control Panel'!O898,0)</f>
        <v>0</v>
      </c>
      <c r="P36" s="20">
        <f>ROUNDDOWN('3.4 OpEx'!P$82/'1.1 Control Panel'!P898,0)</f>
        <v>0</v>
      </c>
      <c r="Q36" s="20">
        <f>ROUNDDOWN('3.4 OpEx'!Q$82/'1.1 Control Panel'!Q898,0)</f>
        <v>0</v>
      </c>
      <c r="R36" s="20">
        <f>ROUNDDOWN('3.4 OpEx'!R$82/'1.1 Control Panel'!R898,0)</f>
        <v>0</v>
      </c>
      <c r="S36" s="20">
        <f>ROUNDDOWN('3.4 OpEx'!S$82/'1.1 Control Panel'!S898,0)</f>
        <v>0</v>
      </c>
      <c r="T36" s="20">
        <f>ROUNDDOWN('3.4 OpEx'!T$82/'1.1 Control Panel'!T898,0)</f>
        <v>0</v>
      </c>
      <c r="U36" s="20">
        <f>ROUNDDOWN('3.4 OpEx'!U$82/'1.1 Control Panel'!U898,0)</f>
        <v>0</v>
      </c>
      <c r="V36" s="20">
        <f>ROUNDDOWN('3.4 OpEx'!V$82/'1.1 Control Panel'!V898,0)</f>
        <v>0</v>
      </c>
      <c r="W36" s="20">
        <f>ROUNDDOWN('3.4 OpEx'!W$82/'1.1 Control Panel'!W898,0)</f>
        <v>0</v>
      </c>
      <c r="X36" s="20">
        <f>ROUNDDOWN('3.4 OpEx'!X$82/'1.1 Control Panel'!X898,0)</f>
        <v>0</v>
      </c>
      <c r="Y36" s="20">
        <f>ROUNDDOWN('3.4 OpEx'!Y$82/'1.1 Control Panel'!Y898,0)</f>
        <v>1</v>
      </c>
      <c r="Z36" s="20">
        <f>ROUNDDOWN('3.4 OpEx'!Z$82/'1.1 Control Panel'!Z898,0)</f>
        <v>1</v>
      </c>
      <c r="AA36" s="20">
        <f>ROUNDDOWN('3.4 OpEx'!AA$82/'1.1 Control Panel'!AA898,0)</f>
        <v>1</v>
      </c>
      <c r="AB36" s="20">
        <f>ROUNDDOWN('3.4 OpEx'!AB$82/'1.1 Control Panel'!AB898,0)</f>
        <v>1</v>
      </c>
      <c r="AC36" s="20">
        <f>ROUNDDOWN('3.4 OpEx'!AC$82/'1.1 Control Panel'!AC898,0)</f>
        <v>1</v>
      </c>
      <c r="AD36" s="20">
        <f>ROUNDDOWN('3.4 OpEx'!AD$82/'1.1 Control Panel'!AD898,0)</f>
        <v>1</v>
      </c>
      <c r="AE36" s="20">
        <f>ROUNDDOWN('3.4 OpEx'!AE$82/'1.1 Control Panel'!AE898,0)</f>
        <v>1</v>
      </c>
      <c r="AF36" s="20">
        <f>ROUNDDOWN('3.4 OpEx'!AF$82/'1.1 Control Panel'!AF898,0)</f>
        <v>1</v>
      </c>
      <c r="AG36" s="20">
        <f>ROUNDDOWN('3.4 OpEx'!AG$82/'1.1 Control Panel'!AG898,0)</f>
        <v>2</v>
      </c>
      <c r="AH36" s="20">
        <f>ROUNDDOWN('3.4 OpEx'!AH$82/'1.1 Control Panel'!AH898,0)</f>
        <v>2</v>
      </c>
      <c r="AI36" s="20">
        <f>ROUNDDOWN('3.4 OpEx'!AI$82/'1.1 Control Panel'!AI898,0)</f>
        <v>2</v>
      </c>
      <c r="AJ36" s="20">
        <f>ROUNDDOWN('3.4 OpEx'!AJ$82/'1.1 Control Panel'!AJ898,0)</f>
        <v>2</v>
      </c>
      <c r="AK36" s="20">
        <f>ROUNDDOWN('3.4 OpEx'!AK$82/'1.1 Control Panel'!AK898,0)</f>
        <v>3</v>
      </c>
      <c r="AL36" s="20">
        <f>ROUNDDOWN('3.4 OpEx'!AL$82/'1.1 Control Panel'!AL898,0)</f>
        <v>3</v>
      </c>
      <c r="AM36" s="20">
        <f>ROUNDDOWN('3.4 OpEx'!AM$82/'1.1 Control Panel'!AM898,0)</f>
        <v>3</v>
      </c>
      <c r="AN36" s="20">
        <f>ROUNDDOWN('3.4 OpEx'!AN$82/'1.1 Control Panel'!AN898,0)</f>
        <v>3</v>
      </c>
      <c r="AP36" s="20"/>
    </row>
    <row r="37" spans="2:42" ht="11.5" customHeight="1" x14ac:dyDescent="0.25">
      <c r="C37" s="20" t="s">
        <v>803</v>
      </c>
      <c r="D37" s="34" t="s">
        <v>162</v>
      </c>
      <c r="E37" s="20">
        <f>ROUNDDOWN('3.4 OpEx'!E$82/'1.1 Control Panel'!E899,0)</f>
        <v>0</v>
      </c>
      <c r="F37" s="20">
        <f>ROUNDDOWN('3.4 OpEx'!F$82/'1.1 Control Panel'!F899,0)</f>
        <v>0</v>
      </c>
      <c r="G37" s="20">
        <f>ROUNDDOWN('3.4 OpEx'!G$82/'1.1 Control Panel'!G899,0)</f>
        <v>0</v>
      </c>
      <c r="H37" s="20">
        <f>ROUNDDOWN('3.4 OpEx'!H$82/'1.1 Control Panel'!H899,0)</f>
        <v>0</v>
      </c>
      <c r="I37" s="20">
        <f>ROUNDDOWN('3.4 OpEx'!I$82/'1.1 Control Panel'!I899,0)</f>
        <v>0</v>
      </c>
      <c r="J37" s="20">
        <f>ROUNDDOWN('3.4 OpEx'!J$82/'1.1 Control Panel'!J899,0)</f>
        <v>0</v>
      </c>
      <c r="K37" s="20">
        <f>ROUNDDOWN('3.4 OpEx'!K$82/'1.1 Control Panel'!K899,0)</f>
        <v>0</v>
      </c>
      <c r="L37" s="20">
        <f>ROUNDDOWN('3.4 OpEx'!L$82/'1.1 Control Panel'!L899,0)</f>
        <v>0</v>
      </c>
      <c r="M37" s="20">
        <f>ROUNDDOWN('3.4 OpEx'!M$82/'1.1 Control Panel'!M899,0)</f>
        <v>0</v>
      </c>
      <c r="N37" s="20">
        <f>ROUNDDOWN('3.4 OpEx'!N$82/'1.1 Control Panel'!N899,0)</f>
        <v>0</v>
      </c>
      <c r="O37" s="20">
        <f>ROUNDDOWN('3.4 OpEx'!O$82/'1.1 Control Panel'!O899,0)</f>
        <v>0</v>
      </c>
      <c r="P37" s="20">
        <f>ROUNDDOWN('3.4 OpEx'!P$82/'1.1 Control Panel'!P899,0)</f>
        <v>0</v>
      </c>
      <c r="Q37" s="20">
        <f>ROUNDDOWN('3.4 OpEx'!Q$82/'1.1 Control Panel'!Q899,0)</f>
        <v>1</v>
      </c>
      <c r="R37" s="20">
        <f>ROUNDDOWN('3.4 OpEx'!R$82/'1.1 Control Panel'!R899,0)</f>
        <v>1</v>
      </c>
      <c r="S37" s="20">
        <f>ROUNDDOWN('3.4 OpEx'!S$82/'1.1 Control Panel'!S899,0)</f>
        <v>1</v>
      </c>
      <c r="T37" s="20">
        <f>ROUNDDOWN('3.4 OpEx'!T$82/'1.1 Control Panel'!T899,0)</f>
        <v>1</v>
      </c>
      <c r="U37" s="20">
        <f>ROUNDDOWN('3.4 OpEx'!U$82/'1.1 Control Panel'!U899,0)</f>
        <v>2</v>
      </c>
      <c r="V37" s="20">
        <f>ROUNDDOWN('3.4 OpEx'!V$82/'1.1 Control Panel'!V899,0)</f>
        <v>2</v>
      </c>
      <c r="W37" s="20">
        <f>ROUNDDOWN('3.4 OpEx'!W$82/'1.1 Control Panel'!W899,0)</f>
        <v>2</v>
      </c>
      <c r="X37" s="20">
        <f>ROUNDDOWN('3.4 OpEx'!X$82/'1.1 Control Panel'!X899,0)</f>
        <v>2</v>
      </c>
      <c r="Y37" s="20">
        <f>ROUNDDOWN('3.4 OpEx'!Y$82/'1.1 Control Panel'!Y899,0)</f>
        <v>2</v>
      </c>
      <c r="Z37" s="20">
        <f>ROUNDDOWN('3.4 OpEx'!Z$82/'1.1 Control Panel'!Z899,0)</f>
        <v>2</v>
      </c>
      <c r="AA37" s="20">
        <f>ROUNDDOWN('3.4 OpEx'!AA$82/'1.1 Control Panel'!AA899,0)</f>
        <v>2</v>
      </c>
      <c r="AB37" s="20">
        <f>ROUNDDOWN('3.4 OpEx'!AB$82/'1.1 Control Panel'!AB899,0)</f>
        <v>2</v>
      </c>
      <c r="AC37" s="20">
        <f>ROUNDDOWN('3.4 OpEx'!AC$82/'1.1 Control Panel'!AC899,0)</f>
        <v>3</v>
      </c>
      <c r="AD37" s="20">
        <f>ROUNDDOWN('3.4 OpEx'!AD$82/'1.1 Control Panel'!AD899,0)</f>
        <v>3</v>
      </c>
      <c r="AE37" s="20">
        <f>ROUNDDOWN('3.4 OpEx'!AE$82/'1.1 Control Panel'!AE899,0)</f>
        <v>3</v>
      </c>
      <c r="AF37" s="20">
        <f>ROUNDDOWN('3.4 OpEx'!AF$82/'1.1 Control Panel'!AF899,0)</f>
        <v>3</v>
      </c>
      <c r="AG37" s="20">
        <f>ROUNDDOWN('3.4 OpEx'!AG$82/'1.1 Control Panel'!AG899,0)</f>
        <v>5</v>
      </c>
      <c r="AH37" s="20">
        <f>ROUNDDOWN('3.4 OpEx'!AH$82/'1.1 Control Panel'!AH899,0)</f>
        <v>5</v>
      </c>
      <c r="AI37" s="20">
        <f>ROUNDDOWN('3.4 OpEx'!AI$82/'1.1 Control Panel'!AI899,0)</f>
        <v>5</v>
      </c>
      <c r="AJ37" s="20">
        <f>ROUNDDOWN('3.4 OpEx'!AJ$82/'1.1 Control Panel'!AJ899,0)</f>
        <v>5</v>
      </c>
      <c r="AK37" s="20">
        <f>ROUNDDOWN('3.4 OpEx'!AK$82/'1.1 Control Panel'!AK899,0)</f>
        <v>6</v>
      </c>
      <c r="AL37" s="20">
        <f>ROUNDDOWN('3.4 OpEx'!AL$82/'1.1 Control Panel'!AL899,0)</f>
        <v>6</v>
      </c>
      <c r="AM37" s="20">
        <f>ROUNDDOWN('3.4 OpEx'!AM$82/'1.1 Control Panel'!AM899,0)</f>
        <v>6</v>
      </c>
      <c r="AN37" s="20">
        <f>ROUNDDOWN('3.4 OpEx'!AN$82/'1.1 Control Panel'!AN899,0)</f>
        <v>6</v>
      </c>
      <c r="AP37" s="20"/>
    </row>
    <row r="38" spans="2:42" ht="11.5" customHeight="1" x14ac:dyDescent="0.25">
      <c r="C38" s="22" t="s">
        <v>805</v>
      </c>
      <c r="D38" s="236" t="s">
        <v>162</v>
      </c>
      <c r="E38" s="3">
        <f>ROUNDDOWN('3.4 OpEx'!E$82/'1.1 Control Panel'!E900,0)</f>
        <v>1</v>
      </c>
      <c r="F38" s="3">
        <f>ROUNDDOWN('3.4 OpEx'!F$82/'1.1 Control Panel'!F900,0)</f>
        <v>1</v>
      </c>
      <c r="G38" s="3">
        <f>ROUNDDOWN('3.4 OpEx'!G$82/'1.1 Control Panel'!G900,0)</f>
        <v>1</v>
      </c>
      <c r="H38" s="3">
        <f>ROUNDDOWN('3.4 OpEx'!H$82/'1.1 Control Panel'!H900,0)</f>
        <v>1</v>
      </c>
      <c r="I38" s="3">
        <f>ROUNDDOWN('3.4 OpEx'!I$82/'1.1 Control Panel'!I900,0)</f>
        <v>1</v>
      </c>
      <c r="J38" s="3">
        <f>ROUNDDOWN('3.4 OpEx'!J$82/'1.1 Control Panel'!J900,0)</f>
        <v>1</v>
      </c>
      <c r="K38" s="3">
        <f>ROUNDDOWN('3.4 OpEx'!K$82/'1.1 Control Panel'!K900,0)</f>
        <v>1</v>
      </c>
      <c r="L38" s="3">
        <f>ROUNDDOWN('3.4 OpEx'!L$82/'1.1 Control Panel'!L900,0)</f>
        <v>1</v>
      </c>
      <c r="M38" s="3">
        <f>ROUNDDOWN('3.4 OpEx'!M$82/'1.1 Control Panel'!M900,0)</f>
        <v>2</v>
      </c>
      <c r="N38" s="3">
        <f>ROUNDDOWN('3.4 OpEx'!N$82/'1.1 Control Panel'!N900,0)</f>
        <v>2</v>
      </c>
      <c r="O38" s="3">
        <f>ROUNDDOWN('3.4 OpEx'!O$82/'1.1 Control Panel'!O900,0)</f>
        <v>2</v>
      </c>
      <c r="P38" s="3">
        <f>ROUNDDOWN('3.4 OpEx'!P$82/'1.1 Control Panel'!P900,0)</f>
        <v>2</v>
      </c>
      <c r="Q38" s="3">
        <f>ROUNDDOWN('3.4 OpEx'!Q$82/'1.1 Control Panel'!Q900,0)</f>
        <v>4</v>
      </c>
      <c r="R38" s="3">
        <f>ROUNDDOWN('3.4 OpEx'!R$82/'1.1 Control Panel'!R900,0)</f>
        <v>4</v>
      </c>
      <c r="S38" s="3">
        <f>ROUNDDOWN('3.4 OpEx'!S$82/'1.1 Control Panel'!S900,0)</f>
        <v>4</v>
      </c>
      <c r="T38" s="3">
        <f>ROUNDDOWN('3.4 OpEx'!T$82/'1.1 Control Panel'!T900,0)</f>
        <v>4</v>
      </c>
      <c r="U38" s="3">
        <f>ROUNDDOWN('3.4 OpEx'!U$82/'1.1 Control Panel'!U900,0)</f>
        <v>5</v>
      </c>
      <c r="V38" s="3">
        <f>ROUNDDOWN('3.4 OpEx'!V$82/'1.1 Control Panel'!V900,0)</f>
        <v>5</v>
      </c>
      <c r="W38" s="3">
        <f>ROUNDDOWN('3.4 OpEx'!W$82/'1.1 Control Panel'!W900,0)</f>
        <v>5</v>
      </c>
      <c r="X38" s="3">
        <f>ROUNDDOWN('3.4 OpEx'!X$82/'1.1 Control Panel'!X900,0)</f>
        <v>5</v>
      </c>
      <c r="Y38" s="3">
        <f>ROUNDDOWN('3.4 OpEx'!Y$82/'1.1 Control Panel'!Y900,0)</f>
        <v>6</v>
      </c>
      <c r="Z38" s="3">
        <f>ROUNDDOWN('3.4 OpEx'!Z$82/'1.1 Control Panel'!Z900,0)</f>
        <v>6</v>
      </c>
      <c r="AA38" s="3">
        <f>ROUNDDOWN('3.4 OpEx'!AA$82/'1.1 Control Panel'!AA900,0)</f>
        <v>6</v>
      </c>
      <c r="AB38" s="3">
        <f>ROUNDDOWN('3.4 OpEx'!AB$82/'1.1 Control Panel'!AB900,0)</f>
        <v>6</v>
      </c>
      <c r="AC38" s="3">
        <f>ROUNDDOWN('3.4 OpEx'!AC$82/'1.1 Control Panel'!AC900,0)</f>
        <v>10</v>
      </c>
      <c r="AD38" s="3">
        <f>ROUNDDOWN('3.4 OpEx'!AD$82/'1.1 Control Panel'!AD900,0)</f>
        <v>10</v>
      </c>
      <c r="AE38" s="3">
        <f>ROUNDDOWN('3.4 OpEx'!AE$82/'1.1 Control Panel'!AE900,0)</f>
        <v>10</v>
      </c>
      <c r="AF38" s="3">
        <f>ROUNDDOWN('3.4 OpEx'!AF$82/'1.1 Control Panel'!AF900,0)</f>
        <v>10</v>
      </c>
      <c r="AG38" s="3">
        <f>ROUNDDOWN('3.4 OpEx'!AG$82/'1.1 Control Panel'!AG900,0)</f>
        <v>15</v>
      </c>
      <c r="AH38" s="3">
        <f>ROUNDDOWN('3.4 OpEx'!AH$82/'1.1 Control Panel'!AH900,0)</f>
        <v>15</v>
      </c>
      <c r="AI38" s="3">
        <f>ROUNDDOWN('3.4 OpEx'!AI$82/'1.1 Control Panel'!AI900,0)</f>
        <v>15</v>
      </c>
      <c r="AJ38" s="3">
        <f>ROUNDDOWN('3.4 OpEx'!AJ$82/'1.1 Control Panel'!AJ900,0)</f>
        <v>15</v>
      </c>
      <c r="AK38" s="3">
        <f>ROUNDDOWN('3.4 OpEx'!AK$82/'1.1 Control Panel'!AK900,0)</f>
        <v>18</v>
      </c>
      <c r="AL38" s="3">
        <f>ROUNDDOWN('3.4 OpEx'!AL$82/'1.1 Control Panel'!AL900,0)</f>
        <v>18</v>
      </c>
      <c r="AM38" s="3">
        <f>ROUNDDOWN('3.4 OpEx'!AM$82/'1.1 Control Panel'!AM900,0)</f>
        <v>18</v>
      </c>
      <c r="AN38" s="3">
        <f>ROUNDDOWN('3.4 OpEx'!AN$82/'1.1 Control Panel'!AN900,0)</f>
        <v>18</v>
      </c>
    </row>
    <row r="39" spans="2:42" s="12" customFormat="1" ht="11.5" customHeight="1" x14ac:dyDescent="0.25">
      <c r="C39" s="584" t="s">
        <v>808</v>
      </c>
      <c r="D39" s="172" t="s">
        <v>162</v>
      </c>
      <c r="E39" s="584">
        <f>SUM(E40:E42)</f>
        <v>1</v>
      </c>
      <c r="F39" s="584">
        <f t="shared" ref="F39" si="120">SUM(F40:F42)</f>
        <v>1</v>
      </c>
      <c r="G39" s="584">
        <f t="shared" ref="G39" si="121">SUM(G40:G42)</f>
        <v>1</v>
      </c>
      <c r="H39" s="584">
        <f t="shared" ref="H39" si="122">SUM(H40:H42)</f>
        <v>1</v>
      </c>
      <c r="I39" s="584">
        <f t="shared" ref="I39" si="123">SUM(I40:I42)</f>
        <v>1</v>
      </c>
      <c r="J39" s="584">
        <f t="shared" ref="J39" si="124">SUM(J40:J42)</f>
        <v>1</v>
      </c>
      <c r="K39" s="584">
        <f t="shared" ref="K39" si="125">SUM(K40:K42)</f>
        <v>1</v>
      </c>
      <c r="L39" s="584">
        <f t="shared" ref="L39" si="126">SUM(L40:L42)</f>
        <v>1</v>
      </c>
      <c r="M39" s="584">
        <f t="shared" ref="M39" si="127">SUM(M40:M42)</f>
        <v>2</v>
      </c>
      <c r="N39" s="584">
        <f t="shared" ref="N39" si="128">SUM(N40:N42)</f>
        <v>2</v>
      </c>
      <c r="O39" s="584">
        <f t="shared" ref="O39" si="129">SUM(O40:O42)</f>
        <v>2</v>
      </c>
      <c r="P39" s="584">
        <f t="shared" ref="P39" si="130">SUM(P40:P42)</f>
        <v>2</v>
      </c>
      <c r="Q39" s="584">
        <f t="shared" ref="Q39" si="131">SUM(Q40:Q42)</f>
        <v>5</v>
      </c>
      <c r="R39" s="584">
        <f t="shared" ref="R39" si="132">SUM(R40:R42)</f>
        <v>5</v>
      </c>
      <c r="S39" s="584">
        <f t="shared" ref="S39" si="133">SUM(S40:S42)</f>
        <v>5</v>
      </c>
      <c r="T39" s="584">
        <f t="shared" ref="T39" si="134">SUM(T40:T42)</f>
        <v>5</v>
      </c>
      <c r="U39" s="584">
        <f t="shared" ref="U39" si="135">SUM(U40:U42)</f>
        <v>7</v>
      </c>
      <c r="V39" s="584">
        <f t="shared" ref="V39" si="136">SUM(V40:V42)</f>
        <v>7</v>
      </c>
      <c r="W39" s="584">
        <f t="shared" ref="W39" si="137">SUM(W40:W42)</f>
        <v>7</v>
      </c>
      <c r="X39" s="584">
        <f t="shared" ref="X39" si="138">SUM(X40:X42)</f>
        <v>7</v>
      </c>
      <c r="Y39" s="584">
        <f t="shared" ref="Y39" si="139">SUM(Y40:Y42)</f>
        <v>9</v>
      </c>
      <c r="Z39" s="584">
        <f t="shared" ref="Z39" si="140">SUM(Z40:Z42)</f>
        <v>9</v>
      </c>
      <c r="AA39" s="584">
        <f t="shared" ref="AA39" si="141">SUM(AA40:AA42)</f>
        <v>9</v>
      </c>
      <c r="AB39" s="584">
        <f t="shared" ref="AB39" si="142">SUM(AB40:AB42)</f>
        <v>9</v>
      </c>
      <c r="AC39" s="584">
        <f t="shared" ref="AC39" si="143">SUM(AC40:AC42)</f>
        <v>14</v>
      </c>
      <c r="AD39" s="584">
        <f t="shared" ref="AD39" si="144">SUM(AD40:AD42)</f>
        <v>14</v>
      </c>
      <c r="AE39" s="584">
        <f t="shared" ref="AE39" si="145">SUM(AE40:AE42)</f>
        <v>14</v>
      </c>
      <c r="AF39" s="584">
        <f t="shared" ref="AF39" si="146">SUM(AF40:AF42)</f>
        <v>14</v>
      </c>
      <c r="AG39" s="584">
        <f t="shared" ref="AG39" si="147">SUM(AG40:AG42)</f>
        <v>22</v>
      </c>
      <c r="AH39" s="584">
        <f t="shared" ref="AH39" si="148">SUM(AH40:AH42)</f>
        <v>22</v>
      </c>
      <c r="AI39" s="584">
        <f t="shared" ref="AI39" si="149">SUM(AI40:AI42)</f>
        <v>22</v>
      </c>
      <c r="AJ39" s="584">
        <f t="shared" ref="AJ39" si="150">SUM(AJ40:AJ42)</f>
        <v>22</v>
      </c>
      <c r="AK39" s="584">
        <f t="shared" ref="AK39" si="151">SUM(AK40:AK42)</f>
        <v>27</v>
      </c>
      <c r="AL39" s="584">
        <f t="shared" ref="AL39" si="152">SUM(AL40:AL42)</f>
        <v>27</v>
      </c>
      <c r="AM39" s="584">
        <f t="shared" ref="AM39" si="153">SUM(AM40:AM42)</f>
        <v>27</v>
      </c>
      <c r="AN39" s="584">
        <f t="shared" ref="AN39" si="154">SUM(AN40:AN42)</f>
        <v>27</v>
      </c>
      <c r="AP39" s="584"/>
    </row>
    <row r="40" spans="2:42" ht="11.5" customHeight="1" x14ac:dyDescent="0.25">
      <c r="C40" s="20" t="s">
        <v>804</v>
      </c>
      <c r="D40" s="34" t="s">
        <v>162</v>
      </c>
      <c r="E40" s="20">
        <f>ROUNDDOWN('3.4 OpEx'!E$82/'1.1 Control Panel'!E902,0)</f>
        <v>0</v>
      </c>
      <c r="F40" s="20">
        <f>ROUNDDOWN('3.4 OpEx'!F$82/'1.1 Control Panel'!F902,0)</f>
        <v>0</v>
      </c>
      <c r="G40" s="20">
        <f>ROUNDDOWN('3.4 OpEx'!G$82/'1.1 Control Panel'!G902,0)</f>
        <v>0</v>
      </c>
      <c r="H40" s="20">
        <f>ROUNDDOWN('3.4 OpEx'!H$82/'1.1 Control Panel'!H902,0)</f>
        <v>0</v>
      </c>
      <c r="I40" s="20">
        <f>ROUNDDOWN('3.4 OpEx'!I$82/'1.1 Control Panel'!I902,0)</f>
        <v>0</v>
      </c>
      <c r="J40" s="20">
        <f>ROUNDDOWN('3.4 OpEx'!J$82/'1.1 Control Panel'!J902,0)</f>
        <v>0</v>
      </c>
      <c r="K40" s="20">
        <f>ROUNDDOWN('3.4 OpEx'!K$82/'1.1 Control Panel'!K902,0)</f>
        <v>0</v>
      </c>
      <c r="L40" s="20">
        <f>ROUNDDOWN('3.4 OpEx'!L$82/'1.1 Control Panel'!L902,0)</f>
        <v>0</v>
      </c>
      <c r="M40" s="20">
        <f>ROUNDDOWN('3.4 OpEx'!M$82/'1.1 Control Panel'!M902,0)</f>
        <v>0</v>
      </c>
      <c r="N40" s="20">
        <f>ROUNDDOWN('3.4 OpEx'!N$82/'1.1 Control Panel'!N902,0)</f>
        <v>0</v>
      </c>
      <c r="O40" s="20">
        <f>ROUNDDOWN('3.4 OpEx'!O$82/'1.1 Control Panel'!O902,0)</f>
        <v>0</v>
      </c>
      <c r="P40" s="20">
        <f>ROUNDDOWN('3.4 OpEx'!P$82/'1.1 Control Panel'!P902,0)</f>
        <v>0</v>
      </c>
      <c r="Q40" s="20">
        <f>ROUNDDOWN('3.4 OpEx'!Q$82/'1.1 Control Panel'!Q902,0)</f>
        <v>0</v>
      </c>
      <c r="R40" s="20">
        <f>ROUNDDOWN('3.4 OpEx'!R$82/'1.1 Control Panel'!R902,0)</f>
        <v>0</v>
      </c>
      <c r="S40" s="20">
        <f>ROUNDDOWN('3.4 OpEx'!S$82/'1.1 Control Panel'!S902,0)</f>
        <v>0</v>
      </c>
      <c r="T40" s="20">
        <f>ROUNDDOWN('3.4 OpEx'!T$82/'1.1 Control Panel'!T902,0)</f>
        <v>0</v>
      </c>
      <c r="U40" s="20">
        <f>ROUNDDOWN('3.4 OpEx'!U$82/'1.1 Control Panel'!U902,0)</f>
        <v>0</v>
      </c>
      <c r="V40" s="20">
        <f>ROUNDDOWN('3.4 OpEx'!V$82/'1.1 Control Panel'!V902,0)</f>
        <v>0</v>
      </c>
      <c r="W40" s="20">
        <f>ROUNDDOWN('3.4 OpEx'!W$82/'1.1 Control Panel'!W902,0)</f>
        <v>0</v>
      </c>
      <c r="X40" s="20">
        <f>ROUNDDOWN('3.4 OpEx'!X$82/'1.1 Control Panel'!X902,0)</f>
        <v>0</v>
      </c>
      <c r="Y40" s="20">
        <f>ROUNDDOWN('3.4 OpEx'!Y$82/'1.1 Control Panel'!Y902,0)</f>
        <v>1</v>
      </c>
      <c r="Z40" s="20">
        <f>ROUNDDOWN('3.4 OpEx'!Z$82/'1.1 Control Panel'!Z902,0)</f>
        <v>1</v>
      </c>
      <c r="AA40" s="20">
        <f>ROUNDDOWN('3.4 OpEx'!AA$82/'1.1 Control Panel'!AA902,0)</f>
        <v>1</v>
      </c>
      <c r="AB40" s="20">
        <f>ROUNDDOWN('3.4 OpEx'!AB$82/'1.1 Control Panel'!AB902,0)</f>
        <v>1</v>
      </c>
      <c r="AC40" s="20">
        <f>ROUNDDOWN('3.4 OpEx'!AC$82/'1.1 Control Panel'!AC902,0)</f>
        <v>1</v>
      </c>
      <c r="AD40" s="20">
        <f>ROUNDDOWN('3.4 OpEx'!AD$82/'1.1 Control Panel'!AD902,0)</f>
        <v>1</v>
      </c>
      <c r="AE40" s="20">
        <f>ROUNDDOWN('3.4 OpEx'!AE$82/'1.1 Control Panel'!AE902,0)</f>
        <v>1</v>
      </c>
      <c r="AF40" s="20">
        <f>ROUNDDOWN('3.4 OpEx'!AF$82/'1.1 Control Panel'!AF902,0)</f>
        <v>1</v>
      </c>
      <c r="AG40" s="20">
        <f>ROUNDDOWN('3.4 OpEx'!AG$82/'1.1 Control Panel'!AG902,0)</f>
        <v>2</v>
      </c>
      <c r="AH40" s="20">
        <f>ROUNDDOWN('3.4 OpEx'!AH$82/'1.1 Control Panel'!AH902,0)</f>
        <v>2</v>
      </c>
      <c r="AI40" s="20">
        <f>ROUNDDOWN('3.4 OpEx'!AI$82/'1.1 Control Panel'!AI902,0)</f>
        <v>2</v>
      </c>
      <c r="AJ40" s="20">
        <f>ROUNDDOWN('3.4 OpEx'!AJ$82/'1.1 Control Panel'!AJ902,0)</f>
        <v>2</v>
      </c>
      <c r="AK40" s="20">
        <f>ROUNDDOWN('3.4 OpEx'!AK$82/'1.1 Control Panel'!AK902,0)</f>
        <v>3</v>
      </c>
      <c r="AL40" s="20">
        <f>ROUNDDOWN('3.4 OpEx'!AL$82/'1.1 Control Panel'!AL902,0)</f>
        <v>3</v>
      </c>
      <c r="AM40" s="20">
        <f>ROUNDDOWN('3.4 OpEx'!AM$82/'1.1 Control Panel'!AM902,0)</f>
        <v>3</v>
      </c>
      <c r="AN40" s="20">
        <f>ROUNDDOWN('3.4 OpEx'!AN$82/'1.1 Control Panel'!AN902,0)</f>
        <v>3</v>
      </c>
      <c r="AP40" s="20"/>
    </row>
    <row r="41" spans="2:42" ht="11.5" customHeight="1" x14ac:dyDescent="0.25">
      <c r="C41" s="20" t="s">
        <v>803</v>
      </c>
      <c r="D41" s="34" t="s">
        <v>162</v>
      </c>
      <c r="E41" s="20">
        <f>ROUNDDOWN('3.4 OpEx'!E$82/'1.1 Control Panel'!E903,0)</f>
        <v>0</v>
      </c>
      <c r="F41" s="20">
        <f>ROUNDDOWN('3.4 OpEx'!F$82/'1.1 Control Panel'!F903,0)</f>
        <v>0</v>
      </c>
      <c r="G41" s="20">
        <f>ROUNDDOWN('3.4 OpEx'!G$82/'1.1 Control Panel'!G903,0)</f>
        <v>0</v>
      </c>
      <c r="H41" s="20">
        <f>ROUNDDOWN('3.4 OpEx'!H$82/'1.1 Control Panel'!H903,0)</f>
        <v>0</v>
      </c>
      <c r="I41" s="20">
        <f>ROUNDDOWN('3.4 OpEx'!I$82/'1.1 Control Panel'!I903,0)</f>
        <v>0</v>
      </c>
      <c r="J41" s="20">
        <f>ROUNDDOWN('3.4 OpEx'!J$82/'1.1 Control Panel'!J903,0)</f>
        <v>0</v>
      </c>
      <c r="K41" s="20">
        <f>ROUNDDOWN('3.4 OpEx'!K$82/'1.1 Control Panel'!K903,0)</f>
        <v>0</v>
      </c>
      <c r="L41" s="20">
        <f>ROUNDDOWN('3.4 OpEx'!L$82/'1.1 Control Panel'!L903,0)</f>
        <v>0</v>
      </c>
      <c r="M41" s="20">
        <f>ROUNDDOWN('3.4 OpEx'!M$82/'1.1 Control Panel'!M903,0)</f>
        <v>0</v>
      </c>
      <c r="N41" s="20">
        <f>ROUNDDOWN('3.4 OpEx'!N$82/'1.1 Control Panel'!N903,0)</f>
        <v>0</v>
      </c>
      <c r="O41" s="20">
        <f>ROUNDDOWN('3.4 OpEx'!O$82/'1.1 Control Panel'!O903,0)</f>
        <v>0</v>
      </c>
      <c r="P41" s="20">
        <f>ROUNDDOWN('3.4 OpEx'!P$82/'1.1 Control Panel'!P903,0)</f>
        <v>0</v>
      </c>
      <c r="Q41" s="20">
        <f>ROUNDDOWN('3.4 OpEx'!Q$82/'1.1 Control Panel'!Q903,0)</f>
        <v>1</v>
      </c>
      <c r="R41" s="20">
        <f>ROUNDDOWN('3.4 OpEx'!R$82/'1.1 Control Panel'!R903,0)</f>
        <v>1</v>
      </c>
      <c r="S41" s="20">
        <f>ROUNDDOWN('3.4 OpEx'!S$82/'1.1 Control Panel'!S903,0)</f>
        <v>1</v>
      </c>
      <c r="T41" s="20">
        <f>ROUNDDOWN('3.4 OpEx'!T$82/'1.1 Control Panel'!T903,0)</f>
        <v>1</v>
      </c>
      <c r="U41" s="20">
        <f>ROUNDDOWN('3.4 OpEx'!U$82/'1.1 Control Panel'!U903,0)</f>
        <v>2</v>
      </c>
      <c r="V41" s="20">
        <f>ROUNDDOWN('3.4 OpEx'!V$82/'1.1 Control Panel'!V903,0)</f>
        <v>2</v>
      </c>
      <c r="W41" s="20">
        <f>ROUNDDOWN('3.4 OpEx'!W$82/'1.1 Control Panel'!W903,0)</f>
        <v>2</v>
      </c>
      <c r="X41" s="20">
        <f>ROUNDDOWN('3.4 OpEx'!X$82/'1.1 Control Panel'!X903,0)</f>
        <v>2</v>
      </c>
      <c r="Y41" s="20">
        <f>ROUNDDOWN('3.4 OpEx'!Y$82/'1.1 Control Panel'!Y903,0)</f>
        <v>2</v>
      </c>
      <c r="Z41" s="20">
        <f>ROUNDDOWN('3.4 OpEx'!Z$82/'1.1 Control Panel'!Z903,0)</f>
        <v>2</v>
      </c>
      <c r="AA41" s="20">
        <f>ROUNDDOWN('3.4 OpEx'!AA$82/'1.1 Control Panel'!AA903,0)</f>
        <v>2</v>
      </c>
      <c r="AB41" s="20">
        <f>ROUNDDOWN('3.4 OpEx'!AB$82/'1.1 Control Panel'!AB903,0)</f>
        <v>2</v>
      </c>
      <c r="AC41" s="20">
        <f>ROUNDDOWN('3.4 OpEx'!AC$82/'1.1 Control Panel'!AC903,0)</f>
        <v>3</v>
      </c>
      <c r="AD41" s="20">
        <f>ROUNDDOWN('3.4 OpEx'!AD$82/'1.1 Control Panel'!AD903,0)</f>
        <v>3</v>
      </c>
      <c r="AE41" s="20">
        <f>ROUNDDOWN('3.4 OpEx'!AE$82/'1.1 Control Panel'!AE903,0)</f>
        <v>3</v>
      </c>
      <c r="AF41" s="20">
        <f>ROUNDDOWN('3.4 OpEx'!AF$82/'1.1 Control Panel'!AF903,0)</f>
        <v>3</v>
      </c>
      <c r="AG41" s="20">
        <f>ROUNDDOWN('3.4 OpEx'!AG$82/'1.1 Control Panel'!AG903,0)</f>
        <v>5</v>
      </c>
      <c r="AH41" s="20">
        <f>ROUNDDOWN('3.4 OpEx'!AH$82/'1.1 Control Panel'!AH903,0)</f>
        <v>5</v>
      </c>
      <c r="AI41" s="20">
        <f>ROUNDDOWN('3.4 OpEx'!AI$82/'1.1 Control Panel'!AI903,0)</f>
        <v>5</v>
      </c>
      <c r="AJ41" s="20">
        <f>ROUNDDOWN('3.4 OpEx'!AJ$82/'1.1 Control Panel'!AJ903,0)</f>
        <v>5</v>
      </c>
      <c r="AK41" s="20">
        <f>ROUNDDOWN('3.4 OpEx'!AK$82/'1.1 Control Panel'!AK903,0)</f>
        <v>6</v>
      </c>
      <c r="AL41" s="20">
        <f>ROUNDDOWN('3.4 OpEx'!AL$82/'1.1 Control Panel'!AL903,0)</f>
        <v>6</v>
      </c>
      <c r="AM41" s="20">
        <f>ROUNDDOWN('3.4 OpEx'!AM$82/'1.1 Control Panel'!AM903,0)</f>
        <v>6</v>
      </c>
      <c r="AN41" s="20">
        <f>ROUNDDOWN('3.4 OpEx'!AN$82/'1.1 Control Panel'!AN903,0)</f>
        <v>6</v>
      </c>
      <c r="AP41" s="20"/>
    </row>
    <row r="42" spans="2:42" ht="11.5" customHeight="1" x14ac:dyDescent="0.25">
      <c r="C42" s="26" t="s">
        <v>805</v>
      </c>
      <c r="D42" s="236" t="s">
        <v>162</v>
      </c>
      <c r="E42" s="20">
        <f>ROUNDDOWN('3.4 OpEx'!E$82/'1.1 Control Panel'!E904,0)</f>
        <v>1</v>
      </c>
      <c r="F42" s="20">
        <f>ROUNDDOWN('3.4 OpEx'!F$82/'1.1 Control Panel'!F904,0)</f>
        <v>1</v>
      </c>
      <c r="G42" s="20">
        <f>ROUNDDOWN('3.4 OpEx'!G$82/'1.1 Control Panel'!G904,0)</f>
        <v>1</v>
      </c>
      <c r="H42" s="20">
        <f>ROUNDDOWN('3.4 OpEx'!H$82/'1.1 Control Panel'!H904,0)</f>
        <v>1</v>
      </c>
      <c r="I42" s="20">
        <f>ROUNDDOWN('3.4 OpEx'!I$82/'1.1 Control Panel'!I904,0)</f>
        <v>1</v>
      </c>
      <c r="J42" s="20">
        <f>ROUNDDOWN('3.4 OpEx'!J$82/'1.1 Control Panel'!J904,0)</f>
        <v>1</v>
      </c>
      <c r="K42" s="20">
        <f>ROUNDDOWN('3.4 OpEx'!K$82/'1.1 Control Panel'!K904,0)</f>
        <v>1</v>
      </c>
      <c r="L42" s="20">
        <f>ROUNDDOWN('3.4 OpEx'!L$82/'1.1 Control Panel'!L904,0)</f>
        <v>1</v>
      </c>
      <c r="M42" s="20">
        <f>ROUNDDOWN('3.4 OpEx'!M$82/'1.1 Control Panel'!M904,0)</f>
        <v>2</v>
      </c>
      <c r="N42" s="20">
        <f>ROUNDDOWN('3.4 OpEx'!N$82/'1.1 Control Panel'!N904,0)</f>
        <v>2</v>
      </c>
      <c r="O42" s="20">
        <f>ROUNDDOWN('3.4 OpEx'!O$82/'1.1 Control Panel'!O904,0)</f>
        <v>2</v>
      </c>
      <c r="P42" s="20">
        <f>ROUNDDOWN('3.4 OpEx'!P$82/'1.1 Control Panel'!P904,0)</f>
        <v>2</v>
      </c>
      <c r="Q42" s="20">
        <f>ROUNDDOWN('3.4 OpEx'!Q$82/'1.1 Control Panel'!Q904,0)</f>
        <v>4</v>
      </c>
      <c r="R42" s="20">
        <f>ROUNDDOWN('3.4 OpEx'!R$82/'1.1 Control Panel'!R904,0)</f>
        <v>4</v>
      </c>
      <c r="S42" s="20">
        <f>ROUNDDOWN('3.4 OpEx'!S$82/'1.1 Control Panel'!S904,0)</f>
        <v>4</v>
      </c>
      <c r="T42" s="20">
        <f>ROUNDDOWN('3.4 OpEx'!T$82/'1.1 Control Panel'!T904,0)</f>
        <v>4</v>
      </c>
      <c r="U42" s="20">
        <f>ROUNDDOWN('3.4 OpEx'!U$82/'1.1 Control Panel'!U904,0)</f>
        <v>5</v>
      </c>
      <c r="V42" s="20">
        <f>ROUNDDOWN('3.4 OpEx'!V$82/'1.1 Control Panel'!V904,0)</f>
        <v>5</v>
      </c>
      <c r="W42" s="20">
        <f>ROUNDDOWN('3.4 OpEx'!W$82/'1.1 Control Panel'!W904,0)</f>
        <v>5</v>
      </c>
      <c r="X42" s="20">
        <f>ROUNDDOWN('3.4 OpEx'!X$82/'1.1 Control Panel'!X904,0)</f>
        <v>5</v>
      </c>
      <c r="Y42" s="20">
        <f>ROUNDDOWN('3.4 OpEx'!Y$82/'1.1 Control Panel'!Y904,0)</f>
        <v>6</v>
      </c>
      <c r="Z42" s="20">
        <f>ROUNDDOWN('3.4 OpEx'!Z$82/'1.1 Control Panel'!Z904,0)</f>
        <v>6</v>
      </c>
      <c r="AA42" s="20">
        <f>ROUNDDOWN('3.4 OpEx'!AA$82/'1.1 Control Panel'!AA904,0)</f>
        <v>6</v>
      </c>
      <c r="AB42" s="20">
        <f>ROUNDDOWN('3.4 OpEx'!AB$82/'1.1 Control Panel'!AB904,0)</f>
        <v>6</v>
      </c>
      <c r="AC42" s="20">
        <f>ROUNDDOWN('3.4 OpEx'!AC$82/'1.1 Control Panel'!AC904,0)</f>
        <v>10</v>
      </c>
      <c r="AD42" s="20">
        <f>ROUNDDOWN('3.4 OpEx'!AD$82/'1.1 Control Panel'!AD904,0)</f>
        <v>10</v>
      </c>
      <c r="AE42" s="20">
        <f>ROUNDDOWN('3.4 OpEx'!AE$82/'1.1 Control Panel'!AE904,0)</f>
        <v>10</v>
      </c>
      <c r="AF42" s="20">
        <f>ROUNDDOWN('3.4 OpEx'!AF$82/'1.1 Control Panel'!AF904,0)</f>
        <v>10</v>
      </c>
      <c r="AG42" s="20">
        <f>ROUNDDOWN('3.4 OpEx'!AG$82/'1.1 Control Panel'!AG904,0)</f>
        <v>15</v>
      </c>
      <c r="AH42" s="20">
        <f>ROUNDDOWN('3.4 OpEx'!AH$82/'1.1 Control Panel'!AH904,0)</f>
        <v>15</v>
      </c>
      <c r="AI42" s="20">
        <f>ROUNDDOWN('3.4 OpEx'!AI$82/'1.1 Control Panel'!AI904,0)</f>
        <v>15</v>
      </c>
      <c r="AJ42" s="20">
        <f>ROUNDDOWN('3.4 OpEx'!AJ$82/'1.1 Control Panel'!AJ904,0)</f>
        <v>15</v>
      </c>
      <c r="AK42" s="20">
        <f>ROUNDDOWN('3.4 OpEx'!AK$82/'1.1 Control Panel'!AK904,0)</f>
        <v>18</v>
      </c>
      <c r="AL42" s="20">
        <f>ROUNDDOWN('3.4 OpEx'!AL$82/'1.1 Control Panel'!AL904,0)</f>
        <v>18</v>
      </c>
      <c r="AM42" s="20">
        <f>ROUNDDOWN('3.4 OpEx'!AM$82/'1.1 Control Panel'!AM904,0)</f>
        <v>18</v>
      </c>
      <c r="AN42" s="20">
        <f>ROUNDDOWN('3.4 OpEx'!AN$82/'1.1 Control Panel'!AN904,0)</f>
        <v>18</v>
      </c>
      <c r="AP42" s="20"/>
    </row>
    <row r="43" spans="2:42" ht="11.5" customHeight="1" x14ac:dyDescent="0.25">
      <c r="B43" s="33" t="s">
        <v>9</v>
      </c>
      <c r="C43" s="536" t="s">
        <v>796</v>
      </c>
      <c r="D43" s="535" t="s">
        <v>162</v>
      </c>
      <c r="E43" s="550">
        <f>SUM(E44:E46)</f>
        <v>1</v>
      </c>
      <c r="F43" s="550">
        <f t="shared" ref="F43" si="155">SUM(F44:F46)</f>
        <v>1</v>
      </c>
      <c r="G43" s="550">
        <f t="shared" ref="G43" si="156">SUM(G44:G46)</f>
        <v>1</v>
      </c>
      <c r="H43" s="550">
        <f t="shared" ref="H43" si="157">SUM(H44:H46)</f>
        <v>1</v>
      </c>
      <c r="I43" s="550">
        <f t="shared" ref="I43" si="158">SUM(I44:I46)</f>
        <v>1</v>
      </c>
      <c r="J43" s="550">
        <f t="shared" ref="J43" si="159">SUM(J44:J46)</f>
        <v>1</v>
      </c>
      <c r="K43" s="550">
        <f t="shared" ref="K43" si="160">SUM(K44:K46)</f>
        <v>1</v>
      </c>
      <c r="L43" s="550">
        <f t="shared" ref="L43" si="161">SUM(L44:L46)</f>
        <v>1</v>
      </c>
      <c r="M43" s="550">
        <f t="shared" ref="M43" si="162">SUM(M44:M46)</f>
        <v>2</v>
      </c>
      <c r="N43" s="550">
        <f t="shared" ref="N43" si="163">SUM(N44:N46)</f>
        <v>2</v>
      </c>
      <c r="O43" s="550">
        <f t="shared" ref="O43" si="164">SUM(O44:O46)</f>
        <v>2</v>
      </c>
      <c r="P43" s="550">
        <f t="shared" ref="P43" si="165">SUM(P44:P46)</f>
        <v>2</v>
      </c>
      <c r="Q43" s="550">
        <f t="shared" ref="Q43" si="166">SUM(Q44:Q46)</f>
        <v>5</v>
      </c>
      <c r="R43" s="550">
        <f t="shared" ref="R43" si="167">SUM(R44:R46)</f>
        <v>5</v>
      </c>
      <c r="S43" s="550">
        <f t="shared" ref="S43" si="168">SUM(S44:S46)</f>
        <v>5</v>
      </c>
      <c r="T43" s="550">
        <f t="shared" ref="T43" si="169">SUM(T44:T46)</f>
        <v>5</v>
      </c>
      <c r="U43" s="550">
        <f t="shared" ref="U43" si="170">SUM(U44:U46)</f>
        <v>7</v>
      </c>
      <c r="V43" s="550">
        <f t="shared" ref="V43" si="171">SUM(V44:V46)</f>
        <v>7</v>
      </c>
      <c r="W43" s="550">
        <f t="shared" ref="W43" si="172">SUM(W44:W46)</f>
        <v>7</v>
      </c>
      <c r="X43" s="550">
        <f t="shared" ref="X43" si="173">SUM(X44:X46)</f>
        <v>7</v>
      </c>
      <c r="Y43" s="550">
        <f t="shared" ref="Y43" si="174">SUM(Y44:Y46)</f>
        <v>9</v>
      </c>
      <c r="Z43" s="550">
        <f t="shared" ref="Z43" si="175">SUM(Z44:Z46)</f>
        <v>9</v>
      </c>
      <c r="AA43" s="550">
        <f t="shared" ref="AA43" si="176">SUM(AA44:AA46)</f>
        <v>9</v>
      </c>
      <c r="AB43" s="550">
        <f t="shared" ref="AB43" si="177">SUM(AB44:AB46)</f>
        <v>9</v>
      </c>
      <c r="AC43" s="550">
        <f t="shared" ref="AC43" si="178">SUM(AC44:AC46)</f>
        <v>14</v>
      </c>
      <c r="AD43" s="550">
        <f t="shared" ref="AD43" si="179">SUM(AD44:AD46)</f>
        <v>14</v>
      </c>
      <c r="AE43" s="550">
        <f t="shared" ref="AE43" si="180">SUM(AE44:AE46)</f>
        <v>14</v>
      </c>
      <c r="AF43" s="550">
        <f t="shared" ref="AF43" si="181">SUM(AF44:AF46)</f>
        <v>14</v>
      </c>
      <c r="AG43" s="550">
        <f t="shared" ref="AG43" si="182">SUM(AG44:AG46)</f>
        <v>22</v>
      </c>
      <c r="AH43" s="550">
        <f t="shared" ref="AH43" si="183">SUM(AH44:AH46)</f>
        <v>22</v>
      </c>
      <c r="AI43" s="550">
        <f t="shared" ref="AI43" si="184">SUM(AI44:AI46)</f>
        <v>22</v>
      </c>
      <c r="AJ43" s="550">
        <f t="shared" ref="AJ43" si="185">SUM(AJ44:AJ46)</f>
        <v>22</v>
      </c>
      <c r="AK43" s="550">
        <f t="shared" ref="AK43" si="186">SUM(AK44:AK46)</f>
        <v>27</v>
      </c>
      <c r="AL43" s="550">
        <f t="shared" ref="AL43" si="187">SUM(AL44:AL46)</f>
        <v>27</v>
      </c>
      <c r="AM43" s="550">
        <f t="shared" ref="AM43" si="188">SUM(AM44:AM46)</f>
        <v>27</v>
      </c>
      <c r="AN43" s="550">
        <f t="shared" ref="AN43" si="189">SUM(AN44:AN46)</f>
        <v>27</v>
      </c>
      <c r="AP43" s="456"/>
    </row>
    <row r="44" spans="2:42" ht="11.5" customHeight="1" x14ac:dyDescent="0.25">
      <c r="C44" s="20" t="s">
        <v>804</v>
      </c>
      <c r="D44" s="34" t="s">
        <v>162</v>
      </c>
      <c r="E44" s="20">
        <f>ROUNDDOWN('3.4 OpEx'!E$82/'1.1 Control Panel'!E906,0)</f>
        <v>0</v>
      </c>
      <c r="F44" s="20">
        <f>ROUNDDOWN('3.4 OpEx'!F$82/'1.1 Control Panel'!F906,0)</f>
        <v>0</v>
      </c>
      <c r="G44" s="20">
        <f>ROUNDDOWN('3.4 OpEx'!G$82/'1.1 Control Panel'!G906,0)</f>
        <v>0</v>
      </c>
      <c r="H44" s="20">
        <f>ROUNDDOWN('3.4 OpEx'!H$82/'1.1 Control Panel'!H906,0)</f>
        <v>0</v>
      </c>
      <c r="I44" s="20">
        <f>ROUNDDOWN('3.4 OpEx'!I$82/'1.1 Control Panel'!I906,0)</f>
        <v>0</v>
      </c>
      <c r="J44" s="20">
        <f>ROUNDDOWN('3.4 OpEx'!J$82/'1.1 Control Panel'!J906,0)</f>
        <v>0</v>
      </c>
      <c r="K44" s="20">
        <f>ROUNDDOWN('3.4 OpEx'!K$82/'1.1 Control Panel'!K906,0)</f>
        <v>0</v>
      </c>
      <c r="L44" s="20">
        <f>ROUNDDOWN('3.4 OpEx'!L$82/'1.1 Control Panel'!L906,0)</f>
        <v>0</v>
      </c>
      <c r="M44" s="20">
        <f>ROUNDDOWN('3.4 OpEx'!M$82/'1.1 Control Panel'!M906,0)</f>
        <v>0</v>
      </c>
      <c r="N44" s="20">
        <f>ROUNDDOWN('3.4 OpEx'!N$82/'1.1 Control Panel'!N906,0)</f>
        <v>0</v>
      </c>
      <c r="O44" s="20">
        <f>ROUNDDOWN('3.4 OpEx'!O$82/'1.1 Control Panel'!O906,0)</f>
        <v>0</v>
      </c>
      <c r="P44" s="20">
        <f>ROUNDDOWN('3.4 OpEx'!P$82/'1.1 Control Panel'!P906,0)</f>
        <v>0</v>
      </c>
      <c r="Q44" s="20">
        <f>ROUNDDOWN('3.4 OpEx'!Q$82/'1.1 Control Panel'!Q906,0)</f>
        <v>0</v>
      </c>
      <c r="R44" s="20">
        <f>ROUNDDOWN('3.4 OpEx'!R$82/'1.1 Control Panel'!R906,0)</f>
        <v>0</v>
      </c>
      <c r="S44" s="20">
        <f>ROUNDDOWN('3.4 OpEx'!S$82/'1.1 Control Panel'!S906,0)</f>
        <v>0</v>
      </c>
      <c r="T44" s="20">
        <f>ROUNDDOWN('3.4 OpEx'!T$82/'1.1 Control Panel'!T906,0)</f>
        <v>0</v>
      </c>
      <c r="U44" s="20">
        <f>ROUNDDOWN('3.4 OpEx'!U$82/'1.1 Control Panel'!U906,0)</f>
        <v>0</v>
      </c>
      <c r="V44" s="20">
        <f>ROUNDDOWN('3.4 OpEx'!V$82/'1.1 Control Panel'!V906,0)</f>
        <v>0</v>
      </c>
      <c r="W44" s="20">
        <f>ROUNDDOWN('3.4 OpEx'!W$82/'1.1 Control Panel'!W906,0)</f>
        <v>0</v>
      </c>
      <c r="X44" s="20">
        <f>ROUNDDOWN('3.4 OpEx'!X$82/'1.1 Control Panel'!X906,0)</f>
        <v>0</v>
      </c>
      <c r="Y44" s="20">
        <f>ROUNDDOWN('3.4 OpEx'!Y$82/'1.1 Control Panel'!Y906,0)</f>
        <v>1</v>
      </c>
      <c r="Z44" s="20">
        <f>ROUNDDOWN('3.4 OpEx'!Z$82/'1.1 Control Panel'!Z906,0)</f>
        <v>1</v>
      </c>
      <c r="AA44" s="20">
        <f>ROUNDDOWN('3.4 OpEx'!AA$82/'1.1 Control Panel'!AA906,0)</f>
        <v>1</v>
      </c>
      <c r="AB44" s="20">
        <f>ROUNDDOWN('3.4 OpEx'!AB$82/'1.1 Control Panel'!AB906,0)</f>
        <v>1</v>
      </c>
      <c r="AC44" s="20">
        <f>ROUNDDOWN('3.4 OpEx'!AC$82/'1.1 Control Panel'!AC906,0)</f>
        <v>1</v>
      </c>
      <c r="AD44" s="20">
        <f>ROUNDDOWN('3.4 OpEx'!AD$82/'1.1 Control Panel'!AD906,0)</f>
        <v>1</v>
      </c>
      <c r="AE44" s="20">
        <f>ROUNDDOWN('3.4 OpEx'!AE$82/'1.1 Control Panel'!AE906,0)</f>
        <v>1</v>
      </c>
      <c r="AF44" s="20">
        <f>ROUNDDOWN('3.4 OpEx'!AF$82/'1.1 Control Panel'!AF906,0)</f>
        <v>1</v>
      </c>
      <c r="AG44" s="20">
        <f>ROUNDDOWN('3.4 OpEx'!AG$82/'1.1 Control Panel'!AG906,0)</f>
        <v>2</v>
      </c>
      <c r="AH44" s="20">
        <f>ROUNDDOWN('3.4 OpEx'!AH$82/'1.1 Control Panel'!AH906,0)</f>
        <v>2</v>
      </c>
      <c r="AI44" s="20">
        <f>ROUNDDOWN('3.4 OpEx'!AI$82/'1.1 Control Panel'!AI906,0)</f>
        <v>2</v>
      </c>
      <c r="AJ44" s="20">
        <f>ROUNDDOWN('3.4 OpEx'!AJ$82/'1.1 Control Panel'!AJ906,0)</f>
        <v>2</v>
      </c>
      <c r="AK44" s="20">
        <f>ROUNDDOWN('3.4 OpEx'!AK$82/'1.1 Control Panel'!AK906,0)</f>
        <v>3</v>
      </c>
      <c r="AL44" s="20">
        <f>ROUNDDOWN('3.4 OpEx'!AL$82/'1.1 Control Panel'!AL906,0)</f>
        <v>3</v>
      </c>
      <c r="AM44" s="20">
        <f>ROUNDDOWN('3.4 OpEx'!AM$82/'1.1 Control Panel'!AM906,0)</f>
        <v>3</v>
      </c>
      <c r="AN44" s="20">
        <f>ROUNDDOWN('3.4 OpEx'!AN$82/'1.1 Control Panel'!AN906,0)</f>
        <v>3</v>
      </c>
      <c r="AP44" s="20"/>
    </row>
    <row r="45" spans="2:42" ht="11.5" customHeight="1" x14ac:dyDescent="0.25">
      <c r="C45" s="20" t="s">
        <v>803</v>
      </c>
      <c r="D45" s="34" t="s">
        <v>162</v>
      </c>
      <c r="E45" s="20">
        <f>ROUNDDOWN('3.4 OpEx'!E$82/'1.1 Control Panel'!E907,0)</f>
        <v>0</v>
      </c>
      <c r="F45" s="20">
        <f>ROUNDDOWN('3.4 OpEx'!F$82/'1.1 Control Panel'!F907,0)</f>
        <v>0</v>
      </c>
      <c r="G45" s="20">
        <f>ROUNDDOWN('3.4 OpEx'!G$82/'1.1 Control Panel'!G907,0)</f>
        <v>0</v>
      </c>
      <c r="H45" s="20">
        <f>ROUNDDOWN('3.4 OpEx'!H$82/'1.1 Control Panel'!H907,0)</f>
        <v>0</v>
      </c>
      <c r="I45" s="20">
        <f>ROUNDDOWN('3.4 OpEx'!I$82/'1.1 Control Panel'!I907,0)</f>
        <v>0</v>
      </c>
      <c r="J45" s="20">
        <f>ROUNDDOWN('3.4 OpEx'!J$82/'1.1 Control Panel'!J907,0)</f>
        <v>0</v>
      </c>
      <c r="K45" s="20">
        <f>ROUNDDOWN('3.4 OpEx'!K$82/'1.1 Control Panel'!K907,0)</f>
        <v>0</v>
      </c>
      <c r="L45" s="20">
        <f>ROUNDDOWN('3.4 OpEx'!L$82/'1.1 Control Panel'!L907,0)</f>
        <v>0</v>
      </c>
      <c r="M45" s="20">
        <f>ROUNDDOWN('3.4 OpEx'!M$82/'1.1 Control Panel'!M907,0)</f>
        <v>0</v>
      </c>
      <c r="N45" s="20">
        <f>ROUNDDOWN('3.4 OpEx'!N$82/'1.1 Control Panel'!N907,0)</f>
        <v>0</v>
      </c>
      <c r="O45" s="20">
        <f>ROUNDDOWN('3.4 OpEx'!O$82/'1.1 Control Panel'!O907,0)</f>
        <v>0</v>
      </c>
      <c r="P45" s="20">
        <f>ROUNDDOWN('3.4 OpEx'!P$82/'1.1 Control Panel'!P907,0)</f>
        <v>0</v>
      </c>
      <c r="Q45" s="20">
        <f>ROUNDDOWN('3.4 OpEx'!Q$82/'1.1 Control Panel'!Q907,0)</f>
        <v>1</v>
      </c>
      <c r="R45" s="20">
        <f>ROUNDDOWN('3.4 OpEx'!R$82/'1.1 Control Panel'!R907,0)</f>
        <v>1</v>
      </c>
      <c r="S45" s="20">
        <f>ROUNDDOWN('3.4 OpEx'!S$82/'1.1 Control Panel'!S907,0)</f>
        <v>1</v>
      </c>
      <c r="T45" s="20">
        <f>ROUNDDOWN('3.4 OpEx'!T$82/'1.1 Control Panel'!T907,0)</f>
        <v>1</v>
      </c>
      <c r="U45" s="20">
        <f>ROUNDDOWN('3.4 OpEx'!U$82/'1.1 Control Panel'!U907,0)</f>
        <v>2</v>
      </c>
      <c r="V45" s="20">
        <f>ROUNDDOWN('3.4 OpEx'!V$82/'1.1 Control Panel'!V907,0)</f>
        <v>2</v>
      </c>
      <c r="W45" s="20">
        <f>ROUNDDOWN('3.4 OpEx'!W$82/'1.1 Control Panel'!W907,0)</f>
        <v>2</v>
      </c>
      <c r="X45" s="20">
        <f>ROUNDDOWN('3.4 OpEx'!X$82/'1.1 Control Panel'!X907,0)</f>
        <v>2</v>
      </c>
      <c r="Y45" s="20">
        <f>ROUNDDOWN('3.4 OpEx'!Y$82/'1.1 Control Panel'!Y907,0)</f>
        <v>2</v>
      </c>
      <c r="Z45" s="20">
        <f>ROUNDDOWN('3.4 OpEx'!Z$82/'1.1 Control Panel'!Z907,0)</f>
        <v>2</v>
      </c>
      <c r="AA45" s="20">
        <f>ROUNDDOWN('3.4 OpEx'!AA$82/'1.1 Control Panel'!AA907,0)</f>
        <v>2</v>
      </c>
      <c r="AB45" s="20">
        <f>ROUNDDOWN('3.4 OpEx'!AB$82/'1.1 Control Panel'!AB907,0)</f>
        <v>2</v>
      </c>
      <c r="AC45" s="20">
        <f>ROUNDDOWN('3.4 OpEx'!AC$82/'1.1 Control Panel'!AC907,0)</f>
        <v>3</v>
      </c>
      <c r="AD45" s="20">
        <f>ROUNDDOWN('3.4 OpEx'!AD$82/'1.1 Control Panel'!AD907,0)</f>
        <v>3</v>
      </c>
      <c r="AE45" s="20">
        <f>ROUNDDOWN('3.4 OpEx'!AE$82/'1.1 Control Panel'!AE907,0)</f>
        <v>3</v>
      </c>
      <c r="AF45" s="20">
        <f>ROUNDDOWN('3.4 OpEx'!AF$82/'1.1 Control Panel'!AF907,0)</f>
        <v>3</v>
      </c>
      <c r="AG45" s="20">
        <f>ROUNDDOWN('3.4 OpEx'!AG$82/'1.1 Control Panel'!AG907,0)</f>
        <v>5</v>
      </c>
      <c r="AH45" s="20">
        <f>ROUNDDOWN('3.4 OpEx'!AH$82/'1.1 Control Panel'!AH907,0)</f>
        <v>5</v>
      </c>
      <c r="AI45" s="20">
        <f>ROUNDDOWN('3.4 OpEx'!AI$82/'1.1 Control Panel'!AI907,0)</f>
        <v>5</v>
      </c>
      <c r="AJ45" s="20">
        <f>ROUNDDOWN('3.4 OpEx'!AJ$82/'1.1 Control Panel'!AJ907,0)</f>
        <v>5</v>
      </c>
      <c r="AK45" s="20">
        <f>ROUNDDOWN('3.4 OpEx'!AK$82/'1.1 Control Panel'!AK907,0)</f>
        <v>6</v>
      </c>
      <c r="AL45" s="20">
        <f>ROUNDDOWN('3.4 OpEx'!AL$82/'1.1 Control Panel'!AL907,0)</f>
        <v>6</v>
      </c>
      <c r="AM45" s="20">
        <f>ROUNDDOWN('3.4 OpEx'!AM$82/'1.1 Control Panel'!AM907,0)</f>
        <v>6</v>
      </c>
      <c r="AN45" s="20">
        <f>ROUNDDOWN('3.4 OpEx'!AN$82/'1.1 Control Panel'!AN907,0)</f>
        <v>6</v>
      </c>
      <c r="AP45" s="20"/>
    </row>
    <row r="46" spans="2:42" ht="11.5" customHeight="1" x14ac:dyDescent="0.25">
      <c r="C46" s="26" t="s">
        <v>805</v>
      </c>
      <c r="D46" s="319" t="s">
        <v>162</v>
      </c>
      <c r="E46" s="20">
        <f>ROUNDDOWN('3.4 OpEx'!E$82/'1.1 Control Panel'!E908,0)</f>
        <v>1</v>
      </c>
      <c r="F46" s="20">
        <f>ROUNDDOWN('3.4 OpEx'!F$82/'1.1 Control Panel'!F908,0)</f>
        <v>1</v>
      </c>
      <c r="G46" s="20">
        <f>ROUNDDOWN('3.4 OpEx'!G$82/'1.1 Control Panel'!G908,0)</f>
        <v>1</v>
      </c>
      <c r="H46" s="20">
        <f>ROUNDDOWN('3.4 OpEx'!H$82/'1.1 Control Panel'!H908,0)</f>
        <v>1</v>
      </c>
      <c r="I46" s="20">
        <f>ROUNDDOWN('3.4 OpEx'!I$82/'1.1 Control Panel'!I908,0)</f>
        <v>1</v>
      </c>
      <c r="J46" s="20">
        <f>ROUNDDOWN('3.4 OpEx'!J$82/'1.1 Control Panel'!J908,0)</f>
        <v>1</v>
      </c>
      <c r="K46" s="20">
        <f>ROUNDDOWN('3.4 OpEx'!K$82/'1.1 Control Panel'!K908,0)</f>
        <v>1</v>
      </c>
      <c r="L46" s="20">
        <f>ROUNDDOWN('3.4 OpEx'!L$82/'1.1 Control Panel'!L908,0)</f>
        <v>1</v>
      </c>
      <c r="M46" s="20">
        <f>ROUNDDOWN('3.4 OpEx'!M$82/'1.1 Control Panel'!M908,0)</f>
        <v>2</v>
      </c>
      <c r="N46" s="20">
        <f>ROUNDDOWN('3.4 OpEx'!N$82/'1.1 Control Panel'!N908,0)</f>
        <v>2</v>
      </c>
      <c r="O46" s="20">
        <f>ROUNDDOWN('3.4 OpEx'!O$82/'1.1 Control Panel'!O908,0)</f>
        <v>2</v>
      </c>
      <c r="P46" s="20">
        <f>ROUNDDOWN('3.4 OpEx'!P$82/'1.1 Control Panel'!P908,0)</f>
        <v>2</v>
      </c>
      <c r="Q46" s="20">
        <f>ROUNDDOWN('3.4 OpEx'!Q$82/'1.1 Control Panel'!Q908,0)</f>
        <v>4</v>
      </c>
      <c r="R46" s="20">
        <f>ROUNDDOWN('3.4 OpEx'!R$82/'1.1 Control Panel'!R908,0)</f>
        <v>4</v>
      </c>
      <c r="S46" s="20">
        <f>ROUNDDOWN('3.4 OpEx'!S$82/'1.1 Control Panel'!S908,0)</f>
        <v>4</v>
      </c>
      <c r="T46" s="20">
        <f>ROUNDDOWN('3.4 OpEx'!T$82/'1.1 Control Panel'!T908,0)</f>
        <v>4</v>
      </c>
      <c r="U46" s="20">
        <f>ROUNDDOWN('3.4 OpEx'!U$82/'1.1 Control Panel'!U908,0)</f>
        <v>5</v>
      </c>
      <c r="V46" s="20">
        <f>ROUNDDOWN('3.4 OpEx'!V$82/'1.1 Control Panel'!V908,0)</f>
        <v>5</v>
      </c>
      <c r="W46" s="20">
        <f>ROUNDDOWN('3.4 OpEx'!W$82/'1.1 Control Panel'!W908,0)</f>
        <v>5</v>
      </c>
      <c r="X46" s="20">
        <f>ROUNDDOWN('3.4 OpEx'!X$82/'1.1 Control Panel'!X908,0)</f>
        <v>5</v>
      </c>
      <c r="Y46" s="20">
        <f>ROUNDDOWN('3.4 OpEx'!Y$82/'1.1 Control Panel'!Y908,0)</f>
        <v>6</v>
      </c>
      <c r="Z46" s="20">
        <f>ROUNDDOWN('3.4 OpEx'!Z$82/'1.1 Control Panel'!Z908,0)</f>
        <v>6</v>
      </c>
      <c r="AA46" s="20">
        <f>ROUNDDOWN('3.4 OpEx'!AA$82/'1.1 Control Panel'!AA908,0)</f>
        <v>6</v>
      </c>
      <c r="AB46" s="20">
        <f>ROUNDDOWN('3.4 OpEx'!AB$82/'1.1 Control Panel'!AB908,0)</f>
        <v>6</v>
      </c>
      <c r="AC46" s="20">
        <f>ROUNDDOWN('3.4 OpEx'!AC$82/'1.1 Control Panel'!AC908,0)</f>
        <v>10</v>
      </c>
      <c r="AD46" s="20">
        <f>ROUNDDOWN('3.4 OpEx'!AD$82/'1.1 Control Panel'!AD908,0)</f>
        <v>10</v>
      </c>
      <c r="AE46" s="20">
        <f>ROUNDDOWN('3.4 OpEx'!AE$82/'1.1 Control Panel'!AE908,0)</f>
        <v>10</v>
      </c>
      <c r="AF46" s="20">
        <f>ROUNDDOWN('3.4 OpEx'!AF$82/'1.1 Control Panel'!AF908,0)</f>
        <v>10</v>
      </c>
      <c r="AG46" s="20">
        <f>ROUNDDOWN('3.4 OpEx'!AG$82/'1.1 Control Panel'!AG908,0)</f>
        <v>15</v>
      </c>
      <c r="AH46" s="20">
        <f>ROUNDDOWN('3.4 OpEx'!AH$82/'1.1 Control Panel'!AH908,0)</f>
        <v>15</v>
      </c>
      <c r="AI46" s="20">
        <f>ROUNDDOWN('3.4 OpEx'!AI$82/'1.1 Control Panel'!AI908,0)</f>
        <v>15</v>
      </c>
      <c r="AJ46" s="20">
        <f>ROUNDDOWN('3.4 OpEx'!AJ$82/'1.1 Control Panel'!AJ908,0)</f>
        <v>15</v>
      </c>
      <c r="AK46" s="20">
        <f>ROUNDDOWN('3.4 OpEx'!AK$82/'1.1 Control Panel'!AK908,0)</f>
        <v>18</v>
      </c>
      <c r="AL46" s="20">
        <f>ROUNDDOWN('3.4 OpEx'!AL$82/'1.1 Control Panel'!AL908,0)</f>
        <v>18</v>
      </c>
      <c r="AM46" s="20">
        <f>ROUNDDOWN('3.4 OpEx'!AM$82/'1.1 Control Panel'!AM908,0)</f>
        <v>18</v>
      </c>
      <c r="AN46" s="20">
        <f>ROUNDDOWN('3.4 OpEx'!AN$82/'1.1 Control Panel'!AN908,0)</f>
        <v>18</v>
      </c>
      <c r="AP46" s="20"/>
    </row>
    <row r="47" spans="2:42" ht="11.5" customHeight="1" x14ac:dyDescent="0.25">
      <c r="B47" s="33" t="s">
        <v>9</v>
      </c>
      <c r="C47" s="536" t="s">
        <v>797</v>
      </c>
      <c r="D47" s="535" t="s">
        <v>162</v>
      </c>
      <c r="E47" s="550">
        <f>SUM(E48:E50)</f>
        <v>1</v>
      </c>
      <c r="F47" s="550">
        <f t="shared" ref="F47" si="190">SUM(F48:F50)</f>
        <v>1</v>
      </c>
      <c r="G47" s="550">
        <f t="shared" ref="G47" si="191">SUM(G48:G50)</f>
        <v>1</v>
      </c>
      <c r="H47" s="550">
        <f t="shared" ref="H47" si="192">SUM(H48:H50)</f>
        <v>1</v>
      </c>
      <c r="I47" s="550">
        <f t="shared" ref="I47" si="193">SUM(I48:I50)</f>
        <v>1</v>
      </c>
      <c r="J47" s="550">
        <f t="shared" ref="J47" si="194">SUM(J48:J50)</f>
        <v>1</v>
      </c>
      <c r="K47" s="550">
        <f t="shared" ref="K47" si="195">SUM(K48:K50)</f>
        <v>1</v>
      </c>
      <c r="L47" s="550">
        <f t="shared" ref="L47" si="196">SUM(L48:L50)</f>
        <v>1</v>
      </c>
      <c r="M47" s="550">
        <f t="shared" ref="M47" si="197">SUM(M48:M50)</f>
        <v>2</v>
      </c>
      <c r="N47" s="550">
        <f t="shared" ref="N47" si="198">SUM(N48:N50)</f>
        <v>2</v>
      </c>
      <c r="O47" s="550">
        <f t="shared" ref="O47" si="199">SUM(O48:O50)</f>
        <v>2</v>
      </c>
      <c r="P47" s="550">
        <f t="shared" ref="P47" si="200">SUM(P48:P50)</f>
        <v>2</v>
      </c>
      <c r="Q47" s="550">
        <f t="shared" ref="Q47" si="201">SUM(Q48:Q50)</f>
        <v>5</v>
      </c>
      <c r="R47" s="550">
        <f t="shared" ref="R47" si="202">SUM(R48:R50)</f>
        <v>5</v>
      </c>
      <c r="S47" s="550">
        <f t="shared" ref="S47" si="203">SUM(S48:S50)</f>
        <v>5</v>
      </c>
      <c r="T47" s="550">
        <f t="shared" ref="T47" si="204">SUM(T48:T50)</f>
        <v>5</v>
      </c>
      <c r="U47" s="550">
        <f t="shared" ref="U47" si="205">SUM(U48:U50)</f>
        <v>7</v>
      </c>
      <c r="V47" s="550">
        <f t="shared" ref="V47" si="206">SUM(V48:V50)</f>
        <v>7</v>
      </c>
      <c r="W47" s="550">
        <f t="shared" ref="W47" si="207">SUM(W48:W50)</f>
        <v>7</v>
      </c>
      <c r="X47" s="550">
        <f t="shared" ref="X47" si="208">SUM(X48:X50)</f>
        <v>7</v>
      </c>
      <c r="Y47" s="550">
        <f t="shared" ref="Y47" si="209">SUM(Y48:Y50)</f>
        <v>9</v>
      </c>
      <c r="Z47" s="550">
        <f t="shared" ref="Z47" si="210">SUM(Z48:Z50)</f>
        <v>9</v>
      </c>
      <c r="AA47" s="550">
        <f t="shared" ref="AA47" si="211">SUM(AA48:AA50)</f>
        <v>9</v>
      </c>
      <c r="AB47" s="550">
        <f t="shared" ref="AB47" si="212">SUM(AB48:AB50)</f>
        <v>9</v>
      </c>
      <c r="AC47" s="550">
        <f t="shared" ref="AC47" si="213">SUM(AC48:AC50)</f>
        <v>14</v>
      </c>
      <c r="AD47" s="550">
        <f t="shared" ref="AD47" si="214">SUM(AD48:AD50)</f>
        <v>14</v>
      </c>
      <c r="AE47" s="550">
        <f t="shared" ref="AE47" si="215">SUM(AE48:AE50)</f>
        <v>14</v>
      </c>
      <c r="AF47" s="550">
        <f t="shared" ref="AF47" si="216">SUM(AF48:AF50)</f>
        <v>14</v>
      </c>
      <c r="AG47" s="550">
        <f t="shared" ref="AG47" si="217">SUM(AG48:AG50)</f>
        <v>22</v>
      </c>
      <c r="AH47" s="550">
        <f t="shared" ref="AH47" si="218">SUM(AH48:AH50)</f>
        <v>22</v>
      </c>
      <c r="AI47" s="550">
        <f t="shared" ref="AI47" si="219">SUM(AI48:AI50)</f>
        <v>22</v>
      </c>
      <c r="AJ47" s="550">
        <f t="shared" ref="AJ47" si="220">SUM(AJ48:AJ50)</f>
        <v>22</v>
      </c>
      <c r="AK47" s="550">
        <f t="shared" ref="AK47" si="221">SUM(AK48:AK50)</f>
        <v>27</v>
      </c>
      <c r="AL47" s="550">
        <f t="shared" ref="AL47" si="222">SUM(AL48:AL50)</f>
        <v>27</v>
      </c>
      <c r="AM47" s="550">
        <f t="shared" ref="AM47" si="223">SUM(AM48:AM50)</f>
        <v>27</v>
      </c>
      <c r="AN47" s="550">
        <f t="shared" ref="AN47" si="224">SUM(AN48:AN50)</f>
        <v>27</v>
      </c>
      <c r="AP47" s="456"/>
    </row>
    <row r="48" spans="2:42" ht="11.5" customHeight="1" x14ac:dyDescent="0.25">
      <c r="C48" s="20" t="s">
        <v>804</v>
      </c>
      <c r="D48" s="34" t="s">
        <v>162</v>
      </c>
      <c r="E48" s="20">
        <f>ROUNDDOWN('3.4 OpEx'!E$82/'1.1 Control Panel'!E910,0)</f>
        <v>0</v>
      </c>
      <c r="F48" s="20">
        <f>ROUNDDOWN('3.4 OpEx'!F$82/'1.1 Control Panel'!F910,0)</f>
        <v>0</v>
      </c>
      <c r="G48" s="20">
        <f>ROUNDDOWN('3.4 OpEx'!G$82/'1.1 Control Panel'!G910,0)</f>
        <v>0</v>
      </c>
      <c r="H48" s="20">
        <f>ROUNDDOWN('3.4 OpEx'!H$82/'1.1 Control Panel'!H910,0)</f>
        <v>0</v>
      </c>
      <c r="I48" s="20">
        <f>ROUNDDOWN('3.4 OpEx'!I$82/'1.1 Control Panel'!I910,0)</f>
        <v>0</v>
      </c>
      <c r="J48" s="20">
        <f>ROUNDDOWN('3.4 OpEx'!J$82/'1.1 Control Panel'!J910,0)</f>
        <v>0</v>
      </c>
      <c r="K48" s="20">
        <f>ROUNDDOWN('3.4 OpEx'!K$82/'1.1 Control Panel'!K910,0)</f>
        <v>0</v>
      </c>
      <c r="L48" s="20">
        <f>ROUNDDOWN('3.4 OpEx'!L$82/'1.1 Control Panel'!L910,0)</f>
        <v>0</v>
      </c>
      <c r="M48" s="20">
        <f>ROUNDDOWN('3.4 OpEx'!M$82/'1.1 Control Panel'!M910,0)</f>
        <v>0</v>
      </c>
      <c r="N48" s="20">
        <f>ROUNDDOWN('3.4 OpEx'!N$82/'1.1 Control Panel'!N910,0)</f>
        <v>0</v>
      </c>
      <c r="O48" s="20">
        <f>ROUNDDOWN('3.4 OpEx'!O$82/'1.1 Control Panel'!O910,0)</f>
        <v>0</v>
      </c>
      <c r="P48" s="20">
        <f>ROUNDDOWN('3.4 OpEx'!P$82/'1.1 Control Panel'!P910,0)</f>
        <v>0</v>
      </c>
      <c r="Q48" s="20">
        <f>ROUNDDOWN('3.4 OpEx'!Q$82/'1.1 Control Panel'!Q910,0)</f>
        <v>0</v>
      </c>
      <c r="R48" s="20">
        <f>ROUNDDOWN('3.4 OpEx'!R$82/'1.1 Control Panel'!R910,0)</f>
        <v>0</v>
      </c>
      <c r="S48" s="20">
        <f>ROUNDDOWN('3.4 OpEx'!S$82/'1.1 Control Panel'!S910,0)</f>
        <v>0</v>
      </c>
      <c r="T48" s="20">
        <f>ROUNDDOWN('3.4 OpEx'!T$82/'1.1 Control Panel'!T910,0)</f>
        <v>0</v>
      </c>
      <c r="U48" s="20">
        <f>ROUNDDOWN('3.4 OpEx'!U$82/'1.1 Control Panel'!U910,0)</f>
        <v>0</v>
      </c>
      <c r="V48" s="20">
        <f>ROUNDDOWN('3.4 OpEx'!V$82/'1.1 Control Panel'!V910,0)</f>
        <v>0</v>
      </c>
      <c r="W48" s="20">
        <f>ROUNDDOWN('3.4 OpEx'!W$82/'1.1 Control Panel'!W910,0)</f>
        <v>0</v>
      </c>
      <c r="X48" s="20">
        <f>ROUNDDOWN('3.4 OpEx'!X$82/'1.1 Control Panel'!X910,0)</f>
        <v>0</v>
      </c>
      <c r="Y48" s="20">
        <f>ROUNDDOWN('3.4 OpEx'!Y$82/'1.1 Control Panel'!Y910,0)</f>
        <v>1</v>
      </c>
      <c r="Z48" s="20">
        <f>ROUNDDOWN('3.4 OpEx'!Z$82/'1.1 Control Panel'!Z910,0)</f>
        <v>1</v>
      </c>
      <c r="AA48" s="20">
        <f>ROUNDDOWN('3.4 OpEx'!AA$82/'1.1 Control Panel'!AA910,0)</f>
        <v>1</v>
      </c>
      <c r="AB48" s="20">
        <f>ROUNDDOWN('3.4 OpEx'!AB$82/'1.1 Control Panel'!AB910,0)</f>
        <v>1</v>
      </c>
      <c r="AC48" s="20">
        <f>ROUNDDOWN('3.4 OpEx'!AC$82/'1.1 Control Panel'!AC910,0)</f>
        <v>1</v>
      </c>
      <c r="AD48" s="20">
        <f>ROUNDDOWN('3.4 OpEx'!AD$82/'1.1 Control Panel'!AD910,0)</f>
        <v>1</v>
      </c>
      <c r="AE48" s="20">
        <f>ROUNDDOWN('3.4 OpEx'!AE$82/'1.1 Control Panel'!AE910,0)</f>
        <v>1</v>
      </c>
      <c r="AF48" s="20">
        <f>ROUNDDOWN('3.4 OpEx'!AF$82/'1.1 Control Panel'!AF910,0)</f>
        <v>1</v>
      </c>
      <c r="AG48" s="20">
        <f>ROUNDDOWN('3.4 OpEx'!AG$82/'1.1 Control Panel'!AG910,0)</f>
        <v>2</v>
      </c>
      <c r="AH48" s="20">
        <f>ROUNDDOWN('3.4 OpEx'!AH$82/'1.1 Control Panel'!AH910,0)</f>
        <v>2</v>
      </c>
      <c r="AI48" s="20">
        <f>ROUNDDOWN('3.4 OpEx'!AI$82/'1.1 Control Panel'!AI910,0)</f>
        <v>2</v>
      </c>
      <c r="AJ48" s="20">
        <f>ROUNDDOWN('3.4 OpEx'!AJ$82/'1.1 Control Panel'!AJ910,0)</f>
        <v>2</v>
      </c>
      <c r="AK48" s="20">
        <f>ROUNDDOWN('3.4 OpEx'!AK$82/'1.1 Control Panel'!AK910,0)</f>
        <v>3</v>
      </c>
      <c r="AL48" s="20">
        <f>ROUNDDOWN('3.4 OpEx'!AL$82/'1.1 Control Panel'!AL910,0)</f>
        <v>3</v>
      </c>
      <c r="AM48" s="20">
        <f>ROUNDDOWN('3.4 OpEx'!AM$82/'1.1 Control Panel'!AM910,0)</f>
        <v>3</v>
      </c>
      <c r="AN48" s="20">
        <f>ROUNDDOWN('3.4 OpEx'!AN$82/'1.1 Control Panel'!AN910,0)</f>
        <v>3</v>
      </c>
      <c r="AP48" s="20"/>
    </row>
    <row r="49" spans="2:42" ht="11.5" customHeight="1" x14ac:dyDescent="0.25">
      <c r="C49" s="20" t="s">
        <v>803</v>
      </c>
      <c r="D49" s="34" t="s">
        <v>162</v>
      </c>
      <c r="E49" s="20">
        <f>ROUNDDOWN('3.4 OpEx'!E$82/'1.1 Control Panel'!E911,0)</f>
        <v>0</v>
      </c>
      <c r="F49" s="20">
        <f>ROUNDDOWN('3.4 OpEx'!F$82/'1.1 Control Panel'!F911,0)</f>
        <v>0</v>
      </c>
      <c r="G49" s="20">
        <f>ROUNDDOWN('3.4 OpEx'!G$82/'1.1 Control Panel'!G911,0)</f>
        <v>0</v>
      </c>
      <c r="H49" s="20">
        <f>ROUNDDOWN('3.4 OpEx'!H$82/'1.1 Control Panel'!H911,0)</f>
        <v>0</v>
      </c>
      <c r="I49" s="20">
        <f>ROUNDDOWN('3.4 OpEx'!I$82/'1.1 Control Panel'!I911,0)</f>
        <v>0</v>
      </c>
      <c r="J49" s="20">
        <f>ROUNDDOWN('3.4 OpEx'!J$82/'1.1 Control Panel'!J911,0)</f>
        <v>0</v>
      </c>
      <c r="K49" s="20">
        <f>ROUNDDOWN('3.4 OpEx'!K$82/'1.1 Control Panel'!K911,0)</f>
        <v>0</v>
      </c>
      <c r="L49" s="20">
        <f>ROUNDDOWN('3.4 OpEx'!L$82/'1.1 Control Panel'!L911,0)</f>
        <v>0</v>
      </c>
      <c r="M49" s="20">
        <f>ROUNDDOWN('3.4 OpEx'!M$82/'1.1 Control Panel'!M911,0)</f>
        <v>0</v>
      </c>
      <c r="N49" s="20">
        <f>ROUNDDOWN('3.4 OpEx'!N$82/'1.1 Control Panel'!N911,0)</f>
        <v>0</v>
      </c>
      <c r="O49" s="20">
        <f>ROUNDDOWN('3.4 OpEx'!O$82/'1.1 Control Panel'!O911,0)</f>
        <v>0</v>
      </c>
      <c r="P49" s="20">
        <f>ROUNDDOWN('3.4 OpEx'!P$82/'1.1 Control Panel'!P911,0)</f>
        <v>0</v>
      </c>
      <c r="Q49" s="20">
        <f>ROUNDDOWN('3.4 OpEx'!Q$82/'1.1 Control Panel'!Q911,0)</f>
        <v>1</v>
      </c>
      <c r="R49" s="20">
        <f>ROUNDDOWN('3.4 OpEx'!R$82/'1.1 Control Panel'!R911,0)</f>
        <v>1</v>
      </c>
      <c r="S49" s="20">
        <f>ROUNDDOWN('3.4 OpEx'!S$82/'1.1 Control Panel'!S911,0)</f>
        <v>1</v>
      </c>
      <c r="T49" s="20">
        <f>ROUNDDOWN('3.4 OpEx'!T$82/'1.1 Control Panel'!T911,0)</f>
        <v>1</v>
      </c>
      <c r="U49" s="20">
        <f>ROUNDDOWN('3.4 OpEx'!U$82/'1.1 Control Panel'!U911,0)</f>
        <v>2</v>
      </c>
      <c r="V49" s="20">
        <f>ROUNDDOWN('3.4 OpEx'!V$82/'1.1 Control Panel'!V911,0)</f>
        <v>2</v>
      </c>
      <c r="W49" s="20">
        <f>ROUNDDOWN('3.4 OpEx'!W$82/'1.1 Control Panel'!W911,0)</f>
        <v>2</v>
      </c>
      <c r="X49" s="20">
        <f>ROUNDDOWN('3.4 OpEx'!X$82/'1.1 Control Panel'!X911,0)</f>
        <v>2</v>
      </c>
      <c r="Y49" s="20">
        <f>ROUNDDOWN('3.4 OpEx'!Y$82/'1.1 Control Panel'!Y911,0)</f>
        <v>2</v>
      </c>
      <c r="Z49" s="20">
        <f>ROUNDDOWN('3.4 OpEx'!Z$82/'1.1 Control Panel'!Z911,0)</f>
        <v>2</v>
      </c>
      <c r="AA49" s="20">
        <f>ROUNDDOWN('3.4 OpEx'!AA$82/'1.1 Control Panel'!AA911,0)</f>
        <v>2</v>
      </c>
      <c r="AB49" s="20">
        <f>ROUNDDOWN('3.4 OpEx'!AB$82/'1.1 Control Panel'!AB911,0)</f>
        <v>2</v>
      </c>
      <c r="AC49" s="20">
        <f>ROUNDDOWN('3.4 OpEx'!AC$82/'1.1 Control Panel'!AC911,0)</f>
        <v>3</v>
      </c>
      <c r="AD49" s="20">
        <f>ROUNDDOWN('3.4 OpEx'!AD$82/'1.1 Control Panel'!AD911,0)</f>
        <v>3</v>
      </c>
      <c r="AE49" s="20">
        <f>ROUNDDOWN('3.4 OpEx'!AE$82/'1.1 Control Panel'!AE911,0)</f>
        <v>3</v>
      </c>
      <c r="AF49" s="20">
        <f>ROUNDDOWN('3.4 OpEx'!AF$82/'1.1 Control Panel'!AF911,0)</f>
        <v>3</v>
      </c>
      <c r="AG49" s="20">
        <f>ROUNDDOWN('3.4 OpEx'!AG$82/'1.1 Control Panel'!AG911,0)</f>
        <v>5</v>
      </c>
      <c r="AH49" s="20">
        <f>ROUNDDOWN('3.4 OpEx'!AH$82/'1.1 Control Panel'!AH911,0)</f>
        <v>5</v>
      </c>
      <c r="AI49" s="20">
        <f>ROUNDDOWN('3.4 OpEx'!AI$82/'1.1 Control Panel'!AI911,0)</f>
        <v>5</v>
      </c>
      <c r="AJ49" s="20">
        <f>ROUNDDOWN('3.4 OpEx'!AJ$82/'1.1 Control Panel'!AJ911,0)</f>
        <v>5</v>
      </c>
      <c r="AK49" s="20">
        <f>ROUNDDOWN('3.4 OpEx'!AK$82/'1.1 Control Panel'!AK911,0)</f>
        <v>6</v>
      </c>
      <c r="AL49" s="20">
        <f>ROUNDDOWN('3.4 OpEx'!AL$82/'1.1 Control Panel'!AL911,0)</f>
        <v>6</v>
      </c>
      <c r="AM49" s="20">
        <f>ROUNDDOWN('3.4 OpEx'!AM$82/'1.1 Control Panel'!AM911,0)</f>
        <v>6</v>
      </c>
      <c r="AN49" s="20">
        <f>ROUNDDOWN('3.4 OpEx'!AN$82/'1.1 Control Panel'!AN911,0)</f>
        <v>6</v>
      </c>
      <c r="AP49" s="20"/>
    </row>
    <row r="50" spans="2:42" ht="11.5" customHeight="1" x14ac:dyDescent="0.25">
      <c r="C50" s="26" t="s">
        <v>805</v>
      </c>
      <c r="D50" s="319" t="s">
        <v>162</v>
      </c>
      <c r="E50" s="20">
        <f>ROUNDDOWN('3.4 OpEx'!E$82/'1.1 Control Panel'!E912,0)</f>
        <v>1</v>
      </c>
      <c r="F50" s="20">
        <f>ROUNDDOWN('3.4 OpEx'!F$82/'1.1 Control Panel'!F912,0)</f>
        <v>1</v>
      </c>
      <c r="G50" s="20">
        <f>ROUNDDOWN('3.4 OpEx'!G$82/'1.1 Control Panel'!G912,0)</f>
        <v>1</v>
      </c>
      <c r="H50" s="20">
        <f>ROUNDDOWN('3.4 OpEx'!H$82/'1.1 Control Panel'!H912,0)</f>
        <v>1</v>
      </c>
      <c r="I50" s="20">
        <f>ROUNDDOWN('3.4 OpEx'!I$82/'1.1 Control Panel'!I912,0)</f>
        <v>1</v>
      </c>
      <c r="J50" s="20">
        <f>ROUNDDOWN('3.4 OpEx'!J$82/'1.1 Control Panel'!J912,0)</f>
        <v>1</v>
      </c>
      <c r="K50" s="20">
        <f>ROUNDDOWN('3.4 OpEx'!K$82/'1.1 Control Panel'!K912,0)</f>
        <v>1</v>
      </c>
      <c r="L50" s="20">
        <f>ROUNDDOWN('3.4 OpEx'!L$82/'1.1 Control Panel'!L912,0)</f>
        <v>1</v>
      </c>
      <c r="M50" s="20">
        <f>ROUNDDOWN('3.4 OpEx'!M$82/'1.1 Control Panel'!M912,0)</f>
        <v>2</v>
      </c>
      <c r="N50" s="20">
        <f>ROUNDDOWN('3.4 OpEx'!N$82/'1.1 Control Panel'!N912,0)</f>
        <v>2</v>
      </c>
      <c r="O50" s="20">
        <f>ROUNDDOWN('3.4 OpEx'!O$82/'1.1 Control Panel'!O912,0)</f>
        <v>2</v>
      </c>
      <c r="P50" s="20">
        <f>ROUNDDOWN('3.4 OpEx'!P$82/'1.1 Control Panel'!P912,0)</f>
        <v>2</v>
      </c>
      <c r="Q50" s="20">
        <f>ROUNDDOWN('3.4 OpEx'!Q$82/'1.1 Control Panel'!Q912,0)</f>
        <v>4</v>
      </c>
      <c r="R50" s="20">
        <f>ROUNDDOWN('3.4 OpEx'!R$82/'1.1 Control Panel'!R912,0)</f>
        <v>4</v>
      </c>
      <c r="S50" s="20">
        <f>ROUNDDOWN('3.4 OpEx'!S$82/'1.1 Control Panel'!S912,0)</f>
        <v>4</v>
      </c>
      <c r="T50" s="20">
        <f>ROUNDDOWN('3.4 OpEx'!T$82/'1.1 Control Panel'!T912,0)</f>
        <v>4</v>
      </c>
      <c r="U50" s="20">
        <f>ROUNDDOWN('3.4 OpEx'!U$82/'1.1 Control Panel'!U912,0)</f>
        <v>5</v>
      </c>
      <c r="V50" s="20">
        <f>ROUNDDOWN('3.4 OpEx'!V$82/'1.1 Control Panel'!V912,0)</f>
        <v>5</v>
      </c>
      <c r="W50" s="20">
        <f>ROUNDDOWN('3.4 OpEx'!W$82/'1.1 Control Panel'!W912,0)</f>
        <v>5</v>
      </c>
      <c r="X50" s="20">
        <f>ROUNDDOWN('3.4 OpEx'!X$82/'1.1 Control Panel'!X912,0)</f>
        <v>5</v>
      </c>
      <c r="Y50" s="20">
        <f>ROUNDDOWN('3.4 OpEx'!Y$82/'1.1 Control Panel'!Y912,0)</f>
        <v>6</v>
      </c>
      <c r="Z50" s="20">
        <f>ROUNDDOWN('3.4 OpEx'!Z$82/'1.1 Control Panel'!Z912,0)</f>
        <v>6</v>
      </c>
      <c r="AA50" s="20">
        <f>ROUNDDOWN('3.4 OpEx'!AA$82/'1.1 Control Panel'!AA912,0)</f>
        <v>6</v>
      </c>
      <c r="AB50" s="20">
        <f>ROUNDDOWN('3.4 OpEx'!AB$82/'1.1 Control Panel'!AB912,0)</f>
        <v>6</v>
      </c>
      <c r="AC50" s="20">
        <f>ROUNDDOWN('3.4 OpEx'!AC$82/'1.1 Control Panel'!AC912,0)</f>
        <v>10</v>
      </c>
      <c r="AD50" s="20">
        <f>ROUNDDOWN('3.4 OpEx'!AD$82/'1.1 Control Panel'!AD912,0)</f>
        <v>10</v>
      </c>
      <c r="AE50" s="20">
        <f>ROUNDDOWN('3.4 OpEx'!AE$82/'1.1 Control Panel'!AE912,0)</f>
        <v>10</v>
      </c>
      <c r="AF50" s="20">
        <f>ROUNDDOWN('3.4 OpEx'!AF$82/'1.1 Control Panel'!AF912,0)</f>
        <v>10</v>
      </c>
      <c r="AG50" s="20">
        <f>ROUNDDOWN('3.4 OpEx'!AG$82/'1.1 Control Panel'!AG912,0)</f>
        <v>15</v>
      </c>
      <c r="AH50" s="20">
        <f>ROUNDDOWN('3.4 OpEx'!AH$82/'1.1 Control Panel'!AH912,0)</f>
        <v>15</v>
      </c>
      <c r="AI50" s="20">
        <f>ROUNDDOWN('3.4 OpEx'!AI$82/'1.1 Control Panel'!AI912,0)</f>
        <v>15</v>
      </c>
      <c r="AJ50" s="20">
        <f>ROUNDDOWN('3.4 OpEx'!AJ$82/'1.1 Control Panel'!AJ912,0)</f>
        <v>15</v>
      </c>
      <c r="AK50" s="20">
        <f>ROUNDDOWN('3.4 OpEx'!AK$82/'1.1 Control Panel'!AK912,0)</f>
        <v>18</v>
      </c>
      <c r="AL50" s="20">
        <f>ROUNDDOWN('3.4 OpEx'!AL$82/'1.1 Control Panel'!AL912,0)</f>
        <v>18</v>
      </c>
      <c r="AM50" s="20">
        <f>ROUNDDOWN('3.4 OpEx'!AM$82/'1.1 Control Panel'!AM912,0)</f>
        <v>18</v>
      </c>
      <c r="AN50" s="20">
        <f>ROUNDDOWN('3.4 OpEx'!AN$82/'1.1 Control Panel'!AN912,0)</f>
        <v>18</v>
      </c>
      <c r="AP50" s="20"/>
    </row>
    <row r="51" spans="2:42" ht="11.5" customHeight="1" x14ac:dyDescent="0.25">
      <c r="B51" s="33" t="s">
        <v>9</v>
      </c>
      <c r="C51" s="536" t="s">
        <v>787</v>
      </c>
      <c r="D51" s="535" t="s">
        <v>162</v>
      </c>
      <c r="E51" s="550">
        <f>SUM(E52:E54)</f>
        <v>1</v>
      </c>
      <c r="F51" s="550">
        <f t="shared" ref="F51" si="225">SUM(F52:F54)</f>
        <v>1</v>
      </c>
      <c r="G51" s="550">
        <f t="shared" ref="G51" si="226">SUM(G52:G54)</f>
        <v>1</v>
      </c>
      <c r="H51" s="550">
        <f t="shared" ref="H51" si="227">SUM(H52:H54)</f>
        <v>1</v>
      </c>
      <c r="I51" s="550">
        <f t="shared" ref="I51" si="228">SUM(I52:I54)</f>
        <v>1</v>
      </c>
      <c r="J51" s="550">
        <f t="shared" ref="J51" si="229">SUM(J52:J54)</f>
        <v>1</v>
      </c>
      <c r="K51" s="550">
        <f t="shared" ref="K51" si="230">SUM(K52:K54)</f>
        <v>1</v>
      </c>
      <c r="L51" s="550">
        <f t="shared" ref="L51" si="231">SUM(L52:L54)</f>
        <v>1</v>
      </c>
      <c r="M51" s="550">
        <f t="shared" ref="M51" si="232">SUM(M52:M54)</f>
        <v>2</v>
      </c>
      <c r="N51" s="550">
        <f t="shared" ref="N51" si="233">SUM(N52:N54)</f>
        <v>2</v>
      </c>
      <c r="O51" s="550">
        <f t="shared" ref="O51" si="234">SUM(O52:O54)</f>
        <v>2</v>
      </c>
      <c r="P51" s="550">
        <f t="shared" ref="P51" si="235">SUM(P52:P54)</f>
        <v>2</v>
      </c>
      <c r="Q51" s="550">
        <f t="shared" ref="Q51" si="236">SUM(Q52:Q54)</f>
        <v>5</v>
      </c>
      <c r="R51" s="550">
        <f t="shared" ref="R51" si="237">SUM(R52:R54)</f>
        <v>5</v>
      </c>
      <c r="S51" s="550">
        <f t="shared" ref="S51" si="238">SUM(S52:S54)</f>
        <v>5</v>
      </c>
      <c r="T51" s="550">
        <f t="shared" ref="T51" si="239">SUM(T52:T54)</f>
        <v>5</v>
      </c>
      <c r="U51" s="550">
        <f t="shared" ref="U51" si="240">SUM(U52:U54)</f>
        <v>7</v>
      </c>
      <c r="V51" s="550">
        <f t="shared" ref="V51" si="241">SUM(V52:V54)</f>
        <v>7</v>
      </c>
      <c r="W51" s="550">
        <f t="shared" ref="W51" si="242">SUM(W52:W54)</f>
        <v>7</v>
      </c>
      <c r="X51" s="550">
        <f t="shared" ref="X51" si="243">SUM(X52:X54)</f>
        <v>7</v>
      </c>
      <c r="Y51" s="550">
        <f t="shared" ref="Y51" si="244">SUM(Y52:Y54)</f>
        <v>9</v>
      </c>
      <c r="Z51" s="550">
        <f t="shared" ref="Z51" si="245">SUM(Z52:Z54)</f>
        <v>9</v>
      </c>
      <c r="AA51" s="550">
        <f t="shared" ref="AA51" si="246">SUM(AA52:AA54)</f>
        <v>9</v>
      </c>
      <c r="AB51" s="550">
        <f t="shared" ref="AB51" si="247">SUM(AB52:AB54)</f>
        <v>9</v>
      </c>
      <c r="AC51" s="550">
        <f t="shared" ref="AC51" si="248">SUM(AC52:AC54)</f>
        <v>14</v>
      </c>
      <c r="AD51" s="550">
        <f t="shared" ref="AD51" si="249">SUM(AD52:AD54)</f>
        <v>14</v>
      </c>
      <c r="AE51" s="550">
        <f t="shared" ref="AE51" si="250">SUM(AE52:AE54)</f>
        <v>14</v>
      </c>
      <c r="AF51" s="550">
        <f t="shared" ref="AF51" si="251">SUM(AF52:AF54)</f>
        <v>14</v>
      </c>
      <c r="AG51" s="550">
        <f t="shared" ref="AG51" si="252">SUM(AG52:AG54)</f>
        <v>22</v>
      </c>
      <c r="AH51" s="550">
        <f t="shared" ref="AH51" si="253">SUM(AH52:AH54)</f>
        <v>22</v>
      </c>
      <c r="AI51" s="550">
        <f t="shared" ref="AI51" si="254">SUM(AI52:AI54)</f>
        <v>22</v>
      </c>
      <c r="AJ51" s="550">
        <f t="shared" ref="AJ51" si="255">SUM(AJ52:AJ54)</f>
        <v>22</v>
      </c>
      <c r="AK51" s="550">
        <f t="shared" ref="AK51" si="256">SUM(AK52:AK54)</f>
        <v>27</v>
      </c>
      <c r="AL51" s="550">
        <f t="shared" ref="AL51" si="257">SUM(AL52:AL54)</f>
        <v>27</v>
      </c>
      <c r="AM51" s="550">
        <f t="shared" ref="AM51" si="258">SUM(AM52:AM54)</f>
        <v>27</v>
      </c>
      <c r="AN51" s="550">
        <f t="shared" ref="AN51" si="259">SUM(AN52:AN54)</f>
        <v>27</v>
      </c>
      <c r="AP51" s="456"/>
    </row>
    <row r="52" spans="2:42" ht="11.5" customHeight="1" x14ac:dyDescent="0.25">
      <c r="C52" s="20" t="s">
        <v>804</v>
      </c>
      <c r="D52" s="34" t="s">
        <v>162</v>
      </c>
      <c r="E52" s="20">
        <f>ROUNDDOWN('3.4 OpEx'!E$82/'1.1 Control Panel'!E914,0)</f>
        <v>0</v>
      </c>
      <c r="F52" s="20">
        <f>ROUNDDOWN('3.4 OpEx'!F$82/'1.1 Control Panel'!F914,0)</f>
        <v>0</v>
      </c>
      <c r="G52" s="20">
        <f>ROUNDDOWN('3.4 OpEx'!G$82/'1.1 Control Panel'!G914,0)</f>
        <v>0</v>
      </c>
      <c r="H52" s="20">
        <f>ROUNDDOWN('3.4 OpEx'!H$82/'1.1 Control Panel'!H914,0)</f>
        <v>0</v>
      </c>
      <c r="I52" s="20">
        <f>ROUNDDOWN('3.4 OpEx'!I$82/'1.1 Control Panel'!I914,0)</f>
        <v>0</v>
      </c>
      <c r="J52" s="20">
        <f>ROUNDDOWN('3.4 OpEx'!J$82/'1.1 Control Panel'!J914,0)</f>
        <v>0</v>
      </c>
      <c r="K52" s="20">
        <f>ROUNDDOWN('3.4 OpEx'!K$82/'1.1 Control Panel'!K914,0)</f>
        <v>0</v>
      </c>
      <c r="L52" s="20">
        <f>ROUNDDOWN('3.4 OpEx'!L$82/'1.1 Control Panel'!L914,0)</f>
        <v>0</v>
      </c>
      <c r="M52" s="20">
        <f>ROUNDDOWN('3.4 OpEx'!M$82/'1.1 Control Panel'!M914,0)</f>
        <v>0</v>
      </c>
      <c r="N52" s="20">
        <f>ROUNDDOWN('3.4 OpEx'!N$82/'1.1 Control Panel'!N914,0)</f>
        <v>0</v>
      </c>
      <c r="O52" s="20">
        <f>ROUNDDOWN('3.4 OpEx'!O$82/'1.1 Control Panel'!O914,0)</f>
        <v>0</v>
      </c>
      <c r="P52" s="20">
        <f>ROUNDDOWN('3.4 OpEx'!P$82/'1.1 Control Panel'!P914,0)</f>
        <v>0</v>
      </c>
      <c r="Q52" s="20">
        <f>ROUNDDOWN('3.4 OpEx'!Q$82/'1.1 Control Panel'!Q914,0)</f>
        <v>0</v>
      </c>
      <c r="R52" s="20">
        <f>ROUNDDOWN('3.4 OpEx'!R$82/'1.1 Control Panel'!R914,0)</f>
        <v>0</v>
      </c>
      <c r="S52" s="20">
        <f>ROUNDDOWN('3.4 OpEx'!S$82/'1.1 Control Panel'!S914,0)</f>
        <v>0</v>
      </c>
      <c r="T52" s="20">
        <f>ROUNDDOWN('3.4 OpEx'!T$82/'1.1 Control Panel'!T914,0)</f>
        <v>0</v>
      </c>
      <c r="U52" s="20">
        <f>ROUNDDOWN('3.4 OpEx'!U$82/'1.1 Control Panel'!U914,0)</f>
        <v>0</v>
      </c>
      <c r="V52" s="20">
        <f>ROUNDDOWN('3.4 OpEx'!V$82/'1.1 Control Panel'!V914,0)</f>
        <v>0</v>
      </c>
      <c r="W52" s="20">
        <f>ROUNDDOWN('3.4 OpEx'!W$82/'1.1 Control Panel'!W914,0)</f>
        <v>0</v>
      </c>
      <c r="X52" s="20">
        <f>ROUNDDOWN('3.4 OpEx'!X$82/'1.1 Control Panel'!X914,0)</f>
        <v>0</v>
      </c>
      <c r="Y52" s="20">
        <f>ROUNDDOWN('3.4 OpEx'!Y$82/'1.1 Control Panel'!Y914,0)</f>
        <v>1</v>
      </c>
      <c r="Z52" s="20">
        <f>ROUNDDOWN('3.4 OpEx'!Z$82/'1.1 Control Panel'!Z914,0)</f>
        <v>1</v>
      </c>
      <c r="AA52" s="20">
        <f>ROUNDDOWN('3.4 OpEx'!AA$82/'1.1 Control Panel'!AA914,0)</f>
        <v>1</v>
      </c>
      <c r="AB52" s="20">
        <f>ROUNDDOWN('3.4 OpEx'!AB$82/'1.1 Control Panel'!AB914,0)</f>
        <v>1</v>
      </c>
      <c r="AC52" s="20">
        <f>ROUNDDOWN('3.4 OpEx'!AC$82/'1.1 Control Panel'!AC914,0)</f>
        <v>1</v>
      </c>
      <c r="AD52" s="20">
        <f>ROUNDDOWN('3.4 OpEx'!AD$82/'1.1 Control Panel'!AD914,0)</f>
        <v>1</v>
      </c>
      <c r="AE52" s="20">
        <f>ROUNDDOWN('3.4 OpEx'!AE$82/'1.1 Control Panel'!AE914,0)</f>
        <v>1</v>
      </c>
      <c r="AF52" s="20">
        <f>ROUNDDOWN('3.4 OpEx'!AF$82/'1.1 Control Panel'!AF914,0)</f>
        <v>1</v>
      </c>
      <c r="AG52" s="20">
        <f>ROUNDDOWN('3.4 OpEx'!AG$82/'1.1 Control Panel'!AG914,0)</f>
        <v>2</v>
      </c>
      <c r="AH52" s="20">
        <f>ROUNDDOWN('3.4 OpEx'!AH$82/'1.1 Control Panel'!AH914,0)</f>
        <v>2</v>
      </c>
      <c r="AI52" s="20">
        <f>ROUNDDOWN('3.4 OpEx'!AI$82/'1.1 Control Panel'!AI914,0)</f>
        <v>2</v>
      </c>
      <c r="AJ52" s="20">
        <f>ROUNDDOWN('3.4 OpEx'!AJ$82/'1.1 Control Panel'!AJ914,0)</f>
        <v>2</v>
      </c>
      <c r="AK52" s="20">
        <f>ROUNDDOWN('3.4 OpEx'!AK$82/'1.1 Control Panel'!AK914,0)</f>
        <v>3</v>
      </c>
      <c r="AL52" s="20">
        <f>ROUNDDOWN('3.4 OpEx'!AL$82/'1.1 Control Panel'!AL914,0)</f>
        <v>3</v>
      </c>
      <c r="AM52" s="20">
        <f>ROUNDDOWN('3.4 OpEx'!AM$82/'1.1 Control Panel'!AM914,0)</f>
        <v>3</v>
      </c>
      <c r="AN52" s="20">
        <f>ROUNDDOWN('3.4 OpEx'!AN$82/'1.1 Control Panel'!AN914,0)</f>
        <v>3</v>
      </c>
      <c r="AP52" s="20"/>
    </row>
    <row r="53" spans="2:42" ht="11.5" customHeight="1" x14ac:dyDescent="0.25">
      <c r="C53" s="20" t="s">
        <v>803</v>
      </c>
      <c r="D53" s="34" t="s">
        <v>162</v>
      </c>
      <c r="E53" s="20">
        <f>ROUNDDOWN('3.4 OpEx'!E$82/'1.1 Control Panel'!E915,0)</f>
        <v>0</v>
      </c>
      <c r="F53" s="20">
        <f>ROUNDDOWN('3.4 OpEx'!F$82/'1.1 Control Panel'!F915,0)</f>
        <v>0</v>
      </c>
      <c r="G53" s="20">
        <f>ROUNDDOWN('3.4 OpEx'!G$82/'1.1 Control Panel'!G915,0)</f>
        <v>0</v>
      </c>
      <c r="H53" s="20">
        <f>ROUNDDOWN('3.4 OpEx'!H$82/'1.1 Control Panel'!H915,0)</f>
        <v>0</v>
      </c>
      <c r="I53" s="20">
        <f>ROUNDDOWN('3.4 OpEx'!I$82/'1.1 Control Panel'!I915,0)</f>
        <v>0</v>
      </c>
      <c r="J53" s="20">
        <f>ROUNDDOWN('3.4 OpEx'!J$82/'1.1 Control Panel'!J915,0)</f>
        <v>0</v>
      </c>
      <c r="K53" s="20">
        <f>ROUNDDOWN('3.4 OpEx'!K$82/'1.1 Control Panel'!K915,0)</f>
        <v>0</v>
      </c>
      <c r="L53" s="20">
        <f>ROUNDDOWN('3.4 OpEx'!L$82/'1.1 Control Panel'!L915,0)</f>
        <v>0</v>
      </c>
      <c r="M53" s="20">
        <f>ROUNDDOWN('3.4 OpEx'!M$82/'1.1 Control Panel'!M915,0)</f>
        <v>0</v>
      </c>
      <c r="N53" s="20">
        <f>ROUNDDOWN('3.4 OpEx'!N$82/'1.1 Control Panel'!N915,0)</f>
        <v>0</v>
      </c>
      <c r="O53" s="20">
        <f>ROUNDDOWN('3.4 OpEx'!O$82/'1.1 Control Panel'!O915,0)</f>
        <v>0</v>
      </c>
      <c r="P53" s="20">
        <f>ROUNDDOWN('3.4 OpEx'!P$82/'1.1 Control Panel'!P915,0)</f>
        <v>0</v>
      </c>
      <c r="Q53" s="20">
        <f>ROUNDDOWN('3.4 OpEx'!Q$82/'1.1 Control Panel'!Q915,0)</f>
        <v>1</v>
      </c>
      <c r="R53" s="20">
        <f>ROUNDDOWN('3.4 OpEx'!R$82/'1.1 Control Panel'!R915,0)</f>
        <v>1</v>
      </c>
      <c r="S53" s="20">
        <f>ROUNDDOWN('3.4 OpEx'!S$82/'1.1 Control Panel'!S915,0)</f>
        <v>1</v>
      </c>
      <c r="T53" s="20">
        <f>ROUNDDOWN('3.4 OpEx'!T$82/'1.1 Control Panel'!T915,0)</f>
        <v>1</v>
      </c>
      <c r="U53" s="20">
        <f>ROUNDDOWN('3.4 OpEx'!U$82/'1.1 Control Panel'!U915,0)</f>
        <v>2</v>
      </c>
      <c r="V53" s="20">
        <f>ROUNDDOWN('3.4 OpEx'!V$82/'1.1 Control Panel'!V915,0)</f>
        <v>2</v>
      </c>
      <c r="W53" s="20">
        <f>ROUNDDOWN('3.4 OpEx'!W$82/'1.1 Control Panel'!W915,0)</f>
        <v>2</v>
      </c>
      <c r="X53" s="20">
        <f>ROUNDDOWN('3.4 OpEx'!X$82/'1.1 Control Panel'!X915,0)</f>
        <v>2</v>
      </c>
      <c r="Y53" s="20">
        <f>ROUNDDOWN('3.4 OpEx'!Y$82/'1.1 Control Panel'!Y915,0)</f>
        <v>2</v>
      </c>
      <c r="Z53" s="20">
        <f>ROUNDDOWN('3.4 OpEx'!Z$82/'1.1 Control Panel'!Z915,0)</f>
        <v>2</v>
      </c>
      <c r="AA53" s="20">
        <f>ROUNDDOWN('3.4 OpEx'!AA$82/'1.1 Control Panel'!AA915,0)</f>
        <v>2</v>
      </c>
      <c r="AB53" s="20">
        <f>ROUNDDOWN('3.4 OpEx'!AB$82/'1.1 Control Panel'!AB915,0)</f>
        <v>2</v>
      </c>
      <c r="AC53" s="20">
        <f>ROUNDDOWN('3.4 OpEx'!AC$82/'1.1 Control Panel'!AC915,0)</f>
        <v>3</v>
      </c>
      <c r="AD53" s="20">
        <f>ROUNDDOWN('3.4 OpEx'!AD$82/'1.1 Control Panel'!AD915,0)</f>
        <v>3</v>
      </c>
      <c r="AE53" s="20">
        <f>ROUNDDOWN('3.4 OpEx'!AE$82/'1.1 Control Panel'!AE915,0)</f>
        <v>3</v>
      </c>
      <c r="AF53" s="20">
        <f>ROUNDDOWN('3.4 OpEx'!AF$82/'1.1 Control Panel'!AF915,0)</f>
        <v>3</v>
      </c>
      <c r="AG53" s="20">
        <f>ROUNDDOWN('3.4 OpEx'!AG$82/'1.1 Control Panel'!AG915,0)</f>
        <v>5</v>
      </c>
      <c r="AH53" s="20">
        <f>ROUNDDOWN('3.4 OpEx'!AH$82/'1.1 Control Panel'!AH915,0)</f>
        <v>5</v>
      </c>
      <c r="AI53" s="20">
        <f>ROUNDDOWN('3.4 OpEx'!AI$82/'1.1 Control Panel'!AI915,0)</f>
        <v>5</v>
      </c>
      <c r="AJ53" s="20">
        <f>ROUNDDOWN('3.4 OpEx'!AJ$82/'1.1 Control Panel'!AJ915,0)</f>
        <v>5</v>
      </c>
      <c r="AK53" s="20">
        <f>ROUNDDOWN('3.4 OpEx'!AK$82/'1.1 Control Panel'!AK915,0)</f>
        <v>6</v>
      </c>
      <c r="AL53" s="20">
        <f>ROUNDDOWN('3.4 OpEx'!AL$82/'1.1 Control Panel'!AL915,0)</f>
        <v>6</v>
      </c>
      <c r="AM53" s="20">
        <f>ROUNDDOWN('3.4 OpEx'!AM$82/'1.1 Control Panel'!AM915,0)</f>
        <v>6</v>
      </c>
      <c r="AN53" s="20">
        <f>ROUNDDOWN('3.4 OpEx'!AN$82/'1.1 Control Panel'!AN915,0)</f>
        <v>6</v>
      </c>
      <c r="AP53" s="20"/>
    </row>
    <row r="54" spans="2:42" ht="11.5" customHeight="1" x14ac:dyDescent="0.25">
      <c r="C54" s="26" t="s">
        <v>805</v>
      </c>
      <c r="D54" s="319" t="s">
        <v>162</v>
      </c>
      <c r="E54" s="20">
        <f>ROUNDDOWN('3.4 OpEx'!E$82/'1.1 Control Panel'!E916,0)</f>
        <v>1</v>
      </c>
      <c r="F54" s="20">
        <f>ROUNDDOWN('3.4 OpEx'!F$82/'1.1 Control Panel'!F916,0)</f>
        <v>1</v>
      </c>
      <c r="G54" s="20">
        <f>ROUNDDOWN('3.4 OpEx'!G$82/'1.1 Control Panel'!G916,0)</f>
        <v>1</v>
      </c>
      <c r="H54" s="20">
        <f>ROUNDDOWN('3.4 OpEx'!H$82/'1.1 Control Panel'!H916,0)</f>
        <v>1</v>
      </c>
      <c r="I54" s="20">
        <f>ROUNDDOWN('3.4 OpEx'!I$82/'1.1 Control Panel'!I916,0)</f>
        <v>1</v>
      </c>
      <c r="J54" s="20">
        <f>ROUNDDOWN('3.4 OpEx'!J$82/'1.1 Control Panel'!J916,0)</f>
        <v>1</v>
      </c>
      <c r="K54" s="20">
        <f>ROUNDDOWN('3.4 OpEx'!K$82/'1.1 Control Panel'!K916,0)</f>
        <v>1</v>
      </c>
      <c r="L54" s="20">
        <f>ROUNDDOWN('3.4 OpEx'!L$82/'1.1 Control Panel'!L916,0)</f>
        <v>1</v>
      </c>
      <c r="M54" s="20">
        <f>ROUNDDOWN('3.4 OpEx'!M$82/'1.1 Control Panel'!M916,0)</f>
        <v>2</v>
      </c>
      <c r="N54" s="20">
        <f>ROUNDDOWN('3.4 OpEx'!N$82/'1.1 Control Panel'!N916,0)</f>
        <v>2</v>
      </c>
      <c r="O54" s="20">
        <f>ROUNDDOWN('3.4 OpEx'!O$82/'1.1 Control Panel'!O916,0)</f>
        <v>2</v>
      </c>
      <c r="P54" s="20">
        <f>ROUNDDOWN('3.4 OpEx'!P$82/'1.1 Control Panel'!P916,0)</f>
        <v>2</v>
      </c>
      <c r="Q54" s="20">
        <f>ROUNDDOWN('3.4 OpEx'!Q$82/'1.1 Control Panel'!Q916,0)</f>
        <v>4</v>
      </c>
      <c r="R54" s="20">
        <f>ROUNDDOWN('3.4 OpEx'!R$82/'1.1 Control Panel'!R916,0)</f>
        <v>4</v>
      </c>
      <c r="S54" s="20">
        <f>ROUNDDOWN('3.4 OpEx'!S$82/'1.1 Control Panel'!S916,0)</f>
        <v>4</v>
      </c>
      <c r="T54" s="20">
        <f>ROUNDDOWN('3.4 OpEx'!T$82/'1.1 Control Panel'!T916,0)</f>
        <v>4</v>
      </c>
      <c r="U54" s="20">
        <f>ROUNDDOWN('3.4 OpEx'!U$82/'1.1 Control Panel'!U916,0)</f>
        <v>5</v>
      </c>
      <c r="V54" s="20">
        <f>ROUNDDOWN('3.4 OpEx'!V$82/'1.1 Control Panel'!V916,0)</f>
        <v>5</v>
      </c>
      <c r="W54" s="20">
        <f>ROUNDDOWN('3.4 OpEx'!W$82/'1.1 Control Panel'!W916,0)</f>
        <v>5</v>
      </c>
      <c r="X54" s="20">
        <f>ROUNDDOWN('3.4 OpEx'!X$82/'1.1 Control Panel'!X916,0)</f>
        <v>5</v>
      </c>
      <c r="Y54" s="20">
        <f>ROUNDDOWN('3.4 OpEx'!Y$82/'1.1 Control Panel'!Y916,0)</f>
        <v>6</v>
      </c>
      <c r="Z54" s="20">
        <f>ROUNDDOWN('3.4 OpEx'!Z$82/'1.1 Control Panel'!Z916,0)</f>
        <v>6</v>
      </c>
      <c r="AA54" s="20">
        <f>ROUNDDOWN('3.4 OpEx'!AA$82/'1.1 Control Panel'!AA916,0)</f>
        <v>6</v>
      </c>
      <c r="AB54" s="20">
        <f>ROUNDDOWN('3.4 OpEx'!AB$82/'1.1 Control Panel'!AB916,0)</f>
        <v>6</v>
      </c>
      <c r="AC54" s="20">
        <f>ROUNDDOWN('3.4 OpEx'!AC$82/'1.1 Control Panel'!AC916,0)</f>
        <v>10</v>
      </c>
      <c r="AD54" s="20">
        <f>ROUNDDOWN('3.4 OpEx'!AD$82/'1.1 Control Panel'!AD916,0)</f>
        <v>10</v>
      </c>
      <c r="AE54" s="20">
        <f>ROUNDDOWN('3.4 OpEx'!AE$82/'1.1 Control Panel'!AE916,0)</f>
        <v>10</v>
      </c>
      <c r="AF54" s="20">
        <f>ROUNDDOWN('3.4 OpEx'!AF$82/'1.1 Control Panel'!AF916,0)</f>
        <v>10</v>
      </c>
      <c r="AG54" s="20">
        <f>ROUNDDOWN('3.4 OpEx'!AG$82/'1.1 Control Panel'!AG916,0)</f>
        <v>15</v>
      </c>
      <c r="AH54" s="20">
        <f>ROUNDDOWN('3.4 OpEx'!AH$82/'1.1 Control Panel'!AH916,0)</f>
        <v>15</v>
      </c>
      <c r="AI54" s="20">
        <f>ROUNDDOWN('3.4 OpEx'!AI$82/'1.1 Control Panel'!AI916,0)</f>
        <v>15</v>
      </c>
      <c r="AJ54" s="20">
        <f>ROUNDDOWN('3.4 OpEx'!AJ$82/'1.1 Control Panel'!AJ916,0)</f>
        <v>15</v>
      </c>
      <c r="AK54" s="20">
        <f>ROUNDDOWN('3.4 OpEx'!AK$82/'1.1 Control Panel'!AK916,0)</f>
        <v>18</v>
      </c>
      <c r="AL54" s="20">
        <f>ROUNDDOWN('3.4 OpEx'!AL$82/'1.1 Control Panel'!AL916,0)</f>
        <v>18</v>
      </c>
      <c r="AM54" s="20">
        <f>ROUNDDOWN('3.4 OpEx'!AM$82/'1.1 Control Panel'!AM916,0)</f>
        <v>18</v>
      </c>
      <c r="AN54" s="20">
        <f>ROUNDDOWN('3.4 OpEx'!AN$82/'1.1 Control Panel'!AN916,0)</f>
        <v>18</v>
      </c>
      <c r="AP54" s="20"/>
    </row>
    <row r="55" spans="2:42" ht="11.5" customHeight="1" x14ac:dyDescent="0.25">
      <c r="B55" s="33" t="s">
        <v>9</v>
      </c>
      <c r="C55" s="536" t="s">
        <v>799</v>
      </c>
      <c r="D55" s="535" t="s">
        <v>162</v>
      </c>
      <c r="E55" s="550">
        <f>SUM(E56:E58)</f>
        <v>1</v>
      </c>
      <c r="F55" s="550">
        <f t="shared" ref="F55:AN55" si="260">SUM(F56:F58)</f>
        <v>1</v>
      </c>
      <c r="G55" s="550">
        <f t="shared" si="260"/>
        <v>1</v>
      </c>
      <c r="H55" s="550">
        <f t="shared" si="260"/>
        <v>1</v>
      </c>
      <c r="I55" s="550">
        <f t="shared" si="260"/>
        <v>1</v>
      </c>
      <c r="J55" s="550">
        <f t="shared" si="260"/>
        <v>1</v>
      </c>
      <c r="K55" s="550">
        <f t="shared" si="260"/>
        <v>1</v>
      </c>
      <c r="L55" s="550">
        <f t="shared" si="260"/>
        <v>1</v>
      </c>
      <c r="M55" s="550">
        <f t="shared" si="260"/>
        <v>2</v>
      </c>
      <c r="N55" s="550">
        <f t="shared" si="260"/>
        <v>2</v>
      </c>
      <c r="O55" s="550">
        <f t="shared" si="260"/>
        <v>2</v>
      </c>
      <c r="P55" s="550">
        <f t="shared" si="260"/>
        <v>2</v>
      </c>
      <c r="Q55" s="550">
        <f t="shared" si="260"/>
        <v>5</v>
      </c>
      <c r="R55" s="550">
        <f t="shared" si="260"/>
        <v>5</v>
      </c>
      <c r="S55" s="550">
        <f t="shared" si="260"/>
        <v>5</v>
      </c>
      <c r="T55" s="550">
        <f t="shared" si="260"/>
        <v>5</v>
      </c>
      <c r="U55" s="550">
        <f t="shared" si="260"/>
        <v>7</v>
      </c>
      <c r="V55" s="550">
        <f t="shared" si="260"/>
        <v>7</v>
      </c>
      <c r="W55" s="550">
        <f t="shared" si="260"/>
        <v>7</v>
      </c>
      <c r="X55" s="550">
        <f t="shared" si="260"/>
        <v>7</v>
      </c>
      <c r="Y55" s="550">
        <f t="shared" si="260"/>
        <v>9</v>
      </c>
      <c r="Z55" s="550">
        <f t="shared" si="260"/>
        <v>9</v>
      </c>
      <c r="AA55" s="550">
        <f t="shared" si="260"/>
        <v>9</v>
      </c>
      <c r="AB55" s="550">
        <f t="shared" si="260"/>
        <v>9</v>
      </c>
      <c r="AC55" s="550">
        <f t="shared" si="260"/>
        <v>14</v>
      </c>
      <c r="AD55" s="550">
        <f t="shared" si="260"/>
        <v>14</v>
      </c>
      <c r="AE55" s="550">
        <f t="shared" si="260"/>
        <v>14</v>
      </c>
      <c r="AF55" s="550">
        <f t="shared" si="260"/>
        <v>14</v>
      </c>
      <c r="AG55" s="550">
        <f t="shared" si="260"/>
        <v>22</v>
      </c>
      <c r="AH55" s="550">
        <f t="shared" si="260"/>
        <v>22</v>
      </c>
      <c r="AI55" s="550">
        <f t="shared" si="260"/>
        <v>22</v>
      </c>
      <c r="AJ55" s="550">
        <f t="shared" si="260"/>
        <v>22</v>
      </c>
      <c r="AK55" s="550">
        <f t="shared" si="260"/>
        <v>27</v>
      </c>
      <c r="AL55" s="550">
        <f t="shared" si="260"/>
        <v>27</v>
      </c>
      <c r="AM55" s="550">
        <f t="shared" si="260"/>
        <v>27</v>
      </c>
      <c r="AN55" s="550">
        <f t="shared" si="260"/>
        <v>27</v>
      </c>
      <c r="AP55" s="456"/>
    </row>
    <row r="56" spans="2:42" ht="11.5" customHeight="1" x14ac:dyDescent="0.25">
      <c r="C56" s="20" t="s">
        <v>804</v>
      </c>
      <c r="D56" s="34" t="s">
        <v>162</v>
      </c>
      <c r="E56" s="20">
        <f>ROUNDDOWN('3.4 OpEx'!E$82/'1.1 Control Panel'!E918,0)</f>
        <v>0</v>
      </c>
      <c r="F56" s="20">
        <f>ROUNDDOWN('3.4 OpEx'!F$82/'1.1 Control Panel'!F918,0)</f>
        <v>0</v>
      </c>
      <c r="G56" s="20">
        <f>ROUNDDOWN('3.4 OpEx'!G$82/'1.1 Control Panel'!G918,0)</f>
        <v>0</v>
      </c>
      <c r="H56" s="20">
        <f>ROUNDDOWN('3.4 OpEx'!H$82/'1.1 Control Panel'!H918,0)</f>
        <v>0</v>
      </c>
      <c r="I56" s="20">
        <f>ROUNDDOWN('3.4 OpEx'!I$82/'1.1 Control Panel'!I918,0)</f>
        <v>0</v>
      </c>
      <c r="J56" s="20">
        <f>ROUNDDOWN('3.4 OpEx'!J$82/'1.1 Control Panel'!J918,0)</f>
        <v>0</v>
      </c>
      <c r="K56" s="20">
        <f>ROUNDDOWN('3.4 OpEx'!K$82/'1.1 Control Panel'!K918,0)</f>
        <v>0</v>
      </c>
      <c r="L56" s="20">
        <f>ROUNDDOWN('3.4 OpEx'!L$82/'1.1 Control Panel'!L918,0)</f>
        <v>0</v>
      </c>
      <c r="M56" s="20">
        <f>ROUNDDOWN('3.4 OpEx'!M$82/'1.1 Control Panel'!M918,0)</f>
        <v>0</v>
      </c>
      <c r="N56" s="20">
        <f>ROUNDDOWN('3.4 OpEx'!N$82/'1.1 Control Panel'!N918,0)</f>
        <v>0</v>
      </c>
      <c r="O56" s="20">
        <f>ROUNDDOWN('3.4 OpEx'!O$82/'1.1 Control Panel'!O918,0)</f>
        <v>0</v>
      </c>
      <c r="P56" s="20">
        <f>ROUNDDOWN('3.4 OpEx'!P$82/'1.1 Control Panel'!P918,0)</f>
        <v>0</v>
      </c>
      <c r="Q56" s="20">
        <f>ROUNDDOWN('3.4 OpEx'!Q$82/'1.1 Control Panel'!Q918,0)</f>
        <v>0</v>
      </c>
      <c r="R56" s="20">
        <f>ROUNDDOWN('3.4 OpEx'!R$82/'1.1 Control Panel'!R918,0)</f>
        <v>0</v>
      </c>
      <c r="S56" s="20">
        <f>ROUNDDOWN('3.4 OpEx'!S$82/'1.1 Control Panel'!S918,0)</f>
        <v>0</v>
      </c>
      <c r="T56" s="20">
        <f>ROUNDDOWN('3.4 OpEx'!T$82/'1.1 Control Panel'!T918,0)</f>
        <v>0</v>
      </c>
      <c r="U56" s="20">
        <f>ROUNDDOWN('3.4 OpEx'!U$82/'1.1 Control Panel'!U918,0)</f>
        <v>0</v>
      </c>
      <c r="V56" s="20">
        <f>ROUNDDOWN('3.4 OpEx'!V$82/'1.1 Control Panel'!V918,0)</f>
        <v>0</v>
      </c>
      <c r="W56" s="20">
        <f>ROUNDDOWN('3.4 OpEx'!W$82/'1.1 Control Panel'!W918,0)</f>
        <v>0</v>
      </c>
      <c r="X56" s="20">
        <f>ROUNDDOWN('3.4 OpEx'!X$82/'1.1 Control Panel'!X918,0)</f>
        <v>0</v>
      </c>
      <c r="Y56" s="20">
        <f>ROUNDDOWN('3.4 OpEx'!Y$82/'1.1 Control Panel'!Y918,0)</f>
        <v>1</v>
      </c>
      <c r="Z56" s="20">
        <f>ROUNDDOWN('3.4 OpEx'!Z$82/'1.1 Control Panel'!Z918,0)</f>
        <v>1</v>
      </c>
      <c r="AA56" s="20">
        <f>ROUNDDOWN('3.4 OpEx'!AA$82/'1.1 Control Panel'!AA918,0)</f>
        <v>1</v>
      </c>
      <c r="AB56" s="20">
        <f>ROUNDDOWN('3.4 OpEx'!AB$82/'1.1 Control Panel'!AB918,0)</f>
        <v>1</v>
      </c>
      <c r="AC56" s="20">
        <f>ROUNDDOWN('3.4 OpEx'!AC$82/'1.1 Control Panel'!AC918,0)</f>
        <v>1</v>
      </c>
      <c r="AD56" s="20">
        <f>ROUNDDOWN('3.4 OpEx'!AD$82/'1.1 Control Panel'!AD918,0)</f>
        <v>1</v>
      </c>
      <c r="AE56" s="20">
        <f>ROUNDDOWN('3.4 OpEx'!AE$82/'1.1 Control Panel'!AE918,0)</f>
        <v>1</v>
      </c>
      <c r="AF56" s="20">
        <f>ROUNDDOWN('3.4 OpEx'!AF$82/'1.1 Control Panel'!AF918,0)</f>
        <v>1</v>
      </c>
      <c r="AG56" s="20">
        <f>ROUNDDOWN('3.4 OpEx'!AG$82/'1.1 Control Panel'!AG918,0)</f>
        <v>2</v>
      </c>
      <c r="AH56" s="20">
        <f>ROUNDDOWN('3.4 OpEx'!AH$82/'1.1 Control Panel'!AH918,0)</f>
        <v>2</v>
      </c>
      <c r="AI56" s="20">
        <f>ROUNDDOWN('3.4 OpEx'!AI$82/'1.1 Control Panel'!AI918,0)</f>
        <v>2</v>
      </c>
      <c r="AJ56" s="20">
        <f>ROUNDDOWN('3.4 OpEx'!AJ$82/'1.1 Control Panel'!AJ918,0)</f>
        <v>2</v>
      </c>
      <c r="AK56" s="20">
        <f>ROUNDDOWN('3.4 OpEx'!AK$82/'1.1 Control Panel'!AK918,0)</f>
        <v>3</v>
      </c>
      <c r="AL56" s="20">
        <f>ROUNDDOWN('3.4 OpEx'!AL$82/'1.1 Control Panel'!AL918,0)</f>
        <v>3</v>
      </c>
      <c r="AM56" s="20">
        <f>ROUNDDOWN('3.4 OpEx'!AM$82/'1.1 Control Panel'!AM918,0)</f>
        <v>3</v>
      </c>
      <c r="AN56" s="20">
        <f>ROUNDDOWN('3.4 OpEx'!AN$82/'1.1 Control Panel'!AN918,0)</f>
        <v>3</v>
      </c>
      <c r="AP56" s="20"/>
    </row>
    <row r="57" spans="2:42" ht="11.5" customHeight="1" x14ac:dyDescent="0.25">
      <c r="C57" s="20" t="s">
        <v>803</v>
      </c>
      <c r="D57" s="34" t="s">
        <v>162</v>
      </c>
      <c r="E57" s="20">
        <f>ROUNDDOWN('3.4 OpEx'!E$82/'1.1 Control Panel'!E919,0)</f>
        <v>0</v>
      </c>
      <c r="F57" s="20">
        <f>ROUNDDOWN('3.4 OpEx'!F$82/'1.1 Control Panel'!F919,0)</f>
        <v>0</v>
      </c>
      <c r="G57" s="20">
        <f>ROUNDDOWN('3.4 OpEx'!G$82/'1.1 Control Panel'!G919,0)</f>
        <v>0</v>
      </c>
      <c r="H57" s="20">
        <f>ROUNDDOWN('3.4 OpEx'!H$82/'1.1 Control Panel'!H919,0)</f>
        <v>0</v>
      </c>
      <c r="I57" s="20">
        <f>ROUNDDOWN('3.4 OpEx'!I$82/'1.1 Control Panel'!I919,0)</f>
        <v>0</v>
      </c>
      <c r="J57" s="20">
        <f>ROUNDDOWN('3.4 OpEx'!J$82/'1.1 Control Panel'!J919,0)</f>
        <v>0</v>
      </c>
      <c r="K57" s="20">
        <f>ROUNDDOWN('3.4 OpEx'!K$82/'1.1 Control Panel'!K919,0)</f>
        <v>0</v>
      </c>
      <c r="L57" s="20">
        <f>ROUNDDOWN('3.4 OpEx'!L$82/'1.1 Control Panel'!L919,0)</f>
        <v>0</v>
      </c>
      <c r="M57" s="20">
        <f>ROUNDDOWN('3.4 OpEx'!M$82/'1.1 Control Panel'!M919,0)</f>
        <v>0</v>
      </c>
      <c r="N57" s="20">
        <f>ROUNDDOWN('3.4 OpEx'!N$82/'1.1 Control Panel'!N919,0)</f>
        <v>0</v>
      </c>
      <c r="O57" s="20">
        <f>ROUNDDOWN('3.4 OpEx'!O$82/'1.1 Control Panel'!O919,0)</f>
        <v>0</v>
      </c>
      <c r="P57" s="20">
        <f>ROUNDDOWN('3.4 OpEx'!P$82/'1.1 Control Panel'!P919,0)</f>
        <v>0</v>
      </c>
      <c r="Q57" s="20">
        <f>ROUNDDOWN('3.4 OpEx'!Q$82/'1.1 Control Panel'!Q919,0)</f>
        <v>1</v>
      </c>
      <c r="R57" s="20">
        <f>ROUNDDOWN('3.4 OpEx'!R$82/'1.1 Control Panel'!R919,0)</f>
        <v>1</v>
      </c>
      <c r="S57" s="20">
        <f>ROUNDDOWN('3.4 OpEx'!S$82/'1.1 Control Panel'!S919,0)</f>
        <v>1</v>
      </c>
      <c r="T57" s="20">
        <f>ROUNDDOWN('3.4 OpEx'!T$82/'1.1 Control Panel'!T919,0)</f>
        <v>1</v>
      </c>
      <c r="U57" s="20">
        <f>ROUNDDOWN('3.4 OpEx'!U$82/'1.1 Control Panel'!U919,0)</f>
        <v>2</v>
      </c>
      <c r="V57" s="20">
        <f>ROUNDDOWN('3.4 OpEx'!V$82/'1.1 Control Panel'!V919,0)</f>
        <v>2</v>
      </c>
      <c r="W57" s="20">
        <f>ROUNDDOWN('3.4 OpEx'!W$82/'1.1 Control Panel'!W919,0)</f>
        <v>2</v>
      </c>
      <c r="X57" s="20">
        <f>ROUNDDOWN('3.4 OpEx'!X$82/'1.1 Control Panel'!X919,0)</f>
        <v>2</v>
      </c>
      <c r="Y57" s="20">
        <f>ROUNDDOWN('3.4 OpEx'!Y$82/'1.1 Control Panel'!Y919,0)</f>
        <v>2</v>
      </c>
      <c r="Z57" s="20">
        <f>ROUNDDOWN('3.4 OpEx'!Z$82/'1.1 Control Panel'!Z919,0)</f>
        <v>2</v>
      </c>
      <c r="AA57" s="20">
        <f>ROUNDDOWN('3.4 OpEx'!AA$82/'1.1 Control Panel'!AA919,0)</f>
        <v>2</v>
      </c>
      <c r="AB57" s="20">
        <f>ROUNDDOWN('3.4 OpEx'!AB$82/'1.1 Control Panel'!AB919,0)</f>
        <v>2</v>
      </c>
      <c r="AC57" s="20">
        <f>ROUNDDOWN('3.4 OpEx'!AC$82/'1.1 Control Panel'!AC919,0)</f>
        <v>3</v>
      </c>
      <c r="AD57" s="20">
        <f>ROUNDDOWN('3.4 OpEx'!AD$82/'1.1 Control Panel'!AD919,0)</f>
        <v>3</v>
      </c>
      <c r="AE57" s="20">
        <f>ROUNDDOWN('3.4 OpEx'!AE$82/'1.1 Control Panel'!AE919,0)</f>
        <v>3</v>
      </c>
      <c r="AF57" s="20">
        <f>ROUNDDOWN('3.4 OpEx'!AF$82/'1.1 Control Panel'!AF919,0)</f>
        <v>3</v>
      </c>
      <c r="AG57" s="20">
        <f>ROUNDDOWN('3.4 OpEx'!AG$82/'1.1 Control Panel'!AG919,0)</f>
        <v>5</v>
      </c>
      <c r="AH57" s="20">
        <f>ROUNDDOWN('3.4 OpEx'!AH$82/'1.1 Control Panel'!AH919,0)</f>
        <v>5</v>
      </c>
      <c r="AI57" s="20">
        <f>ROUNDDOWN('3.4 OpEx'!AI$82/'1.1 Control Panel'!AI919,0)</f>
        <v>5</v>
      </c>
      <c r="AJ57" s="20">
        <f>ROUNDDOWN('3.4 OpEx'!AJ$82/'1.1 Control Panel'!AJ919,0)</f>
        <v>5</v>
      </c>
      <c r="AK57" s="20">
        <f>ROUNDDOWN('3.4 OpEx'!AK$82/'1.1 Control Panel'!AK919,0)</f>
        <v>6</v>
      </c>
      <c r="AL57" s="20">
        <f>ROUNDDOWN('3.4 OpEx'!AL$82/'1.1 Control Panel'!AL919,0)</f>
        <v>6</v>
      </c>
      <c r="AM57" s="20">
        <f>ROUNDDOWN('3.4 OpEx'!AM$82/'1.1 Control Panel'!AM919,0)</f>
        <v>6</v>
      </c>
      <c r="AN57" s="20">
        <f>ROUNDDOWN('3.4 OpEx'!AN$82/'1.1 Control Panel'!AN919,0)</f>
        <v>6</v>
      </c>
      <c r="AP57" s="20"/>
    </row>
    <row r="58" spans="2:42" ht="11.5" customHeight="1" x14ac:dyDescent="0.25">
      <c r="C58" s="27" t="s">
        <v>805</v>
      </c>
      <c r="D58" s="40" t="s">
        <v>162</v>
      </c>
      <c r="E58" s="27">
        <f>ROUNDDOWN('3.4 OpEx'!E$82/'1.1 Control Panel'!E920,0)</f>
        <v>1</v>
      </c>
      <c r="F58" s="27">
        <f>ROUNDDOWN('3.4 OpEx'!F$82/'1.1 Control Panel'!F920,0)</f>
        <v>1</v>
      </c>
      <c r="G58" s="27">
        <f>ROUNDDOWN('3.4 OpEx'!G$82/'1.1 Control Panel'!G920,0)</f>
        <v>1</v>
      </c>
      <c r="H58" s="27">
        <f>ROUNDDOWN('3.4 OpEx'!H$82/'1.1 Control Panel'!H920,0)</f>
        <v>1</v>
      </c>
      <c r="I58" s="27">
        <f>ROUNDDOWN('3.4 OpEx'!I$82/'1.1 Control Panel'!I920,0)</f>
        <v>1</v>
      </c>
      <c r="J58" s="27">
        <f>ROUNDDOWN('3.4 OpEx'!J$82/'1.1 Control Panel'!J920,0)</f>
        <v>1</v>
      </c>
      <c r="K58" s="27">
        <f>ROUNDDOWN('3.4 OpEx'!K$82/'1.1 Control Panel'!K920,0)</f>
        <v>1</v>
      </c>
      <c r="L58" s="27">
        <f>ROUNDDOWN('3.4 OpEx'!L$82/'1.1 Control Panel'!L920,0)</f>
        <v>1</v>
      </c>
      <c r="M58" s="27">
        <f>ROUNDDOWN('3.4 OpEx'!M$82/'1.1 Control Panel'!M920,0)</f>
        <v>2</v>
      </c>
      <c r="N58" s="27">
        <f>ROUNDDOWN('3.4 OpEx'!N$82/'1.1 Control Panel'!N920,0)</f>
        <v>2</v>
      </c>
      <c r="O58" s="27">
        <f>ROUNDDOWN('3.4 OpEx'!O$82/'1.1 Control Panel'!O920,0)</f>
        <v>2</v>
      </c>
      <c r="P58" s="27">
        <f>ROUNDDOWN('3.4 OpEx'!P$82/'1.1 Control Panel'!P920,0)</f>
        <v>2</v>
      </c>
      <c r="Q58" s="27">
        <f>ROUNDDOWN('3.4 OpEx'!Q$82/'1.1 Control Panel'!Q920,0)</f>
        <v>4</v>
      </c>
      <c r="R58" s="27">
        <f>ROUNDDOWN('3.4 OpEx'!R$82/'1.1 Control Panel'!R920,0)</f>
        <v>4</v>
      </c>
      <c r="S58" s="27">
        <f>ROUNDDOWN('3.4 OpEx'!S$82/'1.1 Control Panel'!S920,0)</f>
        <v>4</v>
      </c>
      <c r="T58" s="27">
        <f>ROUNDDOWN('3.4 OpEx'!T$82/'1.1 Control Panel'!T920,0)</f>
        <v>4</v>
      </c>
      <c r="U58" s="27">
        <f>ROUNDDOWN('3.4 OpEx'!U$82/'1.1 Control Panel'!U920,0)</f>
        <v>5</v>
      </c>
      <c r="V58" s="27">
        <f>ROUNDDOWN('3.4 OpEx'!V$82/'1.1 Control Panel'!V920,0)</f>
        <v>5</v>
      </c>
      <c r="W58" s="27">
        <f>ROUNDDOWN('3.4 OpEx'!W$82/'1.1 Control Panel'!W920,0)</f>
        <v>5</v>
      </c>
      <c r="X58" s="27">
        <f>ROUNDDOWN('3.4 OpEx'!X$82/'1.1 Control Panel'!X920,0)</f>
        <v>5</v>
      </c>
      <c r="Y58" s="27">
        <f>ROUNDDOWN('3.4 OpEx'!Y$82/'1.1 Control Panel'!Y920,0)</f>
        <v>6</v>
      </c>
      <c r="Z58" s="27">
        <f>ROUNDDOWN('3.4 OpEx'!Z$82/'1.1 Control Panel'!Z920,0)</f>
        <v>6</v>
      </c>
      <c r="AA58" s="27">
        <f>ROUNDDOWN('3.4 OpEx'!AA$82/'1.1 Control Panel'!AA920,0)</f>
        <v>6</v>
      </c>
      <c r="AB58" s="27">
        <f>ROUNDDOWN('3.4 OpEx'!AB$82/'1.1 Control Panel'!AB920,0)</f>
        <v>6</v>
      </c>
      <c r="AC58" s="27">
        <f>ROUNDDOWN('3.4 OpEx'!AC$82/'1.1 Control Panel'!AC920,0)</f>
        <v>10</v>
      </c>
      <c r="AD58" s="27">
        <f>ROUNDDOWN('3.4 OpEx'!AD$82/'1.1 Control Panel'!AD920,0)</f>
        <v>10</v>
      </c>
      <c r="AE58" s="27">
        <f>ROUNDDOWN('3.4 OpEx'!AE$82/'1.1 Control Panel'!AE920,0)</f>
        <v>10</v>
      </c>
      <c r="AF58" s="27">
        <f>ROUNDDOWN('3.4 OpEx'!AF$82/'1.1 Control Panel'!AF920,0)</f>
        <v>10</v>
      </c>
      <c r="AG58" s="27">
        <f>ROUNDDOWN('3.4 OpEx'!AG$82/'1.1 Control Panel'!AG920,0)</f>
        <v>15</v>
      </c>
      <c r="AH58" s="27">
        <f>ROUNDDOWN('3.4 OpEx'!AH$82/'1.1 Control Panel'!AH920,0)</f>
        <v>15</v>
      </c>
      <c r="AI58" s="27">
        <f>ROUNDDOWN('3.4 OpEx'!AI$82/'1.1 Control Panel'!AI920,0)</f>
        <v>15</v>
      </c>
      <c r="AJ58" s="27">
        <f>ROUNDDOWN('3.4 OpEx'!AJ$82/'1.1 Control Panel'!AJ920,0)</f>
        <v>15</v>
      </c>
      <c r="AK58" s="27">
        <f>ROUNDDOWN('3.4 OpEx'!AK$82/'1.1 Control Panel'!AK920,0)</f>
        <v>18</v>
      </c>
      <c r="AL58" s="27">
        <f>ROUNDDOWN('3.4 OpEx'!AL$82/'1.1 Control Panel'!AL920,0)</f>
        <v>18</v>
      </c>
      <c r="AM58" s="27">
        <f>ROUNDDOWN('3.4 OpEx'!AM$82/'1.1 Control Panel'!AM920,0)</f>
        <v>18</v>
      </c>
      <c r="AN58" s="27">
        <f>ROUNDDOWN('3.4 OpEx'!AN$82/'1.1 Control Panel'!AN920,0)</f>
        <v>18</v>
      </c>
      <c r="AP58" s="27"/>
    </row>
    <row r="59" spans="2:42" ht="11.5" customHeight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547B9-51F1-4503-AD25-E014782D22EF}">
  <dimension ref="A1:AQ75"/>
  <sheetViews>
    <sheetView showGridLines="0" zoomScale="70" zoomScaleNormal="70" workbookViewId="0"/>
  </sheetViews>
  <sheetFormatPr defaultColWidth="0" defaultRowHeight="11.5" customHeight="1" zeroHeight="1" x14ac:dyDescent="0.25"/>
  <cols>
    <col min="1" max="2" width="3.6328125" style="3" customWidth="1"/>
    <col min="3" max="3" width="50.6328125" style="3" customWidth="1"/>
    <col min="4" max="4" width="8.7265625" style="3" customWidth="1"/>
    <col min="5" max="40" width="15.6328125" style="3" customWidth="1"/>
    <col min="41" max="41" width="0.453125" style="3" customWidth="1"/>
    <col min="42" max="42" width="50.6328125" style="3" customWidth="1"/>
    <col min="43" max="43" width="3.6328125" style="3" customWidth="1"/>
    <col min="44" max="16384" width="8.7265625" style="3" hidden="1"/>
  </cols>
  <sheetData>
    <row r="1" spans="1:42" s="4" customFormat="1" ht="14" x14ac:dyDescent="0.3">
      <c r="A1" s="103" t="str">
        <f ca="1">MID(CELL("filename",A1),FIND("]",CELL("filename",A1))+1,255)</f>
        <v>3.6 CapEx</v>
      </c>
      <c r="AO1" s="5"/>
    </row>
    <row r="2" spans="1:42" s="5" customFormat="1" x14ac:dyDescent="0.25">
      <c r="A2" s="7" t="s">
        <v>970</v>
      </c>
    </row>
    <row r="3" spans="1:42" ht="11.5" customHeight="1" x14ac:dyDescent="0.25">
      <c r="C3" s="2"/>
    </row>
    <row r="4" spans="1:42" ht="11.5" customHeight="1" x14ac:dyDescent="0.25">
      <c r="B4" s="6" t="s">
        <v>0</v>
      </c>
      <c r="C4" s="10" t="s">
        <v>18</v>
      </c>
      <c r="D4" s="29" t="s">
        <v>14</v>
      </c>
      <c r="E4" s="252">
        <v>45688</v>
      </c>
      <c r="F4" s="252">
        <v>45716</v>
      </c>
      <c r="G4" s="252">
        <v>45747</v>
      </c>
      <c r="H4" s="252">
        <v>45777</v>
      </c>
      <c r="I4" s="252">
        <v>45808</v>
      </c>
      <c r="J4" s="252">
        <v>45838</v>
      </c>
      <c r="K4" s="252">
        <v>45869</v>
      </c>
      <c r="L4" s="252">
        <v>45900</v>
      </c>
      <c r="M4" s="252">
        <v>45930</v>
      </c>
      <c r="N4" s="252">
        <v>45961</v>
      </c>
      <c r="O4" s="252">
        <v>45991</v>
      </c>
      <c r="P4" s="252">
        <v>46022</v>
      </c>
      <c r="Q4" s="252">
        <f>E4+365.25</f>
        <v>46053.25</v>
      </c>
      <c r="R4" s="252">
        <f t="shared" ref="R4:AN4" si="0">F4+365.25</f>
        <v>46081.25</v>
      </c>
      <c r="S4" s="252">
        <f t="shared" si="0"/>
        <v>46112.25</v>
      </c>
      <c r="T4" s="252">
        <f t="shared" si="0"/>
        <v>46142.25</v>
      </c>
      <c r="U4" s="252">
        <f t="shared" si="0"/>
        <v>46173.25</v>
      </c>
      <c r="V4" s="252">
        <f t="shared" si="0"/>
        <v>46203.25</v>
      </c>
      <c r="W4" s="252">
        <f t="shared" si="0"/>
        <v>46234.25</v>
      </c>
      <c r="X4" s="252">
        <f t="shared" si="0"/>
        <v>46265.25</v>
      </c>
      <c r="Y4" s="252">
        <f t="shared" si="0"/>
        <v>46295.25</v>
      </c>
      <c r="Z4" s="252">
        <f t="shared" si="0"/>
        <v>46326.25</v>
      </c>
      <c r="AA4" s="252">
        <f t="shared" si="0"/>
        <v>46356.25</v>
      </c>
      <c r="AB4" s="252">
        <f t="shared" si="0"/>
        <v>46387.25</v>
      </c>
      <c r="AC4" s="252">
        <f t="shared" si="0"/>
        <v>46418.5</v>
      </c>
      <c r="AD4" s="252">
        <f t="shared" si="0"/>
        <v>46446.5</v>
      </c>
      <c r="AE4" s="252">
        <f t="shared" si="0"/>
        <v>46477.5</v>
      </c>
      <c r="AF4" s="252">
        <f t="shared" si="0"/>
        <v>46507.5</v>
      </c>
      <c r="AG4" s="252">
        <f t="shared" si="0"/>
        <v>46538.5</v>
      </c>
      <c r="AH4" s="252">
        <f t="shared" si="0"/>
        <v>46568.5</v>
      </c>
      <c r="AI4" s="252">
        <f t="shared" si="0"/>
        <v>46599.5</v>
      </c>
      <c r="AJ4" s="252">
        <f t="shared" si="0"/>
        <v>46630.5</v>
      </c>
      <c r="AK4" s="252">
        <f t="shared" si="0"/>
        <v>46660.5</v>
      </c>
      <c r="AL4" s="252">
        <f t="shared" si="0"/>
        <v>46691.5</v>
      </c>
      <c r="AM4" s="252">
        <f t="shared" si="0"/>
        <v>46721.5</v>
      </c>
      <c r="AN4" s="252">
        <f t="shared" si="0"/>
        <v>46752.5</v>
      </c>
      <c r="AO4" s="74"/>
      <c r="AP4" s="5"/>
    </row>
    <row r="5" spans="1:42" ht="11.5" customHeight="1" x14ac:dyDescent="0.25">
      <c r="C5" s="28" t="s">
        <v>845</v>
      </c>
      <c r="D5" s="270" t="s">
        <v>46</v>
      </c>
      <c r="E5" s="28">
        <f>E13</f>
        <v>11500</v>
      </c>
      <c r="F5" s="28">
        <f t="shared" ref="F5:AN5" si="1">F13</f>
        <v>1000</v>
      </c>
      <c r="G5" s="28">
        <f t="shared" si="1"/>
        <v>1000</v>
      </c>
      <c r="H5" s="28">
        <f t="shared" si="1"/>
        <v>1000</v>
      </c>
      <c r="I5" s="28">
        <f t="shared" si="1"/>
        <v>1000</v>
      </c>
      <c r="J5" s="28">
        <f t="shared" si="1"/>
        <v>1000</v>
      </c>
      <c r="K5" s="28">
        <f t="shared" si="1"/>
        <v>1000</v>
      </c>
      <c r="L5" s="28">
        <f t="shared" si="1"/>
        <v>1000</v>
      </c>
      <c r="M5" s="28">
        <f t="shared" si="1"/>
        <v>1000</v>
      </c>
      <c r="N5" s="28">
        <f t="shared" si="1"/>
        <v>1000</v>
      </c>
      <c r="O5" s="28">
        <f t="shared" si="1"/>
        <v>1000</v>
      </c>
      <c r="P5" s="28">
        <f t="shared" si="1"/>
        <v>1000</v>
      </c>
      <c r="Q5" s="28">
        <f t="shared" si="1"/>
        <v>1000</v>
      </c>
      <c r="R5" s="28">
        <f t="shared" si="1"/>
        <v>1000</v>
      </c>
      <c r="S5" s="28">
        <f t="shared" si="1"/>
        <v>1000</v>
      </c>
      <c r="T5" s="28">
        <f t="shared" si="1"/>
        <v>1000</v>
      </c>
      <c r="U5" s="28">
        <f t="shared" si="1"/>
        <v>1000</v>
      </c>
      <c r="V5" s="28">
        <f t="shared" si="1"/>
        <v>1000</v>
      </c>
      <c r="W5" s="28">
        <f t="shared" si="1"/>
        <v>1000</v>
      </c>
      <c r="X5" s="28">
        <f t="shared" si="1"/>
        <v>1000</v>
      </c>
      <c r="Y5" s="28">
        <f t="shared" si="1"/>
        <v>1000</v>
      </c>
      <c r="Z5" s="28">
        <f t="shared" si="1"/>
        <v>1000</v>
      </c>
      <c r="AA5" s="28">
        <f t="shared" si="1"/>
        <v>1000</v>
      </c>
      <c r="AB5" s="28">
        <f t="shared" si="1"/>
        <v>1000</v>
      </c>
      <c r="AC5" s="28">
        <f t="shared" si="1"/>
        <v>1000</v>
      </c>
      <c r="AD5" s="28">
        <f t="shared" si="1"/>
        <v>1000</v>
      </c>
      <c r="AE5" s="28">
        <f t="shared" si="1"/>
        <v>1000</v>
      </c>
      <c r="AF5" s="28">
        <f t="shared" si="1"/>
        <v>1000</v>
      </c>
      <c r="AG5" s="28">
        <f t="shared" si="1"/>
        <v>1000</v>
      </c>
      <c r="AH5" s="28">
        <f t="shared" si="1"/>
        <v>1000</v>
      </c>
      <c r="AI5" s="28">
        <f t="shared" si="1"/>
        <v>1000</v>
      </c>
      <c r="AJ5" s="28">
        <f t="shared" si="1"/>
        <v>1000</v>
      </c>
      <c r="AK5" s="28">
        <f t="shared" si="1"/>
        <v>1000</v>
      </c>
      <c r="AL5" s="28">
        <f t="shared" si="1"/>
        <v>1000</v>
      </c>
      <c r="AM5" s="28">
        <f t="shared" si="1"/>
        <v>1000</v>
      </c>
      <c r="AN5" s="28">
        <f t="shared" si="1"/>
        <v>1000</v>
      </c>
      <c r="AP5" s="20"/>
    </row>
    <row r="6" spans="1:42" ht="11.5" customHeight="1" x14ac:dyDescent="0.25">
      <c r="C6" s="21" t="s">
        <v>848</v>
      </c>
      <c r="D6" s="38" t="s">
        <v>46</v>
      </c>
      <c r="E6" s="376">
        <f>E17</f>
        <v>250000</v>
      </c>
      <c r="F6" s="376">
        <f t="shared" ref="F6:AN6" si="2">F17</f>
        <v>0</v>
      </c>
      <c r="G6" s="376">
        <f t="shared" si="2"/>
        <v>250000</v>
      </c>
      <c r="H6" s="376">
        <f t="shared" si="2"/>
        <v>500000</v>
      </c>
      <c r="I6" s="376">
        <f t="shared" si="2"/>
        <v>250000</v>
      </c>
      <c r="J6" s="376">
        <f t="shared" si="2"/>
        <v>250000</v>
      </c>
      <c r="K6" s="376">
        <f t="shared" si="2"/>
        <v>250000</v>
      </c>
      <c r="L6" s="376">
        <f t="shared" si="2"/>
        <v>500000</v>
      </c>
      <c r="M6" s="376">
        <f t="shared" si="2"/>
        <v>0</v>
      </c>
      <c r="N6" s="376">
        <f t="shared" si="2"/>
        <v>250000</v>
      </c>
      <c r="O6" s="376">
        <f t="shared" si="2"/>
        <v>0</v>
      </c>
      <c r="P6" s="376">
        <f t="shared" si="2"/>
        <v>0</v>
      </c>
      <c r="Q6" s="376">
        <f t="shared" si="2"/>
        <v>0</v>
      </c>
      <c r="R6" s="376">
        <f t="shared" si="2"/>
        <v>500000</v>
      </c>
      <c r="S6" s="376">
        <f t="shared" si="2"/>
        <v>0</v>
      </c>
      <c r="T6" s="376">
        <f t="shared" si="2"/>
        <v>0</v>
      </c>
      <c r="U6" s="376">
        <f t="shared" si="2"/>
        <v>0</v>
      </c>
      <c r="V6" s="376">
        <f t="shared" si="2"/>
        <v>0</v>
      </c>
      <c r="W6" s="376">
        <f t="shared" si="2"/>
        <v>0</v>
      </c>
      <c r="X6" s="376">
        <f t="shared" si="2"/>
        <v>0</v>
      </c>
      <c r="Y6" s="376">
        <f t="shared" si="2"/>
        <v>0</v>
      </c>
      <c r="Z6" s="376">
        <f t="shared" si="2"/>
        <v>0</v>
      </c>
      <c r="AA6" s="376">
        <f t="shared" si="2"/>
        <v>0</v>
      </c>
      <c r="AB6" s="376">
        <f t="shared" si="2"/>
        <v>0</v>
      </c>
      <c r="AC6" s="376">
        <f t="shared" si="2"/>
        <v>0</v>
      </c>
      <c r="AD6" s="376">
        <f t="shared" si="2"/>
        <v>0</v>
      </c>
      <c r="AE6" s="376">
        <f t="shared" si="2"/>
        <v>0</v>
      </c>
      <c r="AF6" s="376">
        <f t="shared" si="2"/>
        <v>0</v>
      </c>
      <c r="AG6" s="376">
        <f t="shared" si="2"/>
        <v>0</v>
      </c>
      <c r="AH6" s="376">
        <f t="shared" si="2"/>
        <v>0</v>
      </c>
      <c r="AI6" s="376">
        <f t="shared" si="2"/>
        <v>0</v>
      </c>
      <c r="AJ6" s="376">
        <f t="shared" si="2"/>
        <v>0</v>
      </c>
      <c r="AK6" s="376">
        <f t="shared" si="2"/>
        <v>0</v>
      </c>
      <c r="AL6" s="376">
        <f t="shared" si="2"/>
        <v>0</v>
      </c>
      <c r="AM6" s="376">
        <f t="shared" si="2"/>
        <v>0</v>
      </c>
      <c r="AN6" s="376">
        <f t="shared" si="2"/>
        <v>0</v>
      </c>
      <c r="AP6" s="21"/>
    </row>
    <row r="7" spans="1:42" ht="11.5" customHeight="1" x14ac:dyDescent="0.25">
      <c r="C7" s="21" t="s">
        <v>846</v>
      </c>
      <c r="D7" s="38" t="s">
        <v>46</v>
      </c>
      <c r="E7" s="376">
        <f>E20</f>
        <v>0</v>
      </c>
      <c r="F7" s="376">
        <f t="shared" ref="F7:AN7" si="3">F20</f>
        <v>0</v>
      </c>
      <c r="G7" s="376">
        <f t="shared" si="3"/>
        <v>0</v>
      </c>
      <c r="H7" s="376">
        <f t="shared" si="3"/>
        <v>0</v>
      </c>
      <c r="I7" s="376">
        <f t="shared" si="3"/>
        <v>0</v>
      </c>
      <c r="J7" s="376">
        <f t="shared" si="3"/>
        <v>0</v>
      </c>
      <c r="K7" s="376">
        <f t="shared" si="3"/>
        <v>0</v>
      </c>
      <c r="L7" s="376">
        <f t="shared" si="3"/>
        <v>0</v>
      </c>
      <c r="M7" s="376">
        <f t="shared" si="3"/>
        <v>0</v>
      </c>
      <c r="N7" s="376">
        <f t="shared" si="3"/>
        <v>0</v>
      </c>
      <c r="O7" s="376">
        <f t="shared" si="3"/>
        <v>0</v>
      </c>
      <c r="P7" s="376">
        <f t="shared" si="3"/>
        <v>0</v>
      </c>
      <c r="Q7" s="376">
        <f t="shared" si="3"/>
        <v>0</v>
      </c>
      <c r="R7" s="376">
        <f t="shared" si="3"/>
        <v>0</v>
      </c>
      <c r="S7" s="376">
        <f t="shared" si="3"/>
        <v>0</v>
      </c>
      <c r="T7" s="376">
        <f t="shared" si="3"/>
        <v>0</v>
      </c>
      <c r="U7" s="376">
        <f t="shared" si="3"/>
        <v>0</v>
      </c>
      <c r="V7" s="376">
        <f t="shared" si="3"/>
        <v>0</v>
      </c>
      <c r="W7" s="376">
        <f t="shared" si="3"/>
        <v>0</v>
      </c>
      <c r="X7" s="376">
        <f t="shared" si="3"/>
        <v>0</v>
      </c>
      <c r="Y7" s="376">
        <f t="shared" si="3"/>
        <v>0</v>
      </c>
      <c r="Z7" s="376">
        <f t="shared" si="3"/>
        <v>0</v>
      </c>
      <c r="AA7" s="376">
        <f t="shared" si="3"/>
        <v>0</v>
      </c>
      <c r="AB7" s="376">
        <f t="shared" si="3"/>
        <v>0</v>
      </c>
      <c r="AC7" s="376">
        <f t="shared" si="3"/>
        <v>0</v>
      </c>
      <c r="AD7" s="376">
        <f t="shared" si="3"/>
        <v>0</v>
      </c>
      <c r="AE7" s="376">
        <f t="shared" si="3"/>
        <v>0</v>
      </c>
      <c r="AF7" s="376">
        <f t="shared" si="3"/>
        <v>0</v>
      </c>
      <c r="AG7" s="376">
        <f t="shared" si="3"/>
        <v>0</v>
      </c>
      <c r="AH7" s="376">
        <f t="shared" si="3"/>
        <v>0</v>
      </c>
      <c r="AI7" s="376">
        <f t="shared" si="3"/>
        <v>0</v>
      </c>
      <c r="AJ7" s="376">
        <f t="shared" si="3"/>
        <v>0</v>
      </c>
      <c r="AK7" s="376">
        <f t="shared" si="3"/>
        <v>0</v>
      </c>
      <c r="AL7" s="376">
        <f t="shared" si="3"/>
        <v>0</v>
      </c>
      <c r="AM7" s="376">
        <f t="shared" si="3"/>
        <v>0</v>
      </c>
      <c r="AN7" s="376">
        <f t="shared" si="3"/>
        <v>0</v>
      </c>
      <c r="AP7" s="21"/>
    </row>
    <row r="8" spans="1:42" ht="11.5" customHeight="1" x14ac:dyDescent="0.25">
      <c r="C8" s="22" t="s">
        <v>847</v>
      </c>
      <c r="D8" s="96" t="s">
        <v>46</v>
      </c>
      <c r="E8" s="530">
        <f>E23</f>
        <v>18000</v>
      </c>
      <c r="F8" s="530">
        <f t="shared" ref="F8:AN8" si="4">F23</f>
        <v>6000</v>
      </c>
      <c r="G8" s="530">
        <f t="shared" si="4"/>
        <v>6000</v>
      </c>
      <c r="H8" s="530">
        <f t="shared" si="4"/>
        <v>6000</v>
      </c>
      <c r="I8" s="530">
        <f t="shared" si="4"/>
        <v>6000</v>
      </c>
      <c r="J8" s="530">
        <f t="shared" si="4"/>
        <v>6000</v>
      </c>
      <c r="K8" s="530">
        <f t="shared" si="4"/>
        <v>6000</v>
      </c>
      <c r="L8" s="530">
        <f t="shared" si="4"/>
        <v>6000</v>
      </c>
      <c r="M8" s="530">
        <f t="shared" si="4"/>
        <v>21000</v>
      </c>
      <c r="N8" s="530">
        <f t="shared" si="4"/>
        <v>11000</v>
      </c>
      <c r="O8" s="530">
        <f t="shared" si="4"/>
        <v>11000</v>
      </c>
      <c r="P8" s="530">
        <f t="shared" si="4"/>
        <v>11000</v>
      </c>
      <c r="Q8" s="530">
        <f t="shared" si="4"/>
        <v>68000</v>
      </c>
      <c r="R8" s="530">
        <f t="shared" si="4"/>
        <v>26000</v>
      </c>
      <c r="S8" s="530">
        <f t="shared" si="4"/>
        <v>26000</v>
      </c>
      <c r="T8" s="530">
        <f t="shared" si="4"/>
        <v>26000</v>
      </c>
      <c r="U8" s="530">
        <f t="shared" si="4"/>
        <v>56000</v>
      </c>
      <c r="V8" s="530">
        <f t="shared" si="4"/>
        <v>36000</v>
      </c>
      <c r="W8" s="530">
        <f t="shared" si="4"/>
        <v>36000</v>
      </c>
      <c r="X8" s="530">
        <f t="shared" si="4"/>
        <v>36000</v>
      </c>
      <c r="Y8" s="530">
        <f t="shared" si="4"/>
        <v>76000</v>
      </c>
      <c r="Z8" s="530">
        <f t="shared" si="4"/>
        <v>46000</v>
      </c>
      <c r="AA8" s="530">
        <f t="shared" si="4"/>
        <v>46000</v>
      </c>
      <c r="AB8" s="530">
        <f t="shared" si="4"/>
        <v>46000</v>
      </c>
      <c r="AC8" s="530">
        <f t="shared" si="4"/>
        <v>163000</v>
      </c>
      <c r="AD8" s="530">
        <f t="shared" si="4"/>
        <v>71000</v>
      </c>
      <c r="AE8" s="530">
        <f t="shared" si="4"/>
        <v>71000</v>
      </c>
      <c r="AF8" s="530">
        <f t="shared" si="4"/>
        <v>71000</v>
      </c>
      <c r="AG8" s="530">
        <f t="shared" si="4"/>
        <v>211000</v>
      </c>
      <c r="AH8" s="530">
        <f t="shared" si="4"/>
        <v>111000</v>
      </c>
      <c r="AI8" s="530">
        <f t="shared" si="4"/>
        <v>111000</v>
      </c>
      <c r="AJ8" s="530">
        <f t="shared" si="4"/>
        <v>111000</v>
      </c>
      <c r="AK8" s="530">
        <f t="shared" si="4"/>
        <v>216000</v>
      </c>
      <c r="AL8" s="530">
        <f t="shared" si="4"/>
        <v>136000</v>
      </c>
      <c r="AM8" s="530">
        <f t="shared" si="4"/>
        <v>136000</v>
      </c>
      <c r="AN8" s="530">
        <f t="shared" si="4"/>
        <v>136000</v>
      </c>
      <c r="AP8" s="22"/>
    </row>
    <row r="9" spans="1:42" ht="11.5" customHeight="1" x14ac:dyDescent="0.25">
      <c r="C9" s="27" t="s">
        <v>849</v>
      </c>
      <c r="D9" s="40" t="s">
        <v>46</v>
      </c>
      <c r="E9" s="377">
        <f>E26</f>
        <v>23262.961261082368</v>
      </c>
      <c r="F9" s="377">
        <f t="shared" ref="F9:AN9" ca="1" si="5">F26</f>
        <v>14969.894385</v>
      </c>
      <c r="G9" s="377">
        <f t="shared" ca="1" si="5"/>
        <v>18166.938194999999</v>
      </c>
      <c r="H9" s="377">
        <f t="shared" ca="1" si="5"/>
        <v>20632.58266</v>
      </c>
      <c r="I9" s="377">
        <f t="shared" ca="1" si="5"/>
        <v>31926.087565000009</v>
      </c>
      <c r="J9" s="377">
        <f t="shared" ca="1" si="5"/>
        <v>48351.257030000001</v>
      </c>
      <c r="K9" s="377">
        <f t="shared" ca="1" si="5"/>
        <v>54885.433578000011</v>
      </c>
      <c r="L9" s="377">
        <f t="shared" ca="1" si="5"/>
        <v>65249.350292400006</v>
      </c>
      <c r="M9" s="377">
        <f t="shared" ca="1" si="5"/>
        <v>86583.884068231797</v>
      </c>
      <c r="N9" s="377">
        <f t="shared" ca="1" si="5"/>
        <v>97276.509398136011</v>
      </c>
      <c r="O9" s="377">
        <f t="shared" ca="1" si="5"/>
        <v>115230.51439013921</v>
      </c>
      <c r="P9" s="377">
        <f t="shared" ca="1" si="5"/>
        <v>133716.45314681571</v>
      </c>
      <c r="Q9" s="377">
        <f t="shared" ca="1" si="5"/>
        <v>194990.64976144998</v>
      </c>
      <c r="R9" s="377">
        <f t="shared" ca="1" si="5"/>
        <v>198069.23753971176</v>
      </c>
      <c r="S9" s="377">
        <f t="shared" ca="1" si="5"/>
        <v>216610.10832601937</v>
      </c>
      <c r="T9" s="377">
        <f t="shared" ca="1" si="5"/>
        <v>234082.41554106551</v>
      </c>
      <c r="U9" s="377">
        <f t="shared" ca="1" si="5"/>
        <v>299913.72220531246</v>
      </c>
      <c r="V9" s="377">
        <f t="shared" ca="1" si="5"/>
        <v>304745.59659945115</v>
      </c>
      <c r="W9" s="377">
        <f t="shared" ca="1" si="5"/>
        <v>331367.14744206099</v>
      </c>
      <c r="X9" s="377">
        <f t="shared" ca="1" si="5"/>
        <v>353510.38652214879</v>
      </c>
      <c r="Y9" s="377">
        <f t="shared" ca="1" si="5"/>
        <v>389218.47628196637</v>
      </c>
      <c r="Z9" s="377">
        <f t="shared" ca="1" si="5"/>
        <v>411748.64066052431</v>
      </c>
      <c r="AA9" s="377">
        <f t="shared" ca="1" si="5"/>
        <v>439376.20938116946</v>
      </c>
      <c r="AB9" s="377">
        <f t="shared" ca="1" si="5"/>
        <v>464965.38316093554</v>
      </c>
      <c r="AC9" s="377">
        <f t="shared" ca="1" si="5"/>
        <v>621257.97103660216</v>
      </c>
      <c r="AD9" s="377">
        <f t="shared" ca="1" si="5"/>
        <v>605887.64673285617</v>
      </c>
      <c r="AE9" s="377">
        <f t="shared" ca="1" si="5"/>
        <v>634789.38315247255</v>
      </c>
      <c r="AF9" s="377">
        <f t="shared" ca="1" si="5"/>
        <v>659197.90965922794</v>
      </c>
      <c r="AG9" s="377">
        <f t="shared" ca="1" si="5"/>
        <v>811131.01879991079</v>
      </c>
      <c r="AH9" s="377">
        <f t="shared" ca="1" si="5"/>
        <v>811442.69542423333</v>
      </c>
      <c r="AI9" s="377">
        <f t="shared" ca="1" si="5"/>
        <v>879085.84105244919</v>
      </c>
      <c r="AJ9" s="377">
        <f t="shared" ca="1" si="5"/>
        <v>937271.59375433438</v>
      </c>
      <c r="AK9" s="377">
        <f t="shared" ca="1" si="5"/>
        <v>1087688.3205171318</v>
      </c>
      <c r="AL9" s="377">
        <f t="shared" ca="1" si="5"/>
        <v>1121633.2675739962</v>
      </c>
      <c r="AM9" s="377">
        <f t="shared" ca="1" si="5"/>
        <v>1209220.1986136348</v>
      </c>
      <c r="AN9" s="377">
        <f t="shared" ca="1" si="5"/>
        <v>1285431.7060190327</v>
      </c>
      <c r="AP9" s="27"/>
    </row>
    <row r="10" spans="1:42" ht="11.5" customHeight="1" x14ac:dyDescent="0.25">
      <c r="C10" s="11" t="s">
        <v>860</v>
      </c>
      <c r="D10" s="104" t="s">
        <v>46</v>
      </c>
      <c r="E10" s="773">
        <f>SUM(E5:E9)</f>
        <v>302762.96126108238</v>
      </c>
      <c r="F10" s="378">
        <f t="shared" ref="F10:AN10" ca="1" si="6">SUM(F5:F9)</f>
        <v>21969.894385</v>
      </c>
      <c r="G10" s="378">
        <f t="shared" ca="1" si="6"/>
        <v>275166.938195</v>
      </c>
      <c r="H10" s="378">
        <f t="shared" ca="1" si="6"/>
        <v>527632.58265999996</v>
      </c>
      <c r="I10" s="378">
        <f t="shared" ca="1" si="6"/>
        <v>288926.08756499999</v>
      </c>
      <c r="J10" s="378">
        <f t="shared" ca="1" si="6"/>
        <v>305351.25702999998</v>
      </c>
      <c r="K10" s="378">
        <f t="shared" ca="1" si="6"/>
        <v>311885.433578</v>
      </c>
      <c r="L10" s="378">
        <f t="shared" ca="1" si="6"/>
        <v>572249.35029239999</v>
      </c>
      <c r="M10" s="378">
        <f t="shared" ca="1" si="6"/>
        <v>108583.8840682318</v>
      </c>
      <c r="N10" s="378">
        <f t="shared" ca="1" si="6"/>
        <v>359276.509398136</v>
      </c>
      <c r="O10" s="378">
        <f t="shared" ca="1" si="6"/>
        <v>127230.51439013921</v>
      </c>
      <c r="P10" s="378">
        <f t="shared" ca="1" si="6"/>
        <v>145716.45314681571</v>
      </c>
      <c r="Q10" s="378">
        <f t="shared" ca="1" si="6"/>
        <v>263990.64976145001</v>
      </c>
      <c r="R10" s="378">
        <f t="shared" ca="1" si="6"/>
        <v>725069.23753971176</v>
      </c>
      <c r="S10" s="378">
        <f t="shared" ca="1" si="6"/>
        <v>243610.10832601937</v>
      </c>
      <c r="T10" s="378">
        <f t="shared" ca="1" si="6"/>
        <v>261082.41554106551</v>
      </c>
      <c r="U10" s="378">
        <f t="shared" ca="1" si="6"/>
        <v>356913.72220531246</v>
      </c>
      <c r="V10" s="378">
        <f t="shared" ca="1" si="6"/>
        <v>341745.59659945115</v>
      </c>
      <c r="W10" s="378">
        <f t="shared" ca="1" si="6"/>
        <v>368367.14744206099</v>
      </c>
      <c r="X10" s="378">
        <f t="shared" ca="1" si="6"/>
        <v>390510.38652214879</v>
      </c>
      <c r="Y10" s="378">
        <f t="shared" ca="1" si="6"/>
        <v>466218.47628196637</v>
      </c>
      <c r="Z10" s="378">
        <f t="shared" ca="1" si="6"/>
        <v>458748.64066052431</v>
      </c>
      <c r="AA10" s="378">
        <f t="shared" ca="1" si="6"/>
        <v>486376.20938116946</v>
      </c>
      <c r="AB10" s="378">
        <f t="shared" ca="1" si="6"/>
        <v>511965.38316093554</v>
      </c>
      <c r="AC10" s="378">
        <f t="shared" ca="1" si="6"/>
        <v>785257.97103660216</v>
      </c>
      <c r="AD10" s="378">
        <f t="shared" ca="1" si="6"/>
        <v>677887.64673285617</v>
      </c>
      <c r="AE10" s="378">
        <f t="shared" ca="1" si="6"/>
        <v>706789.38315247255</v>
      </c>
      <c r="AF10" s="378">
        <f t="shared" ca="1" si="6"/>
        <v>731197.90965922794</v>
      </c>
      <c r="AG10" s="378">
        <f t="shared" ca="1" si="6"/>
        <v>1023131.0187999108</v>
      </c>
      <c r="AH10" s="378">
        <f t="shared" ca="1" si="6"/>
        <v>923442.69542423333</v>
      </c>
      <c r="AI10" s="378">
        <f t="shared" ca="1" si="6"/>
        <v>991085.84105244919</v>
      </c>
      <c r="AJ10" s="378">
        <f t="shared" ca="1" si="6"/>
        <v>1049271.5937543344</v>
      </c>
      <c r="AK10" s="378">
        <f t="shared" ca="1" si="6"/>
        <v>1304688.3205171318</v>
      </c>
      <c r="AL10" s="378">
        <f t="shared" ca="1" si="6"/>
        <v>1258633.2675739962</v>
      </c>
      <c r="AM10" s="378">
        <f t="shared" ca="1" si="6"/>
        <v>1346220.1986136348</v>
      </c>
      <c r="AN10" s="378">
        <f t="shared" ca="1" si="6"/>
        <v>1422431.7060190327</v>
      </c>
      <c r="AP10" s="11"/>
    </row>
    <row r="11" spans="1:42" ht="3" customHeight="1" x14ac:dyDescent="0.25"/>
    <row r="12" spans="1:42" ht="11.5" customHeight="1" x14ac:dyDescent="0.25">
      <c r="B12" s="6" t="s">
        <v>0</v>
      </c>
      <c r="C12" s="10" t="s">
        <v>19</v>
      </c>
      <c r="D12" s="29" t="s">
        <v>14</v>
      </c>
      <c r="E12" s="252">
        <v>45688</v>
      </c>
      <c r="F12" s="252">
        <v>45716</v>
      </c>
      <c r="G12" s="252">
        <v>45747</v>
      </c>
      <c r="H12" s="252">
        <v>45777</v>
      </c>
      <c r="I12" s="252">
        <v>45808</v>
      </c>
      <c r="J12" s="252">
        <v>45838</v>
      </c>
      <c r="K12" s="252">
        <v>45869</v>
      </c>
      <c r="L12" s="252">
        <v>45900</v>
      </c>
      <c r="M12" s="252">
        <v>45930</v>
      </c>
      <c r="N12" s="252">
        <v>45961</v>
      </c>
      <c r="O12" s="252">
        <v>45991</v>
      </c>
      <c r="P12" s="252">
        <v>46022</v>
      </c>
      <c r="Q12" s="252">
        <f>E12+365.25</f>
        <v>46053.25</v>
      </c>
      <c r="R12" s="252">
        <f t="shared" ref="R12" si="7">F12+365.25</f>
        <v>46081.25</v>
      </c>
      <c r="S12" s="252">
        <f t="shared" ref="S12" si="8">G12+365.25</f>
        <v>46112.25</v>
      </c>
      <c r="T12" s="252">
        <f t="shared" ref="T12" si="9">H12+365.25</f>
        <v>46142.25</v>
      </c>
      <c r="U12" s="252">
        <f t="shared" ref="U12" si="10">I12+365.25</f>
        <v>46173.25</v>
      </c>
      <c r="V12" s="252">
        <f t="shared" ref="V12" si="11">J12+365.25</f>
        <v>46203.25</v>
      </c>
      <c r="W12" s="252">
        <f t="shared" ref="W12" si="12">K12+365.25</f>
        <v>46234.25</v>
      </c>
      <c r="X12" s="252">
        <f t="shared" ref="X12" si="13">L12+365.25</f>
        <v>46265.25</v>
      </c>
      <c r="Y12" s="252">
        <f t="shared" ref="Y12" si="14">M12+365.25</f>
        <v>46295.25</v>
      </c>
      <c r="Z12" s="252">
        <f t="shared" ref="Z12" si="15">N12+365.25</f>
        <v>46326.25</v>
      </c>
      <c r="AA12" s="252">
        <f t="shared" ref="AA12" si="16">O12+365.25</f>
        <v>46356.25</v>
      </c>
      <c r="AB12" s="252">
        <f t="shared" ref="AB12" si="17">P12+365.25</f>
        <v>46387.25</v>
      </c>
      <c r="AC12" s="252">
        <f t="shared" ref="AC12" si="18">Q12+365.25</f>
        <v>46418.5</v>
      </c>
      <c r="AD12" s="252">
        <f t="shared" ref="AD12" si="19">R12+365.25</f>
        <v>46446.5</v>
      </c>
      <c r="AE12" s="252">
        <f t="shared" ref="AE12" si="20">S12+365.25</f>
        <v>46477.5</v>
      </c>
      <c r="AF12" s="252">
        <f t="shared" ref="AF12" si="21">T12+365.25</f>
        <v>46507.5</v>
      </c>
      <c r="AG12" s="252">
        <f t="shared" ref="AG12" si="22">U12+365.25</f>
        <v>46538.5</v>
      </c>
      <c r="AH12" s="252">
        <f t="shared" ref="AH12" si="23">V12+365.25</f>
        <v>46568.5</v>
      </c>
      <c r="AI12" s="252">
        <f t="shared" ref="AI12" si="24">W12+365.25</f>
        <v>46599.5</v>
      </c>
      <c r="AJ12" s="252">
        <f t="shared" ref="AJ12" si="25">X12+365.25</f>
        <v>46630.5</v>
      </c>
      <c r="AK12" s="252">
        <f t="shared" ref="AK12" si="26">Y12+365.25</f>
        <v>46660.5</v>
      </c>
      <c r="AL12" s="252">
        <f t="shared" ref="AL12" si="27">Z12+365.25</f>
        <v>46691.5</v>
      </c>
      <c r="AM12" s="252">
        <f t="shared" ref="AM12" si="28">AA12+365.25</f>
        <v>46721.5</v>
      </c>
      <c r="AN12" s="252">
        <f t="shared" ref="AN12" si="29">AB12+365.25</f>
        <v>46752.5</v>
      </c>
      <c r="AP12" s="5"/>
    </row>
    <row r="13" spans="1:42" s="16" customFormat="1" ht="11.5" customHeight="1" x14ac:dyDescent="0.25">
      <c r="B13" s="19" t="s">
        <v>9</v>
      </c>
      <c r="C13" s="18" t="s">
        <v>845</v>
      </c>
      <c r="D13" s="316" t="s">
        <v>46</v>
      </c>
      <c r="E13" s="596">
        <f>SUM(E14:E16)</f>
        <v>11500</v>
      </c>
      <c r="F13" s="596">
        <f t="shared" ref="F13:AN13" si="30">SUM(F14:F16)</f>
        <v>1000</v>
      </c>
      <c r="G13" s="596">
        <f t="shared" si="30"/>
        <v>1000</v>
      </c>
      <c r="H13" s="596">
        <f t="shared" si="30"/>
        <v>1000</v>
      </c>
      <c r="I13" s="596">
        <f t="shared" si="30"/>
        <v>1000</v>
      </c>
      <c r="J13" s="596">
        <f t="shared" si="30"/>
        <v>1000</v>
      </c>
      <c r="K13" s="596">
        <f t="shared" si="30"/>
        <v>1000</v>
      </c>
      <c r="L13" s="596">
        <f t="shared" si="30"/>
        <v>1000</v>
      </c>
      <c r="M13" s="596">
        <f t="shared" si="30"/>
        <v>1000</v>
      </c>
      <c r="N13" s="596">
        <f t="shared" si="30"/>
        <v>1000</v>
      </c>
      <c r="O13" s="596">
        <f t="shared" si="30"/>
        <v>1000</v>
      </c>
      <c r="P13" s="596">
        <f t="shared" si="30"/>
        <v>1000</v>
      </c>
      <c r="Q13" s="596">
        <f t="shared" si="30"/>
        <v>1000</v>
      </c>
      <c r="R13" s="596">
        <f t="shared" si="30"/>
        <v>1000</v>
      </c>
      <c r="S13" s="596">
        <f t="shared" si="30"/>
        <v>1000</v>
      </c>
      <c r="T13" s="596">
        <f t="shared" si="30"/>
        <v>1000</v>
      </c>
      <c r="U13" s="596">
        <f t="shared" si="30"/>
        <v>1000</v>
      </c>
      <c r="V13" s="596">
        <f t="shared" si="30"/>
        <v>1000</v>
      </c>
      <c r="W13" s="596">
        <f t="shared" si="30"/>
        <v>1000</v>
      </c>
      <c r="X13" s="596">
        <f t="shared" si="30"/>
        <v>1000</v>
      </c>
      <c r="Y13" s="596">
        <f t="shared" si="30"/>
        <v>1000</v>
      </c>
      <c r="Z13" s="596">
        <f t="shared" si="30"/>
        <v>1000</v>
      </c>
      <c r="AA13" s="596">
        <f t="shared" si="30"/>
        <v>1000</v>
      </c>
      <c r="AB13" s="596">
        <f t="shared" si="30"/>
        <v>1000</v>
      </c>
      <c r="AC13" s="596">
        <f t="shared" si="30"/>
        <v>1000</v>
      </c>
      <c r="AD13" s="596">
        <f t="shared" si="30"/>
        <v>1000</v>
      </c>
      <c r="AE13" s="596">
        <f t="shared" si="30"/>
        <v>1000</v>
      </c>
      <c r="AF13" s="596">
        <f t="shared" si="30"/>
        <v>1000</v>
      </c>
      <c r="AG13" s="596">
        <f t="shared" si="30"/>
        <v>1000</v>
      </c>
      <c r="AH13" s="596">
        <f t="shared" si="30"/>
        <v>1000</v>
      </c>
      <c r="AI13" s="596">
        <f t="shared" si="30"/>
        <v>1000</v>
      </c>
      <c r="AJ13" s="596">
        <f t="shared" si="30"/>
        <v>1000</v>
      </c>
      <c r="AK13" s="596">
        <f t="shared" si="30"/>
        <v>1000</v>
      </c>
      <c r="AL13" s="596">
        <f t="shared" si="30"/>
        <v>1000</v>
      </c>
      <c r="AM13" s="596">
        <f t="shared" si="30"/>
        <v>1000</v>
      </c>
      <c r="AN13" s="596">
        <f t="shared" si="30"/>
        <v>1000</v>
      </c>
      <c r="AO13" s="3"/>
      <c r="AP13" s="17"/>
    </row>
    <row r="14" spans="1:42" ht="11.5" customHeight="1" x14ac:dyDescent="0.25">
      <c r="C14" s="20" t="s">
        <v>850</v>
      </c>
      <c r="D14" s="34" t="s">
        <v>46</v>
      </c>
      <c r="E14" s="28">
        <f>'1.1 Control Panel'!E936</f>
        <v>1500</v>
      </c>
      <c r="F14" s="28">
        <f>'1.1 Control Panel'!F936</f>
        <v>0</v>
      </c>
      <c r="G14" s="28">
        <f>'1.1 Control Panel'!G936</f>
        <v>0</v>
      </c>
      <c r="H14" s="28">
        <f>'1.1 Control Panel'!H936</f>
        <v>0</v>
      </c>
      <c r="I14" s="28">
        <f>'1.1 Control Panel'!I936</f>
        <v>0</v>
      </c>
      <c r="J14" s="28">
        <f>'1.1 Control Panel'!J936</f>
        <v>0</v>
      </c>
      <c r="K14" s="28">
        <f>'1.1 Control Panel'!K936</f>
        <v>0</v>
      </c>
      <c r="L14" s="28">
        <f>'1.1 Control Panel'!L936</f>
        <v>0</v>
      </c>
      <c r="M14" s="28">
        <f>'1.1 Control Panel'!M936</f>
        <v>0</v>
      </c>
      <c r="N14" s="28">
        <f>'1.1 Control Panel'!N936</f>
        <v>0</v>
      </c>
      <c r="O14" s="28">
        <f>'1.1 Control Panel'!O936</f>
        <v>0</v>
      </c>
      <c r="P14" s="28">
        <f>'1.1 Control Panel'!P936</f>
        <v>0</v>
      </c>
      <c r="Q14" s="28">
        <f>'1.1 Control Panel'!Q936</f>
        <v>0</v>
      </c>
      <c r="R14" s="28">
        <f>'1.1 Control Panel'!R936</f>
        <v>0</v>
      </c>
      <c r="S14" s="28">
        <f>'1.1 Control Panel'!S936</f>
        <v>0</v>
      </c>
      <c r="T14" s="28">
        <f>'1.1 Control Panel'!T936</f>
        <v>0</v>
      </c>
      <c r="U14" s="28">
        <f>'1.1 Control Panel'!U936</f>
        <v>0</v>
      </c>
      <c r="V14" s="28">
        <f>'1.1 Control Panel'!V936</f>
        <v>0</v>
      </c>
      <c r="W14" s="28">
        <f>'1.1 Control Panel'!W936</f>
        <v>0</v>
      </c>
      <c r="X14" s="28">
        <f>'1.1 Control Panel'!X936</f>
        <v>0</v>
      </c>
      <c r="Y14" s="28">
        <f>'1.1 Control Panel'!Y936</f>
        <v>0</v>
      </c>
      <c r="Z14" s="28">
        <f>'1.1 Control Panel'!Z936</f>
        <v>0</v>
      </c>
      <c r="AA14" s="28">
        <f>'1.1 Control Panel'!AA936</f>
        <v>0</v>
      </c>
      <c r="AB14" s="28">
        <f>'1.1 Control Panel'!AB936</f>
        <v>0</v>
      </c>
      <c r="AC14" s="28">
        <f>'1.1 Control Panel'!AC936</f>
        <v>0</v>
      </c>
      <c r="AD14" s="28">
        <f>'1.1 Control Panel'!AD936</f>
        <v>0</v>
      </c>
      <c r="AE14" s="28">
        <f>'1.1 Control Panel'!AE936</f>
        <v>0</v>
      </c>
      <c r="AF14" s="28">
        <f>'1.1 Control Panel'!AF936</f>
        <v>0</v>
      </c>
      <c r="AG14" s="28">
        <f>'1.1 Control Panel'!AG936</f>
        <v>0</v>
      </c>
      <c r="AH14" s="28">
        <f>'1.1 Control Panel'!AH936</f>
        <v>0</v>
      </c>
      <c r="AI14" s="28">
        <f>'1.1 Control Panel'!AI936</f>
        <v>0</v>
      </c>
      <c r="AJ14" s="28">
        <f>'1.1 Control Panel'!AJ936</f>
        <v>0</v>
      </c>
      <c r="AK14" s="28">
        <f>'1.1 Control Panel'!AK936</f>
        <v>0</v>
      </c>
      <c r="AL14" s="28">
        <f>'1.1 Control Panel'!AL936</f>
        <v>0</v>
      </c>
      <c r="AM14" s="28">
        <f>'1.1 Control Panel'!AM936</f>
        <v>0</v>
      </c>
      <c r="AN14" s="28">
        <f>'1.1 Control Panel'!AN936</f>
        <v>0</v>
      </c>
      <c r="AP14" s="20"/>
    </row>
    <row r="15" spans="1:42" ht="11.5" customHeight="1" x14ac:dyDescent="0.25">
      <c r="C15" s="3" t="s">
        <v>851</v>
      </c>
      <c r="D15" s="38" t="s">
        <v>46</v>
      </c>
      <c r="E15" s="376">
        <f>'1.1 Control Panel'!E937</f>
        <v>10000</v>
      </c>
      <c r="F15" s="376">
        <f>'1.1 Control Panel'!F937</f>
        <v>1000</v>
      </c>
      <c r="G15" s="376">
        <f>'1.1 Control Panel'!G937</f>
        <v>1000</v>
      </c>
      <c r="H15" s="376">
        <f>'1.1 Control Panel'!H937</f>
        <v>1000</v>
      </c>
      <c r="I15" s="376">
        <f>'1.1 Control Panel'!I937</f>
        <v>1000</v>
      </c>
      <c r="J15" s="376">
        <f>'1.1 Control Panel'!J937</f>
        <v>1000</v>
      </c>
      <c r="K15" s="376">
        <f>'1.1 Control Panel'!K937</f>
        <v>1000</v>
      </c>
      <c r="L15" s="376">
        <f>'1.1 Control Panel'!L937</f>
        <v>1000</v>
      </c>
      <c r="M15" s="376">
        <f>'1.1 Control Panel'!M937</f>
        <v>1000</v>
      </c>
      <c r="N15" s="376">
        <f>'1.1 Control Panel'!N937</f>
        <v>1000</v>
      </c>
      <c r="O15" s="376">
        <f>'1.1 Control Panel'!O937</f>
        <v>1000</v>
      </c>
      <c r="P15" s="376">
        <f>'1.1 Control Panel'!P937</f>
        <v>1000</v>
      </c>
      <c r="Q15" s="376">
        <f>'1.1 Control Panel'!Q937</f>
        <v>1000</v>
      </c>
      <c r="R15" s="376">
        <f>'1.1 Control Panel'!R937</f>
        <v>1000</v>
      </c>
      <c r="S15" s="376">
        <f>'1.1 Control Panel'!S937</f>
        <v>1000</v>
      </c>
      <c r="T15" s="376">
        <f>'1.1 Control Panel'!T937</f>
        <v>1000</v>
      </c>
      <c r="U15" s="376">
        <f>'1.1 Control Panel'!U937</f>
        <v>1000</v>
      </c>
      <c r="V15" s="376">
        <f>'1.1 Control Panel'!V937</f>
        <v>1000</v>
      </c>
      <c r="W15" s="376">
        <f>'1.1 Control Panel'!W937</f>
        <v>1000</v>
      </c>
      <c r="X15" s="376">
        <f>'1.1 Control Panel'!X937</f>
        <v>1000</v>
      </c>
      <c r="Y15" s="376">
        <f>'1.1 Control Panel'!Y937</f>
        <v>1000</v>
      </c>
      <c r="Z15" s="376">
        <f>'1.1 Control Panel'!Z937</f>
        <v>1000</v>
      </c>
      <c r="AA15" s="376">
        <f>'1.1 Control Panel'!AA937</f>
        <v>1000</v>
      </c>
      <c r="AB15" s="376">
        <f>'1.1 Control Panel'!AB937</f>
        <v>1000</v>
      </c>
      <c r="AC15" s="376">
        <f>'1.1 Control Panel'!AC937</f>
        <v>1000</v>
      </c>
      <c r="AD15" s="376">
        <f>'1.1 Control Panel'!AD937</f>
        <v>1000</v>
      </c>
      <c r="AE15" s="376">
        <f>'1.1 Control Panel'!AE937</f>
        <v>1000</v>
      </c>
      <c r="AF15" s="376">
        <f>'1.1 Control Panel'!AF937</f>
        <v>1000</v>
      </c>
      <c r="AG15" s="376">
        <f>'1.1 Control Panel'!AG937</f>
        <v>1000</v>
      </c>
      <c r="AH15" s="376">
        <f>'1.1 Control Panel'!AH937</f>
        <v>1000</v>
      </c>
      <c r="AI15" s="376">
        <f>'1.1 Control Panel'!AI937</f>
        <v>1000</v>
      </c>
      <c r="AJ15" s="376">
        <f>'1.1 Control Panel'!AJ937</f>
        <v>1000</v>
      </c>
      <c r="AK15" s="376">
        <f>'1.1 Control Panel'!AK937</f>
        <v>1000</v>
      </c>
      <c r="AL15" s="376">
        <f>'1.1 Control Panel'!AL937</f>
        <v>1000</v>
      </c>
      <c r="AM15" s="376">
        <f>'1.1 Control Panel'!AM937</f>
        <v>1000</v>
      </c>
      <c r="AN15" s="376">
        <f>'1.1 Control Panel'!AN937</f>
        <v>1000</v>
      </c>
      <c r="AP15" s="21"/>
    </row>
    <row r="16" spans="1:42" ht="11.5" customHeight="1" x14ac:dyDescent="0.25">
      <c r="C16" s="22" t="s">
        <v>852</v>
      </c>
      <c r="D16" s="319" t="s">
        <v>46</v>
      </c>
      <c r="E16" s="532">
        <f>'1.1 Control Panel'!E938</f>
        <v>0</v>
      </c>
      <c r="F16" s="532">
        <f>'1.1 Control Panel'!F938</f>
        <v>0</v>
      </c>
      <c r="G16" s="532">
        <f>'1.1 Control Panel'!G938</f>
        <v>0</v>
      </c>
      <c r="H16" s="532">
        <f>'1.1 Control Panel'!H938</f>
        <v>0</v>
      </c>
      <c r="I16" s="532">
        <f>'1.1 Control Panel'!I938</f>
        <v>0</v>
      </c>
      <c r="J16" s="532">
        <f>'1.1 Control Panel'!J938</f>
        <v>0</v>
      </c>
      <c r="K16" s="532">
        <f>'1.1 Control Panel'!K938</f>
        <v>0</v>
      </c>
      <c r="L16" s="532">
        <f>'1.1 Control Panel'!L938</f>
        <v>0</v>
      </c>
      <c r="M16" s="532">
        <f>'1.1 Control Panel'!M938</f>
        <v>0</v>
      </c>
      <c r="N16" s="532">
        <f>'1.1 Control Panel'!N938</f>
        <v>0</v>
      </c>
      <c r="O16" s="532">
        <f>'1.1 Control Panel'!O938</f>
        <v>0</v>
      </c>
      <c r="P16" s="532">
        <f>'1.1 Control Panel'!P938</f>
        <v>0</v>
      </c>
      <c r="Q16" s="532">
        <f>'1.1 Control Panel'!Q938</f>
        <v>0</v>
      </c>
      <c r="R16" s="532">
        <f>'1.1 Control Panel'!R938</f>
        <v>0</v>
      </c>
      <c r="S16" s="532">
        <f>'1.1 Control Panel'!S938</f>
        <v>0</v>
      </c>
      <c r="T16" s="532">
        <f>'1.1 Control Panel'!T938</f>
        <v>0</v>
      </c>
      <c r="U16" s="532">
        <f>'1.1 Control Panel'!U938</f>
        <v>0</v>
      </c>
      <c r="V16" s="532">
        <f>'1.1 Control Panel'!V938</f>
        <v>0</v>
      </c>
      <c r="W16" s="532">
        <f>'1.1 Control Panel'!W938</f>
        <v>0</v>
      </c>
      <c r="X16" s="532">
        <f>'1.1 Control Panel'!X938</f>
        <v>0</v>
      </c>
      <c r="Y16" s="532">
        <f>'1.1 Control Panel'!Y938</f>
        <v>0</v>
      </c>
      <c r="Z16" s="532">
        <f>'1.1 Control Panel'!Z938</f>
        <v>0</v>
      </c>
      <c r="AA16" s="532">
        <f>'1.1 Control Panel'!AA938</f>
        <v>0</v>
      </c>
      <c r="AB16" s="532">
        <f>'1.1 Control Panel'!AB938</f>
        <v>0</v>
      </c>
      <c r="AC16" s="532">
        <f>'1.1 Control Panel'!AC938</f>
        <v>0</v>
      </c>
      <c r="AD16" s="532">
        <f>'1.1 Control Panel'!AD938</f>
        <v>0</v>
      </c>
      <c r="AE16" s="532">
        <f>'1.1 Control Panel'!AE938</f>
        <v>0</v>
      </c>
      <c r="AF16" s="532">
        <f>'1.1 Control Panel'!AF938</f>
        <v>0</v>
      </c>
      <c r="AG16" s="532">
        <f>'1.1 Control Panel'!AG938</f>
        <v>0</v>
      </c>
      <c r="AH16" s="532">
        <f>'1.1 Control Panel'!AH938</f>
        <v>0</v>
      </c>
      <c r="AI16" s="532">
        <f>'1.1 Control Panel'!AI938</f>
        <v>0</v>
      </c>
      <c r="AJ16" s="532">
        <f>'1.1 Control Panel'!AJ938</f>
        <v>0</v>
      </c>
      <c r="AK16" s="532">
        <f>'1.1 Control Panel'!AK938</f>
        <v>0</v>
      </c>
      <c r="AL16" s="532">
        <f>'1.1 Control Panel'!AL938</f>
        <v>0</v>
      </c>
      <c r="AM16" s="532">
        <f>'1.1 Control Panel'!AM938</f>
        <v>0</v>
      </c>
      <c r="AN16" s="532">
        <f>'1.1 Control Panel'!AN938</f>
        <v>0</v>
      </c>
      <c r="AP16" s="26"/>
    </row>
    <row r="17" spans="2:42" ht="11.5" customHeight="1" x14ac:dyDescent="0.25">
      <c r="B17" s="19" t="s">
        <v>9</v>
      </c>
      <c r="C17" s="18" t="s">
        <v>848</v>
      </c>
      <c r="D17" s="316" t="s">
        <v>46</v>
      </c>
      <c r="E17" s="596">
        <f t="shared" ref="E17:AN17" si="31">SUM(E18:E19)</f>
        <v>250000</v>
      </c>
      <c r="F17" s="596">
        <f t="shared" si="31"/>
        <v>0</v>
      </c>
      <c r="G17" s="596">
        <f t="shared" si="31"/>
        <v>250000</v>
      </c>
      <c r="H17" s="596">
        <f t="shared" si="31"/>
        <v>500000</v>
      </c>
      <c r="I17" s="596">
        <f t="shared" si="31"/>
        <v>250000</v>
      </c>
      <c r="J17" s="596">
        <f t="shared" si="31"/>
        <v>250000</v>
      </c>
      <c r="K17" s="596">
        <f t="shared" si="31"/>
        <v>250000</v>
      </c>
      <c r="L17" s="596">
        <f t="shared" si="31"/>
        <v>500000</v>
      </c>
      <c r="M17" s="596">
        <f t="shared" si="31"/>
        <v>0</v>
      </c>
      <c r="N17" s="596">
        <f t="shared" si="31"/>
        <v>250000</v>
      </c>
      <c r="O17" s="596">
        <f t="shared" si="31"/>
        <v>0</v>
      </c>
      <c r="P17" s="596">
        <f t="shared" si="31"/>
        <v>0</v>
      </c>
      <c r="Q17" s="596">
        <f t="shared" si="31"/>
        <v>0</v>
      </c>
      <c r="R17" s="596">
        <f t="shared" si="31"/>
        <v>500000</v>
      </c>
      <c r="S17" s="596">
        <f t="shared" si="31"/>
        <v>0</v>
      </c>
      <c r="T17" s="596">
        <f t="shared" si="31"/>
        <v>0</v>
      </c>
      <c r="U17" s="596">
        <f t="shared" si="31"/>
        <v>0</v>
      </c>
      <c r="V17" s="596">
        <f t="shared" si="31"/>
        <v>0</v>
      </c>
      <c r="W17" s="596">
        <f t="shared" si="31"/>
        <v>0</v>
      </c>
      <c r="X17" s="596">
        <f t="shared" si="31"/>
        <v>0</v>
      </c>
      <c r="Y17" s="596">
        <f t="shared" si="31"/>
        <v>0</v>
      </c>
      <c r="Z17" s="596">
        <f t="shared" si="31"/>
        <v>0</v>
      </c>
      <c r="AA17" s="596">
        <f t="shared" si="31"/>
        <v>0</v>
      </c>
      <c r="AB17" s="596">
        <f t="shared" si="31"/>
        <v>0</v>
      </c>
      <c r="AC17" s="596">
        <f t="shared" si="31"/>
        <v>0</v>
      </c>
      <c r="AD17" s="596">
        <f t="shared" si="31"/>
        <v>0</v>
      </c>
      <c r="AE17" s="596">
        <f t="shared" si="31"/>
        <v>0</v>
      </c>
      <c r="AF17" s="596">
        <f t="shared" si="31"/>
        <v>0</v>
      </c>
      <c r="AG17" s="596">
        <f t="shared" si="31"/>
        <v>0</v>
      </c>
      <c r="AH17" s="596">
        <f t="shared" si="31"/>
        <v>0</v>
      </c>
      <c r="AI17" s="596">
        <f t="shared" si="31"/>
        <v>0</v>
      </c>
      <c r="AJ17" s="596">
        <f t="shared" si="31"/>
        <v>0</v>
      </c>
      <c r="AK17" s="596">
        <f t="shared" si="31"/>
        <v>0</v>
      </c>
      <c r="AL17" s="596">
        <f t="shared" si="31"/>
        <v>0</v>
      </c>
      <c r="AM17" s="596">
        <f t="shared" si="31"/>
        <v>0</v>
      </c>
      <c r="AN17" s="596">
        <f t="shared" si="31"/>
        <v>0</v>
      </c>
      <c r="AO17" s="266"/>
      <c r="AP17" s="17"/>
    </row>
    <row r="18" spans="2:42" ht="11.5" customHeight="1" x14ac:dyDescent="0.25">
      <c r="C18" s="20" t="s">
        <v>854</v>
      </c>
      <c r="D18" s="34" t="s">
        <v>46</v>
      </c>
      <c r="E18" s="28">
        <f>IF('1.1 Control Panel'!$E944=E$12,'1.1 Control Panel'!$E$941,0)
+IF('1.1 Control Panel'!$E945=E$12,'1.1 Control Panel'!$E$941,0)
+IF('1.1 Control Panel'!$E946=E$12,'1.1 Control Panel'!$E$941,0)
+IF('1.1 Control Panel'!$E947=E$12,'1.1 Control Panel'!$E$941,0)
+IF('1.1 Control Panel'!$E948=E$12,'1.1 Control Panel'!$E$941,0)
+IF('1.1 Control Panel'!$E949=E$12,'1.1 Control Panel'!$E$941,0)
+IF('1.1 Control Panel'!$E950=E$12,'1.1 Control Panel'!$E$941,0)
+IF('1.1 Control Panel'!$E951=E$12,'1.1 Control Panel'!$E$941,0)
+IF('1.1 Control Panel'!$E952=E$12,'1.1 Control Panel'!$E$941,0)
+IF('1.1 Control Panel'!$E953=E$12,'1.1 Control Panel'!$E$941,0)
+IF('1.1 Control Panel'!$E954=E$12,'1.1 Control Panel'!$E$941,0)
+IF('1.1 Control Panel'!$E955=E$12,'1.1 Control Panel'!$E$941,0)</f>
        <v>100000</v>
      </c>
      <c r="F18" s="28">
        <f>IF('1.1 Control Panel'!$E944=F$12,'1.1 Control Panel'!$E$941,0)
+IF('1.1 Control Panel'!$E945=F$12,'1.1 Control Panel'!$E$941,0)
+IF('1.1 Control Panel'!$E946=F$12,'1.1 Control Panel'!$E$941,0)
+IF('1.1 Control Panel'!$E947=F$12,'1.1 Control Panel'!$E$941,0)
+IF('1.1 Control Panel'!$E948=F$12,'1.1 Control Panel'!$E$941,0)
+IF('1.1 Control Panel'!$E949=F$12,'1.1 Control Panel'!$E$941,0)
+IF('1.1 Control Panel'!$E950=F$12,'1.1 Control Panel'!$E$941,0)
+IF('1.1 Control Panel'!$E951=F$12,'1.1 Control Panel'!$E$941,0)
+IF('1.1 Control Panel'!$E952=F$12,'1.1 Control Panel'!$E$941,0)
+IF('1.1 Control Panel'!$E953=F$12,'1.1 Control Panel'!$E$941,0)
+IF('1.1 Control Panel'!$E954=F$12,'1.1 Control Panel'!$E$941,0)
+IF('1.1 Control Panel'!$E955=F$12,'1.1 Control Panel'!$E$941,0)</f>
        <v>0</v>
      </c>
      <c r="G18" s="28">
        <f>IF('1.1 Control Panel'!$E944=G$12,'1.1 Control Panel'!$E$941,0)
+IF('1.1 Control Panel'!$E945=G$12,'1.1 Control Panel'!$E$941,0)
+IF('1.1 Control Panel'!$E946=G$12,'1.1 Control Panel'!$E$941,0)
+IF('1.1 Control Panel'!$E947=G$12,'1.1 Control Panel'!$E$941,0)
+IF('1.1 Control Panel'!$E948=G$12,'1.1 Control Panel'!$E$941,0)
+IF('1.1 Control Panel'!$E949=G$12,'1.1 Control Panel'!$E$941,0)
+IF('1.1 Control Panel'!$E950=G$12,'1.1 Control Panel'!$E$941,0)
+IF('1.1 Control Panel'!$E951=G$12,'1.1 Control Panel'!$E$941,0)
+IF('1.1 Control Panel'!$E952=G$12,'1.1 Control Panel'!$E$941,0)
+IF('1.1 Control Panel'!$E953=G$12,'1.1 Control Panel'!$E$941,0)
+IF('1.1 Control Panel'!$E954=G$12,'1.1 Control Panel'!$E$941,0)
+IF('1.1 Control Panel'!$E955=G$12,'1.1 Control Panel'!$E$941,0)</f>
        <v>100000</v>
      </c>
      <c r="H18" s="28">
        <f>IF('1.1 Control Panel'!$E944=H$12,'1.1 Control Panel'!$E$941,0)
+IF('1.1 Control Panel'!$E945=H$12,'1.1 Control Panel'!$E$941,0)
+IF('1.1 Control Panel'!$E946=H$12,'1.1 Control Panel'!$E$941,0)
+IF('1.1 Control Panel'!$E947=H$12,'1.1 Control Panel'!$E$941,0)
+IF('1.1 Control Panel'!$E948=H$12,'1.1 Control Panel'!$E$941,0)
+IF('1.1 Control Panel'!$E949=H$12,'1.1 Control Panel'!$E$941,0)
+IF('1.1 Control Panel'!$E950=H$12,'1.1 Control Panel'!$E$941,0)
+IF('1.1 Control Panel'!$E951=H$12,'1.1 Control Panel'!$E$941,0)
+IF('1.1 Control Panel'!$E952=H$12,'1.1 Control Panel'!$E$941,0)
+IF('1.1 Control Panel'!$E953=H$12,'1.1 Control Panel'!$E$941,0)
+IF('1.1 Control Panel'!$E954=H$12,'1.1 Control Panel'!$E$941,0)
+IF('1.1 Control Panel'!$E955=H$12,'1.1 Control Panel'!$E$941,0)</f>
        <v>200000</v>
      </c>
      <c r="I18" s="28">
        <f>IF('1.1 Control Panel'!$E944=I$12,'1.1 Control Panel'!$E$941,0)
+IF('1.1 Control Panel'!$E945=I$12,'1.1 Control Panel'!$E$941,0)
+IF('1.1 Control Panel'!$E946=I$12,'1.1 Control Panel'!$E$941,0)
+IF('1.1 Control Panel'!$E947=I$12,'1.1 Control Panel'!$E$941,0)
+IF('1.1 Control Panel'!$E948=I$12,'1.1 Control Panel'!$E$941,0)
+IF('1.1 Control Panel'!$E949=I$12,'1.1 Control Panel'!$E$941,0)
+IF('1.1 Control Panel'!$E950=I$12,'1.1 Control Panel'!$E$941,0)
+IF('1.1 Control Panel'!$E951=I$12,'1.1 Control Panel'!$E$941,0)
+IF('1.1 Control Panel'!$E952=I$12,'1.1 Control Panel'!$E$941,0)
+IF('1.1 Control Panel'!$E953=I$12,'1.1 Control Panel'!$E$941,0)
+IF('1.1 Control Panel'!$E954=I$12,'1.1 Control Panel'!$E$941,0)
+IF('1.1 Control Panel'!$E955=I$12,'1.1 Control Panel'!$E$941,0)</f>
        <v>100000</v>
      </c>
      <c r="J18" s="28">
        <f>IF('1.1 Control Panel'!$E944=J$12,'1.1 Control Panel'!$E$941,0)
+IF('1.1 Control Panel'!$E945=J$12,'1.1 Control Panel'!$E$941,0)
+IF('1.1 Control Panel'!$E946=J$12,'1.1 Control Panel'!$E$941,0)
+IF('1.1 Control Panel'!$E947=J$12,'1.1 Control Panel'!$E$941,0)
+IF('1.1 Control Panel'!$E948=J$12,'1.1 Control Panel'!$E$941,0)
+IF('1.1 Control Panel'!$E949=J$12,'1.1 Control Panel'!$E$941,0)
+IF('1.1 Control Panel'!$E950=J$12,'1.1 Control Panel'!$E$941,0)
+IF('1.1 Control Panel'!$E951=J$12,'1.1 Control Panel'!$E$941,0)
+IF('1.1 Control Panel'!$E952=J$12,'1.1 Control Panel'!$E$941,0)
+IF('1.1 Control Panel'!$E953=J$12,'1.1 Control Panel'!$E$941,0)
+IF('1.1 Control Panel'!$E954=J$12,'1.1 Control Panel'!$E$941,0)
+IF('1.1 Control Panel'!$E955=J$12,'1.1 Control Panel'!$E$941,0)</f>
        <v>100000</v>
      </c>
      <c r="K18" s="28">
        <f>IF('1.1 Control Panel'!$E944=K$12,'1.1 Control Panel'!$E$941,0)
+IF('1.1 Control Panel'!$E945=K$12,'1.1 Control Panel'!$E$941,0)
+IF('1.1 Control Panel'!$E946=K$12,'1.1 Control Panel'!$E$941,0)
+IF('1.1 Control Panel'!$E947=K$12,'1.1 Control Panel'!$E$941,0)
+IF('1.1 Control Panel'!$E948=K$12,'1.1 Control Panel'!$E$941,0)
+IF('1.1 Control Panel'!$E949=K$12,'1.1 Control Panel'!$E$941,0)
+IF('1.1 Control Panel'!$E950=K$12,'1.1 Control Panel'!$E$941,0)
+IF('1.1 Control Panel'!$E951=K$12,'1.1 Control Panel'!$E$941,0)
+IF('1.1 Control Panel'!$E952=K$12,'1.1 Control Panel'!$E$941,0)
+IF('1.1 Control Panel'!$E953=K$12,'1.1 Control Panel'!$E$941,0)
+IF('1.1 Control Panel'!$E954=K$12,'1.1 Control Panel'!$E$941,0)
+IF('1.1 Control Panel'!$E955=K$12,'1.1 Control Panel'!$E$941,0)</f>
        <v>100000</v>
      </c>
      <c r="L18" s="28">
        <f>IF('1.1 Control Panel'!$E944=L$12,'1.1 Control Panel'!$E$941,0)
+IF('1.1 Control Panel'!$E945=L$12,'1.1 Control Panel'!$E$941,0)
+IF('1.1 Control Panel'!$E946=L$12,'1.1 Control Panel'!$E$941,0)
+IF('1.1 Control Panel'!$E947=L$12,'1.1 Control Panel'!$E$941,0)
+IF('1.1 Control Panel'!$E948=L$12,'1.1 Control Panel'!$E$941,0)
+IF('1.1 Control Panel'!$E949=L$12,'1.1 Control Panel'!$E$941,0)
+IF('1.1 Control Panel'!$E950=L$12,'1.1 Control Panel'!$E$941,0)
+IF('1.1 Control Panel'!$E951=L$12,'1.1 Control Panel'!$E$941,0)
+IF('1.1 Control Panel'!$E952=L$12,'1.1 Control Panel'!$E$941,0)
+IF('1.1 Control Panel'!$E953=L$12,'1.1 Control Panel'!$E$941,0)
+IF('1.1 Control Panel'!$E954=L$12,'1.1 Control Panel'!$E$941,0)
+IF('1.1 Control Panel'!$E955=L$12,'1.1 Control Panel'!$E$941,0)</f>
        <v>200000</v>
      </c>
      <c r="M18" s="28">
        <f>IF('1.1 Control Panel'!$E944=M$12,'1.1 Control Panel'!$E$941,0)
+IF('1.1 Control Panel'!$E945=M$12,'1.1 Control Panel'!$E$941,0)
+IF('1.1 Control Panel'!$E946=M$12,'1.1 Control Panel'!$E$941,0)
+IF('1.1 Control Panel'!$E947=M$12,'1.1 Control Panel'!$E$941,0)
+IF('1.1 Control Panel'!$E948=M$12,'1.1 Control Panel'!$E$941,0)
+IF('1.1 Control Panel'!$E949=M$12,'1.1 Control Panel'!$E$941,0)
+IF('1.1 Control Panel'!$E950=M$12,'1.1 Control Panel'!$E$941,0)
+IF('1.1 Control Panel'!$E951=M$12,'1.1 Control Panel'!$E$941,0)
+IF('1.1 Control Panel'!$E952=M$12,'1.1 Control Panel'!$E$941,0)
+IF('1.1 Control Panel'!$E953=M$12,'1.1 Control Panel'!$E$941,0)
+IF('1.1 Control Panel'!$E954=M$12,'1.1 Control Panel'!$E$941,0)
+IF('1.1 Control Panel'!$E955=M$12,'1.1 Control Panel'!$E$941,0)</f>
        <v>0</v>
      </c>
      <c r="N18" s="28">
        <f>IF('1.1 Control Panel'!$E944=N$12,'1.1 Control Panel'!$E$941,0)
+IF('1.1 Control Panel'!$E945=N$12,'1.1 Control Panel'!$E$941,0)
+IF('1.1 Control Panel'!$E946=N$12,'1.1 Control Panel'!$E$941,0)
+IF('1.1 Control Panel'!$E947=N$12,'1.1 Control Panel'!$E$941,0)
+IF('1.1 Control Panel'!$E948=N$12,'1.1 Control Panel'!$E$941,0)
+IF('1.1 Control Panel'!$E949=N$12,'1.1 Control Panel'!$E$941,0)
+IF('1.1 Control Panel'!$E950=N$12,'1.1 Control Panel'!$E$941,0)
+IF('1.1 Control Panel'!$E951=N$12,'1.1 Control Panel'!$E$941,0)
+IF('1.1 Control Panel'!$E952=N$12,'1.1 Control Panel'!$E$941,0)
+IF('1.1 Control Panel'!$E953=N$12,'1.1 Control Panel'!$E$941,0)
+IF('1.1 Control Panel'!$E954=N$12,'1.1 Control Panel'!$E$941,0)
+IF('1.1 Control Panel'!$E955=N$12,'1.1 Control Panel'!$E$941,0)</f>
        <v>100000</v>
      </c>
      <c r="O18" s="28">
        <f>IF('1.1 Control Panel'!$E944=O$12,'1.1 Control Panel'!$E$941,0)
+IF('1.1 Control Panel'!$E945=O$12,'1.1 Control Panel'!$E$941,0)
+IF('1.1 Control Panel'!$E946=O$12,'1.1 Control Panel'!$E$941,0)
+IF('1.1 Control Panel'!$E947=O$12,'1.1 Control Panel'!$E$941,0)
+IF('1.1 Control Panel'!$E948=O$12,'1.1 Control Panel'!$E$941,0)
+IF('1.1 Control Panel'!$E949=O$12,'1.1 Control Panel'!$E$941,0)
+IF('1.1 Control Panel'!$E950=O$12,'1.1 Control Panel'!$E$941,0)
+IF('1.1 Control Panel'!$E951=O$12,'1.1 Control Panel'!$E$941,0)
+IF('1.1 Control Panel'!$E952=O$12,'1.1 Control Panel'!$E$941,0)
+IF('1.1 Control Panel'!$E953=O$12,'1.1 Control Panel'!$E$941,0)
+IF('1.1 Control Panel'!$E954=O$12,'1.1 Control Panel'!$E$941,0)
+IF('1.1 Control Panel'!$E955=O$12,'1.1 Control Panel'!$E$941,0)</f>
        <v>0</v>
      </c>
      <c r="P18" s="28">
        <f>IF('1.1 Control Panel'!$E944=P$12,'1.1 Control Panel'!$E$941,0)
+IF('1.1 Control Panel'!$E945=P$12,'1.1 Control Panel'!$E$941,0)
+IF('1.1 Control Panel'!$E946=P$12,'1.1 Control Panel'!$E$941,0)
+IF('1.1 Control Panel'!$E947=P$12,'1.1 Control Panel'!$E$941,0)
+IF('1.1 Control Panel'!$E948=P$12,'1.1 Control Panel'!$E$941,0)
+IF('1.1 Control Panel'!$E949=P$12,'1.1 Control Panel'!$E$941,0)
+IF('1.1 Control Panel'!$E950=P$12,'1.1 Control Panel'!$E$941,0)
+IF('1.1 Control Panel'!$E951=P$12,'1.1 Control Panel'!$E$941,0)
+IF('1.1 Control Panel'!$E952=P$12,'1.1 Control Panel'!$E$941,0)
+IF('1.1 Control Panel'!$E953=P$12,'1.1 Control Panel'!$E$941,0)
+IF('1.1 Control Panel'!$E954=P$12,'1.1 Control Panel'!$E$941,0)
+IF('1.1 Control Panel'!$E955=P$12,'1.1 Control Panel'!$E$941,0)</f>
        <v>0</v>
      </c>
      <c r="Q18" s="28">
        <f>IF('1.1 Control Panel'!$E944=Q$12,'1.1 Control Panel'!$E$941,0)
+IF('1.1 Control Panel'!$E945=Q$12,'1.1 Control Panel'!$E$941,0)
+IF('1.1 Control Panel'!$E946=Q$12,'1.1 Control Panel'!$E$941,0)
+IF('1.1 Control Panel'!$E947=Q$12,'1.1 Control Panel'!$E$941,0)
+IF('1.1 Control Panel'!$E948=Q$12,'1.1 Control Panel'!$E$941,0)
+IF('1.1 Control Panel'!$E949=Q$12,'1.1 Control Panel'!$E$941,0)
+IF('1.1 Control Panel'!$E950=Q$12,'1.1 Control Panel'!$E$941,0)
+IF('1.1 Control Panel'!$E951=Q$12,'1.1 Control Panel'!$E$941,0)
+IF('1.1 Control Panel'!$E952=Q$12,'1.1 Control Panel'!$E$941,0)
+IF('1.1 Control Panel'!$E953=Q$12,'1.1 Control Panel'!$E$941,0)
+IF('1.1 Control Panel'!$E954=Q$12,'1.1 Control Panel'!$E$941,0)
+IF('1.1 Control Panel'!$E955=Q$12,'1.1 Control Panel'!$E$941,0)</f>
        <v>0</v>
      </c>
      <c r="R18" s="28">
        <f>IF('1.1 Control Panel'!$E944=R$12,'1.1 Control Panel'!$E$941,0)
+IF('1.1 Control Panel'!$E945=R$12,'1.1 Control Panel'!$E$941,0)
+IF('1.1 Control Panel'!$E946=R$12,'1.1 Control Panel'!$E$941,0)
+IF('1.1 Control Panel'!$E947=R$12,'1.1 Control Panel'!$E$941,0)
+IF('1.1 Control Panel'!$E948=R$12,'1.1 Control Panel'!$E$941,0)
+IF('1.1 Control Panel'!$E949=R$12,'1.1 Control Panel'!$E$941,0)
+IF('1.1 Control Panel'!$E950=R$12,'1.1 Control Panel'!$E$941,0)
+IF('1.1 Control Panel'!$E951=R$12,'1.1 Control Panel'!$E$941,0)
+IF('1.1 Control Panel'!$E952=R$12,'1.1 Control Panel'!$E$941,0)
+IF('1.1 Control Panel'!$E953=R$12,'1.1 Control Panel'!$E$941,0)
+IF('1.1 Control Panel'!$E954=R$12,'1.1 Control Panel'!$E$941,0)
+IF('1.1 Control Panel'!$E955=R$12,'1.1 Control Panel'!$E$941,0)</f>
        <v>200000</v>
      </c>
      <c r="S18" s="28">
        <f>IF('1.1 Control Panel'!$E944=S$12,'1.1 Control Panel'!$E$941,0)
+IF('1.1 Control Panel'!$E945=S$12,'1.1 Control Panel'!$E$941,0)
+IF('1.1 Control Panel'!$E946=S$12,'1.1 Control Panel'!$E$941,0)
+IF('1.1 Control Panel'!$E947=S$12,'1.1 Control Panel'!$E$941,0)
+IF('1.1 Control Panel'!$E948=S$12,'1.1 Control Panel'!$E$941,0)
+IF('1.1 Control Panel'!$E949=S$12,'1.1 Control Panel'!$E$941,0)
+IF('1.1 Control Panel'!$E950=S$12,'1.1 Control Panel'!$E$941,0)
+IF('1.1 Control Panel'!$E951=S$12,'1.1 Control Panel'!$E$941,0)
+IF('1.1 Control Panel'!$E952=S$12,'1.1 Control Panel'!$E$941,0)
+IF('1.1 Control Panel'!$E953=S$12,'1.1 Control Panel'!$E$941,0)
+IF('1.1 Control Panel'!$E954=S$12,'1.1 Control Panel'!$E$941,0)
+IF('1.1 Control Panel'!$E955=S$12,'1.1 Control Panel'!$E$941,0)</f>
        <v>0</v>
      </c>
      <c r="T18" s="28">
        <f>IF('1.1 Control Panel'!$E944=T$12,'1.1 Control Panel'!$E$941,0)
+IF('1.1 Control Panel'!$E945=T$12,'1.1 Control Panel'!$E$941,0)
+IF('1.1 Control Panel'!$E946=T$12,'1.1 Control Panel'!$E$941,0)
+IF('1.1 Control Panel'!$E947=T$12,'1.1 Control Panel'!$E$941,0)
+IF('1.1 Control Panel'!$E948=T$12,'1.1 Control Panel'!$E$941,0)
+IF('1.1 Control Panel'!$E949=T$12,'1.1 Control Panel'!$E$941,0)
+IF('1.1 Control Panel'!$E950=T$12,'1.1 Control Panel'!$E$941,0)
+IF('1.1 Control Panel'!$E951=T$12,'1.1 Control Panel'!$E$941,0)
+IF('1.1 Control Panel'!$E952=T$12,'1.1 Control Panel'!$E$941,0)
+IF('1.1 Control Panel'!$E953=T$12,'1.1 Control Panel'!$E$941,0)
+IF('1.1 Control Panel'!$E954=T$12,'1.1 Control Panel'!$E$941,0)
+IF('1.1 Control Panel'!$E955=T$12,'1.1 Control Panel'!$E$941,0)</f>
        <v>0</v>
      </c>
      <c r="U18" s="28">
        <f>IF('1.1 Control Panel'!$E944=U$12,'1.1 Control Panel'!$E$941,0)
+IF('1.1 Control Panel'!$E945=U$12,'1.1 Control Panel'!$E$941,0)
+IF('1.1 Control Panel'!$E946=U$12,'1.1 Control Panel'!$E$941,0)
+IF('1.1 Control Panel'!$E947=U$12,'1.1 Control Panel'!$E$941,0)
+IF('1.1 Control Panel'!$E948=U$12,'1.1 Control Panel'!$E$941,0)
+IF('1.1 Control Panel'!$E949=U$12,'1.1 Control Panel'!$E$941,0)
+IF('1.1 Control Panel'!$E950=U$12,'1.1 Control Panel'!$E$941,0)
+IF('1.1 Control Panel'!$E951=U$12,'1.1 Control Panel'!$E$941,0)
+IF('1.1 Control Panel'!$E952=U$12,'1.1 Control Panel'!$E$941,0)
+IF('1.1 Control Panel'!$E953=U$12,'1.1 Control Panel'!$E$941,0)
+IF('1.1 Control Panel'!$E954=U$12,'1.1 Control Panel'!$E$941,0)
+IF('1.1 Control Panel'!$E955=U$12,'1.1 Control Panel'!$E$941,0)</f>
        <v>0</v>
      </c>
      <c r="V18" s="28">
        <f>IF('1.1 Control Panel'!$E944=V$12,'1.1 Control Panel'!$E$941,0)
+IF('1.1 Control Panel'!$E945=V$12,'1.1 Control Panel'!$E$941,0)
+IF('1.1 Control Panel'!$E946=V$12,'1.1 Control Panel'!$E$941,0)
+IF('1.1 Control Panel'!$E947=V$12,'1.1 Control Panel'!$E$941,0)
+IF('1.1 Control Panel'!$E948=V$12,'1.1 Control Panel'!$E$941,0)
+IF('1.1 Control Panel'!$E949=V$12,'1.1 Control Panel'!$E$941,0)
+IF('1.1 Control Panel'!$E950=V$12,'1.1 Control Panel'!$E$941,0)
+IF('1.1 Control Panel'!$E951=V$12,'1.1 Control Panel'!$E$941,0)
+IF('1.1 Control Panel'!$E952=V$12,'1.1 Control Panel'!$E$941,0)
+IF('1.1 Control Panel'!$E953=V$12,'1.1 Control Panel'!$E$941,0)
+IF('1.1 Control Panel'!$E954=V$12,'1.1 Control Panel'!$E$941,0)
+IF('1.1 Control Panel'!$E955=V$12,'1.1 Control Panel'!$E$941,0)</f>
        <v>0</v>
      </c>
      <c r="W18" s="28">
        <f>IF('1.1 Control Panel'!$E944=W$12,'1.1 Control Panel'!$E$941,0)
+IF('1.1 Control Panel'!$E945=W$12,'1.1 Control Panel'!$E$941,0)
+IF('1.1 Control Panel'!$E946=W$12,'1.1 Control Panel'!$E$941,0)
+IF('1.1 Control Panel'!$E947=W$12,'1.1 Control Panel'!$E$941,0)
+IF('1.1 Control Panel'!$E948=W$12,'1.1 Control Panel'!$E$941,0)
+IF('1.1 Control Panel'!$E949=W$12,'1.1 Control Panel'!$E$941,0)
+IF('1.1 Control Panel'!$E950=W$12,'1.1 Control Panel'!$E$941,0)
+IF('1.1 Control Panel'!$E951=W$12,'1.1 Control Panel'!$E$941,0)
+IF('1.1 Control Panel'!$E952=W$12,'1.1 Control Panel'!$E$941,0)
+IF('1.1 Control Panel'!$E953=W$12,'1.1 Control Panel'!$E$941,0)
+IF('1.1 Control Panel'!$E954=W$12,'1.1 Control Panel'!$E$941,0)
+IF('1.1 Control Panel'!$E955=W$12,'1.1 Control Panel'!$E$941,0)</f>
        <v>0</v>
      </c>
      <c r="X18" s="28">
        <f>IF('1.1 Control Panel'!$E944=X$12,'1.1 Control Panel'!$E$941,0)
+IF('1.1 Control Panel'!$E945=X$12,'1.1 Control Panel'!$E$941,0)
+IF('1.1 Control Panel'!$E946=X$12,'1.1 Control Panel'!$E$941,0)
+IF('1.1 Control Panel'!$E947=X$12,'1.1 Control Panel'!$E$941,0)
+IF('1.1 Control Panel'!$E948=X$12,'1.1 Control Panel'!$E$941,0)
+IF('1.1 Control Panel'!$E949=X$12,'1.1 Control Panel'!$E$941,0)
+IF('1.1 Control Panel'!$E950=X$12,'1.1 Control Panel'!$E$941,0)
+IF('1.1 Control Panel'!$E951=X$12,'1.1 Control Panel'!$E$941,0)
+IF('1.1 Control Panel'!$E952=X$12,'1.1 Control Panel'!$E$941,0)
+IF('1.1 Control Panel'!$E953=X$12,'1.1 Control Panel'!$E$941,0)
+IF('1.1 Control Panel'!$E954=X$12,'1.1 Control Panel'!$E$941,0)
+IF('1.1 Control Panel'!$E955=X$12,'1.1 Control Panel'!$E$941,0)</f>
        <v>0</v>
      </c>
      <c r="Y18" s="28">
        <f>IF('1.1 Control Panel'!$E944=Y$12,'1.1 Control Panel'!$E$941,0)
+IF('1.1 Control Panel'!$E945=Y$12,'1.1 Control Panel'!$E$941,0)
+IF('1.1 Control Panel'!$E946=Y$12,'1.1 Control Panel'!$E$941,0)
+IF('1.1 Control Panel'!$E947=Y$12,'1.1 Control Panel'!$E$941,0)
+IF('1.1 Control Panel'!$E948=Y$12,'1.1 Control Panel'!$E$941,0)
+IF('1.1 Control Panel'!$E949=Y$12,'1.1 Control Panel'!$E$941,0)
+IF('1.1 Control Panel'!$E950=Y$12,'1.1 Control Panel'!$E$941,0)
+IF('1.1 Control Panel'!$E951=Y$12,'1.1 Control Panel'!$E$941,0)
+IF('1.1 Control Panel'!$E952=Y$12,'1.1 Control Panel'!$E$941,0)
+IF('1.1 Control Panel'!$E953=Y$12,'1.1 Control Panel'!$E$941,0)
+IF('1.1 Control Panel'!$E954=Y$12,'1.1 Control Panel'!$E$941,0)
+IF('1.1 Control Panel'!$E955=Y$12,'1.1 Control Panel'!$E$941,0)</f>
        <v>0</v>
      </c>
      <c r="Z18" s="28">
        <f>IF('1.1 Control Panel'!$E944=Z$12,'1.1 Control Panel'!$E$941,0)
+IF('1.1 Control Panel'!$E945=Z$12,'1.1 Control Panel'!$E$941,0)
+IF('1.1 Control Panel'!$E946=Z$12,'1.1 Control Panel'!$E$941,0)
+IF('1.1 Control Panel'!$E947=Z$12,'1.1 Control Panel'!$E$941,0)
+IF('1.1 Control Panel'!$E948=Z$12,'1.1 Control Panel'!$E$941,0)
+IF('1.1 Control Panel'!$E949=Z$12,'1.1 Control Panel'!$E$941,0)
+IF('1.1 Control Panel'!$E950=Z$12,'1.1 Control Panel'!$E$941,0)
+IF('1.1 Control Panel'!$E951=Z$12,'1.1 Control Panel'!$E$941,0)
+IF('1.1 Control Panel'!$E952=Z$12,'1.1 Control Panel'!$E$941,0)
+IF('1.1 Control Panel'!$E953=Z$12,'1.1 Control Panel'!$E$941,0)
+IF('1.1 Control Panel'!$E954=Z$12,'1.1 Control Panel'!$E$941,0)
+IF('1.1 Control Panel'!$E955=Z$12,'1.1 Control Panel'!$E$941,0)</f>
        <v>0</v>
      </c>
      <c r="AA18" s="28">
        <f>IF('1.1 Control Panel'!$E944=AA$12,'1.1 Control Panel'!$E$941,0)
+IF('1.1 Control Panel'!$E945=AA$12,'1.1 Control Panel'!$E$941,0)
+IF('1.1 Control Panel'!$E946=AA$12,'1.1 Control Panel'!$E$941,0)
+IF('1.1 Control Panel'!$E947=AA$12,'1.1 Control Panel'!$E$941,0)
+IF('1.1 Control Panel'!$E948=AA$12,'1.1 Control Panel'!$E$941,0)
+IF('1.1 Control Panel'!$E949=AA$12,'1.1 Control Panel'!$E$941,0)
+IF('1.1 Control Panel'!$E950=AA$12,'1.1 Control Panel'!$E$941,0)
+IF('1.1 Control Panel'!$E951=AA$12,'1.1 Control Panel'!$E$941,0)
+IF('1.1 Control Panel'!$E952=AA$12,'1.1 Control Panel'!$E$941,0)
+IF('1.1 Control Panel'!$E953=AA$12,'1.1 Control Panel'!$E$941,0)
+IF('1.1 Control Panel'!$E954=AA$12,'1.1 Control Panel'!$E$941,0)
+IF('1.1 Control Panel'!$E955=AA$12,'1.1 Control Panel'!$E$941,0)</f>
        <v>0</v>
      </c>
      <c r="AB18" s="28">
        <f>IF('1.1 Control Panel'!$E944=AB$12,'1.1 Control Panel'!$E$941,0)
+IF('1.1 Control Panel'!$E945=AB$12,'1.1 Control Panel'!$E$941,0)
+IF('1.1 Control Panel'!$E946=AB$12,'1.1 Control Panel'!$E$941,0)
+IF('1.1 Control Panel'!$E947=AB$12,'1.1 Control Panel'!$E$941,0)
+IF('1.1 Control Panel'!$E948=AB$12,'1.1 Control Panel'!$E$941,0)
+IF('1.1 Control Panel'!$E949=AB$12,'1.1 Control Panel'!$E$941,0)
+IF('1.1 Control Panel'!$E950=AB$12,'1.1 Control Panel'!$E$941,0)
+IF('1.1 Control Panel'!$E951=AB$12,'1.1 Control Panel'!$E$941,0)
+IF('1.1 Control Panel'!$E952=AB$12,'1.1 Control Panel'!$E$941,0)
+IF('1.1 Control Panel'!$E953=AB$12,'1.1 Control Panel'!$E$941,0)
+IF('1.1 Control Panel'!$E954=AB$12,'1.1 Control Panel'!$E$941,0)
+IF('1.1 Control Panel'!$E955=AB$12,'1.1 Control Panel'!$E$941,0)</f>
        <v>0</v>
      </c>
      <c r="AC18" s="28">
        <f>IF('1.1 Control Panel'!$E944=AC$12,'1.1 Control Panel'!$E$941,0)
+IF('1.1 Control Panel'!$E945=AC$12,'1.1 Control Panel'!$E$941,0)
+IF('1.1 Control Panel'!$E946=AC$12,'1.1 Control Panel'!$E$941,0)
+IF('1.1 Control Panel'!$E947=AC$12,'1.1 Control Panel'!$E$941,0)
+IF('1.1 Control Panel'!$E948=AC$12,'1.1 Control Panel'!$E$941,0)
+IF('1.1 Control Panel'!$E949=AC$12,'1.1 Control Panel'!$E$941,0)
+IF('1.1 Control Panel'!$E950=AC$12,'1.1 Control Panel'!$E$941,0)
+IF('1.1 Control Panel'!$E951=AC$12,'1.1 Control Panel'!$E$941,0)
+IF('1.1 Control Panel'!$E952=AC$12,'1.1 Control Panel'!$E$941,0)
+IF('1.1 Control Panel'!$E953=AC$12,'1.1 Control Panel'!$E$941,0)
+IF('1.1 Control Panel'!$E954=AC$12,'1.1 Control Panel'!$E$941,0)
+IF('1.1 Control Panel'!$E955=AC$12,'1.1 Control Panel'!$E$941,0)</f>
        <v>0</v>
      </c>
      <c r="AD18" s="28">
        <f>IF('1.1 Control Panel'!$E944=AD$12,'1.1 Control Panel'!$E$941,0)
+IF('1.1 Control Panel'!$E945=AD$12,'1.1 Control Panel'!$E$941,0)
+IF('1.1 Control Panel'!$E946=AD$12,'1.1 Control Panel'!$E$941,0)
+IF('1.1 Control Panel'!$E947=AD$12,'1.1 Control Panel'!$E$941,0)
+IF('1.1 Control Panel'!$E948=AD$12,'1.1 Control Panel'!$E$941,0)
+IF('1.1 Control Panel'!$E949=AD$12,'1.1 Control Panel'!$E$941,0)
+IF('1.1 Control Panel'!$E950=AD$12,'1.1 Control Panel'!$E$941,0)
+IF('1.1 Control Panel'!$E951=AD$12,'1.1 Control Panel'!$E$941,0)
+IF('1.1 Control Panel'!$E952=AD$12,'1.1 Control Panel'!$E$941,0)
+IF('1.1 Control Panel'!$E953=AD$12,'1.1 Control Panel'!$E$941,0)
+IF('1.1 Control Panel'!$E954=AD$12,'1.1 Control Panel'!$E$941,0)
+IF('1.1 Control Panel'!$E955=AD$12,'1.1 Control Panel'!$E$941,0)</f>
        <v>0</v>
      </c>
      <c r="AE18" s="28">
        <f>IF('1.1 Control Panel'!$E944=AE$12,'1.1 Control Panel'!$E$941,0)
+IF('1.1 Control Panel'!$E945=AE$12,'1.1 Control Panel'!$E$941,0)
+IF('1.1 Control Panel'!$E946=AE$12,'1.1 Control Panel'!$E$941,0)
+IF('1.1 Control Panel'!$E947=AE$12,'1.1 Control Panel'!$E$941,0)
+IF('1.1 Control Panel'!$E948=AE$12,'1.1 Control Panel'!$E$941,0)
+IF('1.1 Control Panel'!$E949=AE$12,'1.1 Control Panel'!$E$941,0)
+IF('1.1 Control Panel'!$E950=AE$12,'1.1 Control Panel'!$E$941,0)
+IF('1.1 Control Panel'!$E951=AE$12,'1.1 Control Panel'!$E$941,0)
+IF('1.1 Control Panel'!$E952=AE$12,'1.1 Control Panel'!$E$941,0)
+IF('1.1 Control Panel'!$E953=AE$12,'1.1 Control Panel'!$E$941,0)
+IF('1.1 Control Panel'!$E954=AE$12,'1.1 Control Panel'!$E$941,0)
+IF('1.1 Control Panel'!$E955=AE$12,'1.1 Control Panel'!$E$941,0)</f>
        <v>0</v>
      </c>
      <c r="AF18" s="28">
        <f>IF('1.1 Control Panel'!$E944=AF$12,'1.1 Control Panel'!$E$941,0)
+IF('1.1 Control Panel'!$E945=AF$12,'1.1 Control Panel'!$E$941,0)
+IF('1.1 Control Panel'!$E946=AF$12,'1.1 Control Panel'!$E$941,0)
+IF('1.1 Control Panel'!$E947=AF$12,'1.1 Control Panel'!$E$941,0)
+IF('1.1 Control Panel'!$E948=AF$12,'1.1 Control Panel'!$E$941,0)
+IF('1.1 Control Panel'!$E949=AF$12,'1.1 Control Panel'!$E$941,0)
+IF('1.1 Control Panel'!$E950=AF$12,'1.1 Control Panel'!$E$941,0)
+IF('1.1 Control Panel'!$E951=AF$12,'1.1 Control Panel'!$E$941,0)
+IF('1.1 Control Panel'!$E952=AF$12,'1.1 Control Panel'!$E$941,0)
+IF('1.1 Control Panel'!$E953=AF$12,'1.1 Control Panel'!$E$941,0)
+IF('1.1 Control Panel'!$E954=AF$12,'1.1 Control Panel'!$E$941,0)
+IF('1.1 Control Panel'!$E955=AF$12,'1.1 Control Panel'!$E$941,0)</f>
        <v>0</v>
      </c>
      <c r="AG18" s="28">
        <f>IF('1.1 Control Panel'!$E944=AG$12,'1.1 Control Panel'!$E$941,0)
+IF('1.1 Control Panel'!$E945=AG$12,'1.1 Control Panel'!$E$941,0)
+IF('1.1 Control Panel'!$E946=AG$12,'1.1 Control Panel'!$E$941,0)
+IF('1.1 Control Panel'!$E947=AG$12,'1.1 Control Panel'!$E$941,0)
+IF('1.1 Control Panel'!$E948=AG$12,'1.1 Control Panel'!$E$941,0)
+IF('1.1 Control Panel'!$E949=AG$12,'1.1 Control Panel'!$E$941,0)
+IF('1.1 Control Panel'!$E950=AG$12,'1.1 Control Panel'!$E$941,0)
+IF('1.1 Control Panel'!$E951=AG$12,'1.1 Control Panel'!$E$941,0)
+IF('1.1 Control Panel'!$E952=AG$12,'1.1 Control Panel'!$E$941,0)
+IF('1.1 Control Panel'!$E953=AG$12,'1.1 Control Panel'!$E$941,0)
+IF('1.1 Control Panel'!$E954=AG$12,'1.1 Control Panel'!$E$941,0)
+IF('1.1 Control Panel'!$E955=AG$12,'1.1 Control Panel'!$E$941,0)</f>
        <v>0</v>
      </c>
      <c r="AH18" s="28">
        <f>IF('1.1 Control Panel'!$E944=AH$12,'1.1 Control Panel'!$E$941,0)
+IF('1.1 Control Panel'!$E945=AH$12,'1.1 Control Panel'!$E$941,0)
+IF('1.1 Control Panel'!$E946=AH$12,'1.1 Control Panel'!$E$941,0)
+IF('1.1 Control Panel'!$E947=AH$12,'1.1 Control Panel'!$E$941,0)
+IF('1.1 Control Panel'!$E948=AH$12,'1.1 Control Panel'!$E$941,0)
+IF('1.1 Control Panel'!$E949=AH$12,'1.1 Control Panel'!$E$941,0)
+IF('1.1 Control Panel'!$E950=AH$12,'1.1 Control Panel'!$E$941,0)
+IF('1.1 Control Panel'!$E951=AH$12,'1.1 Control Panel'!$E$941,0)
+IF('1.1 Control Panel'!$E952=AH$12,'1.1 Control Panel'!$E$941,0)
+IF('1.1 Control Panel'!$E953=AH$12,'1.1 Control Panel'!$E$941,0)
+IF('1.1 Control Panel'!$E954=AH$12,'1.1 Control Panel'!$E$941,0)
+IF('1.1 Control Panel'!$E955=AH$12,'1.1 Control Panel'!$E$941,0)</f>
        <v>0</v>
      </c>
      <c r="AI18" s="28">
        <f>IF('1.1 Control Panel'!$E944=AI$12,'1.1 Control Panel'!$E$941,0)
+IF('1.1 Control Panel'!$E945=AI$12,'1.1 Control Panel'!$E$941,0)
+IF('1.1 Control Panel'!$E946=AI$12,'1.1 Control Panel'!$E$941,0)
+IF('1.1 Control Panel'!$E947=AI$12,'1.1 Control Panel'!$E$941,0)
+IF('1.1 Control Panel'!$E948=AI$12,'1.1 Control Panel'!$E$941,0)
+IF('1.1 Control Panel'!$E949=AI$12,'1.1 Control Panel'!$E$941,0)
+IF('1.1 Control Panel'!$E950=AI$12,'1.1 Control Panel'!$E$941,0)
+IF('1.1 Control Panel'!$E951=AI$12,'1.1 Control Panel'!$E$941,0)
+IF('1.1 Control Panel'!$E952=AI$12,'1.1 Control Panel'!$E$941,0)
+IF('1.1 Control Panel'!$E953=AI$12,'1.1 Control Panel'!$E$941,0)
+IF('1.1 Control Panel'!$E954=AI$12,'1.1 Control Panel'!$E$941,0)
+IF('1.1 Control Panel'!$E955=AI$12,'1.1 Control Panel'!$E$941,0)</f>
        <v>0</v>
      </c>
      <c r="AJ18" s="28">
        <f>IF('1.1 Control Panel'!$E944=AJ$12,'1.1 Control Panel'!$E$941,0)
+IF('1.1 Control Panel'!$E945=AJ$12,'1.1 Control Panel'!$E$941,0)
+IF('1.1 Control Panel'!$E946=AJ$12,'1.1 Control Panel'!$E$941,0)
+IF('1.1 Control Panel'!$E947=AJ$12,'1.1 Control Panel'!$E$941,0)
+IF('1.1 Control Panel'!$E948=AJ$12,'1.1 Control Panel'!$E$941,0)
+IF('1.1 Control Panel'!$E949=AJ$12,'1.1 Control Panel'!$E$941,0)
+IF('1.1 Control Panel'!$E950=AJ$12,'1.1 Control Panel'!$E$941,0)
+IF('1.1 Control Panel'!$E951=AJ$12,'1.1 Control Panel'!$E$941,0)
+IF('1.1 Control Panel'!$E952=AJ$12,'1.1 Control Panel'!$E$941,0)
+IF('1.1 Control Panel'!$E953=AJ$12,'1.1 Control Panel'!$E$941,0)
+IF('1.1 Control Panel'!$E954=AJ$12,'1.1 Control Panel'!$E$941,0)
+IF('1.1 Control Panel'!$E955=AJ$12,'1.1 Control Panel'!$E$941,0)</f>
        <v>0</v>
      </c>
      <c r="AK18" s="28">
        <f>IF('1.1 Control Panel'!$E944=AK$12,'1.1 Control Panel'!$E$941,0)
+IF('1.1 Control Panel'!$E945=AK$12,'1.1 Control Panel'!$E$941,0)
+IF('1.1 Control Panel'!$E946=AK$12,'1.1 Control Panel'!$E$941,0)
+IF('1.1 Control Panel'!$E947=AK$12,'1.1 Control Panel'!$E$941,0)
+IF('1.1 Control Panel'!$E948=AK$12,'1.1 Control Panel'!$E$941,0)
+IF('1.1 Control Panel'!$E949=AK$12,'1.1 Control Panel'!$E$941,0)
+IF('1.1 Control Panel'!$E950=AK$12,'1.1 Control Panel'!$E$941,0)
+IF('1.1 Control Panel'!$E951=AK$12,'1.1 Control Panel'!$E$941,0)
+IF('1.1 Control Panel'!$E952=AK$12,'1.1 Control Panel'!$E$941,0)
+IF('1.1 Control Panel'!$E953=AK$12,'1.1 Control Panel'!$E$941,0)
+IF('1.1 Control Panel'!$E954=AK$12,'1.1 Control Panel'!$E$941,0)
+IF('1.1 Control Panel'!$E955=AK$12,'1.1 Control Panel'!$E$941,0)</f>
        <v>0</v>
      </c>
      <c r="AL18" s="28">
        <f>IF('1.1 Control Panel'!$E944=AL$12,'1.1 Control Panel'!$E$941,0)
+IF('1.1 Control Panel'!$E945=AL$12,'1.1 Control Panel'!$E$941,0)
+IF('1.1 Control Panel'!$E946=AL$12,'1.1 Control Panel'!$E$941,0)
+IF('1.1 Control Panel'!$E947=AL$12,'1.1 Control Panel'!$E$941,0)
+IF('1.1 Control Panel'!$E948=AL$12,'1.1 Control Panel'!$E$941,0)
+IF('1.1 Control Panel'!$E949=AL$12,'1.1 Control Panel'!$E$941,0)
+IF('1.1 Control Panel'!$E950=AL$12,'1.1 Control Panel'!$E$941,0)
+IF('1.1 Control Panel'!$E951=AL$12,'1.1 Control Panel'!$E$941,0)
+IF('1.1 Control Panel'!$E952=AL$12,'1.1 Control Panel'!$E$941,0)
+IF('1.1 Control Panel'!$E953=AL$12,'1.1 Control Panel'!$E$941,0)
+IF('1.1 Control Panel'!$E954=AL$12,'1.1 Control Panel'!$E$941,0)
+IF('1.1 Control Panel'!$E955=AL$12,'1.1 Control Panel'!$E$941,0)</f>
        <v>0</v>
      </c>
      <c r="AM18" s="28">
        <f>IF('1.1 Control Panel'!$E944=AM$12,'1.1 Control Panel'!$E$941,0)
+IF('1.1 Control Panel'!$E945=AM$12,'1.1 Control Panel'!$E$941,0)
+IF('1.1 Control Panel'!$E946=AM$12,'1.1 Control Panel'!$E$941,0)
+IF('1.1 Control Panel'!$E947=AM$12,'1.1 Control Panel'!$E$941,0)
+IF('1.1 Control Panel'!$E948=AM$12,'1.1 Control Panel'!$E$941,0)
+IF('1.1 Control Panel'!$E949=AM$12,'1.1 Control Panel'!$E$941,0)
+IF('1.1 Control Panel'!$E950=AM$12,'1.1 Control Panel'!$E$941,0)
+IF('1.1 Control Panel'!$E951=AM$12,'1.1 Control Panel'!$E$941,0)
+IF('1.1 Control Panel'!$E952=AM$12,'1.1 Control Panel'!$E$941,0)
+IF('1.1 Control Panel'!$E953=AM$12,'1.1 Control Panel'!$E$941,0)
+IF('1.1 Control Panel'!$E954=AM$12,'1.1 Control Panel'!$E$941,0)
+IF('1.1 Control Panel'!$E955=AM$12,'1.1 Control Panel'!$E$941,0)</f>
        <v>0</v>
      </c>
      <c r="AN18" s="28">
        <f>IF('1.1 Control Panel'!$E944=AN$12,'1.1 Control Panel'!$E$941,0)
+IF('1.1 Control Panel'!$E945=AN$12,'1.1 Control Panel'!$E$941,0)
+IF('1.1 Control Panel'!$E946=AN$12,'1.1 Control Panel'!$E$941,0)
+IF('1.1 Control Panel'!$E947=AN$12,'1.1 Control Panel'!$E$941,0)
+IF('1.1 Control Panel'!$E948=AN$12,'1.1 Control Panel'!$E$941,0)
+IF('1.1 Control Panel'!$E949=AN$12,'1.1 Control Panel'!$E$941,0)
+IF('1.1 Control Panel'!$E950=AN$12,'1.1 Control Panel'!$E$941,0)
+IF('1.1 Control Panel'!$E951=AN$12,'1.1 Control Panel'!$E$941,0)
+IF('1.1 Control Panel'!$E952=AN$12,'1.1 Control Panel'!$E$941,0)
+IF('1.1 Control Panel'!$E953=AN$12,'1.1 Control Panel'!$E$941,0)
+IF('1.1 Control Panel'!$E954=AN$12,'1.1 Control Panel'!$E$941,0)
+IF('1.1 Control Panel'!$E955=AN$12,'1.1 Control Panel'!$E$941,0)</f>
        <v>0</v>
      </c>
      <c r="AP18" s="20"/>
    </row>
    <row r="19" spans="2:42" ht="11.5" customHeight="1" x14ac:dyDescent="0.25">
      <c r="C19" s="22" t="s">
        <v>853</v>
      </c>
      <c r="D19" s="96" t="s">
        <v>46</v>
      </c>
      <c r="E19" s="532">
        <f>IF('1.1 Control Panel'!$E944=E$12,'1.1 Control Panel'!$E$942,0)
+IF('1.1 Control Panel'!$E945=E$12,'1.1 Control Panel'!$E$942,0)
+IF('1.1 Control Panel'!$E946=E$12,'1.1 Control Panel'!$E$942,0)
+IF('1.1 Control Panel'!$E947=E$12,'1.1 Control Panel'!$E$942,0)
+IF('1.1 Control Panel'!$E948=E$12,'1.1 Control Panel'!$E$942,0)
+IF('1.1 Control Panel'!$E949=E$12,'1.1 Control Panel'!$E$942,0)
+IF('1.1 Control Panel'!$E950=E$12,'1.1 Control Panel'!$E$942,0)
+IF('1.1 Control Panel'!$E951=E$12,'1.1 Control Panel'!$E$942,0)
+IF('1.1 Control Panel'!$E952=E$12,'1.1 Control Panel'!$E$942,0)
+IF('1.1 Control Panel'!$E953=E$12,'1.1 Control Panel'!$E$942,0)
+IF('1.1 Control Panel'!$E954=E$12,'1.1 Control Panel'!$E$942,0)
+IF('1.1 Control Panel'!$E955=E$12,'1.1 Control Panel'!$E$942,0)</f>
        <v>150000</v>
      </c>
      <c r="F19" s="532">
        <f>IF('1.1 Control Panel'!$E944=F$12,'1.1 Control Panel'!$E$942,0)
+IF('1.1 Control Panel'!$E945=F$12,'1.1 Control Panel'!$E$942,0)
+IF('1.1 Control Panel'!$E946=F$12,'1.1 Control Panel'!$E$942,0)
+IF('1.1 Control Panel'!$E947=F$12,'1.1 Control Panel'!$E$942,0)
+IF('1.1 Control Panel'!$E948=F$12,'1.1 Control Panel'!$E$942,0)
+IF('1.1 Control Panel'!$E949=F$12,'1.1 Control Panel'!$E$942,0)
+IF('1.1 Control Panel'!$E950=F$12,'1.1 Control Panel'!$E$942,0)
+IF('1.1 Control Panel'!$E951=F$12,'1.1 Control Panel'!$E$942,0)
+IF('1.1 Control Panel'!$E952=F$12,'1.1 Control Panel'!$E$942,0)
+IF('1.1 Control Panel'!$E953=F$12,'1.1 Control Panel'!$E$942,0)
+IF('1.1 Control Panel'!$E954=F$12,'1.1 Control Panel'!$E$942,0)
+IF('1.1 Control Panel'!$E955=F$12,'1.1 Control Panel'!$E$942,0)</f>
        <v>0</v>
      </c>
      <c r="G19" s="532">
        <f>IF('1.1 Control Panel'!$E944=G$12,'1.1 Control Panel'!$E$942,0)
+IF('1.1 Control Panel'!$E945=G$12,'1.1 Control Panel'!$E$942,0)
+IF('1.1 Control Panel'!$E946=G$12,'1.1 Control Panel'!$E$942,0)
+IF('1.1 Control Panel'!$E947=G$12,'1.1 Control Panel'!$E$942,0)
+IF('1.1 Control Panel'!$E948=G$12,'1.1 Control Panel'!$E$942,0)
+IF('1.1 Control Panel'!$E949=G$12,'1.1 Control Panel'!$E$942,0)
+IF('1.1 Control Panel'!$E950=G$12,'1.1 Control Panel'!$E$942,0)
+IF('1.1 Control Panel'!$E951=G$12,'1.1 Control Panel'!$E$942,0)
+IF('1.1 Control Panel'!$E952=G$12,'1.1 Control Panel'!$E$942,0)
+IF('1.1 Control Panel'!$E953=G$12,'1.1 Control Panel'!$E$942,0)
+IF('1.1 Control Panel'!$E954=G$12,'1.1 Control Panel'!$E$942,0)
+IF('1.1 Control Panel'!$E955=G$12,'1.1 Control Panel'!$E$942,0)</f>
        <v>150000</v>
      </c>
      <c r="H19" s="532">
        <f>IF('1.1 Control Panel'!$E944=H$12,'1.1 Control Panel'!$E$942,0)
+IF('1.1 Control Panel'!$E945=H$12,'1.1 Control Panel'!$E$942,0)
+IF('1.1 Control Panel'!$E946=H$12,'1.1 Control Panel'!$E$942,0)
+IF('1.1 Control Panel'!$E947=H$12,'1.1 Control Panel'!$E$942,0)
+IF('1.1 Control Panel'!$E948=H$12,'1.1 Control Panel'!$E$942,0)
+IF('1.1 Control Panel'!$E949=H$12,'1.1 Control Panel'!$E$942,0)
+IF('1.1 Control Panel'!$E950=H$12,'1.1 Control Panel'!$E$942,0)
+IF('1.1 Control Panel'!$E951=H$12,'1.1 Control Panel'!$E$942,0)
+IF('1.1 Control Panel'!$E952=H$12,'1.1 Control Panel'!$E$942,0)
+IF('1.1 Control Panel'!$E953=H$12,'1.1 Control Panel'!$E$942,0)
+IF('1.1 Control Panel'!$E954=H$12,'1.1 Control Panel'!$E$942,0)
+IF('1.1 Control Panel'!$E955=H$12,'1.1 Control Panel'!$E$942,0)</f>
        <v>300000</v>
      </c>
      <c r="I19" s="532">
        <f>IF('1.1 Control Panel'!$E944=I$12,'1.1 Control Panel'!$E$942,0)
+IF('1.1 Control Panel'!$E945=I$12,'1.1 Control Panel'!$E$942,0)
+IF('1.1 Control Panel'!$E946=I$12,'1.1 Control Panel'!$E$942,0)
+IF('1.1 Control Panel'!$E947=I$12,'1.1 Control Panel'!$E$942,0)
+IF('1.1 Control Panel'!$E948=I$12,'1.1 Control Panel'!$E$942,0)
+IF('1.1 Control Panel'!$E949=I$12,'1.1 Control Panel'!$E$942,0)
+IF('1.1 Control Panel'!$E950=I$12,'1.1 Control Panel'!$E$942,0)
+IF('1.1 Control Panel'!$E951=I$12,'1.1 Control Panel'!$E$942,0)
+IF('1.1 Control Panel'!$E952=I$12,'1.1 Control Panel'!$E$942,0)
+IF('1.1 Control Panel'!$E953=I$12,'1.1 Control Panel'!$E$942,0)
+IF('1.1 Control Panel'!$E954=I$12,'1.1 Control Panel'!$E$942,0)
+IF('1.1 Control Panel'!$E955=I$12,'1.1 Control Panel'!$E$942,0)</f>
        <v>150000</v>
      </c>
      <c r="J19" s="532">
        <f>IF('1.1 Control Panel'!$E944=J$12,'1.1 Control Panel'!$E$942,0)
+IF('1.1 Control Panel'!$E945=J$12,'1.1 Control Panel'!$E$942,0)
+IF('1.1 Control Panel'!$E946=J$12,'1.1 Control Panel'!$E$942,0)
+IF('1.1 Control Panel'!$E947=J$12,'1.1 Control Panel'!$E$942,0)
+IF('1.1 Control Panel'!$E948=J$12,'1.1 Control Panel'!$E$942,0)
+IF('1.1 Control Panel'!$E949=J$12,'1.1 Control Panel'!$E$942,0)
+IF('1.1 Control Panel'!$E950=J$12,'1.1 Control Panel'!$E$942,0)
+IF('1.1 Control Panel'!$E951=J$12,'1.1 Control Panel'!$E$942,0)
+IF('1.1 Control Panel'!$E952=J$12,'1.1 Control Panel'!$E$942,0)
+IF('1.1 Control Panel'!$E953=J$12,'1.1 Control Panel'!$E$942,0)
+IF('1.1 Control Panel'!$E954=J$12,'1.1 Control Panel'!$E$942,0)
+IF('1.1 Control Panel'!$E955=J$12,'1.1 Control Panel'!$E$942,0)</f>
        <v>150000</v>
      </c>
      <c r="K19" s="532">
        <f>IF('1.1 Control Panel'!$E944=K$12,'1.1 Control Panel'!$E$942,0)
+IF('1.1 Control Panel'!$E945=K$12,'1.1 Control Panel'!$E$942,0)
+IF('1.1 Control Panel'!$E946=K$12,'1.1 Control Panel'!$E$942,0)
+IF('1.1 Control Panel'!$E947=K$12,'1.1 Control Panel'!$E$942,0)
+IF('1.1 Control Panel'!$E948=K$12,'1.1 Control Panel'!$E$942,0)
+IF('1.1 Control Panel'!$E949=K$12,'1.1 Control Panel'!$E$942,0)
+IF('1.1 Control Panel'!$E950=K$12,'1.1 Control Panel'!$E$942,0)
+IF('1.1 Control Panel'!$E951=K$12,'1.1 Control Panel'!$E$942,0)
+IF('1.1 Control Panel'!$E952=K$12,'1.1 Control Panel'!$E$942,0)
+IF('1.1 Control Panel'!$E953=K$12,'1.1 Control Panel'!$E$942,0)
+IF('1.1 Control Panel'!$E954=K$12,'1.1 Control Panel'!$E$942,0)
+IF('1.1 Control Panel'!$E955=K$12,'1.1 Control Panel'!$E$942,0)</f>
        <v>150000</v>
      </c>
      <c r="L19" s="532">
        <f>IF('1.1 Control Panel'!$E944=L$12,'1.1 Control Panel'!$E$942,0)
+IF('1.1 Control Panel'!$E945=L$12,'1.1 Control Panel'!$E$942,0)
+IF('1.1 Control Panel'!$E946=L$12,'1.1 Control Panel'!$E$942,0)
+IF('1.1 Control Panel'!$E947=L$12,'1.1 Control Panel'!$E$942,0)
+IF('1.1 Control Panel'!$E948=L$12,'1.1 Control Panel'!$E$942,0)
+IF('1.1 Control Panel'!$E949=L$12,'1.1 Control Panel'!$E$942,0)
+IF('1.1 Control Panel'!$E950=L$12,'1.1 Control Panel'!$E$942,0)
+IF('1.1 Control Panel'!$E951=L$12,'1.1 Control Panel'!$E$942,0)
+IF('1.1 Control Panel'!$E952=L$12,'1.1 Control Panel'!$E$942,0)
+IF('1.1 Control Panel'!$E953=L$12,'1.1 Control Panel'!$E$942,0)
+IF('1.1 Control Panel'!$E954=L$12,'1.1 Control Panel'!$E$942,0)
+IF('1.1 Control Panel'!$E955=L$12,'1.1 Control Panel'!$E$942,0)</f>
        <v>300000</v>
      </c>
      <c r="M19" s="532">
        <f>IF('1.1 Control Panel'!$E944=M$12,'1.1 Control Panel'!$E$942,0)
+IF('1.1 Control Panel'!$E945=M$12,'1.1 Control Panel'!$E$942,0)
+IF('1.1 Control Panel'!$E946=M$12,'1.1 Control Panel'!$E$942,0)
+IF('1.1 Control Panel'!$E947=M$12,'1.1 Control Panel'!$E$942,0)
+IF('1.1 Control Panel'!$E948=M$12,'1.1 Control Panel'!$E$942,0)
+IF('1.1 Control Panel'!$E949=M$12,'1.1 Control Panel'!$E$942,0)
+IF('1.1 Control Panel'!$E950=M$12,'1.1 Control Panel'!$E$942,0)
+IF('1.1 Control Panel'!$E951=M$12,'1.1 Control Panel'!$E$942,0)
+IF('1.1 Control Panel'!$E952=M$12,'1.1 Control Panel'!$E$942,0)
+IF('1.1 Control Panel'!$E953=M$12,'1.1 Control Panel'!$E$942,0)
+IF('1.1 Control Panel'!$E954=M$12,'1.1 Control Panel'!$E$942,0)
+IF('1.1 Control Panel'!$E955=M$12,'1.1 Control Panel'!$E$942,0)</f>
        <v>0</v>
      </c>
      <c r="N19" s="532">
        <f>IF('1.1 Control Panel'!$E944=N$12,'1.1 Control Panel'!$E$942,0)
+IF('1.1 Control Panel'!$E945=N$12,'1.1 Control Panel'!$E$942,0)
+IF('1.1 Control Panel'!$E946=N$12,'1.1 Control Panel'!$E$942,0)
+IF('1.1 Control Panel'!$E947=N$12,'1.1 Control Panel'!$E$942,0)
+IF('1.1 Control Panel'!$E948=N$12,'1.1 Control Panel'!$E$942,0)
+IF('1.1 Control Panel'!$E949=N$12,'1.1 Control Panel'!$E$942,0)
+IF('1.1 Control Panel'!$E950=N$12,'1.1 Control Panel'!$E$942,0)
+IF('1.1 Control Panel'!$E951=N$12,'1.1 Control Panel'!$E$942,0)
+IF('1.1 Control Panel'!$E952=N$12,'1.1 Control Panel'!$E$942,0)
+IF('1.1 Control Panel'!$E953=N$12,'1.1 Control Panel'!$E$942,0)
+IF('1.1 Control Panel'!$E954=N$12,'1.1 Control Panel'!$E$942,0)
+IF('1.1 Control Panel'!$E955=N$12,'1.1 Control Panel'!$E$942,0)</f>
        <v>150000</v>
      </c>
      <c r="O19" s="532">
        <f>IF('1.1 Control Panel'!$E944=O$12,'1.1 Control Panel'!$E$942,0)
+IF('1.1 Control Panel'!$E945=O$12,'1.1 Control Panel'!$E$942,0)
+IF('1.1 Control Panel'!$E946=O$12,'1.1 Control Panel'!$E$942,0)
+IF('1.1 Control Panel'!$E947=O$12,'1.1 Control Panel'!$E$942,0)
+IF('1.1 Control Panel'!$E948=O$12,'1.1 Control Panel'!$E$942,0)
+IF('1.1 Control Panel'!$E949=O$12,'1.1 Control Panel'!$E$942,0)
+IF('1.1 Control Panel'!$E950=O$12,'1.1 Control Panel'!$E$942,0)
+IF('1.1 Control Panel'!$E951=O$12,'1.1 Control Panel'!$E$942,0)
+IF('1.1 Control Panel'!$E952=O$12,'1.1 Control Panel'!$E$942,0)
+IF('1.1 Control Panel'!$E953=O$12,'1.1 Control Panel'!$E$942,0)
+IF('1.1 Control Panel'!$E954=O$12,'1.1 Control Panel'!$E$942,0)
+IF('1.1 Control Panel'!$E955=O$12,'1.1 Control Panel'!$E$942,0)</f>
        <v>0</v>
      </c>
      <c r="P19" s="532">
        <f>IF('1.1 Control Panel'!$E944=P$12,'1.1 Control Panel'!$E$942,0)
+IF('1.1 Control Panel'!$E945=P$12,'1.1 Control Panel'!$E$942,0)
+IF('1.1 Control Panel'!$E946=P$12,'1.1 Control Panel'!$E$942,0)
+IF('1.1 Control Panel'!$E947=P$12,'1.1 Control Panel'!$E$942,0)
+IF('1.1 Control Panel'!$E948=P$12,'1.1 Control Panel'!$E$942,0)
+IF('1.1 Control Panel'!$E949=P$12,'1.1 Control Panel'!$E$942,0)
+IF('1.1 Control Panel'!$E950=P$12,'1.1 Control Panel'!$E$942,0)
+IF('1.1 Control Panel'!$E951=P$12,'1.1 Control Panel'!$E$942,0)
+IF('1.1 Control Panel'!$E952=P$12,'1.1 Control Panel'!$E$942,0)
+IF('1.1 Control Panel'!$E953=P$12,'1.1 Control Panel'!$E$942,0)
+IF('1.1 Control Panel'!$E954=P$12,'1.1 Control Panel'!$E$942,0)
+IF('1.1 Control Panel'!$E955=P$12,'1.1 Control Panel'!$E$942,0)</f>
        <v>0</v>
      </c>
      <c r="Q19" s="532">
        <f>IF('1.1 Control Panel'!$E944=Q$12,'1.1 Control Panel'!$E$942,0)
+IF('1.1 Control Panel'!$E945=Q$12,'1.1 Control Panel'!$E$942,0)
+IF('1.1 Control Panel'!$E946=Q$12,'1.1 Control Panel'!$E$942,0)
+IF('1.1 Control Panel'!$E947=Q$12,'1.1 Control Panel'!$E$942,0)
+IF('1.1 Control Panel'!$E948=Q$12,'1.1 Control Panel'!$E$942,0)
+IF('1.1 Control Panel'!$E949=Q$12,'1.1 Control Panel'!$E$942,0)
+IF('1.1 Control Panel'!$E950=Q$12,'1.1 Control Panel'!$E$942,0)
+IF('1.1 Control Panel'!$E951=Q$12,'1.1 Control Panel'!$E$942,0)
+IF('1.1 Control Panel'!$E952=Q$12,'1.1 Control Panel'!$E$942,0)
+IF('1.1 Control Panel'!$E953=Q$12,'1.1 Control Panel'!$E$942,0)
+IF('1.1 Control Panel'!$E954=Q$12,'1.1 Control Panel'!$E$942,0)
+IF('1.1 Control Panel'!$E955=Q$12,'1.1 Control Panel'!$E$942,0)</f>
        <v>0</v>
      </c>
      <c r="R19" s="532">
        <f>IF('1.1 Control Panel'!$E944=R$12,'1.1 Control Panel'!$E$942,0)
+IF('1.1 Control Panel'!$E945=R$12,'1.1 Control Panel'!$E$942,0)
+IF('1.1 Control Panel'!$E946=R$12,'1.1 Control Panel'!$E$942,0)
+IF('1.1 Control Panel'!$E947=R$12,'1.1 Control Panel'!$E$942,0)
+IF('1.1 Control Panel'!$E948=R$12,'1.1 Control Panel'!$E$942,0)
+IF('1.1 Control Panel'!$E949=R$12,'1.1 Control Panel'!$E$942,0)
+IF('1.1 Control Panel'!$E950=R$12,'1.1 Control Panel'!$E$942,0)
+IF('1.1 Control Panel'!$E951=R$12,'1.1 Control Panel'!$E$942,0)
+IF('1.1 Control Panel'!$E952=R$12,'1.1 Control Panel'!$E$942,0)
+IF('1.1 Control Panel'!$E953=R$12,'1.1 Control Panel'!$E$942,0)
+IF('1.1 Control Panel'!$E954=R$12,'1.1 Control Panel'!$E$942,0)
+IF('1.1 Control Panel'!$E955=R$12,'1.1 Control Panel'!$E$942,0)</f>
        <v>300000</v>
      </c>
      <c r="S19" s="532">
        <f>IF('1.1 Control Panel'!$E944=S$12,'1.1 Control Panel'!$E$942,0)
+IF('1.1 Control Panel'!$E945=S$12,'1.1 Control Panel'!$E$942,0)
+IF('1.1 Control Panel'!$E946=S$12,'1.1 Control Panel'!$E$942,0)
+IF('1.1 Control Panel'!$E947=S$12,'1.1 Control Panel'!$E$942,0)
+IF('1.1 Control Panel'!$E948=S$12,'1.1 Control Panel'!$E$942,0)
+IF('1.1 Control Panel'!$E949=S$12,'1.1 Control Panel'!$E$942,0)
+IF('1.1 Control Panel'!$E950=S$12,'1.1 Control Panel'!$E$942,0)
+IF('1.1 Control Panel'!$E951=S$12,'1.1 Control Panel'!$E$942,0)
+IF('1.1 Control Panel'!$E952=S$12,'1.1 Control Panel'!$E$942,0)
+IF('1.1 Control Panel'!$E953=S$12,'1.1 Control Panel'!$E$942,0)
+IF('1.1 Control Panel'!$E954=S$12,'1.1 Control Panel'!$E$942,0)
+IF('1.1 Control Panel'!$E955=S$12,'1.1 Control Panel'!$E$942,0)</f>
        <v>0</v>
      </c>
      <c r="T19" s="532">
        <f>IF('1.1 Control Panel'!$E944=T$12,'1.1 Control Panel'!$E$942,0)
+IF('1.1 Control Panel'!$E945=T$12,'1.1 Control Panel'!$E$942,0)
+IF('1.1 Control Panel'!$E946=T$12,'1.1 Control Panel'!$E$942,0)
+IF('1.1 Control Panel'!$E947=T$12,'1.1 Control Panel'!$E$942,0)
+IF('1.1 Control Panel'!$E948=T$12,'1.1 Control Panel'!$E$942,0)
+IF('1.1 Control Panel'!$E949=T$12,'1.1 Control Panel'!$E$942,0)
+IF('1.1 Control Panel'!$E950=T$12,'1.1 Control Panel'!$E$942,0)
+IF('1.1 Control Panel'!$E951=T$12,'1.1 Control Panel'!$E$942,0)
+IF('1.1 Control Panel'!$E952=T$12,'1.1 Control Panel'!$E$942,0)
+IF('1.1 Control Panel'!$E953=T$12,'1.1 Control Panel'!$E$942,0)
+IF('1.1 Control Panel'!$E954=T$12,'1.1 Control Panel'!$E$942,0)
+IF('1.1 Control Panel'!$E955=T$12,'1.1 Control Panel'!$E$942,0)</f>
        <v>0</v>
      </c>
      <c r="U19" s="532">
        <f>IF('1.1 Control Panel'!$E944=U$12,'1.1 Control Panel'!$E$942,0)
+IF('1.1 Control Panel'!$E945=U$12,'1.1 Control Panel'!$E$942,0)
+IF('1.1 Control Panel'!$E946=U$12,'1.1 Control Panel'!$E$942,0)
+IF('1.1 Control Panel'!$E947=U$12,'1.1 Control Panel'!$E$942,0)
+IF('1.1 Control Panel'!$E948=U$12,'1.1 Control Panel'!$E$942,0)
+IF('1.1 Control Panel'!$E949=U$12,'1.1 Control Panel'!$E$942,0)
+IF('1.1 Control Panel'!$E950=U$12,'1.1 Control Panel'!$E$942,0)
+IF('1.1 Control Panel'!$E951=U$12,'1.1 Control Panel'!$E$942,0)
+IF('1.1 Control Panel'!$E952=U$12,'1.1 Control Panel'!$E$942,0)
+IF('1.1 Control Panel'!$E953=U$12,'1.1 Control Panel'!$E$942,0)
+IF('1.1 Control Panel'!$E954=U$12,'1.1 Control Panel'!$E$942,0)
+IF('1.1 Control Panel'!$E955=U$12,'1.1 Control Panel'!$E$942,0)</f>
        <v>0</v>
      </c>
      <c r="V19" s="532">
        <f>IF('1.1 Control Panel'!$E944=V$12,'1.1 Control Panel'!$E$942,0)
+IF('1.1 Control Panel'!$E945=V$12,'1.1 Control Panel'!$E$942,0)
+IF('1.1 Control Panel'!$E946=V$12,'1.1 Control Panel'!$E$942,0)
+IF('1.1 Control Panel'!$E947=V$12,'1.1 Control Panel'!$E$942,0)
+IF('1.1 Control Panel'!$E948=V$12,'1.1 Control Panel'!$E$942,0)
+IF('1.1 Control Panel'!$E949=V$12,'1.1 Control Panel'!$E$942,0)
+IF('1.1 Control Panel'!$E950=V$12,'1.1 Control Panel'!$E$942,0)
+IF('1.1 Control Panel'!$E951=V$12,'1.1 Control Panel'!$E$942,0)
+IF('1.1 Control Panel'!$E952=V$12,'1.1 Control Panel'!$E$942,0)
+IF('1.1 Control Panel'!$E953=V$12,'1.1 Control Panel'!$E$942,0)
+IF('1.1 Control Panel'!$E954=V$12,'1.1 Control Panel'!$E$942,0)
+IF('1.1 Control Panel'!$E955=V$12,'1.1 Control Panel'!$E$942,0)</f>
        <v>0</v>
      </c>
      <c r="W19" s="532">
        <f>IF('1.1 Control Panel'!$E944=W$12,'1.1 Control Panel'!$E$942,0)
+IF('1.1 Control Panel'!$E945=W$12,'1.1 Control Panel'!$E$942,0)
+IF('1.1 Control Panel'!$E946=W$12,'1.1 Control Panel'!$E$942,0)
+IF('1.1 Control Panel'!$E947=W$12,'1.1 Control Panel'!$E$942,0)
+IF('1.1 Control Panel'!$E948=W$12,'1.1 Control Panel'!$E$942,0)
+IF('1.1 Control Panel'!$E949=W$12,'1.1 Control Panel'!$E$942,0)
+IF('1.1 Control Panel'!$E950=W$12,'1.1 Control Panel'!$E$942,0)
+IF('1.1 Control Panel'!$E951=W$12,'1.1 Control Panel'!$E$942,0)
+IF('1.1 Control Panel'!$E952=W$12,'1.1 Control Panel'!$E$942,0)
+IF('1.1 Control Panel'!$E953=W$12,'1.1 Control Panel'!$E$942,0)
+IF('1.1 Control Panel'!$E954=W$12,'1.1 Control Panel'!$E$942,0)
+IF('1.1 Control Panel'!$E955=W$12,'1.1 Control Panel'!$E$942,0)</f>
        <v>0</v>
      </c>
      <c r="X19" s="532">
        <f>IF('1.1 Control Panel'!$E944=X$12,'1.1 Control Panel'!$E$942,0)
+IF('1.1 Control Panel'!$E945=X$12,'1.1 Control Panel'!$E$942,0)
+IF('1.1 Control Panel'!$E946=X$12,'1.1 Control Panel'!$E$942,0)
+IF('1.1 Control Panel'!$E947=X$12,'1.1 Control Panel'!$E$942,0)
+IF('1.1 Control Panel'!$E948=X$12,'1.1 Control Panel'!$E$942,0)
+IF('1.1 Control Panel'!$E949=X$12,'1.1 Control Panel'!$E$942,0)
+IF('1.1 Control Panel'!$E950=X$12,'1.1 Control Panel'!$E$942,0)
+IF('1.1 Control Panel'!$E951=X$12,'1.1 Control Panel'!$E$942,0)
+IF('1.1 Control Panel'!$E952=X$12,'1.1 Control Panel'!$E$942,0)
+IF('1.1 Control Panel'!$E953=X$12,'1.1 Control Panel'!$E$942,0)
+IF('1.1 Control Panel'!$E954=X$12,'1.1 Control Panel'!$E$942,0)
+IF('1.1 Control Panel'!$E955=X$12,'1.1 Control Panel'!$E$942,0)</f>
        <v>0</v>
      </c>
      <c r="Y19" s="532">
        <f>IF('1.1 Control Panel'!$E944=Y$12,'1.1 Control Panel'!$E$942,0)
+IF('1.1 Control Panel'!$E945=Y$12,'1.1 Control Panel'!$E$942,0)
+IF('1.1 Control Panel'!$E946=Y$12,'1.1 Control Panel'!$E$942,0)
+IF('1.1 Control Panel'!$E947=Y$12,'1.1 Control Panel'!$E$942,0)
+IF('1.1 Control Panel'!$E948=Y$12,'1.1 Control Panel'!$E$942,0)
+IF('1.1 Control Panel'!$E949=Y$12,'1.1 Control Panel'!$E$942,0)
+IF('1.1 Control Panel'!$E950=Y$12,'1.1 Control Panel'!$E$942,0)
+IF('1.1 Control Panel'!$E951=Y$12,'1.1 Control Panel'!$E$942,0)
+IF('1.1 Control Panel'!$E952=Y$12,'1.1 Control Panel'!$E$942,0)
+IF('1.1 Control Panel'!$E953=Y$12,'1.1 Control Panel'!$E$942,0)
+IF('1.1 Control Panel'!$E954=Y$12,'1.1 Control Panel'!$E$942,0)
+IF('1.1 Control Panel'!$E955=Y$12,'1.1 Control Panel'!$E$942,0)</f>
        <v>0</v>
      </c>
      <c r="Z19" s="532">
        <f>IF('1.1 Control Panel'!$E944=Z$12,'1.1 Control Panel'!$E$942,0)
+IF('1.1 Control Panel'!$E945=Z$12,'1.1 Control Panel'!$E$942,0)
+IF('1.1 Control Panel'!$E946=Z$12,'1.1 Control Panel'!$E$942,0)
+IF('1.1 Control Panel'!$E947=Z$12,'1.1 Control Panel'!$E$942,0)
+IF('1.1 Control Panel'!$E948=Z$12,'1.1 Control Panel'!$E$942,0)
+IF('1.1 Control Panel'!$E949=Z$12,'1.1 Control Panel'!$E$942,0)
+IF('1.1 Control Panel'!$E950=Z$12,'1.1 Control Panel'!$E$942,0)
+IF('1.1 Control Panel'!$E951=Z$12,'1.1 Control Panel'!$E$942,0)
+IF('1.1 Control Panel'!$E952=Z$12,'1.1 Control Panel'!$E$942,0)
+IF('1.1 Control Panel'!$E953=Z$12,'1.1 Control Panel'!$E$942,0)
+IF('1.1 Control Panel'!$E954=Z$12,'1.1 Control Panel'!$E$942,0)
+IF('1.1 Control Panel'!$E955=Z$12,'1.1 Control Panel'!$E$942,0)</f>
        <v>0</v>
      </c>
      <c r="AA19" s="532">
        <f>IF('1.1 Control Panel'!$E944=AA$12,'1.1 Control Panel'!$E$942,0)
+IF('1.1 Control Panel'!$E945=AA$12,'1.1 Control Panel'!$E$942,0)
+IF('1.1 Control Panel'!$E946=AA$12,'1.1 Control Panel'!$E$942,0)
+IF('1.1 Control Panel'!$E947=AA$12,'1.1 Control Panel'!$E$942,0)
+IF('1.1 Control Panel'!$E948=AA$12,'1.1 Control Panel'!$E$942,0)
+IF('1.1 Control Panel'!$E949=AA$12,'1.1 Control Panel'!$E$942,0)
+IF('1.1 Control Panel'!$E950=AA$12,'1.1 Control Panel'!$E$942,0)
+IF('1.1 Control Panel'!$E951=AA$12,'1.1 Control Panel'!$E$942,0)
+IF('1.1 Control Panel'!$E952=AA$12,'1.1 Control Panel'!$E$942,0)
+IF('1.1 Control Panel'!$E953=AA$12,'1.1 Control Panel'!$E$942,0)
+IF('1.1 Control Panel'!$E954=AA$12,'1.1 Control Panel'!$E$942,0)
+IF('1.1 Control Panel'!$E955=AA$12,'1.1 Control Panel'!$E$942,0)</f>
        <v>0</v>
      </c>
      <c r="AB19" s="532">
        <f>IF('1.1 Control Panel'!$E944=AB$12,'1.1 Control Panel'!$E$942,0)
+IF('1.1 Control Panel'!$E945=AB$12,'1.1 Control Panel'!$E$942,0)
+IF('1.1 Control Panel'!$E946=AB$12,'1.1 Control Panel'!$E$942,0)
+IF('1.1 Control Panel'!$E947=AB$12,'1.1 Control Panel'!$E$942,0)
+IF('1.1 Control Panel'!$E948=AB$12,'1.1 Control Panel'!$E$942,0)
+IF('1.1 Control Panel'!$E949=AB$12,'1.1 Control Panel'!$E$942,0)
+IF('1.1 Control Panel'!$E950=AB$12,'1.1 Control Panel'!$E$942,0)
+IF('1.1 Control Panel'!$E951=AB$12,'1.1 Control Panel'!$E$942,0)
+IF('1.1 Control Panel'!$E952=AB$12,'1.1 Control Panel'!$E$942,0)
+IF('1.1 Control Panel'!$E953=AB$12,'1.1 Control Panel'!$E$942,0)
+IF('1.1 Control Panel'!$E954=AB$12,'1.1 Control Panel'!$E$942,0)
+IF('1.1 Control Panel'!$E955=AB$12,'1.1 Control Panel'!$E$942,0)</f>
        <v>0</v>
      </c>
      <c r="AC19" s="532">
        <f>IF('1.1 Control Panel'!$E944=AC$12,'1.1 Control Panel'!$E$942,0)
+IF('1.1 Control Panel'!$E945=AC$12,'1.1 Control Panel'!$E$942,0)
+IF('1.1 Control Panel'!$E946=AC$12,'1.1 Control Panel'!$E$942,0)
+IF('1.1 Control Panel'!$E947=AC$12,'1.1 Control Panel'!$E$942,0)
+IF('1.1 Control Panel'!$E948=AC$12,'1.1 Control Panel'!$E$942,0)
+IF('1.1 Control Panel'!$E949=AC$12,'1.1 Control Panel'!$E$942,0)
+IF('1.1 Control Panel'!$E950=AC$12,'1.1 Control Panel'!$E$942,0)
+IF('1.1 Control Panel'!$E951=AC$12,'1.1 Control Panel'!$E$942,0)
+IF('1.1 Control Panel'!$E952=AC$12,'1.1 Control Panel'!$E$942,0)
+IF('1.1 Control Panel'!$E953=AC$12,'1.1 Control Panel'!$E$942,0)
+IF('1.1 Control Panel'!$E954=AC$12,'1.1 Control Panel'!$E$942,0)
+IF('1.1 Control Panel'!$E955=AC$12,'1.1 Control Panel'!$E$942,0)</f>
        <v>0</v>
      </c>
      <c r="AD19" s="532">
        <f>IF('1.1 Control Panel'!$E944=AD$12,'1.1 Control Panel'!$E$942,0)
+IF('1.1 Control Panel'!$E945=AD$12,'1.1 Control Panel'!$E$942,0)
+IF('1.1 Control Panel'!$E946=AD$12,'1.1 Control Panel'!$E$942,0)
+IF('1.1 Control Panel'!$E947=AD$12,'1.1 Control Panel'!$E$942,0)
+IF('1.1 Control Panel'!$E948=AD$12,'1.1 Control Panel'!$E$942,0)
+IF('1.1 Control Panel'!$E949=AD$12,'1.1 Control Panel'!$E$942,0)
+IF('1.1 Control Panel'!$E950=AD$12,'1.1 Control Panel'!$E$942,0)
+IF('1.1 Control Panel'!$E951=AD$12,'1.1 Control Panel'!$E$942,0)
+IF('1.1 Control Panel'!$E952=AD$12,'1.1 Control Panel'!$E$942,0)
+IF('1.1 Control Panel'!$E953=AD$12,'1.1 Control Panel'!$E$942,0)
+IF('1.1 Control Panel'!$E954=AD$12,'1.1 Control Panel'!$E$942,0)
+IF('1.1 Control Panel'!$E955=AD$12,'1.1 Control Panel'!$E$942,0)</f>
        <v>0</v>
      </c>
      <c r="AE19" s="532">
        <f>IF('1.1 Control Panel'!$E944=AE$12,'1.1 Control Panel'!$E$942,0)
+IF('1.1 Control Panel'!$E945=AE$12,'1.1 Control Panel'!$E$942,0)
+IF('1.1 Control Panel'!$E946=AE$12,'1.1 Control Panel'!$E$942,0)
+IF('1.1 Control Panel'!$E947=AE$12,'1.1 Control Panel'!$E$942,0)
+IF('1.1 Control Panel'!$E948=AE$12,'1.1 Control Panel'!$E$942,0)
+IF('1.1 Control Panel'!$E949=AE$12,'1.1 Control Panel'!$E$942,0)
+IF('1.1 Control Panel'!$E950=AE$12,'1.1 Control Panel'!$E$942,0)
+IF('1.1 Control Panel'!$E951=AE$12,'1.1 Control Panel'!$E$942,0)
+IF('1.1 Control Panel'!$E952=AE$12,'1.1 Control Panel'!$E$942,0)
+IF('1.1 Control Panel'!$E953=AE$12,'1.1 Control Panel'!$E$942,0)
+IF('1.1 Control Panel'!$E954=AE$12,'1.1 Control Panel'!$E$942,0)
+IF('1.1 Control Panel'!$E955=AE$12,'1.1 Control Panel'!$E$942,0)</f>
        <v>0</v>
      </c>
      <c r="AF19" s="532">
        <f>IF('1.1 Control Panel'!$E944=AF$12,'1.1 Control Panel'!$E$942,0)
+IF('1.1 Control Panel'!$E945=AF$12,'1.1 Control Panel'!$E$942,0)
+IF('1.1 Control Panel'!$E946=AF$12,'1.1 Control Panel'!$E$942,0)
+IF('1.1 Control Panel'!$E947=AF$12,'1.1 Control Panel'!$E$942,0)
+IF('1.1 Control Panel'!$E948=AF$12,'1.1 Control Panel'!$E$942,0)
+IF('1.1 Control Panel'!$E949=AF$12,'1.1 Control Panel'!$E$942,0)
+IF('1.1 Control Panel'!$E950=AF$12,'1.1 Control Panel'!$E$942,0)
+IF('1.1 Control Panel'!$E951=AF$12,'1.1 Control Panel'!$E$942,0)
+IF('1.1 Control Panel'!$E952=AF$12,'1.1 Control Panel'!$E$942,0)
+IF('1.1 Control Panel'!$E953=AF$12,'1.1 Control Panel'!$E$942,0)
+IF('1.1 Control Panel'!$E954=AF$12,'1.1 Control Panel'!$E$942,0)
+IF('1.1 Control Panel'!$E955=AF$12,'1.1 Control Panel'!$E$942,0)</f>
        <v>0</v>
      </c>
      <c r="AG19" s="532">
        <f>IF('1.1 Control Panel'!$E944=AG$12,'1.1 Control Panel'!$E$942,0)
+IF('1.1 Control Panel'!$E945=AG$12,'1.1 Control Panel'!$E$942,0)
+IF('1.1 Control Panel'!$E946=AG$12,'1.1 Control Panel'!$E$942,0)
+IF('1.1 Control Panel'!$E947=AG$12,'1.1 Control Panel'!$E$942,0)
+IF('1.1 Control Panel'!$E948=AG$12,'1.1 Control Panel'!$E$942,0)
+IF('1.1 Control Panel'!$E949=AG$12,'1.1 Control Panel'!$E$942,0)
+IF('1.1 Control Panel'!$E950=AG$12,'1.1 Control Panel'!$E$942,0)
+IF('1.1 Control Panel'!$E951=AG$12,'1.1 Control Panel'!$E$942,0)
+IF('1.1 Control Panel'!$E952=AG$12,'1.1 Control Panel'!$E$942,0)
+IF('1.1 Control Panel'!$E953=AG$12,'1.1 Control Panel'!$E$942,0)
+IF('1.1 Control Panel'!$E954=AG$12,'1.1 Control Panel'!$E$942,0)
+IF('1.1 Control Panel'!$E955=AG$12,'1.1 Control Panel'!$E$942,0)</f>
        <v>0</v>
      </c>
      <c r="AH19" s="532">
        <f>IF('1.1 Control Panel'!$E944=AH$12,'1.1 Control Panel'!$E$942,0)
+IF('1.1 Control Panel'!$E945=AH$12,'1.1 Control Panel'!$E$942,0)
+IF('1.1 Control Panel'!$E946=AH$12,'1.1 Control Panel'!$E$942,0)
+IF('1.1 Control Panel'!$E947=AH$12,'1.1 Control Panel'!$E$942,0)
+IF('1.1 Control Panel'!$E948=AH$12,'1.1 Control Panel'!$E$942,0)
+IF('1.1 Control Panel'!$E949=AH$12,'1.1 Control Panel'!$E$942,0)
+IF('1.1 Control Panel'!$E950=AH$12,'1.1 Control Panel'!$E$942,0)
+IF('1.1 Control Panel'!$E951=AH$12,'1.1 Control Panel'!$E$942,0)
+IF('1.1 Control Panel'!$E952=AH$12,'1.1 Control Panel'!$E$942,0)
+IF('1.1 Control Panel'!$E953=AH$12,'1.1 Control Panel'!$E$942,0)
+IF('1.1 Control Panel'!$E954=AH$12,'1.1 Control Panel'!$E$942,0)
+IF('1.1 Control Panel'!$E955=AH$12,'1.1 Control Panel'!$E$942,0)</f>
        <v>0</v>
      </c>
      <c r="AI19" s="532">
        <f>IF('1.1 Control Panel'!$E944=AI$12,'1.1 Control Panel'!$E$942,0)
+IF('1.1 Control Panel'!$E945=AI$12,'1.1 Control Panel'!$E$942,0)
+IF('1.1 Control Panel'!$E946=AI$12,'1.1 Control Panel'!$E$942,0)
+IF('1.1 Control Panel'!$E947=AI$12,'1.1 Control Panel'!$E$942,0)
+IF('1.1 Control Panel'!$E948=AI$12,'1.1 Control Panel'!$E$942,0)
+IF('1.1 Control Panel'!$E949=AI$12,'1.1 Control Panel'!$E$942,0)
+IF('1.1 Control Panel'!$E950=AI$12,'1.1 Control Panel'!$E$942,0)
+IF('1.1 Control Panel'!$E951=AI$12,'1.1 Control Panel'!$E$942,0)
+IF('1.1 Control Panel'!$E952=AI$12,'1.1 Control Panel'!$E$942,0)
+IF('1.1 Control Panel'!$E953=AI$12,'1.1 Control Panel'!$E$942,0)
+IF('1.1 Control Panel'!$E954=AI$12,'1.1 Control Panel'!$E$942,0)
+IF('1.1 Control Panel'!$E955=AI$12,'1.1 Control Panel'!$E$942,0)</f>
        <v>0</v>
      </c>
      <c r="AJ19" s="532">
        <f>IF('1.1 Control Panel'!$E944=AJ$12,'1.1 Control Panel'!$E$942,0)
+IF('1.1 Control Panel'!$E945=AJ$12,'1.1 Control Panel'!$E$942,0)
+IF('1.1 Control Panel'!$E946=AJ$12,'1.1 Control Panel'!$E$942,0)
+IF('1.1 Control Panel'!$E947=AJ$12,'1.1 Control Panel'!$E$942,0)
+IF('1.1 Control Panel'!$E948=AJ$12,'1.1 Control Panel'!$E$942,0)
+IF('1.1 Control Panel'!$E949=AJ$12,'1.1 Control Panel'!$E$942,0)
+IF('1.1 Control Panel'!$E950=AJ$12,'1.1 Control Panel'!$E$942,0)
+IF('1.1 Control Panel'!$E951=AJ$12,'1.1 Control Panel'!$E$942,0)
+IF('1.1 Control Panel'!$E952=AJ$12,'1.1 Control Panel'!$E$942,0)
+IF('1.1 Control Panel'!$E953=AJ$12,'1.1 Control Panel'!$E$942,0)
+IF('1.1 Control Panel'!$E954=AJ$12,'1.1 Control Panel'!$E$942,0)
+IF('1.1 Control Panel'!$E955=AJ$12,'1.1 Control Panel'!$E$942,0)</f>
        <v>0</v>
      </c>
      <c r="AK19" s="532">
        <f>IF('1.1 Control Panel'!$E944=AK$12,'1.1 Control Panel'!$E$942,0)
+IF('1.1 Control Panel'!$E945=AK$12,'1.1 Control Panel'!$E$942,0)
+IF('1.1 Control Panel'!$E946=AK$12,'1.1 Control Panel'!$E$942,0)
+IF('1.1 Control Panel'!$E947=AK$12,'1.1 Control Panel'!$E$942,0)
+IF('1.1 Control Panel'!$E948=AK$12,'1.1 Control Panel'!$E$942,0)
+IF('1.1 Control Panel'!$E949=AK$12,'1.1 Control Panel'!$E$942,0)
+IF('1.1 Control Panel'!$E950=AK$12,'1.1 Control Panel'!$E$942,0)
+IF('1.1 Control Panel'!$E951=AK$12,'1.1 Control Panel'!$E$942,0)
+IF('1.1 Control Panel'!$E952=AK$12,'1.1 Control Panel'!$E$942,0)
+IF('1.1 Control Panel'!$E953=AK$12,'1.1 Control Panel'!$E$942,0)
+IF('1.1 Control Panel'!$E954=AK$12,'1.1 Control Panel'!$E$942,0)
+IF('1.1 Control Panel'!$E955=AK$12,'1.1 Control Panel'!$E$942,0)</f>
        <v>0</v>
      </c>
      <c r="AL19" s="532">
        <f>IF('1.1 Control Panel'!$E944=AL$12,'1.1 Control Panel'!$E$942,0)
+IF('1.1 Control Panel'!$E945=AL$12,'1.1 Control Panel'!$E$942,0)
+IF('1.1 Control Panel'!$E946=AL$12,'1.1 Control Panel'!$E$942,0)
+IF('1.1 Control Panel'!$E947=AL$12,'1.1 Control Panel'!$E$942,0)
+IF('1.1 Control Panel'!$E948=AL$12,'1.1 Control Panel'!$E$942,0)
+IF('1.1 Control Panel'!$E949=AL$12,'1.1 Control Panel'!$E$942,0)
+IF('1.1 Control Panel'!$E950=AL$12,'1.1 Control Panel'!$E$942,0)
+IF('1.1 Control Panel'!$E951=AL$12,'1.1 Control Panel'!$E$942,0)
+IF('1.1 Control Panel'!$E952=AL$12,'1.1 Control Panel'!$E$942,0)
+IF('1.1 Control Panel'!$E953=AL$12,'1.1 Control Panel'!$E$942,0)
+IF('1.1 Control Panel'!$E954=AL$12,'1.1 Control Panel'!$E$942,0)
+IF('1.1 Control Panel'!$E955=AL$12,'1.1 Control Panel'!$E$942,0)</f>
        <v>0</v>
      </c>
      <c r="AM19" s="532">
        <f>IF('1.1 Control Panel'!$E944=AM$12,'1.1 Control Panel'!$E$942,0)
+IF('1.1 Control Panel'!$E945=AM$12,'1.1 Control Panel'!$E$942,0)
+IF('1.1 Control Panel'!$E946=AM$12,'1.1 Control Panel'!$E$942,0)
+IF('1.1 Control Panel'!$E947=AM$12,'1.1 Control Panel'!$E$942,0)
+IF('1.1 Control Panel'!$E948=AM$12,'1.1 Control Panel'!$E$942,0)
+IF('1.1 Control Panel'!$E949=AM$12,'1.1 Control Panel'!$E$942,0)
+IF('1.1 Control Panel'!$E950=AM$12,'1.1 Control Panel'!$E$942,0)
+IF('1.1 Control Panel'!$E951=AM$12,'1.1 Control Panel'!$E$942,0)
+IF('1.1 Control Panel'!$E952=AM$12,'1.1 Control Panel'!$E$942,0)
+IF('1.1 Control Panel'!$E953=AM$12,'1.1 Control Panel'!$E$942,0)
+IF('1.1 Control Panel'!$E954=AM$12,'1.1 Control Panel'!$E$942,0)
+IF('1.1 Control Panel'!$E955=AM$12,'1.1 Control Panel'!$E$942,0)</f>
        <v>0</v>
      </c>
      <c r="AN19" s="532">
        <f>IF('1.1 Control Panel'!$E944=AN$12,'1.1 Control Panel'!$E$942,0)
+IF('1.1 Control Panel'!$E945=AN$12,'1.1 Control Panel'!$E$942,0)
+IF('1.1 Control Panel'!$E946=AN$12,'1.1 Control Panel'!$E$942,0)
+IF('1.1 Control Panel'!$E947=AN$12,'1.1 Control Panel'!$E$942,0)
+IF('1.1 Control Panel'!$E948=AN$12,'1.1 Control Panel'!$E$942,0)
+IF('1.1 Control Panel'!$E949=AN$12,'1.1 Control Panel'!$E$942,0)
+IF('1.1 Control Panel'!$E950=AN$12,'1.1 Control Panel'!$E$942,0)
+IF('1.1 Control Panel'!$E951=AN$12,'1.1 Control Panel'!$E$942,0)
+IF('1.1 Control Panel'!$E952=AN$12,'1.1 Control Panel'!$E$942,0)
+IF('1.1 Control Panel'!$E953=AN$12,'1.1 Control Panel'!$E$942,0)
+IF('1.1 Control Panel'!$E954=AN$12,'1.1 Control Panel'!$E$942,0)
+IF('1.1 Control Panel'!$E955=AN$12,'1.1 Control Panel'!$E$942,0)</f>
        <v>0</v>
      </c>
      <c r="AP19" s="26"/>
    </row>
    <row r="20" spans="2:42" ht="11.5" customHeight="1" x14ac:dyDescent="0.25">
      <c r="B20" s="19" t="s">
        <v>9</v>
      </c>
      <c r="C20" s="18" t="s">
        <v>846</v>
      </c>
      <c r="D20" s="316" t="s">
        <v>46</v>
      </c>
      <c r="E20" s="18">
        <f>SUM(E21:E22)</f>
        <v>0</v>
      </c>
      <c r="F20" s="18">
        <f t="shared" ref="F20:AN20" si="32">SUM(F21:F22)</f>
        <v>0</v>
      </c>
      <c r="G20" s="18">
        <f t="shared" si="32"/>
        <v>0</v>
      </c>
      <c r="H20" s="18">
        <f t="shared" si="32"/>
        <v>0</v>
      </c>
      <c r="I20" s="18">
        <f t="shared" si="32"/>
        <v>0</v>
      </c>
      <c r="J20" s="18">
        <f t="shared" si="32"/>
        <v>0</v>
      </c>
      <c r="K20" s="18">
        <f t="shared" si="32"/>
        <v>0</v>
      </c>
      <c r="L20" s="18">
        <f t="shared" si="32"/>
        <v>0</v>
      </c>
      <c r="M20" s="18">
        <f t="shared" si="32"/>
        <v>0</v>
      </c>
      <c r="N20" s="18">
        <f t="shared" si="32"/>
        <v>0</v>
      </c>
      <c r="O20" s="18">
        <f t="shared" si="32"/>
        <v>0</v>
      </c>
      <c r="P20" s="18">
        <f t="shared" si="32"/>
        <v>0</v>
      </c>
      <c r="Q20" s="18">
        <f t="shared" si="32"/>
        <v>0</v>
      </c>
      <c r="R20" s="18">
        <f t="shared" si="32"/>
        <v>0</v>
      </c>
      <c r="S20" s="18">
        <f t="shared" si="32"/>
        <v>0</v>
      </c>
      <c r="T20" s="18">
        <f t="shared" si="32"/>
        <v>0</v>
      </c>
      <c r="U20" s="18">
        <f t="shared" si="32"/>
        <v>0</v>
      </c>
      <c r="V20" s="18">
        <f t="shared" si="32"/>
        <v>0</v>
      </c>
      <c r="W20" s="18">
        <f t="shared" si="32"/>
        <v>0</v>
      </c>
      <c r="X20" s="18">
        <f t="shared" si="32"/>
        <v>0</v>
      </c>
      <c r="Y20" s="18">
        <f t="shared" si="32"/>
        <v>0</v>
      </c>
      <c r="Z20" s="18">
        <f t="shared" si="32"/>
        <v>0</v>
      </c>
      <c r="AA20" s="18">
        <f t="shared" si="32"/>
        <v>0</v>
      </c>
      <c r="AB20" s="18">
        <f t="shared" si="32"/>
        <v>0</v>
      </c>
      <c r="AC20" s="18">
        <f t="shared" si="32"/>
        <v>0</v>
      </c>
      <c r="AD20" s="18">
        <f t="shared" si="32"/>
        <v>0</v>
      </c>
      <c r="AE20" s="18">
        <f t="shared" si="32"/>
        <v>0</v>
      </c>
      <c r="AF20" s="18">
        <f t="shared" si="32"/>
        <v>0</v>
      </c>
      <c r="AG20" s="18">
        <f t="shared" si="32"/>
        <v>0</v>
      </c>
      <c r="AH20" s="18">
        <f t="shared" si="32"/>
        <v>0</v>
      </c>
      <c r="AI20" s="18">
        <f t="shared" si="32"/>
        <v>0</v>
      </c>
      <c r="AJ20" s="18">
        <f t="shared" si="32"/>
        <v>0</v>
      </c>
      <c r="AK20" s="18">
        <f t="shared" si="32"/>
        <v>0</v>
      </c>
      <c r="AL20" s="18">
        <f t="shared" si="32"/>
        <v>0</v>
      </c>
      <c r="AM20" s="18">
        <f t="shared" si="32"/>
        <v>0</v>
      </c>
      <c r="AN20" s="18">
        <f t="shared" si="32"/>
        <v>0</v>
      </c>
      <c r="AP20" s="17"/>
    </row>
    <row r="21" spans="2:42" ht="11.5" customHeight="1" x14ac:dyDescent="0.25">
      <c r="C21" s="20" t="s">
        <v>855</v>
      </c>
      <c r="D21" s="34" t="s">
        <v>46</v>
      </c>
      <c r="E21" s="20">
        <f>'1.1 Control Panel'!E957</f>
        <v>0</v>
      </c>
      <c r="F21" s="20">
        <f>'1.1 Control Panel'!F957</f>
        <v>0</v>
      </c>
      <c r="G21" s="20">
        <f>'1.1 Control Panel'!G957</f>
        <v>0</v>
      </c>
      <c r="H21" s="20">
        <f>'1.1 Control Panel'!H957</f>
        <v>0</v>
      </c>
      <c r="I21" s="20">
        <f>'1.1 Control Panel'!I957</f>
        <v>0</v>
      </c>
      <c r="J21" s="20">
        <f>'1.1 Control Panel'!J957</f>
        <v>0</v>
      </c>
      <c r="K21" s="20">
        <f>'1.1 Control Panel'!K957</f>
        <v>0</v>
      </c>
      <c r="L21" s="20">
        <f>'1.1 Control Panel'!L957</f>
        <v>0</v>
      </c>
      <c r="M21" s="20">
        <f>'1.1 Control Panel'!M957</f>
        <v>0</v>
      </c>
      <c r="N21" s="20">
        <f>'1.1 Control Panel'!N957</f>
        <v>0</v>
      </c>
      <c r="O21" s="20">
        <f>'1.1 Control Panel'!O957</f>
        <v>0</v>
      </c>
      <c r="P21" s="20">
        <f>'1.1 Control Panel'!P957</f>
        <v>0</v>
      </c>
      <c r="Q21" s="20">
        <f>'1.1 Control Panel'!Q957</f>
        <v>0</v>
      </c>
      <c r="R21" s="20">
        <f>'1.1 Control Panel'!R957</f>
        <v>0</v>
      </c>
      <c r="S21" s="20">
        <f>'1.1 Control Panel'!S957</f>
        <v>0</v>
      </c>
      <c r="T21" s="20">
        <f>'1.1 Control Panel'!T957</f>
        <v>0</v>
      </c>
      <c r="U21" s="20">
        <f>'1.1 Control Panel'!U957</f>
        <v>0</v>
      </c>
      <c r="V21" s="20">
        <f>'1.1 Control Panel'!V957</f>
        <v>0</v>
      </c>
      <c r="W21" s="20">
        <f>'1.1 Control Panel'!W957</f>
        <v>0</v>
      </c>
      <c r="X21" s="20">
        <f>'1.1 Control Panel'!X957</f>
        <v>0</v>
      </c>
      <c r="Y21" s="20">
        <f>'1.1 Control Panel'!Y957</f>
        <v>0</v>
      </c>
      <c r="Z21" s="20">
        <f>'1.1 Control Panel'!Z957</f>
        <v>0</v>
      </c>
      <c r="AA21" s="20">
        <f>'1.1 Control Panel'!AA957</f>
        <v>0</v>
      </c>
      <c r="AB21" s="20">
        <f>'1.1 Control Panel'!AB957</f>
        <v>0</v>
      </c>
      <c r="AC21" s="20">
        <f>'1.1 Control Panel'!AC957</f>
        <v>0</v>
      </c>
      <c r="AD21" s="20">
        <f>'1.1 Control Panel'!AD957</f>
        <v>0</v>
      </c>
      <c r="AE21" s="20">
        <f>'1.1 Control Panel'!AE957</f>
        <v>0</v>
      </c>
      <c r="AF21" s="20">
        <f>'1.1 Control Panel'!AF957</f>
        <v>0</v>
      </c>
      <c r="AG21" s="20">
        <f>'1.1 Control Panel'!AG957</f>
        <v>0</v>
      </c>
      <c r="AH21" s="20">
        <f>'1.1 Control Panel'!AH957</f>
        <v>0</v>
      </c>
      <c r="AI21" s="20">
        <f>'1.1 Control Panel'!AI957</f>
        <v>0</v>
      </c>
      <c r="AJ21" s="20">
        <f>'1.1 Control Panel'!AJ957</f>
        <v>0</v>
      </c>
      <c r="AK21" s="20">
        <f>'1.1 Control Panel'!AK957</f>
        <v>0</v>
      </c>
      <c r="AL21" s="20">
        <f>'1.1 Control Panel'!AL957</f>
        <v>0</v>
      </c>
      <c r="AM21" s="20">
        <f>'1.1 Control Panel'!AM957</f>
        <v>0</v>
      </c>
      <c r="AN21" s="20">
        <f>'1.1 Control Panel'!AN957</f>
        <v>0</v>
      </c>
      <c r="AP21" s="20"/>
    </row>
    <row r="22" spans="2:42" ht="11.5" customHeight="1" x14ac:dyDescent="0.25">
      <c r="C22" s="22" t="s">
        <v>856</v>
      </c>
      <c r="D22" s="96" t="s">
        <v>46</v>
      </c>
      <c r="E22" s="26">
        <f>'1.1 Control Panel'!E958</f>
        <v>0</v>
      </c>
      <c r="F22" s="26">
        <f>'1.1 Control Panel'!F958</f>
        <v>0</v>
      </c>
      <c r="G22" s="26">
        <f>'1.1 Control Panel'!G958</f>
        <v>0</v>
      </c>
      <c r="H22" s="26">
        <f>'1.1 Control Panel'!H958</f>
        <v>0</v>
      </c>
      <c r="I22" s="26">
        <f>'1.1 Control Panel'!I958</f>
        <v>0</v>
      </c>
      <c r="J22" s="26">
        <f>'1.1 Control Panel'!J958</f>
        <v>0</v>
      </c>
      <c r="K22" s="26">
        <f>'1.1 Control Panel'!K958</f>
        <v>0</v>
      </c>
      <c r="L22" s="26">
        <f>'1.1 Control Panel'!L958</f>
        <v>0</v>
      </c>
      <c r="M22" s="26">
        <f>'1.1 Control Panel'!M958</f>
        <v>0</v>
      </c>
      <c r="N22" s="26">
        <f>'1.1 Control Panel'!N958</f>
        <v>0</v>
      </c>
      <c r="O22" s="26">
        <f>'1.1 Control Panel'!O958</f>
        <v>0</v>
      </c>
      <c r="P22" s="26">
        <f>'1.1 Control Panel'!P958</f>
        <v>0</v>
      </c>
      <c r="Q22" s="26">
        <f>'1.1 Control Panel'!Q958</f>
        <v>0</v>
      </c>
      <c r="R22" s="26">
        <f>'1.1 Control Panel'!R958</f>
        <v>0</v>
      </c>
      <c r="S22" s="26">
        <f>'1.1 Control Panel'!S958</f>
        <v>0</v>
      </c>
      <c r="T22" s="26">
        <f>'1.1 Control Panel'!T958</f>
        <v>0</v>
      </c>
      <c r="U22" s="26">
        <f>'1.1 Control Panel'!U958</f>
        <v>0</v>
      </c>
      <c r="V22" s="26">
        <f>'1.1 Control Panel'!V958</f>
        <v>0</v>
      </c>
      <c r="W22" s="26">
        <f>'1.1 Control Panel'!W958</f>
        <v>0</v>
      </c>
      <c r="X22" s="26">
        <f>'1.1 Control Panel'!X958</f>
        <v>0</v>
      </c>
      <c r="Y22" s="26">
        <f>'1.1 Control Panel'!Y958</f>
        <v>0</v>
      </c>
      <c r="Z22" s="26">
        <f>'1.1 Control Panel'!Z958</f>
        <v>0</v>
      </c>
      <c r="AA22" s="26">
        <f>'1.1 Control Panel'!AA958</f>
        <v>0</v>
      </c>
      <c r="AB22" s="26">
        <f>'1.1 Control Panel'!AB958</f>
        <v>0</v>
      </c>
      <c r="AC22" s="26">
        <f>'1.1 Control Panel'!AC958</f>
        <v>0</v>
      </c>
      <c r="AD22" s="26">
        <f>'1.1 Control Panel'!AD958</f>
        <v>0</v>
      </c>
      <c r="AE22" s="26">
        <f>'1.1 Control Panel'!AE958</f>
        <v>0</v>
      </c>
      <c r="AF22" s="26">
        <f>'1.1 Control Panel'!AF958</f>
        <v>0</v>
      </c>
      <c r="AG22" s="26">
        <f>'1.1 Control Panel'!AG958</f>
        <v>0</v>
      </c>
      <c r="AH22" s="26">
        <f>'1.1 Control Panel'!AH958</f>
        <v>0</v>
      </c>
      <c r="AI22" s="26">
        <f>'1.1 Control Panel'!AI958</f>
        <v>0</v>
      </c>
      <c r="AJ22" s="26">
        <f>'1.1 Control Panel'!AJ958</f>
        <v>0</v>
      </c>
      <c r="AK22" s="26">
        <f>'1.1 Control Panel'!AK958</f>
        <v>0</v>
      </c>
      <c r="AL22" s="26">
        <f>'1.1 Control Panel'!AL958</f>
        <v>0</v>
      </c>
      <c r="AM22" s="26">
        <f>'1.1 Control Panel'!AM958</f>
        <v>0</v>
      </c>
      <c r="AN22" s="26">
        <f>'1.1 Control Panel'!AN958</f>
        <v>0</v>
      </c>
      <c r="AP22" s="26"/>
    </row>
    <row r="23" spans="2:42" ht="11.5" customHeight="1" x14ac:dyDescent="0.25">
      <c r="B23" s="19" t="s">
        <v>9</v>
      </c>
      <c r="C23" s="18" t="s">
        <v>847</v>
      </c>
      <c r="D23" s="316" t="s">
        <v>46</v>
      </c>
      <c r="E23" s="596">
        <f t="shared" ref="E23:AN23" si="33">SUM(E24:E25)</f>
        <v>18000</v>
      </c>
      <c r="F23" s="596">
        <f t="shared" si="33"/>
        <v>6000</v>
      </c>
      <c r="G23" s="596">
        <f t="shared" si="33"/>
        <v>6000</v>
      </c>
      <c r="H23" s="596">
        <f t="shared" si="33"/>
        <v>6000</v>
      </c>
      <c r="I23" s="596">
        <f t="shared" si="33"/>
        <v>6000</v>
      </c>
      <c r="J23" s="596">
        <f t="shared" si="33"/>
        <v>6000</v>
      </c>
      <c r="K23" s="596">
        <f t="shared" si="33"/>
        <v>6000</v>
      </c>
      <c r="L23" s="596">
        <f t="shared" si="33"/>
        <v>6000</v>
      </c>
      <c r="M23" s="596">
        <f t="shared" si="33"/>
        <v>21000</v>
      </c>
      <c r="N23" s="596">
        <f t="shared" si="33"/>
        <v>11000</v>
      </c>
      <c r="O23" s="596">
        <f t="shared" si="33"/>
        <v>11000</v>
      </c>
      <c r="P23" s="596">
        <f t="shared" si="33"/>
        <v>11000</v>
      </c>
      <c r="Q23" s="596">
        <f t="shared" si="33"/>
        <v>68000</v>
      </c>
      <c r="R23" s="596">
        <f t="shared" si="33"/>
        <v>26000</v>
      </c>
      <c r="S23" s="596">
        <f t="shared" si="33"/>
        <v>26000</v>
      </c>
      <c r="T23" s="596">
        <f t="shared" si="33"/>
        <v>26000</v>
      </c>
      <c r="U23" s="596">
        <f t="shared" si="33"/>
        <v>56000</v>
      </c>
      <c r="V23" s="596">
        <f t="shared" si="33"/>
        <v>36000</v>
      </c>
      <c r="W23" s="596">
        <f t="shared" si="33"/>
        <v>36000</v>
      </c>
      <c r="X23" s="596">
        <f t="shared" si="33"/>
        <v>36000</v>
      </c>
      <c r="Y23" s="596">
        <f t="shared" si="33"/>
        <v>76000</v>
      </c>
      <c r="Z23" s="596">
        <f t="shared" si="33"/>
        <v>46000</v>
      </c>
      <c r="AA23" s="596">
        <f t="shared" si="33"/>
        <v>46000</v>
      </c>
      <c r="AB23" s="596">
        <f t="shared" si="33"/>
        <v>46000</v>
      </c>
      <c r="AC23" s="596">
        <f t="shared" si="33"/>
        <v>163000</v>
      </c>
      <c r="AD23" s="596">
        <f t="shared" si="33"/>
        <v>71000</v>
      </c>
      <c r="AE23" s="596">
        <f t="shared" si="33"/>
        <v>71000</v>
      </c>
      <c r="AF23" s="596">
        <f t="shared" si="33"/>
        <v>71000</v>
      </c>
      <c r="AG23" s="596">
        <f t="shared" si="33"/>
        <v>211000</v>
      </c>
      <c r="AH23" s="596">
        <f t="shared" si="33"/>
        <v>111000</v>
      </c>
      <c r="AI23" s="596">
        <f t="shared" si="33"/>
        <v>111000</v>
      </c>
      <c r="AJ23" s="596">
        <f t="shared" si="33"/>
        <v>111000</v>
      </c>
      <c r="AK23" s="596">
        <f t="shared" si="33"/>
        <v>216000</v>
      </c>
      <c r="AL23" s="596">
        <f t="shared" si="33"/>
        <v>136000</v>
      </c>
      <c r="AM23" s="596">
        <f t="shared" si="33"/>
        <v>136000</v>
      </c>
      <c r="AN23" s="596">
        <f t="shared" si="33"/>
        <v>136000</v>
      </c>
      <c r="AP23" s="17"/>
    </row>
    <row r="24" spans="2:42" ht="11.5" customHeight="1" x14ac:dyDescent="0.25">
      <c r="C24" s="20" t="s">
        <v>857</v>
      </c>
      <c r="D24" s="34" t="s">
        <v>46</v>
      </c>
      <c r="E24" s="28">
        <f>E40*$E$38*'1.1 Control Panel'!E960</f>
        <v>12000</v>
      </c>
      <c r="F24" s="28">
        <f>F40*$E$38*'1.1 Control Panel'!F960+F41*$F$38*'1.1 Control Panel'!F960</f>
        <v>0</v>
      </c>
      <c r="G24" s="28">
        <f>G40*$E$38*'1.1 Control Panel'!G960+G41*$F$38*'1.1 Control Panel'!G960+G42*$G$38*'1.1 Control Panel'!G960</f>
        <v>0</v>
      </c>
      <c r="H24" s="28">
        <f>H40*$E$38*'1.1 Control Panel'!H960+H41*$F$38*'1.1 Control Panel'!H960+H42*$G$38*'1.1 Control Panel'!H960+H43*$H$38*'1.1 Control Panel'!H960</f>
        <v>0</v>
      </c>
      <c r="I24" s="28">
        <f>I40*$E$38*'1.1 Control Panel'!I960+I41*$F$38*'1.1 Control Panel'!I960+I42*$G$38*'1.1 Control Panel'!I960+I43*$H$38*'1.1 Control Panel'!I960+I44*$I$38*'1.1 Control Panel'!I960</f>
        <v>0</v>
      </c>
      <c r="J24" s="28">
        <f>J40*$E$38*'1.1 Control Panel'!J960+J41*$F$38*'1.1 Control Panel'!J960+J42*$G$38*'1.1 Control Panel'!J960+J43*$H$38*'1.1 Control Panel'!J960+J44*$I$38*'1.1 Control Panel'!J960+J45*$J$38*'1.1 Control Panel'!J960</f>
        <v>0</v>
      </c>
      <c r="K24" s="28">
        <f>K40*$E$38*'1.1 Control Panel'!K960+K41*$F$38*'1.1 Control Panel'!K960+K42*$G$38*'1.1 Control Panel'!K960+K43*$H$38*'1.1 Control Panel'!K960+K44*$I$38*'1.1 Control Panel'!K960+K45*$J$38*'1.1 Control Panel'!K960+K46*$K$38*'1.1 Control Panel'!K960</f>
        <v>0</v>
      </c>
      <c r="L24" s="28">
        <f>L40*$E$38*'1.1 Control Panel'!L960+L41*$F$38*'1.1 Control Panel'!L960+L42*$G$38*'1.1 Control Panel'!L960+L43*$H$38*'1.1 Control Panel'!L960+L44*$I$38*'1.1 Control Panel'!L960+L45*$J$38*'1.1 Control Panel'!L960+L46*$K$38*'1.1 Control Panel'!L960+L47*$L$38*'1.1 Control Panel'!L960</f>
        <v>0</v>
      </c>
      <c r="M24" s="28">
        <f>M40*$E$38*'1.1 Control Panel'!M960+M41*$F$38*'1.1 Control Panel'!M960+M42*$G$38*'1.1 Control Panel'!M960+M43*$H$38*'1.1 Control Panel'!M960+M44*$I$38*'1.1 Control Panel'!M960+M45*$J$38*'1.1 Control Panel'!M960+M46*$K$38*'1.1 Control Panel'!M960+M47*$L$38*'1.1 Control Panel'!M960+M48*$M$38*'1.1 Control Panel'!M960</f>
        <v>10000</v>
      </c>
      <c r="N24" s="28">
        <f>N40*$E$38*'1.1 Control Panel'!N960+N41*$F$38*'1.1 Control Panel'!N960+N42*$G$38*'1.1 Control Panel'!N960+N43*$H$38*'1.1 Control Panel'!N960+N44*$I$38*'1.1 Control Panel'!N960+N45*$J$38*'1.1 Control Panel'!N960+N46*$K$38*'1.1 Control Panel'!N960+N47*$L$38*'1.1 Control Panel'!N960+N48*$M$38*'1.1 Control Panel'!N960+N49*$N$38*'1.1 Control Panel'!N960</f>
        <v>0</v>
      </c>
      <c r="O24" s="28">
        <f>O40*$E$38*'1.1 Control Panel'!O960+O41*$F$38*'1.1 Control Panel'!O960+O42*$G$38*'1.1 Control Panel'!O960+O43*$H$38*'1.1 Control Panel'!O960+O44*$I$38*'1.1 Control Panel'!O960+O45*$J$38*'1.1 Control Panel'!O960+O46*$K$38*'1.1 Control Panel'!O960+O47*$L$38*'1.1 Control Panel'!O960+O48*$M$38*'1.1 Control Panel'!O960+O49*$N$38*'1.1 Control Panel'!O960+O50*$O$38*'1.1 Control Panel'!O960</f>
        <v>0</v>
      </c>
      <c r="P24" s="28">
        <f>P40*$E$38*'1.1 Control Panel'!P960+P41*$F$38*'1.1 Control Panel'!P960+P42*$G$38*'1.1 Control Panel'!P960+P43*$H$38*'1.1 Control Panel'!P960+P44*$I$38*'1.1 Control Panel'!P960+P45*$J$38*'1.1 Control Panel'!P960+P46*$K$38*'1.1 Control Panel'!P960+P47*$L$38*'1.1 Control Panel'!P960+P48*$M$38*'1.1 Control Panel'!P960+P49*$N$38*'1.1 Control Panel'!P960+P50*$O$38*'1.1 Control Panel'!P960+P51*$P$38*'1.1 Control Panel'!P960</f>
        <v>0</v>
      </c>
      <c r="Q24" s="28">
        <f>Q40*$E$38*'1.1 Control Panel'!Q960+Q41*$F$38*'1.1 Control Panel'!Q960+Q42*$G$38*'1.1 Control Panel'!Q960+Q43*$H$38*'1.1 Control Panel'!Q960+Q44*$I$38*'1.1 Control Panel'!Q960+Q45*$J$38*'1.1 Control Panel'!Q960+Q46*$K$38*'1.1 Control Panel'!Q960+Q47*$L$38*'1.1 Control Panel'!Q960+Q48*$M$38*'1.1 Control Panel'!Q960+Q49*$N$38*'1.1 Control Panel'!Q960+Q50*$O$38*'1.1 Control Panel'!Q960+Q51*$P$38*'1.1 Control Panel'!Q960+Q52*$Q$38*'1.1 Control Panel'!Q960</f>
        <v>42000</v>
      </c>
      <c r="R24" s="28">
        <f>R40*$E$38*'1.1 Control Panel'!R960+R41*$F$38*'1.1 Control Panel'!R960+R42*$G$38*'1.1 Control Panel'!R960+R43*$H$38*'1.1 Control Panel'!R960+R44*$I$38*'1.1 Control Panel'!R960+R45*$J$38*'1.1 Control Panel'!R960+R46*$K$38*'1.1 Control Panel'!R960+R47*$L$38*'1.1 Control Panel'!R960+R48*$M$38*'1.1 Control Panel'!R960+R49*$N$38*'1.1 Control Panel'!R960+R50*$O$38*'1.1 Control Panel'!R960+R51*$P$38*'1.1 Control Panel'!R960+R52*$Q$38*'1.1 Control Panel'!R960+R53*$R$38*'1.1 Control Panel'!R960</f>
        <v>0</v>
      </c>
      <c r="S24" s="28">
        <f>S40*$E$38*'1.1 Control Panel'!S960+S41*$F$38*'1.1 Control Panel'!S960+S42*$G$38*'1.1 Control Panel'!S960+S43*$H$38*'1.1 Control Panel'!S960+S44*$I$38*'1.1 Control Panel'!S960+S45*$J$38*'1.1 Control Panel'!S960+S46*$K$38*'1.1 Control Panel'!S960+S47*$L$38*'1.1 Control Panel'!S960+S48*$M$38*'1.1 Control Panel'!S960+S49*$N$38*'1.1 Control Panel'!S960+S50*$O$38*'1.1 Control Panel'!S960+S51*$P$38*'1.1 Control Panel'!S960+S52*$Q$38*'1.1 Control Panel'!S960+S53*$R$38*'1.1 Control Panel'!S960+S54*$S$38*'1.1 Control Panel'!S960</f>
        <v>0</v>
      </c>
      <c r="T24" s="28">
        <f>T40*$E$38*'1.1 Control Panel'!T960+T41*$F$38*'1.1 Control Panel'!T960+T42*$G$38*'1.1 Control Panel'!T960+T43*$H$38*'1.1 Control Panel'!T960+T44*$I$38*'1.1 Control Panel'!T960+T45*$J$38*'1.1 Control Panel'!T960+T46*$K$38*'1.1 Control Panel'!T960+T47*$L$38*'1.1 Control Panel'!T960+T48*$M$38*'1.1 Control Panel'!T960+T49*$N$38*'1.1 Control Panel'!T960+T50*$O$38*'1.1 Control Panel'!T960+T51*$P$38*'1.1 Control Panel'!T960+T52*$Q$38*'1.1 Control Panel'!T960+T53*$R$38*'1.1 Control Panel'!T960+T54*$S$38*'1.1 Control Panel'!T960+T55*$T$38*'1.1 Control Panel'!T960</f>
        <v>0</v>
      </c>
      <c r="U24" s="28">
        <f>U40*$E$38*'1.1 Control Panel'!U960+U41*$F$38*'1.1 Control Panel'!U960+U42*$G$38*'1.1 Control Panel'!U960+U43*$H$38*'1.1 Control Panel'!U960+U44*$I$38*'1.1 Control Panel'!U960+U45*$J$38*'1.1 Control Panel'!U960+U46*$K$38*'1.1 Control Panel'!U960+U47*$L$38*'1.1 Control Panel'!U960+U48*$M$38*'1.1 Control Panel'!U960+U49*$N$38*'1.1 Control Panel'!U960+U50*$O$38*'1.1 Control Panel'!U960+U51*$P$38*'1.1 Control Panel'!U960+U52*$Q$38*'1.1 Control Panel'!U960+U53*$R$38*'1.1 Control Panel'!U960+U54*$S$38*'1.1 Control Panel'!U960+U55*$T$38*'1.1 Control Panel'!U960+U56*$U$38*'1.1 Control Panel'!U960</f>
        <v>20000</v>
      </c>
      <c r="V24" s="28">
        <f>V40*$E$38*'1.1 Control Panel'!V960+V41*$F$38*'1.1 Control Panel'!V960+V42*$G$38*'1.1 Control Panel'!V960+V43*$H$38*'1.1 Control Panel'!V960+V44*$I$38*'1.1 Control Panel'!V960+V45*$J$38*'1.1 Control Panel'!V960+V46*$K$38*'1.1 Control Panel'!V960+V47*$L$38*'1.1 Control Panel'!V960+V48*$M$38*'1.1 Control Panel'!V960+V49*$N$38*'1.1 Control Panel'!V960+V50*$O$38*'1.1 Control Panel'!V960+V51*$P$38*'1.1 Control Panel'!V960+V52*$Q$38*'1.1 Control Panel'!V960+V53*$R$38*'1.1 Control Panel'!V960+V54*$S$38*'1.1 Control Panel'!V960+V55*$T$38*'1.1 Control Panel'!V960+V56*$U$38*'1.1 Control Panel'!V960+V57*$V$38*'1.1 Control Panel'!V960</f>
        <v>0</v>
      </c>
      <c r="W24" s="28">
        <f>W40*$E$38*'1.1 Control Panel'!W960+W41*$F$38*'1.1 Control Panel'!W960+W42*$G$38*'1.1 Control Panel'!W960+W43*$H$38*'1.1 Control Panel'!W960+W44*$I$38*'1.1 Control Panel'!W960+W45*$J$38*'1.1 Control Panel'!W960+W46*$K$38*'1.1 Control Panel'!W960+W47*$L$38*'1.1 Control Panel'!W960+W48*$M$38*'1.1 Control Panel'!W960+W49*$N$38*'1.1 Control Panel'!W960+W50*$O$38*'1.1 Control Panel'!W960+W51*$P$38*'1.1 Control Panel'!W960+W52*$Q$38*'1.1 Control Panel'!W960+W53*$R$38*'1.1 Control Panel'!W960+W54*$S$38*'1.1 Control Panel'!W960+W55*$T$38*'1.1 Control Panel'!W960+W56*$U$38*'1.1 Control Panel'!W960+W57*$V$38*'1.1 Control Panel'!W960+W58*$W$38*'1.1 Control Panel'!W960</f>
        <v>0</v>
      </c>
      <c r="X24" s="28">
        <f>X40*$E$38*'1.1 Control Panel'!X960+X41*$F$38*'1.1 Control Panel'!X960+X42*$G$38*'1.1 Control Panel'!X960+X43*$H$38*'1.1 Control Panel'!X960+X44*$I$38*'1.1 Control Panel'!X960+X45*$J$38*'1.1 Control Panel'!X960+X46*$K$38*'1.1 Control Panel'!X960+X47*$L$38*'1.1 Control Panel'!X960+X48*$M$38*'1.1 Control Panel'!X960+X49*$N$38*'1.1 Control Panel'!X960+X50*$O$38*'1.1 Control Panel'!X960+X51*$P$38*'1.1 Control Panel'!X960+X52*$Q$38*'1.1 Control Panel'!X960+X53*$R$38*'1.1 Control Panel'!X960+X54*$S$38*'1.1 Control Panel'!X960+X55*$T$38*'1.1 Control Panel'!X960+X56*$U$38*'1.1 Control Panel'!X960+X57*$V$38*'1.1 Control Panel'!X960+X58*$W$38*'1.1 Control Panel'!X960+X59*$X$38*'1.1 Control Panel'!X960</f>
        <v>0</v>
      </c>
      <c r="Y24" s="28">
        <f>Y40*$E$38*'1.1 Control Panel'!Y960+Y41*$F$38*'1.1 Control Panel'!Y960+Y42*$G$38*'1.1 Control Panel'!Y960+Y43*$H$38*'1.1 Control Panel'!Y960+Y44*$I$38*'1.1 Control Panel'!Y960+Y45*$J$38*'1.1 Control Panel'!Y960+Y46*$K$38*'1.1 Control Panel'!Y960+Y47*$L$38*'1.1 Control Panel'!Y960+Y48*$M$38*'1.1 Control Panel'!Y960+Y49*$N$38*'1.1 Control Panel'!Y960+Y50*$O$38*'1.1 Control Panel'!Y960+Y51*$P$38*'1.1 Control Panel'!Y960+Y52*$Q$38*'1.1 Control Panel'!Y960+Y53*$R$38*'1.1 Control Panel'!Y960+Y54*$S$38*'1.1 Control Panel'!Y960+Y55*$T$38*'1.1 Control Panel'!Y960+Y56*$U$38*'1.1 Control Panel'!Y960+Y57*$V$38*'1.1 Control Panel'!Y960+Y58*$W$38*'1.1 Control Panel'!Y960+Y59*$X$38*'1.1 Control Panel'!Y960+Y60*$Y$38*'1.1 Control Panel'!Y960</f>
        <v>30000</v>
      </c>
      <c r="Z24" s="28">
        <f>Z40*$E$38*'1.1 Control Panel'!Z960+Z41*$F$38*'1.1 Control Panel'!Z960+Z42*$G$38*'1.1 Control Panel'!Z960+Z43*$H$38*'1.1 Control Panel'!Z960+Z44*$I$38*'1.1 Control Panel'!Z960+Z45*$J$38*'1.1 Control Panel'!Z960+Z46*$K$38*'1.1 Control Panel'!Z960+Z47*$L$38*'1.1 Control Panel'!Z960+Z48*$M$38*'1.1 Control Panel'!Z960+Z49*$N$38*'1.1 Control Panel'!Z960+Z50*$O$38*'1.1 Control Panel'!Z960+Z51*$P$38*'1.1 Control Panel'!Z960+Z52*$Q$38*'1.1 Control Panel'!Z960+Z53*$R$38*'1.1 Control Panel'!Z960+Z54*$S$38*'1.1 Control Panel'!Z960+Z55*$T$38*'1.1 Control Panel'!Z960+Z56*$U$38*'1.1 Control Panel'!Z960+Z57*$V$38*'1.1 Control Panel'!Z960+Z58*$W$38*'1.1 Control Panel'!Z960+Z59*$X$38*'1.1 Control Panel'!Z960+Z60*$Y$38*'1.1 Control Panel'!Z960+Z61*$Z$38*'1.1 Control Panel'!Z960</f>
        <v>0</v>
      </c>
      <c r="AA24" s="28">
        <f>AA40*$E$38*'1.1 Control Panel'!AA960+AA41*$F$38*'1.1 Control Panel'!AA960+AA42*$G$38*'1.1 Control Panel'!AA960+AA43*$H$38*'1.1 Control Panel'!AA960+AA44*$I$38*'1.1 Control Panel'!AA960+AA45*$J$38*'1.1 Control Panel'!AA960+AA46*$K$38*'1.1 Control Panel'!AA960+AA47*$L$38*'1.1 Control Panel'!AA960+AA48*$M$38*'1.1 Control Panel'!AA960+AA49*$N$38*'1.1 Control Panel'!AA960+AA50*$O$38*'1.1 Control Panel'!AA960+AA51*$P$38*'1.1 Control Panel'!AA960+AA52*$Q$38*'1.1 Control Panel'!AA960+AA53*$R$38*'1.1 Control Panel'!AA960+AA54*$S$38*'1.1 Control Panel'!AA960+AA55*$T$38*'1.1 Control Panel'!AA960+AA56*$U$38*'1.1 Control Panel'!AA960+AA57*$V$38*'1.1 Control Panel'!AA960+AA58*$W$38*'1.1 Control Panel'!AA960+AA59*$X$38*'1.1 Control Panel'!AA960+AA60*$Y$38*'1.1 Control Panel'!AA960+AA61*$Z$38*'1.1 Control Panel'!AA960+AA61*$AA$38*'1.1 Control Panel'!AA960+AA62*$AA$38*'1.1 Control Panel'!AA960</f>
        <v>0</v>
      </c>
      <c r="AB24" s="28">
        <f>AB40*$E$38*'1.1 Control Panel'!AB960+AB41*$F$38*'1.1 Control Panel'!AB960+AB42*$G$38*'1.1 Control Panel'!AB960+AB43*$H$38*'1.1 Control Panel'!AB960+AB44*$I$38*'1.1 Control Panel'!AB960+AB45*$J$38*'1.1 Control Panel'!AB960+AB46*$K$38*'1.1 Control Panel'!AB960+AB47*$L$38*'1.1 Control Panel'!AB960+AB48*$M$38*'1.1 Control Panel'!AB960+AB49*$N$38*'1.1 Control Panel'!AB960+AB50*$O$38*'1.1 Control Panel'!AB960+AB51*$P$38*'1.1 Control Panel'!AB960+AB52*$Q$38*'1.1 Control Panel'!AB960+AB53*$R$38*'1.1 Control Panel'!AB960+AB54*$S$38*'1.1 Control Panel'!AB960+AB55*$T$38*'1.1 Control Panel'!AB960+AB56*$U$38*'1.1 Control Panel'!AB960+AB57*$V$38*'1.1 Control Panel'!AB960+AB58*$W$38*'1.1 Control Panel'!AB960+AB59*$X$38*'1.1 Control Panel'!AB960+AB60*$Y$38*'1.1 Control Panel'!AB960+AB61*$Z$38*'1.1 Control Panel'!AB960+AB61*$AA$38*'1.1 Control Panel'!AB960+AB62*$AA$38*'1.1 Control Panel'!AB960+AB63*$AB$38*'1.1 Control Panel'!AB960</f>
        <v>0</v>
      </c>
      <c r="AC24" s="28">
        <f>AC40*$E$38*'1.1 Control Panel'!AC960+AC41*$F$38*'1.1 Control Panel'!AC960+AC42*$G$38*'1.1 Control Panel'!AC960+AC43*$H$38*'1.1 Control Panel'!AC960+AC44*$I$38*'1.1 Control Panel'!AC960+AC45*$J$38*'1.1 Control Panel'!AC960+AC46*$K$38*'1.1 Control Panel'!AC960+AC47*$L$38*'1.1 Control Panel'!AC960+AC48*$M$38*'1.1 Control Panel'!AC960+AC49*$N$38*'1.1 Control Panel'!AC960+AC50*$O$38*'1.1 Control Panel'!AC960+AC51*$P$38*'1.1 Control Panel'!AC960+AC52*$Q$38*'1.1 Control Panel'!AC960+AC53*$R$38*'1.1 Control Panel'!AC960+AC54*$S$38*'1.1 Control Panel'!AC960+AC55*$T$38*'1.1 Control Panel'!AC960+AC56*$U$38*'1.1 Control Panel'!AC960+AC57*$V$38*'1.1 Control Panel'!AC960+AC58*$W$38*'1.1 Control Panel'!AC960+AC59*$X$38*'1.1 Control Panel'!AC960+AC60*$Y$38*'1.1 Control Panel'!AC960+AC61*$Z$38*'1.1 Control Panel'!AC960+AC61*$AA$38*'1.1 Control Panel'!AC960+AC62*$AA$38*'1.1 Control Panel'!AC960+AC63*$AB$38*'1.1 Control Panel'!AC960+AC64*$AC$38*'1.1 Control Panel'!AC960</f>
        <v>92000</v>
      </c>
      <c r="AD24" s="28">
        <f>AD40*$E$38*'1.1 Control Panel'!AD960+AD41*$F$38*'1.1 Control Panel'!AD960+AD42*$G$38*'1.1 Control Panel'!AD960+AD43*$H$38*'1.1 Control Panel'!AD960+AD44*$I$38*'1.1 Control Panel'!AD960+AD45*$J$38*'1.1 Control Panel'!AD960+AD46*$K$38*'1.1 Control Panel'!AD960+AD47*$L$38*'1.1 Control Panel'!AD960+AD48*$M$38*'1.1 Control Panel'!AD960+AD49*$N$38*'1.1 Control Panel'!AD960+AD50*$O$38*'1.1 Control Panel'!AD960+AD51*$P$38*'1.1 Control Panel'!AD960+AD52*$Q$38*'1.1 Control Panel'!AD960+AD53*$R$38*'1.1 Control Panel'!AD960+AD54*$S$38*'1.1 Control Panel'!AD960+AD55*$T$38*'1.1 Control Panel'!AD960+AD56*$U$38*'1.1 Control Panel'!AD960+AD57*$V$38*'1.1 Control Panel'!AD960+AD58*$W$38*'1.1 Control Panel'!AD960+AD59*$X$38*'1.1 Control Panel'!AD960+AD60*$Y$38*'1.1 Control Panel'!AD960+AD61*$Z$38*'1.1 Control Panel'!AD960+AD61*$AA$38*'1.1 Control Panel'!AD960+AD62*$AA$38*'1.1 Control Panel'!AD960+AD63*$AB$38*'1.1 Control Panel'!AD960+AD64*$AC$38*'1.1 Control Panel'!AD960+AD65*$AD$38*'1.1 Control Panel'!AD960</f>
        <v>0</v>
      </c>
      <c r="AE24" s="28">
        <f>AE40*$E$38*'1.1 Control Panel'!AE960+AE41*$F$38*'1.1 Control Panel'!AE960+AE42*$G$38*'1.1 Control Panel'!AE960+AE43*$H$38*'1.1 Control Panel'!AE960+AE44*$I$38*'1.1 Control Panel'!AE960+AE45*$J$38*'1.1 Control Panel'!AE960+AE46*$K$38*'1.1 Control Panel'!AE960+AE47*$L$38*'1.1 Control Panel'!AE960+AE48*$M$38*'1.1 Control Panel'!AE960+AE49*$N$38*'1.1 Control Panel'!AE960+AE50*$O$38*'1.1 Control Panel'!AE960+AE51*$P$38*'1.1 Control Panel'!AE960+AE52*$Q$38*'1.1 Control Panel'!AE960+AE53*$R$38*'1.1 Control Panel'!AE960+AE54*$S$38*'1.1 Control Panel'!AE960+AE55*$T$38*'1.1 Control Panel'!AE960+AE56*$U$38*'1.1 Control Panel'!AE960+AE57*$V$38*'1.1 Control Panel'!AE960+AE58*$W$38*'1.1 Control Panel'!AE960+AE59*$X$38*'1.1 Control Panel'!AE960+AE60*$Y$38*'1.1 Control Panel'!AE960+AE61*$Z$38*'1.1 Control Panel'!AE960+AE61*$AA$38*'1.1 Control Panel'!AE960+AE62*$AA$38*'1.1 Control Panel'!AE960+AE63*$AB$38*'1.1 Control Panel'!AE960+AE64*$AC$38*'1.1 Control Panel'!AE960+AE65*$AD$38*'1.1 Control Panel'!AE960+AE66*$AE$38*'1.1 Control Panel'!AE960</f>
        <v>0</v>
      </c>
      <c r="AF24" s="28">
        <f>AF40*$E$38*'1.1 Control Panel'!AF960+AF41*$F$38*'1.1 Control Panel'!AF960+AF42*$G$38*'1.1 Control Panel'!AF960+AF43*$H$38*'1.1 Control Panel'!AF960+AF44*$I$38*'1.1 Control Panel'!AF960+AF45*$J$38*'1.1 Control Panel'!AF960+AF46*$K$38*'1.1 Control Panel'!AF960+AF47*$L$38*'1.1 Control Panel'!AF960+AF48*$M$38*'1.1 Control Panel'!AF960+AF49*$N$38*'1.1 Control Panel'!AF960+AF50*$O$38*'1.1 Control Panel'!AF960+AF51*$P$38*'1.1 Control Panel'!AF960+AF52*$Q$38*'1.1 Control Panel'!AF960+AF53*$R$38*'1.1 Control Panel'!AF960+AF54*$S$38*'1.1 Control Panel'!AF960+AF55*$T$38*'1.1 Control Panel'!AF960+AF56*$U$38*'1.1 Control Panel'!AF960+AF57*$V$38*'1.1 Control Panel'!AF960+AF58*$W$38*'1.1 Control Panel'!AF960+AF59*$X$38*'1.1 Control Panel'!AF960+AF60*$Y$38*'1.1 Control Panel'!AF960+AF61*$Z$38*'1.1 Control Panel'!AF960+AF61*$AA$38*'1.1 Control Panel'!AF960+AF62*$AA$38*'1.1 Control Panel'!AF960+AF63*$AB$38*'1.1 Control Panel'!AF960+AF64*$AC$38*'1.1 Control Panel'!AF960+AF65*$AD$38*'1.1 Control Panel'!AF960+AF66*$AE$38*'1.1 Control Panel'!AF960+AF67*$AF$38*'1.1 Control Panel'!AF960</f>
        <v>0</v>
      </c>
      <c r="AG24" s="28">
        <f>AG40*$E$38*'1.1 Control Panel'!AG960+AG41*$F$38*'1.1 Control Panel'!AG960+AG42*$G$38*'1.1 Control Panel'!AG960+AG43*$H$38*'1.1 Control Panel'!AG960+AG44*$I$38*'1.1 Control Panel'!AG960+AG45*$J$38*'1.1 Control Panel'!AG960+AG46*$K$38*'1.1 Control Panel'!AG960+AG47*$L$38*'1.1 Control Panel'!AG960+AG48*$M$38*'1.1 Control Panel'!AG960+AG49*$N$38*'1.1 Control Panel'!AG960+AG50*$O$38*'1.1 Control Panel'!AG960+AG51*$P$38*'1.1 Control Panel'!AG960+AG52*$Q$38*'1.1 Control Panel'!AG960+AG53*$R$38*'1.1 Control Panel'!AG960+AG54*$S$38*'1.1 Control Panel'!AG960+AG55*$T$38*'1.1 Control Panel'!AG960+AG56*$U$38*'1.1 Control Panel'!AG960+AG57*$V$38*'1.1 Control Panel'!AG960+AG58*$W$38*'1.1 Control Panel'!AG960+AG59*$X$38*'1.1 Control Panel'!AG960+AG60*$Y$38*'1.1 Control Panel'!AG960+AG61*$Z$38*'1.1 Control Panel'!AG960+AG61*$AA$38*'1.1 Control Panel'!AG960+AG62*$AA$38*'1.1 Control Panel'!AG960+AG63*$AB$38*'1.1 Control Panel'!AG960+AG64*$AC$38*'1.1 Control Panel'!AG960+AG65*$AD$38*'1.1 Control Panel'!AG960+AG66*$AE$38*'1.1 Control Panel'!AG960+AG67*$AF$38*'1.1 Control Panel'!AG960+AG68*$AG$38*'1.1 Control Panel'!AG960</f>
        <v>100000</v>
      </c>
      <c r="AH24" s="28">
        <f>AH40*$E$38*'1.1 Control Panel'!AH960+AH41*$F$38*'1.1 Control Panel'!AH960+AH42*$G$38*'1.1 Control Panel'!AH960+AH43*$H$38*'1.1 Control Panel'!AH960+AH44*$I$38*'1.1 Control Panel'!AH960+AH45*$J$38*'1.1 Control Panel'!AH960+AH46*$K$38*'1.1 Control Panel'!AH960+AH47*$L$38*'1.1 Control Panel'!AH960+AH48*$M$38*'1.1 Control Panel'!AH960+AH49*$N$38*'1.1 Control Panel'!AH960+AH50*$O$38*'1.1 Control Panel'!AH960+AH51*$P$38*'1.1 Control Panel'!AH960+AH52*$Q$38*'1.1 Control Panel'!AH960+AH53*$R$38*'1.1 Control Panel'!AH960+AH54*$S$38*'1.1 Control Panel'!AH960+AH55*$T$38*'1.1 Control Panel'!AH960+AH56*$U$38*'1.1 Control Panel'!AH960+AH57*$V$38*'1.1 Control Panel'!AH960+AH58*$W$38*'1.1 Control Panel'!AH960+AH59*$X$38*'1.1 Control Panel'!AH960+AH60*$Y$38*'1.1 Control Panel'!AH960+AH61*$Z$38*'1.1 Control Panel'!AH960+AH61*$AA$38*'1.1 Control Panel'!AH960+AH62*$AA$38*'1.1 Control Panel'!AH960+AH63*$AB$38*'1.1 Control Panel'!AH960+AH64*$AC$38*'1.1 Control Panel'!AH960+AH65*$AD$38*'1.1 Control Panel'!AH960+AH66*$AE$38*'1.1 Control Panel'!AH960+AH67*$AF$38*'1.1 Control Panel'!AH960+AH68*$AG$38*'1.1 Control Panel'!AH960+AH69*$AH$38*'1.1 Control Panel'!AH960</f>
        <v>0</v>
      </c>
      <c r="AI24" s="28">
        <f>AI40*$E$38*'1.1 Control Panel'!AI960+AI41*$F$38*'1.1 Control Panel'!AI960+AI42*$G$38*'1.1 Control Panel'!AI960+AI43*$H$38*'1.1 Control Panel'!AI960+AI44*$I$38*'1.1 Control Panel'!AI960+AI45*$J$38*'1.1 Control Panel'!AI960+AI46*$K$38*'1.1 Control Panel'!AI960+AI47*$L$38*'1.1 Control Panel'!AI960+AI48*$M$38*'1.1 Control Panel'!AI960+AI49*$N$38*'1.1 Control Panel'!AI960+AI50*$O$38*'1.1 Control Panel'!AI960+AI51*$P$38*'1.1 Control Panel'!AI960+AI52*$Q$38*'1.1 Control Panel'!AI960+AI53*$R$38*'1.1 Control Panel'!AI960+AI54*$S$38*'1.1 Control Panel'!AI960+AI55*$T$38*'1.1 Control Panel'!AI960+AI56*$U$38*'1.1 Control Panel'!AI960+AI57*$V$38*'1.1 Control Panel'!AI960+AI58*$W$38*'1.1 Control Panel'!AI960+AI59*$X$38*'1.1 Control Panel'!AI960+AI60*$Y$38*'1.1 Control Panel'!AI960+AI61*$Z$38*'1.1 Control Panel'!AI960+AI61*$AA$38*'1.1 Control Panel'!AI960+AI62*$AA$38*'1.1 Control Panel'!AI960+AI63*$AB$38*'1.1 Control Panel'!AI960+AI64*$AC$38*'1.1 Control Panel'!AI960+AI65*$AD$38*'1.1 Control Panel'!AI960+AI66*$AE$38*'1.1 Control Panel'!AI960+AI67*$AF$38*'1.1 Control Panel'!AI960+AI68*$AG$38*'1.1 Control Panel'!AI960+AI69*$AH$38*'1.1 Control Panel'!AI960+AI70*$AI$38*'1.1 Control Panel'!AI960</f>
        <v>0</v>
      </c>
      <c r="AJ24" s="28">
        <f>AJ40*$E$38*'1.1 Control Panel'!AJ960+AJ41*$F$38*'1.1 Control Panel'!AJ960+AJ42*$G$38*'1.1 Control Panel'!AJ960+AJ43*$H$38*'1.1 Control Panel'!AJ960+AJ44*$I$38*'1.1 Control Panel'!AJ960+AJ45*$J$38*'1.1 Control Panel'!AJ960+AJ46*$K$38*'1.1 Control Panel'!AJ960+AJ47*$L$38*'1.1 Control Panel'!AJ960+AJ48*$M$38*'1.1 Control Panel'!AJ960+AJ49*$N$38*'1.1 Control Panel'!AJ960+AJ50*$O$38*'1.1 Control Panel'!AJ960+AJ51*$P$38*'1.1 Control Panel'!AJ960+AJ52*$Q$38*'1.1 Control Panel'!AJ960+AJ53*$R$38*'1.1 Control Panel'!AJ960+AJ54*$S$38*'1.1 Control Panel'!AJ960+AJ55*$T$38*'1.1 Control Panel'!AJ960+AJ56*$U$38*'1.1 Control Panel'!AJ960+AJ57*$V$38*'1.1 Control Panel'!AJ960+AJ58*$W$38*'1.1 Control Panel'!AJ960+AJ59*$X$38*'1.1 Control Panel'!AJ960+AJ60*$Y$38*'1.1 Control Panel'!AJ960+AJ61*$Z$38*'1.1 Control Panel'!AJ960+AJ61*$AA$38*'1.1 Control Panel'!AJ960+AJ62*$AA$38*'1.1 Control Panel'!AJ960+AJ63*$AB$38*'1.1 Control Panel'!AJ960+AJ64*$AC$38*'1.1 Control Panel'!AJ960+AJ65*$AD$38*'1.1 Control Panel'!AJ960+AJ66*$AE$38*'1.1 Control Panel'!AJ960+AJ67*$AF$38*'1.1 Control Panel'!AJ960+AJ68*$AG$38*'1.1 Control Panel'!AJ960+AJ69*$AH$38*'1.1 Control Panel'!AJ960+AJ70*$AI$38*'1.1 Control Panel'!AJ960+AJ71*$AJ$38*'1.1 Control Panel'!AJ960</f>
        <v>0</v>
      </c>
      <c r="AK24" s="28">
        <f>AK40*$E$38*'1.1 Control Panel'!AK960+AK41*$F$38*'1.1 Control Panel'!AK960+AK42*$G$38*'1.1 Control Panel'!AK960+AK43*$H$38*'1.1 Control Panel'!AK960+AK44*$I$38*'1.1 Control Panel'!AK960+AK45*$J$38*'1.1 Control Panel'!AK960+AK46*$K$38*'1.1 Control Panel'!AK960+AK47*$L$38*'1.1 Control Panel'!AK960+AK48*$M$38*'1.1 Control Panel'!AK960+AK49*$N$38*'1.1 Control Panel'!AK960+AK50*$O$38*'1.1 Control Panel'!AK960+AK51*$P$38*'1.1 Control Panel'!AK960+AK52*$Q$38*'1.1 Control Panel'!AK960+AK53*$R$38*'1.1 Control Panel'!AK960+AK54*$S$38*'1.1 Control Panel'!AK960+AK55*$T$38*'1.1 Control Panel'!AK960+AK56*$U$38*'1.1 Control Panel'!AK960+AK57*$V$38*'1.1 Control Panel'!AK960+AK58*$W$38*'1.1 Control Panel'!AK960+AK59*$X$38*'1.1 Control Panel'!AK960+AK60*$Y$38*'1.1 Control Panel'!AK960+AK61*$Z$38*'1.1 Control Panel'!AK960+AK61*$AA$38*'1.1 Control Panel'!AK960+AK62*$AA$38*'1.1 Control Panel'!AK960+AK63*$AB$38*'1.1 Control Panel'!AK960+AK64*$AC$38*'1.1 Control Panel'!AK960+AK65*$AD$38*'1.1 Control Panel'!AK960+AK66*$AE$38*'1.1 Control Panel'!AK960+AK67*$AF$38*'1.1 Control Panel'!AK960+AK68*$AG$38*'1.1 Control Panel'!AK960+AK69*$AH$38*'1.1 Control Panel'!AK960+AK70*$AI$38*'1.1 Control Panel'!AK960+AK71*$AJ$38*'1.1 Control Panel'!AK960+AK72*$AK$38*'1.1 Control Panel'!AK960</f>
        <v>80000</v>
      </c>
      <c r="AL24" s="28">
        <f>AL40*$E$38*'1.1 Control Panel'!AL960+AL41*$F$38*'1.1 Control Panel'!AL960+AL42*$G$38*'1.1 Control Panel'!AL960+AL43*$H$38*'1.1 Control Panel'!AL960+AL44*$I$38*'1.1 Control Panel'!AL960+AL45*$J$38*'1.1 Control Panel'!AL960+AL46*$K$38*'1.1 Control Panel'!AL960+AL47*$L$38*'1.1 Control Panel'!AL960+AL48*$M$38*'1.1 Control Panel'!AL960+AL49*$N$38*'1.1 Control Panel'!AL960+AL50*$O$38*'1.1 Control Panel'!AL960+AL51*$P$38*'1.1 Control Panel'!AL960+AL52*$Q$38*'1.1 Control Panel'!AL960+AL53*$R$38*'1.1 Control Panel'!AL960+AL54*$S$38*'1.1 Control Panel'!AL960+AL55*$T$38*'1.1 Control Panel'!AL960+AL56*$U$38*'1.1 Control Panel'!AL960+AL57*$V$38*'1.1 Control Panel'!AL960+AL58*$W$38*'1.1 Control Panel'!AL960+AL59*$X$38*'1.1 Control Panel'!AL960+AL60*$Y$38*'1.1 Control Panel'!AL960+AL61*$Z$38*'1.1 Control Panel'!AL960+AL61*$AA$38*'1.1 Control Panel'!AL960+AL62*$AA$38*'1.1 Control Panel'!AL960+AL63*$AB$38*'1.1 Control Panel'!AL960+AL64*$AC$38*'1.1 Control Panel'!AL960+AL65*$AD$38*'1.1 Control Panel'!AL960+AL66*$AE$38*'1.1 Control Panel'!AL960+AL67*$AF$38*'1.1 Control Panel'!AL960+AL68*$AG$38*'1.1 Control Panel'!AL960+AL69*$AH$38*'1.1 Control Panel'!AL960+AL70*$AI$38*'1.1 Control Panel'!AL960+AL71*$AJ$38*'1.1 Control Panel'!AL960+AL72*$AK$38*'1.1 Control Panel'!AL960+AL73*$AL$38*'1.1 Control Panel'!AL960</f>
        <v>0</v>
      </c>
      <c r="AM24" s="28">
        <f>AM40*$E$38*'1.1 Control Panel'!AM960+AM41*$F$38*'1.1 Control Panel'!AM960+AM42*$G$38*'1.1 Control Panel'!AM960+AM43*$H$38*'1.1 Control Panel'!AM960+AM44*$I$38*'1.1 Control Panel'!AM960+AM45*$J$38*'1.1 Control Panel'!AM960+AM46*$K$38*'1.1 Control Panel'!AM960+AM47*$L$38*'1.1 Control Panel'!AM960+AM48*$M$38*'1.1 Control Panel'!AM960+AM49*$N$38*'1.1 Control Panel'!AM960+AM50*$O$38*'1.1 Control Panel'!AM960+AM51*$P$38*'1.1 Control Panel'!AM960+AM52*$Q$38*'1.1 Control Panel'!AM960+AM53*$R$38*'1.1 Control Panel'!AM960+AM54*$S$38*'1.1 Control Panel'!AM960+AM55*$T$38*'1.1 Control Panel'!AM960+AM56*$U$38*'1.1 Control Panel'!AM960+AM57*$V$38*'1.1 Control Panel'!AM960+AM58*$W$38*'1.1 Control Panel'!AM960+AM59*$X$38*'1.1 Control Panel'!AM960+AM60*$Y$38*'1.1 Control Panel'!AM960+AM61*$Z$38*'1.1 Control Panel'!AM960+AM61*$AA$38*'1.1 Control Panel'!AM960+AM62*$AA$38*'1.1 Control Panel'!AM960+AM63*$AB$38*'1.1 Control Panel'!AM960+AM64*$AC$38*'1.1 Control Panel'!AM960+AM65*$AD$38*'1.1 Control Panel'!AM960+AM66*$AE$38*'1.1 Control Panel'!AM960+AM67*$AF$38*'1.1 Control Panel'!AM960+AM68*$AG$38*'1.1 Control Panel'!AM960+AM69*$AH$38*'1.1 Control Panel'!AM960+AM70*$AI$38*'1.1 Control Panel'!AM960+AM71*$AJ$38*'1.1 Control Panel'!AM960+AM72*$AK$38*'1.1 Control Panel'!AM960+AM73*$AL$38*'1.1 Control Panel'!AM960+AM74*$AM$38*'1.1 Control Panel'!AM960</f>
        <v>0</v>
      </c>
      <c r="AN24" s="28">
        <f>AN40*$E$38*'1.1 Control Panel'!AN960+AN41*$F$38*'1.1 Control Panel'!AN960+AN42*$G$38*'1.1 Control Panel'!AN960+AN43*$H$38*'1.1 Control Panel'!AN960+AN44*$I$38*'1.1 Control Panel'!AN960+AN45*$J$38*'1.1 Control Panel'!AN960+AN46*$K$38*'1.1 Control Panel'!AN960+AN47*$L$38*'1.1 Control Panel'!AN960+AN48*$M$38*'1.1 Control Panel'!AN960+AN49*$N$38*'1.1 Control Panel'!AN960+AN50*$O$38*'1.1 Control Panel'!AN960+AN51*$P$38*'1.1 Control Panel'!AN960+AN52*$Q$38*'1.1 Control Panel'!AN960+AN53*$R$38*'1.1 Control Panel'!AN960+AN54*$S$38*'1.1 Control Panel'!AN960+AN55*$T$38*'1.1 Control Panel'!AN960+AN56*$U$38*'1.1 Control Panel'!AN960+AN57*$V$38*'1.1 Control Panel'!AN960+AN58*$W$38*'1.1 Control Panel'!AN960+AN59*$X$38*'1.1 Control Panel'!AN960+AN60*$Y$38*'1.1 Control Panel'!AN960+AN61*$Z$38*'1.1 Control Panel'!AN960+AN61*$AA$38*'1.1 Control Panel'!AN960+AN62*$AA$38*'1.1 Control Panel'!AN960+AN63*$AB$38*'1.1 Control Panel'!AN960+AN64*$AC$38*'1.1 Control Panel'!AN960+AN65*$AD$38*'1.1 Control Panel'!AN960+AN66*$AE$38*'1.1 Control Panel'!AN960+AN67*$AF$38*'1.1 Control Panel'!AN960+AN68*$AG$38*'1.1 Control Panel'!AN960+AN69*$AH$38*'1.1 Control Panel'!AN960+AN70*$AI$38*'1.1 Control Panel'!AN960+AN71*$AJ$38*'1.1 Control Panel'!AN960+AN72*$AK$38*'1.1 Control Panel'!AN960+AN73*$AL$38*'1.1 Control Panel'!AN960+AN74*$AM$38*'1.1 Control Panel'!AN960+AN75*$AN$38*'1.1 Control Panel'!AN960</f>
        <v>0</v>
      </c>
      <c r="AP24" s="20"/>
    </row>
    <row r="25" spans="2:42" ht="11.5" customHeight="1" x14ac:dyDescent="0.25">
      <c r="C25" s="22" t="s">
        <v>858</v>
      </c>
      <c r="D25" s="96" t="s">
        <v>46</v>
      </c>
      <c r="E25" s="532">
        <f>'1.1 Control Panel'!E961*'3.5 Staff'!E14</f>
        <v>6000</v>
      </c>
      <c r="F25" s="532">
        <f>'1.1 Control Panel'!F961*'3.5 Staff'!F14</f>
        <v>6000</v>
      </c>
      <c r="G25" s="532">
        <f>'1.1 Control Panel'!G961*'3.5 Staff'!G14</f>
        <v>6000</v>
      </c>
      <c r="H25" s="532">
        <f>'1.1 Control Panel'!H961*'3.5 Staff'!H14</f>
        <v>6000</v>
      </c>
      <c r="I25" s="532">
        <f>'1.1 Control Panel'!I961*'3.5 Staff'!I14</f>
        <v>6000</v>
      </c>
      <c r="J25" s="532">
        <f>'1.1 Control Panel'!J961*'3.5 Staff'!J14</f>
        <v>6000</v>
      </c>
      <c r="K25" s="532">
        <f>'1.1 Control Panel'!K961*'3.5 Staff'!K14</f>
        <v>6000</v>
      </c>
      <c r="L25" s="532">
        <f>'1.1 Control Panel'!L961*'3.5 Staff'!L14</f>
        <v>6000</v>
      </c>
      <c r="M25" s="532">
        <f>'1.1 Control Panel'!M961*'3.5 Staff'!M14</f>
        <v>11000</v>
      </c>
      <c r="N25" s="532">
        <f>'1.1 Control Panel'!N961*'3.5 Staff'!N14</f>
        <v>11000</v>
      </c>
      <c r="O25" s="532">
        <f>'1.1 Control Panel'!O961*'3.5 Staff'!O14</f>
        <v>11000</v>
      </c>
      <c r="P25" s="532">
        <f>'1.1 Control Panel'!P961*'3.5 Staff'!P14</f>
        <v>11000</v>
      </c>
      <c r="Q25" s="532">
        <f>'1.1 Control Panel'!Q961*'3.5 Staff'!Q14</f>
        <v>26000</v>
      </c>
      <c r="R25" s="532">
        <f>'1.1 Control Panel'!R961*'3.5 Staff'!R14</f>
        <v>26000</v>
      </c>
      <c r="S25" s="532">
        <f>'1.1 Control Panel'!S961*'3.5 Staff'!S14</f>
        <v>26000</v>
      </c>
      <c r="T25" s="532">
        <f>'1.1 Control Panel'!T961*'3.5 Staff'!T14</f>
        <v>26000</v>
      </c>
      <c r="U25" s="532">
        <f>'1.1 Control Panel'!U961*'3.5 Staff'!U14</f>
        <v>36000</v>
      </c>
      <c r="V25" s="532">
        <f>'1.1 Control Panel'!V961*'3.5 Staff'!V14</f>
        <v>36000</v>
      </c>
      <c r="W25" s="532">
        <f>'1.1 Control Panel'!W961*'3.5 Staff'!W14</f>
        <v>36000</v>
      </c>
      <c r="X25" s="532">
        <f>'1.1 Control Panel'!X961*'3.5 Staff'!X14</f>
        <v>36000</v>
      </c>
      <c r="Y25" s="532">
        <f>'1.1 Control Panel'!Y961*'3.5 Staff'!Y14</f>
        <v>46000</v>
      </c>
      <c r="Z25" s="532">
        <f>'1.1 Control Panel'!Z961*'3.5 Staff'!Z14</f>
        <v>46000</v>
      </c>
      <c r="AA25" s="532">
        <f>'1.1 Control Panel'!AA961*'3.5 Staff'!AA14</f>
        <v>46000</v>
      </c>
      <c r="AB25" s="532">
        <f>'1.1 Control Panel'!AB961*'3.5 Staff'!AB14</f>
        <v>46000</v>
      </c>
      <c r="AC25" s="532">
        <f>'1.1 Control Panel'!AC961*'3.5 Staff'!AC14</f>
        <v>71000</v>
      </c>
      <c r="AD25" s="532">
        <f>'1.1 Control Panel'!AD961*'3.5 Staff'!AD14</f>
        <v>71000</v>
      </c>
      <c r="AE25" s="532">
        <f>'1.1 Control Panel'!AE961*'3.5 Staff'!AE14</f>
        <v>71000</v>
      </c>
      <c r="AF25" s="532">
        <f>'1.1 Control Panel'!AF961*'3.5 Staff'!AF14</f>
        <v>71000</v>
      </c>
      <c r="AG25" s="532">
        <f>'1.1 Control Panel'!AG961*'3.5 Staff'!AG14</f>
        <v>111000</v>
      </c>
      <c r="AH25" s="532">
        <f>'1.1 Control Panel'!AH961*'3.5 Staff'!AH14</f>
        <v>111000</v>
      </c>
      <c r="AI25" s="532">
        <f>'1.1 Control Panel'!AI961*'3.5 Staff'!AI14</f>
        <v>111000</v>
      </c>
      <c r="AJ25" s="532">
        <f>'1.1 Control Panel'!AJ961*'3.5 Staff'!AJ14</f>
        <v>111000</v>
      </c>
      <c r="AK25" s="532">
        <f>'1.1 Control Panel'!AK961*'3.5 Staff'!AK14</f>
        <v>136000</v>
      </c>
      <c r="AL25" s="532">
        <f>'1.1 Control Panel'!AL961*'3.5 Staff'!AL14</f>
        <v>136000</v>
      </c>
      <c r="AM25" s="532">
        <f>'1.1 Control Panel'!AM961*'3.5 Staff'!AM14</f>
        <v>136000</v>
      </c>
      <c r="AN25" s="532">
        <f>'1.1 Control Panel'!AN961*'3.5 Staff'!AN14</f>
        <v>136000</v>
      </c>
      <c r="AP25" s="26"/>
    </row>
    <row r="26" spans="2:42" ht="11.5" customHeight="1" x14ac:dyDescent="0.25">
      <c r="B26" s="19" t="s">
        <v>9</v>
      </c>
      <c r="C26" s="18" t="s">
        <v>849</v>
      </c>
      <c r="D26" s="316" t="s">
        <v>46</v>
      </c>
      <c r="E26" s="765">
        <f>'1.1 Control Panel'!E963*'3.4 OpEx'!E12</f>
        <v>23262.961261082368</v>
      </c>
      <c r="F26" s="596">
        <f ca="1">'1.1 Control Panel'!F963*'3.4 OpEx'!F12</f>
        <v>14969.894385</v>
      </c>
      <c r="G26" s="596">
        <f ca="1">'1.1 Control Panel'!G963*'3.4 OpEx'!G12</f>
        <v>18166.938194999999</v>
      </c>
      <c r="H26" s="596">
        <f ca="1">'1.1 Control Panel'!H963*'3.4 OpEx'!H12</f>
        <v>20632.58266</v>
      </c>
      <c r="I26" s="596">
        <f ca="1">'1.1 Control Panel'!I963*'3.4 OpEx'!I12</f>
        <v>31926.087565000009</v>
      </c>
      <c r="J26" s="596">
        <f ca="1">'1.1 Control Panel'!J963*'3.4 OpEx'!J12</f>
        <v>48351.257030000001</v>
      </c>
      <c r="K26" s="596">
        <f ca="1">'1.1 Control Panel'!K963*'3.4 OpEx'!K12</f>
        <v>54885.433578000011</v>
      </c>
      <c r="L26" s="596">
        <f ca="1">'1.1 Control Panel'!L963*'3.4 OpEx'!L12</f>
        <v>65249.350292400006</v>
      </c>
      <c r="M26" s="596">
        <f ca="1">'1.1 Control Panel'!M963*'3.4 OpEx'!M12</f>
        <v>86583.884068231797</v>
      </c>
      <c r="N26" s="596">
        <f ca="1">'1.1 Control Panel'!N963*'3.4 OpEx'!N12</f>
        <v>97276.509398136011</v>
      </c>
      <c r="O26" s="596">
        <f ca="1">'1.1 Control Panel'!O963*'3.4 OpEx'!O12</f>
        <v>115230.51439013921</v>
      </c>
      <c r="P26" s="596">
        <f ca="1">'1.1 Control Panel'!P963*'3.4 OpEx'!P12</f>
        <v>133716.45314681571</v>
      </c>
      <c r="Q26" s="596">
        <f ca="1">'1.1 Control Panel'!Q963*'3.4 OpEx'!Q12</f>
        <v>194990.64976144998</v>
      </c>
      <c r="R26" s="596">
        <f ca="1">'1.1 Control Panel'!R963*'3.4 OpEx'!R12</f>
        <v>198069.23753971176</v>
      </c>
      <c r="S26" s="596">
        <f ca="1">'1.1 Control Panel'!S963*'3.4 OpEx'!S12</f>
        <v>216610.10832601937</v>
      </c>
      <c r="T26" s="596">
        <f ca="1">'1.1 Control Panel'!T963*'3.4 OpEx'!T12</f>
        <v>234082.41554106551</v>
      </c>
      <c r="U26" s="596">
        <f ca="1">'1.1 Control Panel'!U963*'3.4 OpEx'!U12</f>
        <v>299913.72220531246</v>
      </c>
      <c r="V26" s="596">
        <f ca="1">'1.1 Control Panel'!V963*'3.4 OpEx'!V12</f>
        <v>304745.59659945115</v>
      </c>
      <c r="W26" s="596">
        <f ca="1">'1.1 Control Panel'!W963*'3.4 OpEx'!W12</f>
        <v>331367.14744206099</v>
      </c>
      <c r="X26" s="596">
        <f ca="1">'1.1 Control Panel'!X963*'3.4 OpEx'!X12</f>
        <v>353510.38652214879</v>
      </c>
      <c r="Y26" s="596">
        <f ca="1">'1.1 Control Panel'!Y963*'3.4 OpEx'!Y12</f>
        <v>389218.47628196637</v>
      </c>
      <c r="Z26" s="596">
        <f ca="1">'1.1 Control Panel'!Z963*'3.4 OpEx'!Z12</f>
        <v>411748.64066052431</v>
      </c>
      <c r="AA26" s="596">
        <f ca="1">'1.1 Control Panel'!AA963*'3.4 OpEx'!AA12</f>
        <v>439376.20938116946</v>
      </c>
      <c r="AB26" s="596">
        <f ca="1">'1.1 Control Panel'!AB963*'3.4 OpEx'!AB12</f>
        <v>464965.38316093554</v>
      </c>
      <c r="AC26" s="596">
        <f ca="1">'1.1 Control Panel'!AC963*'3.4 OpEx'!AC12</f>
        <v>621257.97103660216</v>
      </c>
      <c r="AD26" s="596">
        <f ca="1">'1.1 Control Panel'!AD963*'3.4 OpEx'!AD12</f>
        <v>605887.64673285617</v>
      </c>
      <c r="AE26" s="596">
        <f ca="1">'1.1 Control Panel'!AE963*'3.4 OpEx'!AE12</f>
        <v>634789.38315247255</v>
      </c>
      <c r="AF26" s="596">
        <f ca="1">'1.1 Control Panel'!AF963*'3.4 OpEx'!AF12</f>
        <v>659197.90965922794</v>
      </c>
      <c r="AG26" s="596">
        <f ca="1">'1.1 Control Panel'!AG963*'3.4 OpEx'!AG12</f>
        <v>811131.01879991079</v>
      </c>
      <c r="AH26" s="596">
        <f ca="1">'1.1 Control Panel'!AH963*'3.4 OpEx'!AH12</f>
        <v>811442.69542423333</v>
      </c>
      <c r="AI26" s="596">
        <f ca="1">'1.1 Control Panel'!AI963*'3.4 OpEx'!AI12</f>
        <v>879085.84105244919</v>
      </c>
      <c r="AJ26" s="596">
        <f ca="1">'1.1 Control Panel'!AJ963*'3.4 OpEx'!AJ12</f>
        <v>937271.59375433438</v>
      </c>
      <c r="AK26" s="596">
        <f ca="1">'1.1 Control Panel'!AK963*'3.4 OpEx'!AK12</f>
        <v>1087688.3205171318</v>
      </c>
      <c r="AL26" s="596">
        <f ca="1">'1.1 Control Panel'!AL963*'3.4 OpEx'!AL12</f>
        <v>1121633.2675739962</v>
      </c>
      <c r="AM26" s="596">
        <f ca="1">'1.1 Control Panel'!AM963*'3.4 OpEx'!AM12</f>
        <v>1209220.1986136348</v>
      </c>
      <c r="AN26" s="596">
        <f ca="1">'1.1 Control Panel'!AN963*'3.4 OpEx'!AN12</f>
        <v>1285431.7060190327</v>
      </c>
      <c r="AP26" s="17"/>
    </row>
    <row r="27" spans="2:42" ht="3" customHeight="1" x14ac:dyDescent="0.25"/>
    <row r="28" spans="2:42" ht="11.4" customHeight="1" x14ac:dyDescent="0.25">
      <c r="C28" s="3" t="s">
        <v>871</v>
      </c>
      <c r="E28" s="3">
        <v>0</v>
      </c>
      <c r="F28" s="2">
        <f>E31</f>
        <v>301894.70509178843</v>
      </c>
      <c r="G28" s="2">
        <f t="shared" ref="G28:AN28" ca="1" si="34">F31</f>
        <v>321844.81652489852</v>
      </c>
      <c r="H28" s="2">
        <f t="shared" ca="1" si="34"/>
        <v>593897.93670013361</v>
      </c>
      <c r="I28" s="2">
        <f t="shared" ca="1" si="34"/>
        <v>1116269.2023385873</v>
      </c>
      <c r="J28" s="2">
        <f t="shared" ca="1" si="34"/>
        <v>1397757.808985739</v>
      </c>
      <c r="K28" s="2">
        <f t="shared" ca="1" si="34"/>
        <v>1693958.5072966511</v>
      </c>
      <c r="L28" s="2">
        <f t="shared" ca="1" si="34"/>
        <v>1994932.4723834633</v>
      </c>
      <c r="M28" s="2">
        <f t="shared" ca="1" si="34"/>
        <v>2553953.4067182788</v>
      </c>
      <c r="N28" s="2">
        <f t="shared" ca="1" si="34"/>
        <v>2647217.5555906743</v>
      </c>
      <c r="O28" s="2">
        <f t="shared" ca="1" si="34"/>
        <v>2989328.7873065858</v>
      </c>
      <c r="P28" s="2">
        <f t="shared" ca="1" si="34"/>
        <v>3097509.634381609</v>
      </c>
      <c r="Q28" s="2">
        <f t="shared" ca="1" si="34"/>
        <v>3222736.947364273</v>
      </c>
      <c r="R28" s="2">
        <f t="shared" ca="1" si="34"/>
        <v>3464420.317163846</v>
      </c>
      <c r="S28" s="2">
        <f t="shared" ca="1" si="34"/>
        <v>4163563.39997647</v>
      </c>
      <c r="T28" s="2">
        <f t="shared" ca="1" si="34"/>
        <v>4377670.9382715141</v>
      </c>
      <c r="U28" s="2">
        <f t="shared" ca="1" si="34"/>
        <v>4606641.0076902155</v>
      </c>
      <c r="V28" s="2">
        <f t="shared" ca="1" si="34"/>
        <v>4928200.7251528585</v>
      </c>
      <c r="W28" s="2">
        <f t="shared" ca="1" si="34"/>
        <v>5230786.7767621307</v>
      </c>
      <c r="X28" s="2">
        <f t="shared" ca="1" si="34"/>
        <v>5556164.9776639249</v>
      </c>
      <c r="Y28" s="2">
        <f t="shared" ca="1" si="34"/>
        <v>5899755.4227833822</v>
      </c>
      <c r="Z28" s="2">
        <f t="shared" ca="1" si="34"/>
        <v>6314939.9391984819</v>
      </c>
      <c r="AA28" s="2">
        <f t="shared" ca="1" si="34"/>
        <v>6718002.6051651761</v>
      </c>
      <c r="AB28" s="2">
        <f t="shared" ca="1" si="34"/>
        <v>7143998.8297482617</v>
      </c>
      <c r="AC28" s="2">
        <f t="shared" ca="1" si="34"/>
        <v>7590779.3497933177</v>
      </c>
      <c r="AD28" s="2">
        <f t="shared" ca="1" si="34"/>
        <v>8305685.3257261282</v>
      </c>
      <c r="AE28" s="2">
        <f t="shared" ca="1" si="34"/>
        <v>8906718.5906515066</v>
      </c>
      <c r="AF28" s="2">
        <f t="shared" ca="1" si="34"/>
        <v>9530374.893468447</v>
      </c>
      <c r="AG28" s="2">
        <f t="shared" ca="1" si="34"/>
        <v>10171929.537314577</v>
      </c>
      <c r="AH28" s="2">
        <f t="shared" ca="1" si="34"/>
        <v>11097558.271700434</v>
      </c>
      <c r="AI28" s="2">
        <f t="shared" ca="1" si="34"/>
        <v>11913655.82080598</v>
      </c>
      <c r="AJ28" s="2">
        <f t="shared" ca="1" si="34"/>
        <v>12787620.414422082</v>
      </c>
      <c r="AK28" s="2">
        <f t="shared" ca="1" si="34"/>
        <v>13709732.516084222</v>
      </c>
      <c r="AL28" s="2">
        <f t="shared" ca="1" si="34"/>
        <v>14876413.511354428</v>
      </c>
      <c r="AM28" s="2">
        <f t="shared" ca="1" si="34"/>
        <v>15984765.867039641</v>
      </c>
      <c r="AN28" s="2">
        <f t="shared" ca="1" si="34"/>
        <v>17168345.042376604</v>
      </c>
    </row>
    <row r="29" spans="2:42" ht="11.4" customHeight="1" x14ac:dyDescent="0.25">
      <c r="C29" s="3" t="s">
        <v>869</v>
      </c>
      <c r="E29" s="2">
        <f>E10</f>
        <v>302762.96126108238</v>
      </c>
      <c r="F29" s="2">
        <f ca="1">F10</f>
        <v>21969.894385</v>
      </c>
      <c r="G29" s="2">
        <f t="shared" ref="G29:AN29" ca="1" si="35">G10</f>
        <v>275166.938195</v>
      </c>
      <c r="H29" s="2">
        <f t="shared" ca="1" si="35"/>
        <v>527632.58265999996</v>
      </c>
      <c r="I29" s="2">
        <f t="shared" ca="1" si="35"/>
        <v>288926.08756499999</v>
      </c>
      <c r="J29" s="2">
        <f t="shared" ca="1" si="35"/>
        <v>305351.25702999998</v>
      </c>
      <c r="K29" s="2">
        <f t="shared" ca="1" si="35"/>
        <v>311885.433578</v>
      </c>
      <c r="L29" s="2">
        <f t="shared" ca="1" si="35"/>
        <v>572249.35029239999</v>
      </c>
      <c r="M29" s="2">
        <f t="shared" ca="1" si="35"/>
        <v>108583.8840682318</v>
      </c>
      <c r="N29" s="2">
        <f t="shared" ca="1" si="35"/>
        <v>359276.509398136</v>
      </c>
      <c r="O29" s="2">
        <f t="shared" ca="1" si="35"/>
        <v>127230.51439013921</v>
      </c>
      <c r="P29" s="2">
        <f t="shared" ca="1" si="35"/>
        <v>145716.45314681571</v>
      </c>
      <c r="Q29" s="2">
        <f t="shared" ca="1" si="35"/>
        <v>263990.64976145001</v>
      </c>
      <c r="R29" s="2">
        <f t="shared" ca="1" si="35"/>
        <v>725069.23753971176</v>
      </c>
      <c r="S29" s="2">
        <f t="shared" ca="1" si="35"/>
        <v>243610.10832601937</v>
      </c>
      <c r="T29" s="2">
        <f t="shared" ca="1" si="35"/>
        <v>261082.41554106551</v>
      </c>
      <c r="U29" s="2">
        <f t="shared" ca="1" si="35"/>
        <v>356913.72220531246</v>
      </c>
      <c r="V29" s="2">
        <f t="shared" ca="1" si="35"/>
        <v>341745.59659945115</v>
      </c>
      <c r="W29" s="2">
        <f t="shared" ca="1" si="35"/>
        <v>368367.14744206099</v>
      </c>
      <c r="X29" s="2">
        <f t="shared" ca="1" si="35"/>
        <v>390510.38652214879</v>
      </c>
      <c r="Y29" s="2">
        <f t="shared" ca="1" si="35"/>
        <v>466218.47628196637</v>
      </c>
      <c r="Z29" s="2">
        <f t="shared" ca="1" si="35"/>
        <v>458748.64066052431</v>
      </c>
      <c r="AA29" s="2">
        <f t="shared" ca="1" si="35"/>
        <v>486376.20938116946</v>
      </c>
      <c r="AB29" s="2">
        <f t="shared" ca="1" si="35"/>
        <v>511965.38316093554</v>
      </c>
      <c r="AC29" s="2">
        <f t="shared" ca="1" si="35"/>
        <v>785257.97103660216</v>
      </c>
      <c r="AD29" s="2">
        <f t="shared" ca="1" si="35"/>
        <v>677887.64673285617</v>
      </c>
      <c r="AE29" s="2">
        <f t="shared" ca="1" si="35"/>
        <v>706789.38315247255</v>
      </c>
      <c r="AF29" s="2">
        <f t="shared" ca="1" si="35"/>
        <v>731197.90965922794</v>
      </c>
      <c r="AG29" s="2">
        <f t="shared" ca="1" si="35"/>
        <v>1023131.0187999108</v>
      </c>
      <c r="AH29" s="2">
        <f t="shared" ca="1" si="35"/>
        <v>923442.69542423333</v>
      </c>
      <c r="AI29" s="2">
        <f t="shared" ca="1" si="35"/>
        <v>991085.84105244919</v>
      </c>
      <c r="AJ29" s="2">
        <f t="shared" ca="1" si="35"/>
        <v>1049271.5937543344</v>
      </c>
      <c r="AK29" s="2">
        <f t="shared" ca="1" si="35"/>
        <v>1304688.3205171318</v>
      </c>
      <c r="AL29" s="2">
        <f t="shared" ca="1" si="35"/>
        <v>1258633.2675739962</v>
      </c>
      <c r="AM29" s="2">
        <f t="shared" ca="1" si="35"/>
        <v>1346220.1986136348</v>
      </c>
      <c r="AN29" s="2">
        <f t="shared" ca="1" si="35"/>
        <v>1422431.7060190327</v>
      </c>
    </row>
    <row r="30" spans="2:42" ht="11.4" customHeight="1" x14ac:dyDescent="0.25">
      <c r="C30" s="3" t="s">
        <v>49</v>
      </c>
      <c r="E30" s="2">
        <f>-'3.7 D&amp;A'!E10</f>
        <v>-868.25616929392163</v>
      </c>
      <c r="F30" s="2">
        <f ca="1">-'3.7 D&amp;A'!F10</f>
        <v>-2019.7829518899266</v>
      </c>
      <c r="G30" s="2">
        <f ca="1">-'3.7 D&amp;A'!G10</f>
        <v>-3113.8180197649262</v>
      </c>
      <c r="H30" s="2">
        <f ca="1">-'3.7 D&amp;A'!H10</f>
        <v>-5261.317021546176</v>
      </c>
      <c r="I30" s="2">
        <f ca="1">-'3.7 D&amp;A'!I10</f>
        <v>-7437.4809178482601</v>
      </c>
      <c r="J30" s="2">
        <f ca="1">-'3.7 D&amp;A'!J10</f>
        <v>-9150.5587190878432</v>
      </c>
      <c r="K30" s="2">
        <f ca="1">-'3.7 D&amp;A'!K10</f>
        <v>-10911.468491187845</v>
      </c>
      <c r="L30" s="2">
        <f ca="1">-'3.7 D&amp;A'!L10</f>
        <v>-13228.415957584508</v>
      </c>
      <c r="M30" s="2">
        <f ca="1">-'3.7 D&amp;A'!M10</f>
        <v>-15319.735195835825</v>
      </c>
      <c r="N30" s="2">
        <f ca="1">-'3.7 D&amp;A'!N10</f>
        <v>-17165.277682224092</v>
      </c>
      <c r="O30" s="2">
        <f ca="1">-'3.7 D&amp;A'!O10</f>
        <v>-19049.667315116334</v>
      </c>
      <c r="P30" s="2">
        <f ca="1">-'3.7 D&amp;A'!P10</f>
        <v>-20489.140164151657</v>
      </c>
      <c r="Q30" s="2">
        <f ca="1">-'3.7 D&amp;A'!Q10</f>
        <v>-22307.279961877211</v>
      </c>
      <c r="R30" s="2">
        <f ca="1">-'3.7 D&amp;A'!R10</f>
        <v>-25926.154727087964</v>
      </c>
      <c r="S30" s="2">
        <f ca="1">-'3.7 D&amp;A'!S10</f>
        <v>-29502.570030974905</v>
      </c>
      <c r="T30" s="2">
        <f ca="1">-'3.7 D&amp;A'!T10</f>
        <v>-32112.346122364663</v>
      </c>
      <c r="U30" s="2">
        <f ca="1">-'3.7 D&amp;A'!U10</f>
        <v>-35354.004742669611</v>
      </c>
      <c r="V30" s="2">
        <f ca="1">-'3.7 D&amp;A'!V10</f>
        <v>-39159.544990179536</v>
      </c>
      <c r="W30" s="2">
        <f ca="1">-'3.7 D&amp;A'!W10</f>
        <v>-42988.946540266013</v>
      </c>
      <c r="X30" s="2">
        <f ca="1">-'3.7 D&amp;A'!X10</f>
        <v>-46919.94140269146</v>
      </c>
      <c r="Y30" s="2">
        <f ca="1">-'3.7 D&amp;A'!Y10</f>
        <v>-51033.959866866702</v>
      </c>
      <c r="Z30" s="2">
        <f ca="1">-'3.7 D&amp;A'!Z10</f>
        <v>-55685.97469383022</v>
      </c>
      <c r="AA30" s="2">
        <f ca="1">-'3.7 D&amp;A'!AA10</f>
        <v>-60379.984798083751</v>
      </c>
      <c r="AB30" s="2">
        <f ca="1">-'3.7 D&amp;A'!AB10</f>
        <v>-65184.863115879809</v>
      </c>
      <c r="AC30" s="2">
        <f ca="1">-'3.7 D&amp;A'!AC10</f>
        <v>-70351.995103791342</v>
      </c>
      <c r="AD30" s="2">
        <f ca="1">-'3.7 D&amp;A'!AD10</f>
        <v>-76854.381807477708</v>
      </c>
      <c r="AE30" s="2">
        <f ca="1">-'3.7 D&amp;A'!AE10</f>
        <v>-83133.080335531282</v>
      </c>
      <c r="AF30" s="2">
        <f ca="1">-'3.7 D&amp;A'!AF10</f>
        <v>-89643.265813096514</v>
      </c>
      <c r="AG30" s="2">
        <f ca="1">-'3.7 D&amp;A'!AG10</f>
        <v>-97502.284414053051</v>
      </c>
      <c r="AH30" s="2">
        <f ca="1">-'3.7 D&amp;A'!AH10</f>
        <v>-107345.14631868669</v>
      </c>
      <c r="AI30" s="2">
        <f ca="1">-'3.7 D&amp;A'!AI10</f>
        <v>-117121.24743634644</v>
      </c>
      <c r="AJ30" s="2">
        <f ca="1">-'3.7 D&amp;A'!AJ10</f>
        <v>-127159.49209219392</v>
      </c>
      <c r="AK30" s="2">
        <f ca="1">-'3.7 D&amp;A'!AK10</f>
        <v>-138007.32524692614</v>
      </c>
      <c r="AL30" s="2">
        <f ca="1">-'3.7 D&amp;A'!AL10</f>
        <v>-150280.91188878266</v>
      </c>
      <c r="AM30" s="2">
        <f ca="1">-'3.7 D&amp;A'!AM10</f>
        <v>-162641.02327667354</v>
      </c>
      <c r="AN30" s="2">
        <f ca="1">-'3.7 D&amp;A'!AN10</f>
        <v>-183689.11413219792</v>
      </c>
    </row>
    <row r="31" spans="2:42" ht="11.4" customHeight="1" x14ac:dyDescent="0.25">
      <c r="C31" s="3" t="s">
        <v>870</v>
      </c>
      <c r="E31" s="2">
        <f>SUM(E28:E30)</f>
        <v>301894.70509178843</v>
      </c>
      <c r="F31" s="2">
        <f ca="1">SUM(F28:F30)</f>
        <v>321844.81652489852</v>
      </c>
      <c r="G31" s="2">
        <f t="shared" ref="G31:AN31" ca="1" si="36">SUM(G28:G30)</f>
        <v>593897.93670013361</v>
      </c>
      <c r="H31" s="2">
        <f t="shared" ca="1" si="36"/>
        <v>1116269.2023385873</v>
      </c>
      <c r="I31" s="2">
        <f t="shared" ca="1" si="36"/>
        <v>1397757.808985739</v>
      </c>
      <c r="J31" s="2">
        <f t="shared" ca="1" si="36"/>
        <v>1693958.5072966511</v>
      </c>
      <c r="K31" s="2">
        <f t="shared" ca="1" si="36"/>
        <v>1994932.4723834633</v>
      </c>
      <c r="L31" s="2">
        <f t="shared" ca="1" si="36"/>
        <v>2553953.4067182788</v>
      </c>
      <c r="M31" s="2">
        <f t="shared" ca="1" si="36"/>
        <v>2647217.5555906743</v>
      </c>
      <c r="N31" s="2">
        <f t="shared" ca="1" si="36"/>
        <v>2989328.7873065858</v>
      </c>
      <c r="O31" s="2">
        <f t="shared" ca="1" si="36"/>
        <v>3097509.634381609</v>
      </c>
      <c r="P31" s="2">
        <f t="shared" ca="1" si="36"/>
        <v>3222736.947364273</v>
      </c>
      <c r="Q31" s="2">
        <f t="shared" ca="1" si="36"/>
        <v>3464420.317163846</v>
      </c>
      <c r="R31" s="2">
        <f t="shared" ca="1" si="36"/>
        <v>4163563.39997647</v>
      </c>
      <c r="S31" s="2">
        <f t="shared" ca="1" si="36"/>
        <v>4377670.9382715141</v>
      </c>
      <c r="T31" s="2">
        <f t="shared" ca="1" si="36"/>
        <v>4606641.0076902155</v>
      </c>
      <c r="U31" s="2">
        <f t="shared" ca="1" si="36"/>
        <v>4928200.7251528585</v>
      </c>
      <c r="V31" s="2">
        <f t="shared" ca="1" si="36"/>
        <v>5230786.7767621307</v>
      </c>
      <c r="W31" s="2">
        <f t="shared" ca="1" si="36"/>
        <v>5556164.9776639249</v>
      </c>
      <c r="X31" s="2">
        <f t="shared" ca="1" si="36"/>
        <v>5899755.4227833822</v>
      </c>
      <c r="Y31" s="2">
        <f t="shared" ca="1" si="36"/>
        <v>6314939.9391984819</v>
      </c>
      <c r="Z31" s="2">
        <f t="shared" ca="1" si="36"/>
        <v>6718002.6051651761</v>
      </c>
      <c r="AA31" s="2">
        <f t="shared" ca="1" si="36"/>
        <v>7143998.8297482617</v>
      </c>
      <c r="AB31" s="2">
        <f t="shared" ca="1" si="36"/>
        <v>7590779.3497933177</v>
      </c>
      <c r="AC31" s="2">
        <f t="shared" ca="1" si="36"/>
        <v>8305685.3257261282</v>
      </c>
      <c r="AD31" s="2">
        <f t="shared" ca="1" si="36"/>
        <v>8906718.5906515066</v>
      </c>
      <c r="AE31" s="2">
        <f t="shared" ca="1" si="36"/>
        <v>9530374.893468447</v>
      </c>
      <c r="AF31" s="2">
        <f t="shared" ca="1" si="36"/>
        <v>10171929.537314577</v>
      </c>
      <c r="AG31" s="2">
        <f t="shared" ca="1" si="36"/>
        <v>11097558.271700434</v>
      </c>
      <c r="AH31" s="2">
        <f t="shared" ca="1" si="36"/>
        <v>11913655.82080598</v>
      </c>
      <c r="AI31" s="2">
        <f t="shared" ca="1" si="36"/>
        <v>12787620.414422082</v>
      </c>
      <c r="AJ31" s="2">
        <f t="shared" ca="1" si="36"/>
        <v>13709732.516084222</v>
      </c>
      <c r="AK31" s="2">
        <f t="shared" ca="1" si="36"/>
        <v>14876413.511354428</v>
      </c>
      <c r="AL31" s="2">
        <f t="shared" ca="1" si="36"/>
        <v>15984765.867039641</v>
      </c>
      <c r="AM31" s="2">
        <f t="shared" ca="1" si="36"/>
        <v>17168345.042376604</v>
      </c>
      <c r="AN31" s="2">
        <f t="shared" ca="1" si="36"/>
        <v>18407087.634263437</v>
      </c>
    </row>
    <row r="32" spans="2:42" ht="11.4" customHeight="1" x14ac:dyDescent="0.25"/>
    <row r="33" spans="3:40" ht="11.4" customHeight="1" x14ac:dyDescent="0.25"/>
    <row r="34" spans="3:40" ht="3" customHeight="1" x14ac:dyDescent="0.25"/>
    <row r="35" spans="3:40" ht="11.75" customHeight="1" x14ac:dyDescent="0.25">
      <c r="E35" s="3">
        <f>12*'1.1 Control Panel'!E974</f>
        <v>12</v>
      </c>
    </row>
    <row r="36" spans="3:40" x14ac:dyDescent="0.25">
      <c r="D36" s="236" t="s">
        <v>93</v>
      </c>
      <c r="E36" s="3">
        <v>1</v>
      </c>
      <c r="F36" s="3">
        <f>E36</f>
        <v>1</v>
      </c>
      <c r="G36" s="3">
        <f t="shared" ref="G36:AN36" si="37">F36</f>
        <v>1</v>
      </c>
      <c r="H36" s="3">
        <f t="shared" si="37"/>
        <v>1</v>
      </c>
      <c r="I36" s="3">
        <f t="shared" si="37"/>
        <v>1</v>
      </c>
      <c r="J36" s="3">
        <f t="shared" si="37"/>
        <v>1</v>
      </c>
      <c r="K36" s="3">
        <f t="shared" si="37"/>
        <v>1</v>
      </c>
      <c r="L36" s="3">
        <f t="shared" si="37"/>
        <v>1</v>
      </c>
      <c r="M36" s="3">
        <f t="shared" si="37"/>
        <v>1</v>
      </c>
      <c r="N36" s="3">
        <f t="shared" si="37"/>
        <v>1</v>
      </c>
      <c r="O36" s="3">
        <f t="shared" si="37"/>
        <v>1</v>
      </c>
      <c r="P36" s="3">
        <f t="shared" si="37"/>
        <v>1</v>
      </c>
      <c r="Q36" s="3">
        <v>2</v>
      </c>
      <c r="R36" s="3">
        <f t="shared" si="37"/>
        <v>2</v>
      </c>
      <c r="S36" s="3">
        <f t="shared" si="37"/>
        <v>2</v>
      </c>
      <c r="T36" s="3">
        <f t="shared" si="37"/>
        <v>2</v>
      </c>
      <c r="U36" s="3">
        <f t="shared" si="37"/>
        <v>2</v>
      </c>
      <c r="V36" s="3">
        <f t="shared" si="37"/>
        <v>2</v>
      </c>
      <c r="W36" s="3">
        <f t="shared" si="37"/>
        <v>2</v>
      </c>
      <c r="X36" s="3">
        <f t="shared" si="37"/>
        <v>2</v>
      </c>
      <c r="Y36" s="3">
        <f t="shared" si="37"/>
        <v>2</v>
      </c>
      <c r="Z36" s="3">
        <f t="shared" si="37"/>
        <v>2</v>
      </c>
      <c r="AA36" s="3">
        <f t="shared" si="37"/>
        <v>2</v>
      </c>
      <c r="AB36" s="3">
        <f t="shared" si="37"/>
        <v>2</v>
      </c>
      <c r="AC36" s="3">
        <v>3</v>
      </c>
      <c r="AD36" s="3">
        <f t="shared" si="37"/>
        <v>3</v>
      </c>
      <c r="AE36" s="3">
        <f t="shared" si="37"/>
        <v>3</v>
      </c>
      <c r="AF36" s="3">
        <f t="shared" si="37"/>
        <v>3</v>
      </c>
      <c r="AG36" s="3">
        <f t="shared" si="37"/>
        <v>3</v>
      </c>
      <c r="AH36" s="3">
        <f t="shared" si="37"/>
        <v>3</v>
      </c>
      <c r="AI36" s="3">
        <f t="shared" si="37"/>
        <v>3</v>
      </c>
      <c r="AJ36" s="3">
        <f t="shared" si="37"/>
        <v>3</v>
      </c>
      <c r="AK36" s="3">
        <f t="shared" si="37"/>
        <v>3</v>
      </c>
      <c r="AL36" s="3">
        <f t="shared" si="37"/>
        <v>3</v>
      </c>
      <c r="AM36" s="3">
        <f t="shared" si="37"/>
        <v>3</v>
      </c>
      <c r="AN36" s="3">
        <f t="shared" si="37"/>
        <v>3</v>
      </c>
    </row>
    <row r="37" spans="3:40" x14ac:dyDescent="0.25">
      <c r="D37" s="236" t="s">
        <v>862</v>
      </c>
      <c r="E37" s="3">
        <f>E36</f>
        <v>1</v>
      </c>
      <c r="F37" s="3">
        <f>E37+1</f>
        <v>2</v>
      </c>
      <c r="G37" s="3">
        <f t="shared" ref="G37:AN37" si="38">F37+1</f>
        <v>3</v>
      </c>
      <c r="H37" s="3">
        <f t="shared" si="38"/>
        <v>4</v>
      </c>
      <c r="I37" s="3">
        <f t="shared" si="38"/>
        <v>5</v>
      </c>
      <c r="J37" s="3">
        <f t="shared" si="38"/>
        <v>6</v>
      </c>
      <c r="K37" s="3">
        <f t="shared" si="38"/>
        <v>7</v>
      </c>
      <c r="L37" s="3">
        <f t="shared" si="38"/>
        <v>8</v>
      </c>
      <c r="M37" s="3">
        <f t="shared" si="38"/>
        <v>9</v>
      </c>
      <c r="N37" s="3">
        <f t="shared" si="38"/>
        <v>10</v>
      </c>
      <c r="O37" s="3">
        <f t="shared" si="38"/>
        <v>11</v>
      </c>
      <c r="P37" s="3">
        <f t="shared" si="38"/>
        <v>12</v>
      </c>
      <c r="Q37" s="3">
        <f t="shared" si="38"/>
        <v>13</v>
      </c>
      <c r="R37" s="3">
        <f t="shared" si="38"/>
        <v>14</v>
      </c>
      <c r="S37" s="3">
        <f t="shared" si="38"/>
        <v>15</v>
      </c>
      <c r="T37" s="3">
        <f t="shared" si="38"/>
        <v>16</v>
      </c>
      <c r="U37" s="3">
        <f t="shared" si="38"/>
        <v>17</v>
      </c>
      <c r="V37" s="3">
        <f t="shared" si="38"/>
        <v>18</v>
      </c>
      <c r="W37" s="3">
        <f t="shared" si="38"/>
        <v>19</v>
      </c>
      <c r="X37" s="3">
        <f t="shared" si="38"/>
        <v>20</v>
      </c>
      <c r="Y37" s="3">
        <f t="shared" si="38"/>
        <v>21</v>
      </c>
      <c r="Z37" s="3">
        <f t="shared" si="38"/>
        <v>22</v>
      </c>
      <c r="AA37" s="3">
        <f t="shared" si="38"/>
        <v>23</v>
      </c>
      <c r="AB37" s="3">
        <f t="shared" si="38"/>
        <v>24</v>
      </c>
      <c r="AC37" s="3">
        <f t="shared" si="38"/>
        <v>25</v>
      </c>
      <c r="AD37" s="3">
        <f t="shared" si="38"/>
        <v>26</v>
      </c>
      <c r="AE37" s="3">
        <f t="shared" si="38"/>
        <v>27</v>
      </c>
      <c r="AF37" s="3">
        <f t="shared" si="38"/>
        <v>28</v>
      </c>
      <c r="AG37" s="3">
        <f t="shared" si="38"/>
        <v>29</v>
      </c>
      <c r="AH37" s="3">
        <f t="shared" si="38"/>
        <v>30</v>
      </c>
      <c r="AI37" s="3">
        <f t="shared" si="38"/>
        <v>31</v>
      </c>
      <c r="AJ37" s="3">
        <f t="shared" si="38"/>
        <v>32</v>
      </c>
      <c r="AK37" s="3">
        <f t="shared" si="38"/>
        <v>33</v>
      </c>
      <c r="AL37" s="3">
        <f t="shared" si="38"/>
        <v>34</v>
      </c>
      <c r="AM37" s="3">
        <f t="shared" si="38"/>
        <v>35</v>
      </c>
      <c r="AN37" s="3">
        <f t="shared" si="38"/>
        <v>36</v>
      </c>
    </row>
    <row r="38" spans="3:40" ht="11.5" customHeight="1" x14ac:dyDescent="0.25">
      <c r="C38" s="3" t="s">
        <v>135</v>
      </c>
      <c r="D38" s="236" t="s">
        <v>46</v>
      </c>
      <c r="E38" s="3">
        <f>'3.5 Staff'!E14</f>
        <v>12</v>
      </c>
      <c r="F38" s="3">
        <f>'3.5 Staff'!F14-'3.5 Staff'!E14</f>
        <v>0</v>
      </c>
      <c r="G38" s="3">
        <f>'3.5 Staff'!G14-'3.5 Staff'!F14</f>
        <v>0</v>
      </c>
      <c r="H38" s="3">
        <f>'3.5 Staff'!H14-'3.5 Staff'!G14</f>
        <v>0</v>
      </c>
      <c r="I38" s="3">
        <f>'3.5 Staff'!I14-'3.5 Staff'!H14</f>
        <v>0</v>
      </c>
      <c r="J38" s="3">
        <f>'3.5 Staff'!J14-'3.5 Staff'!I14</f>
        <v>0</v>
      </c>
      <c r="K38" s="3">
        <f>'3.5 Staff'!K14-'3.5 Staff'!J14</f>
        <v>0</v>
      </c>
      <c r="L38" s="3">
        <f>'3.5 Staff'!L14-'3.5 Staff'!K14</f>
        <v>0</v>
      </c>
      <c r="M38" s="3">
        <f>'3.5 Staff'!M14-'3.5 Staff'!L14</f>
        <v>10</v>
      </c>
      <c r="N38" s="3">
        <f>'3.5 Staff'!N14-'3.5 Staff'!M14</f>
        <v>0</v>
      </c>
      <c r="O38" s="3">
        <f>'3.5 Staff'!O14-'3.5 Staff'!N14</f>
        <v>0</v>
      </c>
      <c r="P38" s="3">
        <f>'3.5 Staff'!P14-'3.5 Staff'!O14</f>
        <v>0</v>
      </c>
      <c r="Q38" s="3">
        <f>'3.5 Staff'!Q14-'3.5 Staff'!P14</f>
        <v>30</v>
      </c>
      <c r="R38" s="3">
        <f>'3.5 Staff'!R14-'3.5 Staff'!Q14</f>
        <v>0</v>
      </c>
      <c r="S38" s="3">
        <f>'3.5 Staff'!S14-'3.5 Staff'!R14</f>
        <v>0</v>
      </c>
      <c r="T38" s="3">
        <f>'3.5 Staff'!T14-'3.5 Staff'!S14</f>
        <v>0</v>
      </c>
      <c r="U38" s="3">
        <f>'3.5 Staff'!U14-'3.5 Staff'!T14</f>
        <v>20</v>
      </c>
      <c r="V38" s="3">
        <f>'3.5 Staff'!V14-'3.5 Staff'!U14</f>
        <v>0</v>
      </c>
      <c r="W38" s="3">
        <f>'3.5 Staff'!W14-'3.5 Staff'!V14</f>
        <v>0</v>
      </c>
      <c r="X38" s="3">
        <f>'3.5 Staff'!X14-'3.5 Staff'!W14</f>
        <v>0</v>
      </c>
      <c r="Y38" s="3">
        <f>'3.5 Staff'!Y14-'3.5 Staff'!X14</f>
        <v>20</v>
      </c>
      <c r="Z38" s="3">
        <f>'3.5 Staff'!Z14-'3.5 Staff'!Y14</f>
        <v>0</v>
      </c>
      <c r="AA38" s="3">
        <f>'3.5 Staff'!AA14-'3.5 Staff'!Z14</f>
        <v>0</v>
      </c>
      <c r="AB38" s="3">
        <f>'3.5 Staff'!AB14-'3.5 Staff'!AA14</f>
        <v>0</v>
      </c>
      <c r="AC38" s="3">
        <f>'3.5 Staff'!AC14-'3.5 Staff'!AB14</f>
        <v>50</v>
      </c>
      <c r="AD38" s="3">
        <f>'3.5 Staff'!AD14-'3.5 Staff'!AC14</f>
        <v>0</v>
      </c>
      <c r="AE38" s="3">
        <f>'3.5 Staff'!AE14-'3.5 Staff'!AD14</f>
        <v>0</v>
      </c>
      <c r="AF38" s="3">
        <f>'3.5 Staff'!AF14-'3.5 Staff'!AE14</f>
        <v>0</v>
      </c>
      <c r="AG38" s="3">
        <f>'3.5 Staff'!AG14-'3.5 Staff'!AF14</f>
        <v>80</v>
      </c>
      <c r="AH38" s="3">
        <f>'3.5 Staff'!AH14-'3.5 Staff'!AG14</f>
        <v>0</v>
      </c>
      <c r="AI38" s="3">
        <f>'3.5 Staff'!AI14-'3.5 Staff'!AH14</f>
        <v>0</v>
      </c>
      <c r="AJ38" s="3">
        <f>'3.5 Staff'!AJ14-'3.5 Staff'!AI14</f>
        <v>0</v>
      </c>
      <c r="AK38" s="3">
        <f>'3.5 Staff'!AK14-'3.5 Staff'!AJ14</f>
        <v>50</v>
      </c>
      <c r="AL38" s="3">
        <f>'3.5 Staff'!AL14-'3.5 Staff'!AK14</f>
        <v>0</v>
      </c>
      <c r="AM38" s="3">
        <f>'3.5 Staff'!AM14-'3.5 Staff'!AL14</f>
        <v>0</v>
      </c>
      <c r="AN38" s="3">
        <f>'3.5 Staff'!AN14-'3.5 Staff'!AM14</f>
        <v>0</v>
      </c>
    </row>
    <row r="39" spans="3:40" ht="11.5" customHeight="1" x14ac:dyDescent="0.25"/>
    <row r="40" spans="3:40" ht="11.5" customHeight="1" x14ac:dyDescent="0.25">
      <c r="C40" s="3">
        <f>60*3.6725</f>
        <v>220.35</v>
      </c>
      <c r="E40" s="3">
        <v>1</v>
      </c>
      <c r="F40" s="3">
        <f>IF(F37&lt;=MAX(1,SUM($D40:E40))*$E$35,0,1)</f>
        <v>0</v>
      </c>
      <c r="G40" s="3">
        <f>IF(G37&lt;=MAX(1,SUM($D40:F40))*$E$35,0,1)</f>
        <v>0</v>
      </c>
      <c r="H40" s="3">
        <f>IF(H37&lt;=MAX(1,SUM($D40:G40))*$E$35,0,1)</f>
        <v>0</v>
      </c>
      <c r="I40" s="3">
        <f>IF(I37&lt;=MAX(1,SUM($D40:H40))*$E$35,0,1)</f>
        <v>0</v>
      </c>
      <c r="J40" s="3">
        <f>IF(J37&lt;=MAX(1,SUM($D40:I40))*$E$35,0,1)</f>
        <v>0</v>
      </c>
      <c r="K40" s="3">
        <f>IF(K37&lt;=MAX(1,SUM($D40:J40))*$E$35,0,1)</f>
        <v>0</v>
      </c>
      <c r="L40" s="3">
        <f>IF(L37&lt;=MAX(1,SUM($D40:K40))*$E$35,0,1)</f>
        <v>0</v>
      </c>
      <c r="M40" s="3">
        <f>IF(M37&lt;=MAX(1,SUM($D40:L40))*$E$35,0,1)</f>
        <v>0</v>
      </c>
      <c r="N40" s="3">
        <f>IF(N37&lt;=MAX(1,SUM($D40:M40))*$E$35,0,1)</f>
        <v>0</v>
      </c>
      <c r="O40" s="3">
        <f>IF(O37&lt;=MAX(1,SUM($D40:N40))*$E$35,0,1)</f>
        <v>0</v>
      </c>
      <c r="P40" s="3">
        <f>IF(P37&lt;=MAX(1,SUM($D40:O40))*$E$35,0,1)</f>
        <v>0</v>
      </c>
      <c r="Q40" s="3">
        <f>IF(Q37&lt;=MAX(1,SUM($D40:P40))*$E$35,0,1)</f>
        <v>1</v>
      </c>
      <c r="R40" s="3">
        <f>IF(R37&lt;=MAX(1,SUM($D40:Q40))*$E$35,0,1)</f>
        <v>0</v>
      </c>
      <c r="S40" s="3">
        <f>IF(S37&lt;=MAX(1,SUM($D40:R40))*$E$35,0,1)</f>
        <v>0</v>
      </c>
      <c r="T40" s="3">
        <f>IF(T37&lt;=MAX(1,SUM($D40:S40))*$E$35,0,1)</f>
        <v>0</v>
      </c>
      <c r="U40" s="3">
        <f>IF(U37&lt;=MAX(1,SUM($D40:T40))*$E$35,0,1)</f>
        <v>0</v>
      </c>
      <c r="V40" s="3">
        <f>IF(V37&lt;=MAX(1,SUM($D40:U40))*$E$35,0,1)</f>
        <v>0</v>
      </c>
      <c r="W40" s="3">
        <f>IF(W37&lt;=MAX(1,SUM($D40:V40))*$E$35,0,1)</f>
        <v>0</v>
      </c>
      <c r="X40" s="3">
        <f>IF(X37&lt;=MAX(1,SUM($D40:W40))*$E$35,0,1)</f>
        <v>0</v>
      </c>
      <c r="Y40" s="3">
        <f>IF(Y37&lt;=MAX(1,SUM($D40:X40))*$E$35,0,1)</f>
        <v>0</v>
      </c>
      <c r="Z40" s="3">
        <f>IF(Z37&lt;=MAX(1,SUM($D40:Y40))*$E$35,0,1)</f>
        <v>0</v>
      </c>
      <c r="AA40" s="3">
        <f>IF(AA37&lt;=MAX(1,SUM($D40:Z40))*$E$35,0,1)</f>
        <v>0</v>
      </c>
      <c r="AB40" s="3">
        <f>IF(AB37&lt;=MAX(1,SUM($D40:AA40))*$E$35,0,1)</f>
        <v>0</v>
      </c>
      <c r="AC40" s="3">
        <f>IF(AC37&lt;=MAX(1,SUM($D40:AB40))*$E$35,0,1)</f>
        <v>1</v>
      </c>
      <c r="AD40" s="3">
        <f>IF(AD37&lt;=MAX(1,SUM($D40:AC40))*$E$35,0,1)</f>
        <v>0</v>
      </c>
      <c r="AE40" s="3">
        <f>IF(AE37&lt;=MAX(1,SUM($D40:AD40))*$E$35,0,1)</f>
        <v>0</v>
      </c>
      <c r="AF40" s="3">
        <f>IF(AF37&lt;=MAX(1,SUM($D40:AE40))*$E$35,0,1)</f>
        <v>0</v>
      </c>
      <c r="AG40" s="3">
        <f>IF(AG37&lt;=MAX(1,SUM($D40:AF40))*$E$35,0,1)</f>
        <v>0</v>
      </c>
      <c r="AH40" s="3">
        <f>IF(AH37&lt;=MAX(1,SUM($D40:AG40))*$E$35,0,1)</f>
        <v>0</v>
      </c>
      <c r="AI40" s="3">
        <f>IF(AI37&lt;=MAX(1,SUM($D40:AH40))*$E$35,0,1)</f>
        <v>0</v>
      </c>
      <c r="AJ40" s="3">
        <f>IF(AJ37&lt;=MAX(1,SUM($D40:AI40))*$E$35,0,1)</f>
        <v>0</v>
      </c>
      <c r="AK40" s="3">
        <f>IF(AK37&lt;=MAX(1,SUM($D40:AJ40))*$E$35,0,1)</f>
        <v>0</v>
      </c>
      <c r="AL40" s="3">
        <f>IF(AL37&lt;=MAX(1,SUM($D40:AK40))*$E$35,0,1)</f>
        <v>0</v>
      </c>
      <c r="AM40" s="3">
        <f>IF(AM37&lt;=MAX(1,SUM($D40:AL40))*$E$35,0,1)</f>
        <v>0</v>
      </c>
      <c r="AN40" s="3">
        <f>IF(AN37&lt;=MAX(1,SUM($D40:AM40))*$E$35,0,1)</f>
        <v>0</v>
      </c>
    </row>
    <row r="41" spans="3:40" ht="11.5" customHeight="1" x14ac:dyDescent="0.25">
      <c r="F41" s="3">
        <v>1</v>
      </c>
      <c r="G41" s="3">
        <f>IF(F37&lt;=MAX(1,SUM($E41:F41))*$E$35,0,1)</f>
        <v>0</v>
      </c>
      <c r="H41" s="3">
        <f>IF(G37&lt;=MAX(1,SUM($E41:G41))*$E$35,0,1)</f>
        <v>0</v>
      </c>
      <c r="I41" s="3">
        <f>IF(H37&lt;=MAX(1,SUM($E41:H41))*$E$35,0,1)</f>
        <v>0</v>
      </c>
      <c r="J41" s="3">
        <f>IF(I37&lt;=MAX(1,SUM($E41:I41))*$E$35,0,1)</f>
        <v>0</v>
      </c>
      <c r="K41" s="3">
        <f>IF(J37&lt;=MAX(1,SUM($E41:J41))*$E$35,0,1)</f>
        <v>0</v>
      </c>
      <c r="L41" s="3">
        <f>IF(K37&lt;=MAX(1,SUM($E41:K41))*$E$35,0,1)</f>
        <v>0</v>
      </c>
      <c r="M41" s="3">
        <f>IF(L37&lt;=MAX(1,SUM($E41:L41))*$E$35,0,1)</f>
        <v>0</v>
      </c>
      <c r="N41" s="3">
        <f>IF(M37&lt;=MAX(1,SUM($E41:M41))*$E$35,0,1)</f>
        <v>0</v>
      </c>
      <c r="O41" s="3">
        <f>IF(N37&lt;=MAX(1,SUM($E41:N41))*$E$35,0,1)</f>
        <v>0</v>
      </c>
      <c r="P41" s="3">
        <f>IF(O37&lt;=MAX(1,SUM($E41:O41))*$E$35,0,1)</f>
        <v>0</v>
      </c>
      <c r="Q41" s="3">
        <f>IF(P37&lt;=MAX(1,SUM($E41:P41))*$E$35,0,1)</f>
        <v>0</v>
      </c>
      <c r="R41" s="3">
        <f>IF(Q37&lt;=MAX(1,SUM($E41:Q41))*$E$35,0,1)</f>
        <v>1</v>
      </c>
      <c r="S41" s="3">
        <f>IF(R37&lt;=MAX(1,SUM($E41:R41))*$E$35,0,1)</f>
        <v>0</v>
      </c>
      <c r="T41" s="3">
        <f>IF(S37&lt;=MAX(1,SUM($E41:S41))*$E$35,0,1)</f>
        <v>0</v>
      </c>
      <c r="U41" s="3">
        <f>IF(T37&lt;=MAX(1,SUM($E41:T41))*$E$35,0,1)</f>
        <v>0</v>
      </c>
      <c r="V41" s="3">
        <f>IF(U37&lt;=MAX(1,SUM($E41:U41))*$E$35,0,1)</f>
        <v>0</v>
      </c>
      <c r="W41" s="3">
        <f>IF(V37&lt;=MAX(1,SUM($E41:V41))*$E$35,0,1)</f>
        <v>0</v>
      </c>
      <c r="X41" s="3">
        <f>IF(W37&lt;=MAX(1,SUM($E41:W41))*$E$35,0,1)</f>
        <v>0</v>
      </c>
      <c r="Y41" s="3">
        <f>IF(X37&lt;=MAX(1,SUM($E41:X41))*$E$35,0,1)</f>
        <v>0</v>
      </c>
      <c r="Z41" s="3">
        <f>IF(Y37&lt;=MAX(1,SUM($E41:Y41))*$E$35,0,1)</f>
        <v>0</v>
      </c>
      <c r="AA41" s="3">
        <f>IF(Z37&lt;=MAX(1,SUM($E41:Z41))*$E$35,0,1)</f>
        <v>0</v>
      </c>
      <c r="AB41" s="3">
        <f>IF(AA37&lt;=MAX(1,SUM($E41:AA41))*$E$35,0,1)</f>
        <v>0</v>
      </c>
      <c r="AC41" s="3">
        <f>IF(AB37&lt;=MAX(1,SUM($E41:AB41))*$E$35,0,1)</f>
        <v>0</v>
      </c>
      <c r="AD41" s="3">
        <f>IF(AC37&lt;=MAX(1,SUM($E41:AC41))*$E$35,0,1)</f>
        <v>1</v>
      </c>
      <c r="AE41" s="3">
        <f>IF(AD37&lt;=MAX(1,SUM($E41:AD41))*$E$35,0,1)</f>
        <v>0</v>
      </c>
      <c r="AF41" s="3">
        <f>IF(AE37&lt;=MAX(1,SUM($E41:AE41))*$E$35,0,1)</f>
        <v>0</v>
      </c>
      <c r="AG41" s="3">
        <f>IF(AF37&lt;=MAX(1,SUM($E41:AF41))*$E$35,0,1)</f>
        <v>0</v>
      </c>
      <c r="AH41" s="3">
        <f>IF(AG37&lt;=MAX(1,SUM($E41:AG41))*$E$35,0,1)</f>
        <v>0</v>
      </c>
      <c r="AI41" s="3">
        <f>IF(AH37&lt;=MAX(1,SUM($E41:AH41))*$E$35,0,1)</f>
        <v>0</v>
      </c>
      <c r="AJ41" s="3">
        <f>IF(AI37&lt;=MAX(1,SUM($E41:AI41))*$E$35,0,1)</f>
        <v>0</v>
      </c>
      <c r="AK41" s="3">
        <f>IF(AJ37&lt;=MAX(1,SUM($E41:AJ41))*$E$35,0,1)</f>
        <v>0</v>
      </c>
      <c r="AL41" s="3">
        <f>IF(AK37&lt;=MAX(1,SUM($E41:AK41))*$E$35,0,1)</f>
        <v>0</v>
      </c>
      <c r="AM41" s="3">
        <f>IF(AL37&lt;=MAX(1,SUM($E41:AL41))*$E$35,0,1)</f>
        <v>0</v>
      </c>
      <c r="AN41" s="3">
        <f>IF(AM37&lt;=MAX(1,SUM($E41:AM41))*$E$35,0,1)</f>
        <v>0</v>
      </c>
    </row>
    <row r="42" spans="3:40" ht="11.5" customHeight="1" x14ac:dyDescent="0.25">
      <c r="G42" s="3">
        <v>1</v>
      </c>
      <c r="H42" s="3">
        <f>IF(F37&lt;=MAX(1,SUM($F42:G42))*$E$35,0,1)</f>
        <v>0</v>
      </c>
      <c r="I42" s="3">
        <f>IF(G37&lt;=MAX(1,SUM($F42:H42))*$E$35,0,1)</f>
        <v>0</v>
      </c>
      <c r="J42" s="3">
        <f>IF(H37&lt;=MAX(1,SUM($F42:I42))*$E$35,0,1)</f>
        <v>0</v>
      </c>
      <c r="K42" s="3">
        <f>IF(I37&lt;=MAX(1,SUM($F42:J42))*$E$35,0,1)</f>
        <v>0</v>
      </c>
      <c r="L42" s="3">
        <f>IF(J37&lt;=MAX(1,SUM($F42:K42))*$E$35,0,1)</f>
        <v>0</v>
      </c>
      <c r="M42" s="3">
        <f>IF(K37&lt;=MAX(1,SUM($F42:L42))*$E$35,0,1)</f>
        <v>0</v>
      </c>
      <c r="N42" s="3">
        <f>IF(L37&lt;=MAX(1,SUM($F42:M42))*$E$35,0,1)</f>
        <v>0</v>
      </c>
      <c r="O42" s="3">
        <f>IF(M37&lt;=MAX(1,SUM($F42:N42))*$E$35,0,1)</f>
        <v>0</v>
      </c>
      <c r="P42" s="3">
        <f>IF(N37&lt;=MAX(1,SUM($F42:O42))*$E$35,0,1)</f>
        <v>0</v>
      </c>
      <c r="Q42" s="3">
        <f>IF(O37&lt;=MAX(1,SUM($F42:P42))*$E$35,0,1)</f>
        <v>0</v>
      </c>
      <c r="R42" s="3">
        <f>IF(P37&lt;=MAX(1,SUM($F42:Q42))*$E$35,0,1)</f>
        <v>0</v>
      </c>
      <c r="S42" s="3">
        <f>IF(Q37&lt;=MAX(1,SUM($F42:R42))*$E$35,0,1)</f>
        <v>1</v>
      </c>
      <c r="T42" s="3">
        <f>IF(R37&lt;=MAX(1,SUM($F42:S42))*$E$35,0,1)</f>
        <v>0</v>
      </c>
      <c r="U42" s="3">
        <f>IF(S37&lt;=MAX(1,SUM($F42:T42))*$E$35,0,1)</f>
        <v>0</v>
      </c>
      <c r="V42" s="3">
        <f>IF(T37&lt;=MAX(1,SUM($F42:U42))*$E$35,0,1)</f>
        <v>0</v>
      </c>
      <c r="W42" s="3">
        <f>IF(U37&lt;=MAX(1,SUM($F42:V42))*$E$35,0,1)</f>
        <v>0</v>
      </c>
      <c r="X42" s="3">
        <f>IF(V37&lt;=MAX(1,SUM($F42:W42))*$E$35,0,1)</f>
        <v>0</v>
      </c>
      <c r="Y42" s="3">
        <f>IF(W37&lt;=MAX(1,SUM($F42:X42))*$E$35,0,1)</f>
        <v>0</v>
      </c>
      <c r="Z42" s="3">
        <f>IF(X37&lt;=MAX(1,SUM($F42:Y42))*$E$35,0,1)</f>
        <v>0</v>
      </c>
      <c r="AA42" s="3">
        <f>IF(Y37&lt;=MAX(1,SUM($F42:Z42))*$E$35,0,1)</f>
        <v>0</v>
      </c>
      <c r="AB42" s="3">
        <f>IF(Z37&lt;=MAX(1,SUM($F42:AA42))*$E$35,0,1)</f>
        <v>0</v>
      </c>
      <c r="AC42" s="3">
        <f>IF(AA37&lt;=MAX(1,SUM($F42:AB42))*$E$35,0,1)</f>
        <v>0</v>
      </c>
      <c r="AD42" s="3">
        <f>IF(AB37&lt;=MAX(1,SUM($F42:AC42))*$E$35,0,1)</f>
        <v>0</v>
      </c>
      <c r="AE42" s="3">
        <f>IF(AC37&lt;=MAX(1,SUM($F42:AD42))*$E$35,0,1)</f>
        <v>1</v>
      </c>
      <c r="AF42" s="3">
        <f>IF(AD37&lt;=MAX(1,SUM($F42:AE42))*$E$35,0,1)</f>
        <v>0</v>
      </c>
      <c r="AG42" s="3">
        <f>IF(AE37&lt;=MAX(1,SUM($F42:AF42))*$E$35,0,1)</f>
        <v>0</v>
      </c>
      <c r="AH42" s="3">
        <f>IF(AF37&lt;=MAX(1,SUM($F42:AG42))*$E$35,0,1)</f>
        <v>0</v>
      </c>
      <c r="AI42" s="3">
        <f>IF(AG37&lt;=MAX(1,SUM($F42:AH42))*$E$35,0,1)</f>
        <v>0</v>
      </c>
      <c r="AJ42" s="3">
        <f>IF(AH37&lt;=MAX(1,SUM($F42:AI42))*$E$35,0,1)</f>
        <v>0</v>
      </c>
      <c r="AK42" s="3">
        <f>IF(AI37&lt;=MAX(1,SUM($F42:AJ42))*$E$35,0,1)</f>
        <v>0</v>
      </c>
      <c r="AL42" s="3">
        <f>IF(AJ37&lt;=MAX(1,SUM($F42:AK42))*$E$35,0,1)</f>
        <v>0</v>
      </c>
      <c r="AM42" s="3">
        <f>IF(AK37&lt;=MAX(1,SUM($F42:AL42))*$E$35,0,1)</f>
        <v>0</v>
      </c>
      <c r="AN42" s="3">
        <f>IF(AL37&lt;=MAX(1,SUM($F42:AM42))*$E$35,0,1)</f>
        <v>0</v>
      </c>
    </row>
    <row r="43" spans="3:40" ht="11.5" customHeight="1" x14ac:dyDescent="0.25">
      <c r="H43" s="3">
        <v>1</v>
      </c>
      <c r="I43" s="3">
        <f>IF(F37&lt;=MAX(1,SUM($G43:H43))*$E$35,0,1)</f>
        <v>0</v>
      </c>
      <c r="J43" s="3">
        <f>IF(G37&lt;=MAX(1,SUM($G43:I43))*$E$35,0,1)</f>
        <v>0</v>
      </c>
      <c r="K43" s="3">
        <f>IF(H37&lt;=MAX(1,SUM($G43:J43))*$E$35,0,1)</f>
        <v>0</v>
      </c>
      <c r="L43" s="3">
        <f>IF(I37&lt;=MAX(1,SUM($G43:K43))*$E$35,0,1)</f>
        <v>0</v>
      </c>
      <c r="M43" s="3">
        <f>IF(J37&lt;=MAX(1,SUM($G43:L43))*$E$35,0,1)</f>
        <v>0</v>
      </c>
      <c r="N43" s="3">
        <f>IF(K37&lt;=MAX(1,SUM($G43:M43))*$E$35,0,1)</f>
        <v>0</v>
      </c>
      <c r="O43" s="3">
        <f>IF(L37&lt;=MAX(1,SUM($G43:N43))*$E$35,0,1)</f>
        <v>0</v>
      </c>
      <c r="P43" s="3">
        <f>IF(M37&lt;=MAX(1,SUM($G43:O43))*$E$35,0,1)</f>
        <v>0</v>
      </c>
      <c r="Q43" s="3">
        <f>IF(N37&lt;=MAX(1,SUM($G43:P43))*$E$35,0,1)</f>
        <v>0</v>
      </c>
      <c r="R43" s="3">
        <f>IF(O37&lt;=MAX(1,SUM($G43:Q43))*$E$35,0,1)</f>
        <v>0</v>
      </c>
      <c r="S43" s="3">
        <f>IF(P37&lt;=MAX(1,SUM($G43:R43))*$E$35,0,1)</f>
        <v>0</v>
      </c>
      <c r="T43" s="3">
        <f>IF(Q37&lt;=MAX(1,SUM($G43:S43))*$E$35,0,1)</f>
        <v>1</v>
      </c>
      <c r="U43" s="3">
        <f>IF(R37&lt;=MAX(1,SUM($G43:T43))*$E$35,0,1)</f>
        <v>0</v>
      </c>
      <c r="V43" s="3">
        <f>IF(S37&lt;=MAX(1,SUM($G43:U43))*$E$35,0,1)</f>
        <v>0</v>
      </c>
      <c r="W43" s="3">
        <f>IF(T37&lt;=MAX(1,SUM($G43:V43))*$E$35,0,1)</f>
        <v>0</v>
      </c>
      <c r="X43" s="3">
        <f>IF(U37&lt;=MAX(1,SUM($G43:W43))*$E$35,0,1)</f>
        <v>0</v>
      </c>
      <c r="Y43" s="3">
        <f>IF(V37&lt;=MAX(1,SUM($G43:X43))*$E$35,0,1)</f>
        <v>0</v>
      </c>
      <c r="Z43" s="3">
        <f>IF(W37&lt;=MAX(1,SUM($G43:Y43))*$E$35,0,1)</f>
        <v>0</v>
      </c>
      <c r="AA43" s="3">
        <f>IF(X37&lt;=MAX(1,SUM($G43:Z43))*$E$35,0,1)</f>
        <v>0</v>
      </c>
      <c r="AB43" s="3">
        <f>IF(Y37&lt;=MAX(1,SUM($G43:AA43))*$E$35,0,1)</f>
        <v>0</v>
      </c>
      <c r="AC43" s="3">
        <f>IF(Z37&lt;=MAX(1,SUM($G43:AB43))*$E$35,0,1)</f>
        <v>0</v>
      </c>
      <c r="AD43" s="3">
        <f>IF(AA37&lt;=MAX(1,SUM($G43:AC43))*$E$35,0,1)</f>
        <v>0</v>
      </c>
      <c r="AE43" s="3">
        <f>IF(AB37&lt;=MAX(1,SUM($G43:AD43))*$E$35,0,1)</f>
        <v>0</v>
      </c>
      <c r="AF43" s="3">
        <f>IF(AC37&lt;=MAX(1,SUM($G43:AE43))*$E$35,0,1)</f>
        <v>1</v>
      </c>
      <c r="AG43" s="3">
        <f>IF(AD37&lt;=MAX(1,SUM($G43:AF43))*$E$35,0,1)</f>
        <v>0</v>
      </c>
      <c r="AH43" s="3">
        <f>IF(AE37&lt;=MAX(1,SUM($G43:AG43))*$E$35,0,1)</f>
        <v>0</v>
      </c>
      <c r="AI43" s="3">
        <f>IF(AF37&lt;=MAX(1,SUM($G43:AH43))*$E$35,0,1)</f>
        <v>0</v>
      </c>
      <c r="AJ43" s="3">
        <f>IF(AG37&lt;=MAX(1,SUM($G43:AI43))*$E$35,0,1)</f>
        <v>0</v>
      </c>
      <c r="AK43" s="3">
        <f>IF(AH37&lt;=MAX(1,SUM($G43:AJ43))*$E$35,0,1)</f>
        <v>0</v>
      </c>
      <c r="AL43" s="3">
        <f>IF(AI37&lt;=MAX(1,SUM($G43:AK43))*$E$35,0,1)</f>
        <v>0</v>
      </c>
      <c r="AM43" s="3">
        <f>IF(AJ37&lt;=MAX(1,SUM($G43:AL43))*$E$35,0,1)</f>
        <v>0</v>
      </c>
      <c r="AN43" s="3">
        <f>IF(AK37&lt;=MAX(1,SUM($G43:AM43))*$E$35,0,1)</f>
        <v>0</v>
      </c>
    </row>
    <row r="44" spans="3:40" ht="11.5" customHeight="1" x14ac:dyDescent="0.25">
      <c r="I44" s="3">
        <v>1</v>
      </c>
      <c r="J44" s="3">
        <f>IF(F37&lt;=MAX(1,SUM($H44:I44))*$E$35,0,1)</f>
        <v>0</v>
      </c>
      <c r="K44" s="3">
        <f>IF(G37&lt;=MAX(1,SUM($H44:J44))*$E$35,0,1)</f>
        <v>0</v>
      </c>
      <c r="L44" s="3">
        <f>IF(H37&lt;=MAX(1,SUM($H44:K44))*$E$35,0,1)</f>
        <v>0</v>
      </c>
      <c r="M44" s="3">
        <f>IF(I37&lt;=MAX(1,SUM($H44:L44))*$E$35,0,1)</f>
        <v>0</v>
      </c>
      <c r="N44" s="3">
        <f>IF(J37&lt;=MAX(1,SUM($H44:M44))*$E$35,0,1)</f>
        <v>0</v>
      </c>
      <c r="O44" s="3">
        <f>IF(K37&lt;=MAX(1,SUM($H44:N44))*$E$35,0,1)</f>
        <v>0</v>
      </c>
      <c r="P44" s="3">
        <f>IF(L37&lt;=MAX(1,SUM($H44:O44))*$E$35,0,1)</f>
        <v>0</v>
      </c>
      <c r="Q44" s="3">
        <f>IF(M37&lt;=MAX(1,SUM($H44:P44))*$E$35,0,1)</f>
        <v>0</v>
      </c>
      <c r="R44" s="3">
        <f>IF(N37&lt;=MAX(1,SUM($H44:Q44))*$E$35,0,1)</f>
        <v>0</v>
      </c>
      <c r="S44" s="3">
        <f>IF(O37&lt;=MAX(1,SUM($H44:R44))*$E$35,0,1)</f>
        <v>0</v>
      </c>
      <c r="T44" s="3">
        <f>IF(P37&lt;=MAX(1,SUM($H44:S44))*$E$35,0,1)</f>
        <v>0</v>
      </c>
      <c r="U44" s="3">
        <f>IF(Q37&lt;=MAX(1,SUM($H44:T44))*$E$35,0,1)</f>
        <v>1</v>
      </c>
      <c r="V44" s="3">
        <f>IF(R37&lt;=MAX(1,SUM($H44:U44))*$E$35,0,1)</f>
        <v>0</v>
      </c>
      <c r="W44" s="3">
        <f>IF(S37&lt;=MAX(1,SUM($H44:V44))*$E$35,0,1)</f>
        <v>0</v>
      </c>
      <c r="X44" s="3">
        <f>IF(T37&lt;=MAX(1,SUM($H44:W44))*$E$35,0,1)</f>
        <v>0</v>
      </c>
      <c r="Y44" s="3">
        <f>IF(U37&lt;=MAX(1,SUM($H44:X44))*$E$35,0,1)</f>
        <v>0</v>
      </c>
      <c r="Z44" s="3">
        <f>IF(V37&lt;=MAX(1,SUM($H44:Y44))*$E$35,0,1)</f>
        <v>0</v>
      </c>
      <c r="AA44" s="3">
        <f>IF(W37&lt;=MAX(1,SUM($H44:Z44))*$E$35,0,1)</f>
        <v>0</v>
      </c>
      <c r="AB44" s="3">
        <f>IF(X37&lt;=MAX(1,SUM($H44:AA44))*$E$35,0,1)</f>
        <v>0</v>
      </c>
      <c r="AC44" s="3">
        <f>IF(Y37&lt;=MAX(1,SUM($H44:AB44))*$E$35,0,1)</f>
        <v>0</v>
      </c>
      <c r="AD44" s="3">
        <f>IF(Z37&lt;=MAX(1,SUM($H44:AC44))*$E$35,0,1)</f>
        <v>0</v>
      </c>
      <c r="AE44" s="3">
        <f>IF(AA37&lt;=MAX(1,SUM($H44:AD44))*$E$35,0,1)</f>
        <v>0</v>
      </c>
      <c r="AF44" s="3">
        <f>IF(AB37&lt;=MAX(1,SUM($H44:AE44))*$E$35,0,1)</f>
        <v>0</v>
      </c>
      <c r="AG44" s="3">
        <f>IF(AC37&lt;=MAX(1,SUM($H44:AF44))*$E$35,0,1)</f>
        <v>1</v>
      </c>
      <c r="AH44" s="3">
        <f>IF(AD37&lt;=MAX(1,SUM($H44:AG44))*$E$35,0,1)</f>
        <v>0</v>
      </c>
      <c r="AI44" s="3">
        <f>IF(AE37&lt;=MAX(1,SUM($H44:AH44))*$E$35,0,1)</f>
        <v>0</v>
      </c>
      <c r="AJ44" s="3">
        <f>IF(AF37&lt;=MAX(1,SUM($H44:AI44))*$E$35,0,1)</f>
        <v>0</v>
      </c>
      <c r="AK44" s="3">
        <f>IF(AG37&lt;=MAX(1,SUM($H44:AJ44))*$E$35,0,1)</f>
        <v>0</v>
      </c>
      <c r="AL44" s="3">
        <f>IF(AH37&lt;=MAX(1,SUM($H44:AK44))*$E$35,0,1)</f>
        <v>0</v>
      </c>
      <c r="AM44" s="3">
        <f>IF(AI37&lt;=MAX(1,SUM($H44:AL44))*$E$35,0,1)</f>
        <v>0</v>
      </c>
      <c r="AN44" s="3">
        <f>IF(AJ37&lt;=MAX(1,SUM($H44:AM44))*$E$35,0,1)</f>
        <v>0</v>
      </c>
    </row>
    <row r="45" spans="3:40" ht="11.5" customHeight="1" x14ac:dyDescent="0.25">
      <c r="J45" s="3">
        <v>1</v>
      </c>
      <c r="K45" s="3">
        <f>IF(F37&lt;=MAX(1,SUM($I45:J45))*$E$35,0,1)</f>
        <v>0</v>
      </c>
      <c r="L45" s="3">
        <f>IF(G37&lt;=MAX(1,SUM($I45:K45))*$E$35,0,1)</f>
        <v>0</v>
      </c>
      <c r="M45" s="3">
        <f>IF(H37&lt;=MAX(1,SUM($I45:L45))*$E$35,0,1)</f>
        <v>0</v>
      </c>
      <c r="N45" s="3">
        <f>IF(I37&lt;=MAX(1,SUM($I45:M45))*$E$35,0,1)</f>
        <v>0</v>
      </c>
      <c r="O45" s="3">
        <f>IF(J37&lt;=MAX(1,SUM($I45:N45))*$E$35,0,1)</f>
        <v>0</v>
      </c>
      <c r="P45" s="3">
        <f>IF(K37&lt;=MAX(1,SUM($I45:O45))*$E$35,0,1)</f>
        <v>0</v>
      </c>
      <c r="Q45" s="3">
        <f>IF(L37&lt;=MAX(1,SUM($I45:P45))*$E$35,0,1)</f>
        <v>0</v>
      </c>
      <c r="R45" s="3">
        <f>IF(M37&lt;=MAX(1,SUM($I45:Q45))*$E$35,0,1)</f>
        <v>0</v>
      </c>
      <c r="S45" s="3">
        <f>IF(N37&lt;=MAX(1,SUM($I45:R45))*$E$35,0,1)</f>
        <v>0</v>
      </c>
      <c r="T45" s="3">
        <f>IF(O37&lt;=MAX(1,SUM($I45:S45))*$E$35,0,1)</f>
        <v>0</v>
      </c>
      <c r="U45" s="3">
        <f>IF(P37&lt;=MAX(1,SUM($I45:T45))*$E$35,0,1)</f>
        <v>0</v>
      </c>
      <c r="V45" s="3">
        <f>IF(Q37&lt;=MAX(1,SUM($I45:U45))*$E$35,0,1)</f>
        <v>1</v>
      </c>
      <c r="W45" s="3">
        <f>IF(R37&lt;=MAX(1,SUM($I45:V45))*$E$35,0,1)</f>
        <v>0</v>
      </c>
      <c r="X45" s="3">
        <f>IF(S37&lt;=MAX(1,SUM($I45:W45))*$E$35,0,1)</f>
        <v>0</v>
      </c>
      <c r="Y45" s="3">
        <f>IF(T37&lt;=MAX(1,SUM($I45:X45))*$E$35,0,1)</f>
        <v>0</v>
      </c>
      <c r="Z45" s="3">
        <f>IF(U37&lt;=MAX(1,SUM($I45:Y45))*$E$35,0,1)</f>
        <v>0</v>
      </c>
      <c r="AA45" s="3">
        <f>IF(V37&lt;=MAX(1,SUM($I45:Z45))*$E$35,0,1)</f>
        <v>0</v>
      </c>
      <c r="AB45" s="3">
        <f>IF(W37&lt;=MAX(1,SUM($I45:AA45))*$E$35,0,1)</f>
        <v>0</v>
      </c>
      <c r="AC45" s="3">
        <f>IF(X37&lt;=MAX(1,SUM($I45:AB45))*$E$35,0,1)</f>
        <v>0</v>
      </c>
      <c r="AD45" s="3">
        <f>IF(Y37&lt;=MAX(1,SUM($I45:AC45))*$E$35,0,1)</f>
        <v>0</v>
      </c>
      <c r="AE45" s="3">
        <f>IF(Z37&lt;=MAX(1,SUM($I45:AD45))*$E$35,0,1)</f>
        <v>0</v>
      </c>
      <c r="AF45" s="3">
        <f>IF(AA37&lt;=MAX(1,SUM($I45:AE45))*$E$35,0,1)</f>
        <v>0</v>
      </c>
      <c r="AG45" s="3">
        <f>IF(AB37&lt;=MAX(1,SUM($I45:AF45))*$E$35,0,1)</f>
        <v>0</v>
      </c>
      <c r="AH45" s="3">
        <f>IF(AC37&lt;=MAX(1,SUM($I45:AG45))*$E$35,0,1)</f>
        <v>1</v>
      </c>
      <c r="AI45" s="3">
        <f>IF(AD37&lt;=MAX(1,SUM($I45:AH45))*$E$35,0,1)</f>
        <v>0</v>
      </c>
      <c r="AJ45" s="3">
        <f>IF(AE37&lt;=MAX(1,SUM($I45:AI45))*$E$35,0,1)</f>
        <v>0</v>
      </c>
      <c r="AK45" s="3">
        <f>IF(AF37&lt;=MAX(1,SUM($I45:AJ45))*$E$35,0,1)</f>
        <v>0</v>
      </c>
      <c r="AL45" s="3">
        <f>IF(AG37&lt;=MAX(1,SUM($I45:AK45))*$E$35,0,1)</f>
        <v>0</v>
      </c>
      <c r="AM45" s="3">
        <f>IF(AH37&lt;=MAX(1,SUM($I45:AL45))*$E$35,0,1)</f>
        <v>0</v>
      </c>
      <c r="AN45" s="3">
        <f>IF(AI37&lt;=MAX(1,SUM($I45:AM45))*$E$35,0,1)</f>
        <v>0</v>
      </c>
    </row>
    <row r="46" spans="3:40" ht="11.5" customHeight="1" x14ac:dyDescent="0.25">
      <c r="K46" s="3">
        <v>1</v>
      </c>
      <c r="L46" s="3">
        <f>IF(F37&lt;=MAX(1,SUM($J46:K46))*$E$35,0,1)</f>
        <v>0</v>
      </c>
      <c r="M46" s="3">
        <f>IF(G37&lt;=MAX(1,SUM($J46:L46))*$E$35,0,1)</f>
        <v>0</v>
      </c>
      <c r="N46" s="3">
        <f>IF(H37&lt;=MAX(1,SUM($J46:M46))*$E$35,0,1)</f>
        <v>0</v>
      </c>
      <c r="O46" s="3">
        <f>IF(I37&lt;=MAX(1,SUM($J46:N46))*$E$35,0,1)</f>
        <v>0</v>
      </c>
      <c r="P46" s="3">
        <f>IF(J37&lt;=MAX(1,SUM($J46:O46))*$E$35,0,1)</f>
        <v>0</v>
      </c>
      <c r="Q46" s="3">
        <f>IF(K37&lt;=MAX(1,SUM($J46:P46))*$E$35,0,1)</f>
        <v>0</v>
      </c>
      <c r="R46" s="3">
        <f>IF(L37&lt;=MAX(1,SUM($J46:Q46))*$E$35,0,1)</f>
        <v>0</v>
      </c>
      <c r="S46" s="3">
        <f>IF(M37&lt;=MAX(1,SUM($J46:R46))*$E$35,0,1)</f>
        <v>0</v>
      </c>
      <c r="T46" s="3">
        <f>IF(N37&lt;=MAX(1,SUM($J46:S46))*$E$35,0,1)</f>
        <v>0</v>
      </c>
      <c r="U46" s="3">
        <f>IF(O37&lt;=MAX(1,SUM($J46:T46))*$E$35,0,1)</f>
        <v>0</v>
      </c>
      <c r="V46" s="3">
        <f>IF(P37&lt;=MAX(1,SUM($J46:U46))*$E$35,0,1)</f>
        <v>0</v>
      </c>
      <c r="W46" s="3">
        <f>IF(Q37&lt;=MAX(1,SUM($J46:V46))*$E$35,0,1)</f>
        <v>1</v>
      </c>
      <c r="X46" s="3">
        <f>IF(R37&lt;=MAX(1,SUM($J46:W46))*$E$35,0,1)</f>
        <v>0</v>
      </c>
      <c r="Y46" s="3">
        <f>IF(S37&lt;=MAX(1,SUM($J46:X46))*$E$35,0,1)</f>
        <v>0</v>
      </c>
      <c r="Z46" s="3">
        <f>IF(T37&lt;=MAX(1,SUM($J46:Y46))*$E$35,0,1)</f>
        <v>0</v>
      </c>
      <c r="AA46" s="3">
        <f>IF(U37&lt;=MAX(1,SUM($J46:Z46))*$E$35,0,1)</f>
        <v>0</v>
      </c>
      <c r="AB46" s="3">
        <f>IF(V37&lt;=MAX(1,SUM($J46:AA46))*$E$35,0,1)</f>
        <v>0</v>
      </c>
      <c r="AC46" s="3">
        <f>IF(W37&lt;=MAX(1,SUM($J46:AB46))*$E$35,0,1)</f>
        <v>0</v>
      </c>
      <c r="AD46" s="3">
        <f>IF(X37&lt;=MAX(1,SUM($J46:AC46))*$E$35,0,1)</f>
        <v>0</v>
      </c>
      <c r="AE46" s="3">
        <f>IF(Y37&lt;=MAX(1,SUM($J46:AD46))*$E$35,0,1)</f>
        <v>0</v>
      </c>
      <c r="AF46" s="3">
        <f>IF(Z37&lt;=MAX(1,SUM($J46:AE46))*$E$35,0,1)</f>
        <v>0</v>
      </c>
      <c r="AG46" s="3">
        <f>IF(AA37&lt;=MAX(1,SUM($J46:AF46))*$E$35,0,1)</f>
        <v>0</v>
      </c>
      <c r="AH46" s="3">
        <f>IF(AB37&lt;=MAX(1,SUM($J46:AG46))*$E$35,0,1)</f>
        <v>0</v>
      </c>
      <c r="AI46" s="3">
        <f>IF(AC37&lt;=MAX(1,SUM($J46:AH46))*$E$35,0,1)</f>
        <v>1</v>
      </c>
      <c r="AJ46" s="3">
        <f>IF(AD37&lt;=MAX(1,SUM($J46:AI46))*$E$35,0,1)</f>
        <v>0</v>
      </c>
      <c r="AK46" s="3">
        <f>IF(AE37&lt;=MAX(1,SUM($J46:AJ46))*$E$35,0,1)</f>
        <v>0</v>
      </c>
      <c r="AL46" s="3">
        <f>IF(AF37&lt;=MAX(1,SUM($J46:AK46))*$E$35,0,1)</f>
        <v>0</v>
      </c>
      <c r="AM46" s="3">
        <f>IF(AG37&lt;=MAX(1,SUM($J46:AL46))*$E$35,0,1)</f>
        <v>0</v>
      </c>
      <c r="AN46" s="3">
        <f>IF(AH37&lt;=MAX(1,SUM($J46:AM46))*$E$35,0,1)</f>
        <v>0</v>
      </c>
    </row>
    <row r="47" spans="3:40" ht="11.5" customHeight="1" x14ac:dyDescent="0.25">
      <c r="L47" s="3">
        <v>1</v>
      </c>
      <c r="M47" s="3">
        <f>IF(F37&lt;=MAX(1,SUM($K47:L47))*$E$35,0,1)</f>
        <v>0</v>
      </c>
      <c r="N47" s="3">
        <f>IF(G37&lt;=MAX(1,SUM($K47:M47))*$E$35,0,1)</f>
        <v>0</v>
      </c>
      <c r="O47" s="3">
        <f>IF(H37&lt;=MAX(1,SUM($K47:N47))*$E$35,0,1)</f>
        <v>0</v>
      </c>
      <c r="P47" s="3">
        <f>IF(I37&lt;=MAX(1,SUM($K47:O47))*$E$35,0,1)</f>
        <v>0</v>
      </c>
      <c r="Q47" s="3">
        <f>IF(J37&lt;=MAX(1,SUM($K47:P47))*$E$35,0,1)</f>
        <v>0</v>
      </c>
      <c r="R47" s="3">
        <f>IF(K37&lt;=MAX(1,SUM($K47:Q47))*$E$35,0,1)</f>
        <v>0</v>
      </c>
      <c r="S47" s="3">
        <f>IF(L37&lt;=MAX(1,SUM($K47:R47))*$E$35,0,1)</f>
        <v>0</v>
      </c>
      <c r="T47" s="3">
        <f>IF(M37&lt;=MAX(1,SUM($K47:S47))*$E$35,0,1)</f>
        <v>0</v>
      </c>
      <c r="U47" s="3">
        <f>IF(N37&lt;=MAX(1,SUM($K47:T47))*$E$35,0,1)</f>
        <v>0</v>
      </c>
      <c r="V47" s="3">
        <f>IF(O37&lt;=MAX(1,SUM($K47:U47))*$E$35,0,1)</f>
        <v>0</v>
      </c>
      <c r="W47" s="3">
        <f>IF(P37&lt;=MAX(1,SUM($K47:V47))*$E$35,0,1)</f>
        <v>0</v>
      </c>
      <c r="X47" s="3">
        <f>IF(Q37&lt;=MAX(1,SUM($K47:W47))*$E$35,0,1)</f>
        <v>1</v>
      </c>
      <c r="Y47" s="3">
        <f>IF(R37&lt;=MAX(1,SUM($K47:X47))*$E$35,0,1)</f>
        <v>0</v>
      </c>
      <c r="Z47" s="3">
        <f>IF(S37&lt;=MAX(1,SUM($K47:Y47))*$E$35,0,1)</f>
        <v>0</v>
      </c>
      <c r="AA47" s="3">
        <f>IF(T37&lt;=MAX(1,SUM($K47:Z47))*$E$35,0,1)</f>
        <v>0</v>
      </c>
      <c r="AB47" s="3">
        <f>IF(U37&lt;=MAX(1,SUM($K47:AA47))*$E$35,0,1)</f>
        <v>0</v>
      </c>
      <c r="AC47" s="3">
        <f>IF(V37&lt;=MAX(1,SUM($K47:AB47))*$E$35,0,1)</f>
        <v>0</v>
      </c>
      <c r="AD47" s="3">
        <f>IF(W37&lt;=MAX(1,SUM($K47:AC47))*$E$35,0,1)</f>
        <v>0</v>
      </c>
      <c r="AE47" s="3">
        <f>IF(X37&lt;=MAX(1,SUM($K47:AD47))*$E$35,0,1)</f>
        <v>0</v>
      </c>
      <c r="AF47" s="3">
        <f>IF(Y37&lt;=MAX(1,SUM($K47:AE47))*$E$35,0,1)</f>
        <v>0</v>
      </c>
      <c r="AG47" s="3">
        <f>IF(Z37&lt;=MAX(1,SUM($K47:AF47))*$E$35,0,1)</f>
        <v>0</v>
      </c>
      <c r="AH47" s="3">
        <f>IF(AA37&lt;=MAX(1,SUM($K47:AG47))*$E$35,0,1)</f>
        <v>0</v>
      </c>
      <c r="AI47" s="3">
        <f>IF(AB37&lt;=MAX(1,SUM($K47:AH47))*$E$35,0,1)</f>
        <v>0</v>
      </c>
      <c r="AJ47" s="3">
        <f>IF(AC37&lt;=MAX(1,SUM($K47:AI47))*$E$35,0,1)</f>
        <v>1</v>
      </c>
      <c r="AK47" s="3">
        <f>IF(AD37&lt;=MAX(1,SUM($K47:AJ47))*$E$35,0,1)</f>
        <v>0</v>
      </c>
      <c r="AL47" s="3">
        <f>IF(AE37&lt;=MAX(1,SUM($K47:AK47))*$E$35,0,1)</f>
        <v>0</v>
      </c>
      <c r="AM47" s="3">
        <f>IF(AF37&lt;=MAX(1,SUM($K47:AL47))*$E$35,0,1)</f>
        <v>0</v>
      </c>
      <c r="AN47" s="3">
        <f>IF(AG37&lt;=MAX(1,SUM($K47:AM47))*$E$35,0,1)</f>
        <v>0</v>
      </c>
    </row>
    <row r="48" spans="3:40" ht="11.5" customHeight="1" x14ac:dyDescent="0.25">
      <c r="M48" s="3">
        <v>1</v>
      </c>
      <c r="N48" s="3">
        <f>IF(F37&lt;=MAX(1,SUM($L48:M48))*$E$35,0,1)</f>
        <v>0</v>
      </c>
      <c r="O48" s="3">
        <f>IF(G37&lt;=MAX(1,SUM($L48:N48))*$E$35,0,1)</f>
        <v>0</v>
      </c>
      <c r="P48" s="3">
        <f>IF(H37&lt;=MAX(1,SUM($L48:O48))*$E$35,0,1)</f>
        <v>0</v>
      </c>
      <c r="Q48" s="3">
        <f>IF(I37&lt;=MAX(1,SUM($L48:P48))*$E$35,0,1)</f>
        <v>0</v>
      </c>
      <c r="R48" s="3">
        <f>IF(J37&lt;=MAX(1,SUM($L48:Q48))*$E$35,0,1)</f>
        <v>0</v>
      </c>
      <c r="S48" s="3">
        <f>IF(K37&lt;=MAX(1,SUM($L48:R48))*$E$35,0,1)</f>
        <v>0</v>
      </c>
      <c r="T48" s="3">
        <f>IF(L37&lt;=MAX(1,SUM($L48:S48))*$E$35,0,1)</f>
        <v>0</v>
      </c>
      <c r="U48" s="3">
        <f>IF(M37&lt;=MAX(1,SUM($L48:T48))*$E$35,0,1)</f>
        <v>0</v>
      </c>
      <c r="V48" s="3">
        <f>IF(N37&lt;=MAX(1,SUM($L48:U48))*$E$35,0,1)</f>
        <v>0</v>
      </c>
      <c r="W48" s="3">
        <f>IF(O37&lt;=MAX(1,SUM($L48:V48))*$E$35,0,1)</f>
        <v>0</v>
      </c>
      <c r="X48" s="3">
        <f>IF(P37&lt;=MAX(1,SUM($L48:W48))*$E$35,0,1)</f>
        <v>0</v>
      </c>
      <c r="Y48" s="3">
        <f>IF(Q37&lt;=MAX(1,SUM($L48:X48))*$E$35,0,1)</f>
        <v>1</v>
      </c>
      <c r="Z48" s="3">
        <f>IF(R37&lt;=MAX(1,SUM($L48:Y48))*$E$35,0,1)</f>
        <v>0</v>
      </c>
      <c r="AA48" s="3">
        <f>IF(S37&lt;=MAX(1,SUM($L48:Z48))*$E$35,0,1)</f>
        <v>0</v>
      </c>
      <c r="AB48" s="3">
        <f>IF(T37&lt;=MAX(1,SUM($L48:AA48))*$E$35,0,1)</f>
        <v>0</v>
      </c>
      <c r="AC48" s="3">
        <f>IF(U37&lt;=MAX(1,SUM($L48:AB48))*$E$35,0,1)</f>
        <v>0</v>
      </c>
      <c r="AD48" s="3">
        <f>IF(V37&lt;=MAX(1,SUM($L48:AC48))*$E$35,0,1)</f>
        <v>0</v>
      </c>
      <c r="AE48" s="3">
        <f>IF(W37&lt;=MAX(1,SUM($L48:AD48))*$E$35,0,1)</f>
        <v>0</v>
      </c>
      <c r="AF48" s="3">
        <f>IF(X37&lt;=MAX(1,SUM($L48:AE48))*$E$35,0,1)</f>
        <v>0</v>
      </c>
      <c r="AG48" s="3">
        <f>IF(Y37&lt;=MAX(1,SUM($L48:AF48))*$E$35,0,1)</f>
        <v>0</v>
      </c>
      <c r="AH48" s="3">
        <f>IF(Z37&lt;=MAX(1,SUM($L48:AG48))*$E$35,0,1)</f>
        <v>0</v>
      </c>
      <c r="AI48" s="3">
        <f>IF(AA37&lt;=MAX(1,SUM($L48:AH48))*$E$35,0,1)</f>
        <v>0</v>
      </c>
      <c r="AJ48" s="3">
        <f>IF(AB37&lt;=MAX(1,SUM($L48:AI48))*$E$35,0,1)</f>
        <v>0</v>
      </c>
      <c r="AK48" s="3">
        <f>IF(AC37&lt;=MAX(1,SUM($L48:AJ48))*$E$35,0,1)</f>
        <v>1</v>
      </c>
      <c r="AL48" s="3">
        <f>IF(AD37&lt;=MAX(1,SUM($L48:AK48))*$E$35,0,1)</f>
        <v>0</v>
      </c>
      <c r="AM48" s="3">
        <f>IF(AE37&lt;=MAX(1,SUM($L48:AL48))*$E$35,0,1)</f>
        <v>0</v>
      </c>
      <c r="AN48" s="3">
        <f>IF(AF37&lt;=MAX(1,SUM($L48:AM48))*$E$35,0,1)</f>
        <v>0</v>
      </c>
    </row>
    <row r="49" spans="14:40" ht="11.5" customHeight="1" x14ac:dyDescent="0.25">
      <c r="N49" s="3">
        <v>1</v>
      </c>
      <c r="O49" s="3">
        <f>IF(F37&lt;=MAX(1,SUM($M49:N49))*$E$35,0,1)</f>
        <v>0</v>
      </c>
      <c r="P49" s="3">
        <f>IF(G37&lt;=MAX(1,SUM($M49:O49))*$E$35,0,1)</f>
        <v>0</v>
      </c>
      <c r="Q49" s="3">
        <f>IF(H37&lt;=MAX(1,SUM($M49:P49))*$E$35,0,1)</f>
        <v>0</v>
      </c>
      <c r="R49" s="3">
        <f>IF(I37&lt;=MAX(1,SUM($M49:Q49))*$E$35,0,1)</f>
        <v>0</v>
      </c>
      <c r="S49" s="3">
        <f>IF(J37&lt;=MAX(1,SUM($M49:R49))*$E$35,0,1)</f>
        <v>0</v>
      </c>
      <c r="T49" s="3">
        <f>IF(K37&lt;=MAX(1,SUM($M49:S49))*$E$35,0,1)</f>
        <v>0</v>
      </c>
      <c r="U49" s="3">
        <f>IF(L37&lt;=MAX(1,SUM($M49:T49))*$E$35,0,1)</f>
        <v>0</v>
      </c>
      <c r="V49" s="3">
        <f>IF(M37&lt;=MAX(1,SUM($M49:U49))*$E$35,0,1)</f>
        <v>0</v>
      </c>
      <c r="W49" s="3">
        <f>IF(N37&lt;=MAX(1,SUM($M49:V49))*$E$35,0,1)</f>
        <v>0</v>
      </c>
      <c r="X49" s="3">
        <f>IF(O37&lt;=MAX(1,SUM($M49:W49))*$E$35,0,1)</f>
        <v>0</v>
      </c>
      <c r="Y49" s="3">
        <f>IF(P37&lt;=MAX(1,SUM($M49:X49))*$E$35,0,1)</f>
        <v>0</v>
      </c>
      <c r="Z49" s="3">
        <f>IF(Q37&lt;=MAX(1,SUM($M49:Y49))*$E$35,0,1)</f>
        <v>1</v>
      </c>
      <c r="AA49" s="3">
        <f>IF(R37&lt;=MAX(1,SUM($M49:Z49))*$E$35,0,1)</f>
        <v>0</v>
      </c>
      <c r="AB49" s="3">
        <f>IF(S37&lt;=MAX(1,SUM($M49:AA49))*$E$35,0,1)</f>
        <v>0</v>
      </c>
      <c r="AC49" s="3">
        <f>IF(T37&lt;=MAX(1,SUM($M49:AB49))*$E$35,0,1)</f>
        <v>0</v>
      </c>
      <c r="AD49" s="3">
        <f>IF(U37&lt;=MAX(1,SUM($M49:AC49))*$E$35,0,1)</f>
        <v>0</v>
      </c>
      <c r="AE49" s="3">
        <f>IF(V37&lt;=MAX(1,SUM($M49:AD49))*$E$35,0,1)</f>
        <v>0</v>
      </c>
      <c r="AF49" s="3">
        <f>IF(W37&lt;=MAX(1,SUM($M49:AE49))*$E$35,0,1)</f>
        <v>0</v>
      </c>
      <c r="AG49" s="3">
        <f>IF(X37&lt;=MAX(1,SUM($M49:AF49))*$E$35,0,1)</f>
        <v>0</v>
      </c>
      <c r="AH49" s="3">
        <f>IF(Y37&lt;=MAX(1,SUM($M49:AG49))*$E$35,0,1)</f>
        <v>0</v>
      </c>
      <c r="AI49" s="3">
        <f>IF(Z37&lt;=MAX(1,SUM($M49:AH49))*$E$35,0,1)</f>
        <v>0</v>
      </c>
      <c r="AJ49" s="3">
        <f>IF(AA37&lt;=MAX(1,SUM($M49:AI49))*$E$35,0,1)</f>
        <v>0</v>
      </c>
      <c r="AK49" s="3">
        <f>IF(AB37&lt;=MAX(1,SUM($M49:AJ49))*$E$35,0,1)</f>
        <v>0</v>
      </c>
      <c r="AL49" s="3">
        <f>IF(AC37&lt;=MAX(1,SUM($M49:AK49))*$E$35,0,1)</f>
        <v>1</v>
      </c>
      <c r="AM49" s="3">
        <f>IF(AD37&lt;=MAX(1,SUM($M49:AL49))*$E$35,0,1)</f>
        <v>0</v>
      </c>
      <c r="AN49" s="3">
        <f>IF(AE37&lt;=MAX(1,SUM($M49:AM49))*$E$35,0,1)</f>
        <v>0</v>
      </c>
    </row>
    <row r="50" spans="14:40" ht="11.5" customHeight="1" x14ac:dyDescent="0.25">
      <c r="O50" s="3">
        <v>1</v>
      </c>
      <c r="P50" s="3">
        <f>IF(F37&lt;=MAX(1,SUM($N50:O50))*$E$35,0,1)</f>
        <v>0</v>
      </c>
      <c r="Q50" s="3">
        <f>IF(G37&lt;=MAX(1,SUM($N50:P50))*$E$35,0,1)</f>
        <v>0</v>
      </c>
      <c r="R50" s="3">
        <f>IF(H37&lt;=MAX(1,SUM($N50:Q50))*$E$35,0,1)</f>
        <v>0</v>
      </c>
      <c r="S50" s="3">
        <f>IF(I37&lt;=MAX(1,SUM($N50:R50))*$E$35,0,1)</f>
        <v>0</v>
      </c>
      <c r="T50" s="3">
        <f>IF(J37&lt;=MAX(1,SUM($N50:S50))*$E$35,0,1)</f>
        <v>0</v>
      </c>
      <c r="U50" s="3">
        <f>IF(K37&lt;=MAX(1,SUM($N50:T50))*$E$35,0,1)</f>
        <v>0</v>
      </c>
      <c r="V50" s="3">
        <f>IF(L37&lt;=MAX(1,SUM($N50:U50))*$E$35,0,1)</f>
        <v>0</v>
      </c>
      <c r="W50" s="3">
        <f>IF(M37&lt;=MAX(1,SUM($N50:V50))*$E$35,0,1)</f>
        <v>0</v>
      </c>
      <c r="X50" s="3">
        <f>IF(N37&lt;=MAX(1,SUM($N50:W50))*$E$35,0,1)</f>
        <v>0</v>
      </c>
      <c r="Y50" s="3">
        <f>IF(O37&lt;=MAX(1,SUM($N50:X50))*$E$35,0,1)</f>
        <v>0</v>
      </c>
      <c r="Z50" s="3">
        <f>IF(P37&lt;=MAX(1,SUM($N50:Y50))*$E$35,0,1)</f>
        <v>0</v>
      </c>
      <c r="AA50" s="3">
        <f>IF(Q37&lt;=MAX(1,SUM($N50:Z50))*$E$35,0,1)</f>
        <v>1</v>
      </c>
      <c r="AB50" s="3">
        <f>IF(R37&lt;=MAX(1,SUM($N50:AA50))*$E$35,0,1)</f>
        <v>0</v>
      </c>
      <c r="AC50" s="3">
        <f>IF(S37&lt;=MAX(1,SUM($N50:AB50))*$E$35,0,1)</f>
        <v>0</v>
      </c>
      <c r="AD50" s="3">
        <f>IF(T37&lt;=MAX(1,SUM($N50:AC50))*$E$35,0,1)</f>
        <v>0</v>
      </c>
      <c r="AE50" s="3">
        <f>IF(U37&lt;=MAX(1,SUM($N50:AD50))*$E$35,0,1)</f>
        <v>0</v>
      </c>
      <c r="AF50" s="3">
        <f>IF(V37&lt;=MAX(1,SUM($N50:AE50))*$E$35,0,1)</f>
        <v>0</v>
      </c>
      <c r="AG50" s="3">
        <f>IF(W37&lt;=MAX(1,SUM($N50:AF50))*$E$35,0,1)</f>
        <v>0</v>
      </c>
      <c r="AH50" s="3">
        <f>IF(X37&lt;=MAX(1,SUM($N50:AG50))*$E$35,0,1)</f>
        <v>0</v>
      </c>
      <c r="AI50" s="3">
        <f>IF(Y37&lt;=MAX(1,SUM($N50:AH50))*$E$35,0,1)</f>
        <v>0</v>
      </c>
      <c r="AJ50" s="3">
        <f>IF(Z37&lt;=MAX(1,SUM($N50:AI50))*$E$35,0,1)</f>
        <v>0</v>
      </c>
      <c r="AK50" s="3">
        <f>IF(AA37&lt;=MAX(1,SUM($N50:AJ50))*$E$35,0,1)</f>
        <v>0</v>
      </c>
      <c r="AL50" s="3">
        <f>IF(AB37&lt;=MAX(1,SUM($N50:AK50))*$E$35,0,1)</f>
        <v>0</v>
      </c>
      <c r="AM50" s="3">
        <f>IF(AC37&lt;=MAX(1,SUM($N50:AL50))*$E$35,0,1)</f>
        <v>1</v>
      </c>
      <c r="AN50" s="3">
        <f>IF(AD37&lt;=MAX(1,SUM($N50:AM50))*$E$35,0,1)</f>
        <v>0</v>
      </c>
    </row>
    <row r="51" spans="14:40" ht="11.5" customHeight="1" x14ac:dyDescent="0.25">
      <c r="P51" s="3">
        <v>1</v>
      </c>
      <c r="Q51" s="3">
        <f>IF(F37&lt;=MAX(1,SUM($O51:P51))*$E$35,0,1)</f>
        <v>0</v>
      </c>
      <c r="R51" s="3">
        <f>IF(G37&lt;=MAX(1,SUM($O51:Q51))*$E$35,0,1)</f>
        <v>0</v>
      </c>
      <c r="S51" s="3">
        <f>IF(H37&lt;=MAX(1,SUM($O51:R51))*$E$35,0,1)</f>
        <v>0</v>
      </c>
      <c r="T51" s="3">
        <f>IF(I37&lt;=MAX(1,SUM($O51:S51))*$E$35,0,1)</f>
        <v>0</v>
      </c>
      <c r="U51" s="3">
        <f>IF(J37&lt;=MAX(1,SUM($O51:T51))*$E$35,0,1)</f>
        <v>0</v>
      </c>
      <c r="V51" s="3">
        <f>IF(K37&lt;=MAX(1,SUM($O51:U51))*$E$35,0,1)</f>
        <v>0</v>
      </c>
      <c r="W51" s="3">
        <f>IF(L37&lt;=MAX(1,SUM($O51:V51))*$E$35,0,1)</f>
        <v>0</v>
      </c>
      <c r="X51" s="3">
        <f>IF(M37&lt;=MAX(1,SUM($O51:W51))*$E$35,0,1)</f>
        <v>0</v>
      </c>
      <c r="Y51" s="3">
        <f>IF(N37&lt;=MAX(1,SUM($O51:X51))*$E$35,0,1)</f>
        <v>0</v>
      </c>
      <c r="Z51" s="3">
        <f>IF(O37&lt;=MAX(1,SUM($O51:Y51))*$E$35,0,1)</f>
        <v>0</v>
      </c>
      <c r="AA51" s="3">
        <f>IF(P37&lt;=MAX(1,SUM($O51:Z51))*$E$35,0,1)</f>
        <v>0</v>
      </c>
      <c r="AB51" s="3">
        <f>IF(Q37&lt;=MAX(1,SUM($O51:AA51))*$E$35,0,1)</f>
        <v>1</v>
      </c>
      <c r="AC51" s="3">
        <f>IF(R37&lt;=MAX(1,SUM($O51:AB51))*$E$35,0,1)</f>
        <v>0</v>
      </c>
      <c r="AD51" s="3">
        <f>IF(S37&lt;=MAX(1,SUM($O51:AC51))*$E$35,0,1)</f>
        <v>0</v>
      </c>
      <c r="AE51" s="3">
        <f>IF(T37&lt;=MAX(1,SUM($O51:AD51))*$E$35,0,1)</f>
        <v>0</v>
      </c>
      <c r="AF51" s="3">
        <f>IF(U37&lt;=MAX(1,SUM($O51:AE51))*$E$35,0,1)</f>
        <v>0</v>
      </c>
      <c r="AG51" s="3">
        <f>IF(V37&lt;=MAX(1,SUM($O51:AF51))*$E$35,0,1)</f>
        <v>0</v>
      </c>
      <c r="AH51" s="3">
        <f>IF(W37&lt;=MAX(1,SUM($O51:AG51))*$E$35,0,1)</f>
        <v>0</v>
      </c>
      <c r="AI51" s="3">
        <f>IF(X37&lt;=MAX(1,SUM($O51:AH51))*$E$35,0,1)</f>
        <v>0</v>
      </c>
      <c r="AJ51" s="3">
        <f>IF(Y37&lt;=MAX(1,SUM($O51:AI51))*$E$35,0,1)</f>
        <v>0</v>
      </c>
      <c r="AK51" s="3">
        <f>IF(Z37&lt;=MAX(1,SUM($O51:AJ51))*$E$35,0,1)</f>
        <v>0</v>
      </c>
      <c r="AL51" s="3">
        <f>IF(AA37&lt;=MAX(1,SUM($O51:AK51))*$E$35,0,1)</f>
        <v>0</v>
      </c>
      <c r="AM51" s="3">
        <f>IF(AB37&lt;=MAX(1,SUM($O51:AL51))*$E$35,0,1)</f>
        <v>0</v>
      </c>
      <c r="AN51" s="3">
        <f>IF(AC37&lt;=MAX(1,SUM($O51:AM51))*$E$35,0,1)</f>
        <v>1</v>
      </c>
    </row>
    <row r="52" spans="14:40" ht="11.5" customHeight="1" x14ac:dyDescent="0.25">
      <c r="Q52" s="3">
        <v>1</v>
      </c>
      <c r="R52" s="3">
        <f>IF(F37&lt;=MAX(1,SUM($P52:Q52))*$E$35,0,1)</f>
        <v>0</v>
      </c>
      <c r="S52" s="3">
        <f>IF(G37&lt;=MAX(1,SUM($P52:R52))*$E$35,0,1)</f>
        <v>0</v>
      </c>
      <c r="T52" s="3">
        <f>IF(H37&lt;=MAX(1,SUM($P52:S52))*$E$35,0,1)</f>
        <v>0</v>
      </c>
      <c r="U52" s="3">
        <f>IF(I37&lt;=MAX(1,SUM($P52:T52))*$E$35,0,1)</f>
        <v>0</v>
      </c>
      <c r="V52" s="3">
        <f>IF(J37&lt;=MAX(1,SUM($P52:U52))*$E$35,0,1)</f>
        <v>0</v>
      </c>
      <c r="W52" s="3">
        <f>IF(K37&lt;=MAX(1,SUM($P52:V52))*$E$35,0,1)</f>
        <v>0</v>
      </c>
      <c r="X52" s="3">
        <f>IF(L37&lt;=MAX(1,SUM($P52:W52))*$E$35,0,1)</f>
        <v>0</v>
      </c>
      <c r="Y52" s="3">
        <f>IF(M37&lt;=MAX(1,SUM($P52:X52))*$E$35,0,1)</f>
        <v>0</v>
      </c>
      <c r="Z52" s="3">
        <f>IF(N37&lt;=MAX(1,SUM($P52:Y52))*$E$35,0,1)</f>
        <v>0</v>
      </c>
      <c r="AA52" s="3">
        <f>IF(O37&lt;=MAX(1,SUM($P52:Z52))*$E$35,0,1)</f>
        <v>0</v>
      </c>
      <c r="AB52" s="3">
        <f>IF(P37&lt;=MAX(1,SUM($P52:AA52))*$E$35,0,1)</f>
        <v>0</v>
      </c>
      <c r="AC52" s="3">
        <f>IF(Q37&lt;=MAX(1,SUM($P52:AB52))*$E$35,0,1)</f>
        <v>1</v>
      </c>
      <c r="AD52" s="3">
        <f>IF(R37&lt;=MAX(1,SUM($P52:AC52))*$E$35,0,1)</f>
        <v>0</v>
      </c>
      <c r="AE52" s="3">
        <f>IF(S37&lt;=MAX(1,SUM($P52:AD52))*$E$35,0,1)</f>
        <v>0</v>
      </c>
      <c r="AF52" s="3">
        <f>IF(T37&lt;=MAX(1,SUM($P52:AE52))*$E$35,0,1)</f>
        <v>0</v>
      </c>
      <c r="AG52" s="3">
        <f>IF(U37&lt;=MAX(1,SUM($P52:AF52))*$E$35,0,1)</f>
        <v>0</v>
      </c>
      <c r="AH52" s="3">
        <f>IF(V37&lt;=MAX(1,SUM($P52:AG52))*$E$35,0,1)</f>
        <v>0</v>
      </c>
      <c r="AI52" s="3">
        <f>IF(W37&lt;=MAX(1,SUM($P52:AH52))*$E$35,0,1)</f>
        <v>0</v>
      </c>
      <c r="AJ52" s="3">
        <f>IF(X37&lt;=MAX(1,SUM($P52:AI52))*$E$35,0,1)</f>
        <v>0</v>
      </c>
      <c r="AK52" s="3">
        <f>IF(Y37&lt;=MAX(1,SUM($P52:AJ52))*$E$35,0,1)</f>
        <v>0</v>
      </c>
      <c r="AL52" s="3">
        <f>IF(Z37&lt;=MAX(1,SUM($P52:AK52))*$E$35,0,1)</f>
        <v>0</v>
      </c>
      <c r="AM52" s="3">
        <f>IF(AA37&lt;=MAX(1,SUM($P52:AL52))*$E$35,0,1)</f>
        <v>0</v>
      </c>
      <c r="AN52" s="3">
        <f>IF(AB37&lt;=MAX(1,SUM($P52:AM52))*$E$35,0,1)</f>
        <v>0</v>
      </c>
    </row>
    <row r="53" spans="14:40" ht="11.5" customHeight="1" x14ac:dyDescent="0.25">
      <c r="R53" s="3">
        <v>1</v>
      </c>
      <c r="S53" s="3">
        <f>IF(F37&lt;=MAX(1,SUM($Q53:R53))*$E$35,0,1)</f>
        <v>0</v>
      </c>
      <c r="T53" s="3">
        <f>IF(G37&lt;=MAX(1,SUM($Q53:S53))*$E$35,0,1)</f>
        <v>0</v>
      </c>
      <c r="U53" s="3">
        <f>IF(H37&lt;=MAX(1,SUM($Q53:T53))*$E$35,0,1)</f>
        <v>0</v>
      </c>
      <c r="V53" s="3">
        <f>IF(I37&lt;=MAX(1,SUM($Q53:U53))*$E$35,0,1)</f>
        <v>0</v>
      </c>
      <c r="W53" s="3">
        <f>IF(J37&lt;=MAX(1,SUM($Q53:V53))*$E$35,0,1)</f>
        <v>0</v>
      </c>
      <c r="X53" s="3">
        <f>IF(K37&lt;=MAX(1,SUM($Q53:W53))*$E$35,0,1)</f>
        <v>0</v>
      </c>
      <c r="Y53" s="3">
        <f>IF(L37&lt;=MAX(1,SUM($Q53:X53))*$E$35,0,1)</f>
        <v>0</v>
      </c>
      <c r="Z53" s="3">
        <f>IF(M37&lt;=MAX(1,SUM($Q53:Y53))*$E$35,0,1)</f>
        <v>0</v>
      </c>
      <c r="AA53" s="3">
        <f>IF(N37&lt;=MAX(1,SUM($Q53:Z53))*$E$35,0,1)</f>
        <v>0</v>
      </c>
      <c r="AB53" s="3">
        <f>IF(O37&lt;=MAX(1,SUM($Q53:AA53))*$E$35,0,1)</f>
        <v>0</v>
      </c>
      <c r="AC53" s="3">
        <f>IF(P37&lt;=MAX(1,SUM($Q53:AB53))*$E$35,0,1)</f>
        <v>0</v>
      </c>
      <c r="AD53" s="3">
        <f>IF(Q37&lt;=MAX(1,SUM($Q53:AC53))*$E$35,0,1)</f>
        <v>1</v>
      </c>
      <c r="AE53" s="3">
        <f>IF(R37&lt;=MAX(1,SUM($Q53:AD53))*$E$35,0,1)</f>
        <v>0</v>
      </c>
      <c r="AF53" s="3">
        <f>IF(S37&lt;=MAX(1,SUM($Q53:AE53))*$E$35,0,1)</f>
        <v>0</v>
      </c>
      <c r="AG53" s="3">
        <f>IF(T37&lt;=MAX(1,SUM($Q53:AF53))*$E$35,0,1)</f>
        <v>0</v>
      </c>
      <c r="AH53" s="3">
        <f>IF(U37&lt;=MAX(1,SUM($Q53:AG53))*$E$35,0,1)</f>
        <v>0</v>
      </c>
      <c r="AI53" s="3">
        <f>IF(V37&lt;=MAX(1,SUM($Q53:AH53))*$E$35,0,1)</f>
        <v>0</v>
      </c>
      <c r="AJ53" s="3">
        <f>IF(W37&lt;=MAX(1,SUM($Q53:AI53))*$E$35,0,1)</f>
        <v>0</v>
      </c>
      <c r="AK53" s="3">
        <f>IF(X37&lt;=MAX(1,SUM($Q53:AJ53))*$E$35,0,1)</f>
        <v>0</v>
      </c>
      <c r="AL53" s="3">
        <f>IF(Y37&lt;=MAX(1,SUM($Q53:AK53))*$E$35,0,1)</f>
        <v>0</v>
      </c>
      <c r="AM53" s="3">
        <f>IF(Z37&lt;=MAX(1,SUM($Q53:AL53))*$E$35,0,1)</f>
        <v>0</v>
      </c>
      <c r="AN53" s="3">
        <f>IF(AA37&lt;=MAX(1,SUM($Q53:AM53))*$E$35,0,1)</f>
        <v>0</v>
      </c>
    </row>
    <row r="54" spans="14:40" ht="11.5" customHeight="1" x14ac:dyDescent="0.25">
      <c r="S54" s="3">
        <v>1</v>
      </c>
      <c r="T54" s="3">
        <f>IF(F37&lt;=MAX(1,SUM($R54:S54))*$E$35,0,1)</f>
        <v>0</v>
      </c>
      <c r="U54" s="3">
        <f>IF(G37&lt;=MAX(1,SUM($R54:T54))*$E$35,0,1)</f>
        <v>0</v>
      </c>
      <c r="V54" s="3">
        <f>IF(H37&lt;=MAX(1,SUM($R54:U54))*$E$35,0,1)</f>
        <v>0</v>
      </c>
      <c r="W54" s="3">
        <f>IF(I37&lt;=MAX(1,SUM($R54:V54))*$E$35,0,1)</f>
        <v>0</v>
      </c>
      <c r="X54" s="3">
        <f>IF(J37&lt;=MAX(1,SUM($R54:W54))*$E$35,0,1)</f>
        <v>0</v>
      </c>
      <c r="Y54" s="3">
        <f>IF(K37&lt;=MAX(1,SUM($R54:X54))*$E$35,0,1)</f>
        <v>0</v>
      </c>
      <c r="Z54" s="3">
        <f>IF(L37&lt;=MAX(1,SUM($R54:Y54))*$E$35,0,1)</f>
        <v>0</v>
      </c>
      <c r="AA54" s="3">
        <f>IF(M37&lt;=MAX(1,SUM($R54:Z54))*$E$35,0,1)</f>
        <v>0</v>
      </c>
      <c r="AB54" s="3">
        <f>IF(N37&lt;=MAX(1,SUM($R54:AA54))*$E$35,0,1)</f>
        <v>0</v>
      </c>
      <c r="AC54" s="3">
        <f>IF(O37&lt;=MAX(1,SUM($R54:AB54))*$E$35,0,1)</f>
        <v>0</v>
      </c>
      <c r="AD54" s="3">
        <f>IF(P37&lt;=MAX(1,SUM($R54:AC54))*$E$35,0,1)</f>
        <v>0</v>
      </c>
      <c r="AE54" s="3">
        <f>IF(Q37&lt;=MAX(1,SUM($R54:AD54))*$E$35,0,1)</f>
        <v>1</v>
      </c>
      <c r="AF54" s="3">
        <f>IF(R37&lt;=MAX(1,SUM($R54:AE54))*$E$35,0,1)</f>
        <v>0</v>
      </c>
      <c r="AG54" s="3">
        <f>IF(S37&lt;=MAX(1,SUM($R54:AF54))*$E$35,0,1)</f>
        <v>0</v>
      </c>
      <c r="AH54" s="3">
        <f>IF(T37&lt;=MAX(1,SUM($R54:AG54))*$E$35,0,1)</f>
        <v>0</v>
      </c>
      <c r="AI54" s="3">
        <f>IF(U37&lt;=MAX(1,SUM($R54:AH54))*$E$35,0,1)</f>
        <v>0</v>
      </c>
      <c r="AJ54" s="3">
        <f>IF(V37&lt;=MAX(1,SUM($R54:AI54))*$E$35,0,1)</f>
        <v>0</v>
      </c>
      <c r="AK54" s="3">
        <f>IF(W37&lt;=MAX(1,SUM($R54:AJ54))*$E$35,0,1)</f>
        <v>0</v>
      </c>
      <c r="AL54" s="3">
        <f>IF(X37&lt;=MAX(1,SUM($R54:AK54))*$E$35,0,1)</f>
        <v>0</v>
      </c>
      <c r="AM54" s="3">
        <f>IF(Y37&lt;=MAX(1,SUM($R54:AL54))*$E$35,0,1)</f>
        <v>0</v>
      </c>
      <c r="AN54" s="3">
        <f>IF(Z37&lt;=MAX(1,SUM($R54:AM54))*$E$35,0,1)</f>
        <v>0</v>
      </c>
    </row>
    <row r="55" spans="14:40" ht="11.5" customHeight="1" x14ac:dyDescent="0.25">
      <c r="T55" s="3">
        <v>1</v>
      </c>
      <c r="U55" s="3">
        <f>IF(F37&lt;=MAX(1,SUM($S55:T55))*$E$35,0,1)</f>
        <v>0</v>
      </c>
      <c r="V55" s="3">
        <f>IF(G37&lt;=MAX(1,SUM($S55:U55))*$E$35,0,1)</f>
        <v>0</v>
      </c>
      <c r="W55" s="3">
        <f>IF(H37&lt;=MAX(1,SUM($S55:V55))*$E$35,0,1)</f>
        <v>0</v>
      </c>
      <c r="X55" s="3">
        <f>IF(I37&lt;=MAX(1,SUM($S55:W55))*$E$35,0,1)</f>
        <v>0</v>
      </c>
      <c r="Y55" s="3">
        <f>IF(J37&lt;=MAX(1,SUM($S55:X55))*$E$35,0,1)</f>
        <v>0</v>
      </c>
      <c r="Z55" s="3">
        <f>IF(K37&lt;=MAX(1,SUM($S55:Y55))*$E$35,0,1)</f>
        <v>0</v>
      </c>
      <c r="AA55" s="3">
        <f>IF(L37&lt;=MAX(1,SUM($S55:Z55))*$E$35,0,1)</f>
        <v>0</v>
      </c>
      <c r="AB55" s="3">
        <f>IF(M37&lt;=MAX(1,SUM($S55:AA55))*$E$35,0,1)</f>
        <v>0</v>
      </c>
      <c r="AC55" s="3">
        <f>IF(N37&lt;=MAX(1,SUM($S55:AB55))*$E$35,0,1)</f>
        <v>0</v>
      </c>
      <c r="AD55" s="3">
        <f>IF(O37&lt;=MAX(1,SUM($S55:AC55))*$E$35,0,1)</f>
        <v>0</v>
      </c>
      <c r="AE55" s="3">
        <f>IF(P37&lt;=MAX(1,SUM($S55:AD55))*$E$35,0,1)</f>
        <v>0</v>
      </c>
      <c r="AF55" s="3">
        <f>IF(Q37&lt;=MAX(1,SUM($S55:AE55))*$E$35,0,1)</f>
        <v>1</v>
      </c>
      <c r="AG55" s="3">
        <f>IF(R37&lt;=MAX(1,SUM($S55:AF55))*$E$35,0,1)</f>
        <v>0</v>
      </c>
      <c r="AH55" s="3">
        <f>IF(S37&lt;=MAX(1,SUM($S55:AG55))*$E$35,0,1)</f>
        <v>0</v>
      </c>
      <c r="AI55" s="3">
        <f>IF(T37&lt;=MAX(1,SUM($S55:AH55))*$E$35,0,1)</f>
        <v>0</v>
      </c>
      <c r="AJ55" s="3">
        <f>IF(U37&lt;=MAX(1,SUM($S55:AI55))*$E$35,0,1)</f>
        <v>0</v>
      </c>
      <c r="AK55" s="3">
        <f>IF(V37&lt;=MAX(1,SUM($S55:AJ55))*$E$35,0,1)</f>
        <v>0</v>
      </c>
      <c r="AL55" s="3">
        <f>IF(W37&lt;=MAX(1,SUM($S55:AK55))*$E$35,0,1)</f>
        <v>0</v>
      </c>
      <c r="AM55" s="3">
        <f>IF(X37&lt;=MAX(1,SUM($S55:AL55))*$E$35,0,1)</f>
        <v>0</v>
      </c>
      <c r="AN55" s="3">
        <f>IF(Y37&lt;=MAX(1,SUM($S55:AM55))*$E$35,0,1)</f>
        <v>0</v>
      </c>
    </row>
    <row r="56" spans="14:40" ht="11.5" customHeight="1" x14ac:dyDescent="0.25">
      <c r="U56" s="3">
        <v>1</v>
      </c>
      <c r="V56" s="3">
        <f>IF(F37&lt;=MAX(1,SUM($T56:U56))*$E$35,0,1)</f>
        <v>0</v>
      </c>
      <c r="W56" s="3">
        <f>IF(G37&lt;=MAX(1,SUM($T56:V56))*$E$35,0,1)</f>
        <v>0</v>
      </c>
      <c r="X56" s="3">
        <f>IF(H37&lt;=MAX(1,SUM($T56:W56))*$E$35,0,1)</f>
        <v>0</v>
      </c>
      <c r="Y56" s="3">
        <f>IF(I37&lt;=MAX(1,SUM($T56:X56))*$E$35,0,1)</f>
        <v>0</v>
      </c>
      <c r="Z56" s="3">
        <f>IF(J37&lt;=MAX(1,SUM($T56:Y56))*$E$35,0,1)</f>
        <v>0</v>
      </c>
      <c r="AA56" s="3">
        <f>IF(K37&lt;=MAX(1,SUM($T56:Z56))*$E$35,0,1)</f>
        <v>0</v>
      </c>
      <c r="AB56" s="3">
        <f>IF(L37&lt;=MAX(1,SUM($T56:AA56))*$E$35,0,1)</f>
        <v>0</v>
      </c>
      <c r="AC56" s="3">
        <f>IF(M37&lt;=MAX(1,SUM($T56:AB56))*$E$35,0,1)</f>
        <v>0</v>
      </c>
      <c r="AD56" s="3">
        <f>IF(N37&lt;=MAX(1,SUM($T56:AC56))*$E$35,0,1)</f>
        <v>0</v>
      </c>
      <c r="AE56" s="3">
        <f>IF(O37&lt;=MAX(1,SUM($T56:AD56))*$E$35,0,1)</f>
        <v>0</v>
      </c>
      <c r="AF56" s="3">
        <f>IF(P37&lt;=MAX(1,SUM($T56:AE56))*$E$35,0,1)</f>
        <v>0</v>
      </c>
      <c r="AG56" s="3">
        <f>IF(Q37&lt;=MAX(1,SUM($T56:AF56))*$E$35,0,1)</f>
        <v>1</v>
      </c>
      <c r="AH56" s="3">
        <f>IF(R37&lt;=MAX(1,SUM($T56:AG56))*$E$35,0,1)</f>
        <v>0</v>
      </c>
      <c r="AI56" s="3">
        <f>IF(S37&lt;=MAX(1,SUM($T56:AH56))*$E$35,0,1)</f>
        <v>0</v>
      </c>
      <c r="AJ56" s="3">
        <f>IF(T37&lt;=MAX(1,SUM($T56:AI56))*$E$35,0,1)</f>
        <v>0</v>
      </c>
      <c r="AK56" s="3">
        <f>IF(U37&lt;=MAX(1,SUM($T56:AJ56))*$E$35,0,1)</f>
        <v>0</v>
      </c>
      <c r="AL56" s="3">
        <f>IF(V37&lt;=MAX(1,SUM($T56:AK56))*$E$35,0,1)</f>
        <v>0</v>
      </c>
      <c r="AM56" s="3">
        <f>IF(W37&lt;=MAX(1,SUM($T56:AL56))*$E$35,0,1)</f>
        <v>0</v>
      </c>
      <c r="AN56" s="3">
        <f>IF(X37&lt;=MAX(1,SUM($T56:AM56))*$E$35,0,1)</f>
        <v>0</v>
      </c>
    </row>
    <row r="57" spans="14:40" ht="11.5" customHeight="1" x14ac:dyDescent="0.25">
      <c r="V57" s="3">
        <v>1</v>
      </c>
      <c r="W57" s="3">
        <f>IF(F37&lt;=MAX(1,SUM($U57:V57))*$E$35,0,1)</f>
        <v>0</v>
      </c>
      <c r="X57" s="3">
        <f>IF(G37&lt;=MAX(1,SUM($U57:W57))*$E$35,0,1)</f>
        <v>0</v>
      </c>
      <c r="Y57" s="3">
        <f>IF(H37&lt;=MAX(1,SUM($U57:X57))*$E$35,0,1)</f>
        <v>0</v>
      </c>
      <c r="Z57" s="3">
        <f>IF(I37&lt;=MAX(1,SUM($U57:Y57))*$E$35,0,1)</f>
        <v>0</v>
      </c>
      <c r="AA57" s="3">
        <f>IF(J37&lt;=MAX(1,SUM($U57:Z57))*$E$35,0,1)</f>
        <v>0</v>
      </c>
      <c r="AB57" s="3">
        <f>IF(K37&lt;=MAX(1,SUM($U57:AA57))*$E$35,0,1)</f>
        <v>0</v>
      </c>
      <c r="AC57" s="3">
        <f>IF(L37&lt;=MAX(1,SUM($U57:AB57))*$E$35,0,1)</f>
        <v>0</v>
      </c>
      <c r="AD57" s="3">
        <f>IF(M37&lt;=MAX(1,SUM($U57:AC57))*$E$35,0,1)</f>
        <v>0</v>
      </c>
      <c r="AE57" s="3">
        <f>IF(N37&lt;=MAX(1,SUM($U57:AD57))*$E$35,0,1)</f>
        <v>0</v>
      </c>
      <c r="AF57" s="3">
        <f>IF(O37&lt;=MAX(1,SUM($U57:AE57))*$E$35,0,1)</f>
        <v>0</v>
      </c>
      <c r="AG57" s="3">
        <f>IF(P37&lt;=MAX(1,SUM($U57:AF57))*$E$35,0,1)</f>
        <v>0</v>
      </c>
      <c r="AH57" s="3">
        <f>IF(Q37&lt;=MAX(1,SUM($U57:AG57))*$E$35,0,1)</f>
        <v>1</v>
      </c>
      <c r="AI57" s="3">
        <f>IF(R37&lt;=MAX(1,SUM($U57:AH57))*$E$35,0,1)</f>
        <v>0</v>
      </c>
      <c r="AJ57" s="3">
        <f>IF(S37&lt;=MAX(1,SUM($U57:AI57))*$E$35,0,1)</f>
        <v>0</v>
      </c>
      <c r="AK57" s="3">
        <f>IF(T37&lt;=MAX(1,SUM($U57:AJ57))*$E$35,0,1)</f>
        <v>0</v>
      </c>
      <c r="AL57" s="3">
        <f>IF(U37&lt;=MAX(1,SUM($U57:AK57))*$E$35,0,1)</f>
        <v>0</v>
      </c>
      <c r="AM57" s="3">
        <f>IF(V37&lt;=MAX(1,SUM($U57:AL57))*$E$35,0,1)</f>
        <v>0</v>
      </c>
      <c r="AN57" s="3">
        <f>IF(W37&lt;=MAX(1,SUM($U57:AM57))*$E$35,0,1)</f>
        <v>0</v>
      </c>
    </row>
    <row r="58" spans="14:40" ht="11.5" customHeight="1" x14ac:dyDescent="0.25">
      <c r="W58" s="3">
        <v>1</v>
      </c>
      <c r="X58" s="3">
        <f>IF(F37&lt;=MAX(1,SUM($V58:W58))*$E$35,0,1)</f>
        <v>0</v>
      </c>
      <c r="Y58" s="3">
        <f>IF(G37&lt;=MAX(1,SUM($V58:X58))*$E$35,0,1)</f>
        <v>0</v>
      </c>
      <c r="Z58" s="3">
        <f>IF(H37&lt;=MAX(1,SUM($V58:Y58))*$E$35,0,1)</f>
        <v>0</v>
      </c>
      <c r="AA58" s="3">
        <f>IF(I37&lt;=MAX(1,SUM($V58:Z58))*$E$35,0,1)</f>
        <v>0</v>
      </c>
      <c r="AB58" s="3">
        <f>IF(J37&lt;=MAX(1,SUM($V58:AA58))*$E$35,0,1)</f>
        <v>0</v>
      </c>
      <c r="AC58" s="3">
        <f>IF(K37&lt;=MAX(1,SUM($V58:AB58))*$E$35,0,1)</f>
        <v>0</v>
      </c>
      <c r="AD58" s="3">
        <f>IF(L37&lt;=MAX(1,SUM($V58:AC58))*$E$35,0,1)</f>
        <v>0</v>
      </c>
      <c r="AE58" s="3">
        <f>IF(M37&lt;=MAX(1,SUM($V58:AD58))*$E$35,0,1)</f>
        <v>0</v>
      </c>
      <c r="AF58" s="3">
        <f>IF(N37&lt;=MAX(1,SUM($V58:AE58))*$E$35,0,1)</f>
        <v>0</v>
      </c>
      <c r="AG58" s="3">
        <f>IF(O37&lt;=MAX(1,SUM($V58:AF58))*$E$35,0,1)</f>
        <v>0</v>
      </c>
      <c r="AH58" s="3">
        <f>IF(P37&lt;=MAX(1,SUM($V58:AG58))*$E$35,0,1)</f>
        <v>0</v>
      </c>
      <c r="AI58" s="3">
        <f>IF(Q37&lt;=MAX(1,SUM($V58:AH58))*$E$35,0,1)</f>
        <v>1</v>
      </c>
      <c r="AJ58" s="3">
        <f>IF(R37&lt;=MAX(1,SUM($V58:AI58))*$E$35,0,1)</f>
        <v>0</v>
      </c>
      <c r="AK58" s="3">
        <f>IF(S37&lt;=MAX(1,SUM($V58:AJ58))*$E$35,0,1)</f>
        <v>0</v>
      </c>
      <c r="AL58" s="3">
        <f>IF(T37&lt;=MAX(1,SUM($V58:AK58))*$E$35,0,1)</f>
        <v>0</v>
      </c>
      <c r="AM58" s="3">
        <f>IF(U37&lt;=MAX(1,SUM($V58:AL58))*$E$35,0,1)</f>
        <v>0</v>
      </c>
      <c r="AN58" s="3">
        <f>IF(V37&lt;=MAX(1,SUM($V58:AM58))*$E$35,0,1)</f>
        <v>0</v>
      </c>
    </row>
    <row r="59" spans="14:40" ht="11.5" customHeight="1" x14ac:dyDescent="0.25">
      <c r="X59" s="3">
        <v>1</v>
      </c>
      <c r="Y59" s="3">
        <f>IF(F37&lt;=MAX(1,SUM($W59:X59))*$E$35,0,1)</f>
        <v>0</v>
      </c>
      <c r="Z59" s="3">
        <f>IF(G37&lt;=MAX(1,SUM($W59:Y59))*$E$35,0,1)</f>
        <v>0</v>
      </c>
      <c r="AA59" s="3">
        <f>IF(H37&lt;=MAX(1,SUM($W59:Z59))*$E$35,0,1)</f>
        <v>0</v>
      </c>
      <c r="AB59" s="3">
        <f>IF(I37&lt;=MAX(1,SUM($W59:AA59))*$E$35,0,1)</f>
        <v>0</v>
      </c>
      <c r="AC59" s="3">
        <f>IF(J37&lt;=MAX(1,SUM($W59:AB59))*$E$35,0,1)</f>
        <v>0</v>
      </c>
      <c r="AD59" s="3">
        <f>IF(K37&lt;=MAX(1,SUM($W59:AC59))*$E$35,0,1)</f>
        <v>0</v>
      </c>
      <c r="AE59" s="3">
        <f>IF(L37&lt;=MAX(1,SUM($W59:AD59))*$E$35,0,1)</f>
        <v>0</v>
      </c>
      <c r="AF59" s="3">
        <f>IF(M37&lt;=MAX(1,SUM($W59:AE59))*$E$35,0,1)</f>
        <v>0</v>
      </c>
      <c r="AG59" s="3">
        <f>IF(N37&lt;=MAX(1,SUM($W59:AF59))*$E$35,0,1)</f>
        <v>0</v>
      </c>
      <c r="AH59" s="3">
        <f>IF(O37&lt;=MAX(1,SUM($W59:AG59))*$E$35,0,1)</f>
        <v>0</v>
      </c>
      <c r="AI59" s="3">
        <f>IF(P37&lt;=MAX(1,SUM($W59:AH59))*$E$35,0,1)</f>
        <v>0</v>
      </c>
      <c r="AJ59" s="3">
        <f>IF(Q37&lt;=MAX(1,SUM($W59:AI59))*$E$35,0,1)</f>
        <v>1</v>
      </c>
      <c r="AK59" s="3">
        <f>IF(R37&lt;=MAX(1,SUM($W59:AJ59))*$E$35,0,1)</f>
        <v>0</v>
      </c>
      <c r="AL59" s="3">
        <f>IF(S37&lt;=MAX(1,SUM($W59:AK59))*$E$35,0,1)</f>
        <v>0</v>
      </c>
      <c r="AM59" s="3">
        <f>IF(T37&lt;=MAX(1,SUM($W59:AL59))*$E$35,0,1)</f>
        <v>0</v>
      </c>
      <c r="AN59" s="3">
        <f>IF(U37&lt;=MAX(1,SUM($W59:AM59))*$E$35,0,1)</f>
        <v>0</v>
      </c>
    </row>
    <row r="60" spans="14:40" ht="11.5" customHeight="1" x14ac:dyDescent="0.25">
      <c r="Y60" s="3">
        <v>1</v>
      </c>
      <c r="Z60" s="3">
        <f>IF(F37&lt;=MAX(1,SUM($X60:Y60))*$E$35,0,1)</f>
        <v>0</v>
      </c>
      <c r="AA60" s="3">
        <f>IF(G37&lt;=MAX(1,SUM($X60:Z60))*$E$35,0,1)</f>
        <v>0</v>
      </c>
      <c r="AB60" s="3">
        <f>IF(H37&lt;=MAX(1,SUM($X60:AA60))*$E$35,0,1)</f>
        <v>0</v>
      </c>
      <c r="AC60" s="3">
        <f>IF(I37&lt;=MAX(1,SUM($X60:AB60))*$E$35,0,1)</f>
        <v>0</v>
      </c>
      <c r="AD60" s="3">
        <f>IF(J37&lt;=MAX(1,SUM($X60:AC60))*$E$35,0,1)</f>
        <v>0</v>
      </c>
      <c r="AE60" s="3">
        <f>IF(K37&lt;=MAX(1,SUM($X60:AD60))*$E$35,0,1)</f>
        <v>0</v>
      </c>
      <c r="AF60" s="3">
        <f>IF(L37&lt;=MAX(1,SUM($X60:AE60))*$E$35,0,1)</f>
        <v>0</v>
      </c>
      <c r="AG60" s="3">
        <f>IF(M37&lt;=MAX(1,SUM($X60:AF60))*$E$35,0,1)</f>
        <v>0</v>
      </c>
      <c r="AH60" s="3">
        <f>IF(N37&lt;=MAX(1,SUM($X60:AG60))*$E$35,0,1)</f>
        <v>0</v>
      </c>
      <c r="AI60" s="3">
        <f>IF(O37&lt;=MAX(1,SUM($X60:AH60))*$E$35,0,1)</f>
        <v>0</v>
      </c>
      <c r="AJ60" s="3">
        <f>IF(P37&lt;=MAX(1,SUM($X60:AI60))*$E$35,0,1)</f>
        <v>0</v>
      </c>
      <c r="AK60" s="3">
        <f>IF(Q37&lt;=MAX(1,SUM($X60:AJ60))*$E$35,0,1)</f>
        <v>1</v>
      </c>
      <c r="AL60" s="3">
        <f>IF(R37&lt;=MAX(1,SUM($X60:AK60))*$E$35,0,1)</f>
        <v>0</v>
      </c>
      <c r="AM60" s="3">
        <f>IF(S37&lt;=MAX(1,SUM($X60:AL60))*$E$35,0,1)</f>
        <v>0</v>
      </c>
      <c r="AN60" s="3">
        <f>IF(T37&lt;=MAX(1,SUM($X60:AM60))*$E$35,0,1)</f>
        <v>0</v>
      </c>
    </row>
    <row r="61" spans="14:40" ht="11.5" customHeight="1" x14ac:dyDescent="0.25">
      <c r="Z61" s="3">
        <v>1</v>
      </c>
      <c r="AA61" s="3">
        <f>IF(F37&lt;=MAX(1,SUM($Y61:Z61))*$E$35,0,1)</f>
        <v>0</v>
      </c>
      <c r="AB61" s="3">
        <f>IF(G37&lt;=MAX(1,SUM($Y61:AA61))*$E$35,0,1)</f>
        <v>0</v>
      </c>
      <c r="AC61" s="3">
        <f>IF(H37&lt;=MAX(1,SUM($Y61:AB61))*$E$35,0,1)</f>
        <v>0</v>
      </c>
      <c r="AD61" s="3">
        <f>IF(I37&lt;=MAX(1,SUM($Y61:AC61))*$E$35,0,1)</f>
        <v>0</v>
      </c>
      <c r="AE61" s="3">
        <f>IF(J37&lt;=MAX(1,SUM($Y61:AD61))*$E$35,0,1)</f>
        <v>0</v>
      </c>
      <c r="AF61" s="3">
        <f>IF(K37&lt;=MAX(1,SUM($Y61:AE61))*$E$35,0,1)</f>
        <v>0</v>
      </c>
      <c r="AG61" s="3">
        <f>IF(L37&lt;=MAX(1,SUM($Y61:AF61))*$E$35,0,1)</f>
        <v>0</v>
      </c>
      <c r="AH61" s="3">
        <f>IF(M37&lt;=MAX(1,SUM($Y61:AG61))*$E$35,0,1)</f>
        <v>0</v>
      </c>
      <c r="AI61" s="3">
        <f>IF(N37&lt;=MAX(1,SUM($Y61:AH61))*$E$35,0,1)</f>
        <v>0</v>
      </c>
      <c r="AJ61" s="3">
        <f>IF(O37&lt;=MAX(1,SUM($Y61:AI61))*$E$35,0,1)</f>
        <v>0</v>
      </c>
      <c r="AK61" s="3">
        <f>IF(P37&lt;=MAX(1,SUM($Y61:AJ61))*$E$35,0,1)</f>
        <v>0</v>
      </c>
      <c r="AL61" s="3">
        <f>IF(Q37&lt;=MAX(1,SUM($Y61:AK61))*$E$35,0,1)</f>
        <v>1</v>
      </c>
      <c r="AM61" s="3">
        <f>IF(R37&lt;=MAX(1,SUM($Y61:AL61))*$E$35,0,1)</f>
        <v>0</v>
      </c>
      <c r="AN61" s="3">
        <f>IF(S37&lt;=MAX(1,SUM($Y61:AM61))*$E$35,0,1)</f>
        <v>0</v>
      </c>
    </row>
    <row r="62" spans="14:40" ht="11.5" customHeight="1" x14ac:dyDescent="0.25">
      <c r="AA62" s="3">
        <v>1</v>
      </c>
      <c r="AB62" s="3">
        <f>IF(F37&lt;=MAX(1,SUM($Z62:AA62))*$E$35,0,1)</f>
        <v>0</v>
      </c>
      <c r="AC62" s="3">
        <f>IF(G37&lt;=MAX(1,SUM($Z62:AB62))*$E$35,0,1)</f>
        <v>0</v>
      </c>
      <c r="AD62" s="3">
        <f>IF(H37&lt;=MAX(1,SUM($Z62:AC62))*$E$35,0,1)</f>
        <v>0</v>
      </c>
      <c r="AE62" s="3">
        <f>IF(I37&lt;=MAX(1,SUM($Z62:AD62))*$E$35,0,1)</f>
        <v>0</v>
      </c>
      <c r="AF62" s="3">
        <f>IF(J37&lt;=MAX(1,SUM($Z62:AE62))*$E$35,0,1)</f>
        <v>0</v>
      </c>
      <c r="AG62" s="3">
        <f>IF(K37&lt;=MAX(1,SUM($Z62:AF62))*$E$35,0,1)</f>
        <v>0</v>
      </c>
      <c r="AH62" s="3">
        <f>IF(L37&lt;=MAX(1,SUM($Z62:AG62))*$E$35,0,1)</f>
        <v>0</v>
      </c>
      <c r="AI62" s="3">
        <f>IF(M37&lt;=MAX(1,SUM($Z62:AH62))*$E$35,0,1)</f>
        <v>0</v>
      </c>
      <c r="AJ62" s="3">
        <f>IF(N37&lt;=MAX(1,SUM($Z62:AI62))*$E$35,0,1)</f>
        <v>0</v>
      </c>
      <c r="AK62" s="3">
        <f>IF(O37&lt;=MAX(1,SUM($Z62:AJ62))*$E$35,0,1)</f>
        <v>0</v>
      </c>
      <c r="AL62" s="3">
        <f>IF(P37&lt;=MAX(1,SUM($Z62:AK62))*$E$35,0,1)</f>
        <v>0</v>
      </c>
      <c r="AM62" s="3">
        <f>IF(Q37&lt;=MAX(1,SUM($Z62:AL62))*$E$35,0,1)</f>
        <v>1</v>
      </c>
      <c r="AN62" s="3">
        <f>IF(R37&lt;=MAX(1,SUM($Z62:AM62))*$E$35,0,1)</f>
        <v>0</v>
      </c>
    </row>
    <row r="63" spans="14:40" ht="11.5" customHeight="1" x14ac:dyDescent="0.25">
      <c r="AB63" s="3">
        <v>1</v>
      </c>
      <c r="AC63" s="3">
        <f>IF(F37&lt;=MAX(1,SUM($AA63:AB63))*$E$35,0,1)</f>
        <v>0</v>
      </c>
      <c r="AD63" s="3">
        <f>IF(G37&lt;=MAX(1,SUM($AA63:AC63))*$E$35,0,1)</f>
        <v>0</v>
      </c>
      <c r="AE63" s="3">
        <f>IF(H37&lt;=MAX(1,SUM($AA63:AD63))*$E$35,0,1)</f>
        <v>0</v>
      </c>
      <c r="AF63" s="3">
        <f>IF(I37&lt;=MAX(1,SUM($AA63:AE63))*$E$35,0,1)</f>
        <v>0</v>
      </c>
      <c r="AG63" s="3">
        <f>IF(J37&lt;=MAX(1,SUM($AA63:AF63))*$E$35,0,1)</f>
        <v>0</v>
      </c>
      <c r="AH63" s="3">
        <f>IF(K37&lt;=MAX(1,SUM($AA63:AG63))*$E$35,0,1)</f>
        <v>0</v>
      </c>
      <c r="AI63" s="3">
        <f>IF(L37&lt;=MAX(1,SUM($AA63:AH63))*$E$35,0,1)</f>
        <v>0</v>
      </c>
      <c r="AJ63" s="3">
        <f>IF(M37&lt;=MAX(1,SUM($AA63:AI63))*$E$35,0,1)</f>
        <v>0</v>
      </c>
      <c r="AK63" s="3">
        <f>IF(N37&lt;=MAX(1,SUM($AA63:AJ63))*$E$35,0,1)</f>
        <v>0</v>
      </c>
      <c r="AL63" s="3">
        <f>IF(O37&lt;=MAX(1,SUM($AA63:AK63))*$E$35,0,1)</f>
        <v>0</v>
      </c>
      <c r="AM63" s="3">
        <f>IF(P37&lt;=MAX(1,SUM($AA63:AL63))*$E$35,0,1)</f>
        <v>0</v>
      </c>
      <c r="AN63" s="3">
        <f>IF(Q37&lt;=MAX(1,SUM($AA63:AM63))*$E$35,0,1)</f>
        <v>1</v>
      </c>
    </row>
    <row r="64" spans="14:40" ht="11.5" customHeight="1" x14ac:dyDescent="0.25">
      <c r="AC64" s="3">
        <v>1</v>
      </c>
      <c r="AD64" s="3">
        <f>IF(F37&lt;=MAX(1,SUM($AB64:AC64))*$E$35,0,1)</f>
        <v>0</v>
      </c>
      <c r="AE64" s="3">
        <f>IF(G37&lt;=MAX(1,SUM($AB64:AD64))*$E$35,0,1)</f>
        <v>0</v>
      </c>
      <c r="AF64" s="3">
        <f>IF(H37&lt;=MAX(1,SUM($AB64:AE64))*$E$35,0,1)</f>
        <v>0</v>
      </c>
      <c r="AG64" s="3">
        <f>IF(I37&lt;=MAX(1,SUM($AB64:AF64))*$E$35,0,1)</f>
        <v>0</v>
      </c>
      <c r="AH64" s="3">
        <f>IF(J37&lt;=MAX(1,SUM($AB64:AG64))*$E$35,0,1)</f>
        <v>0</v>
      </c>
      <c r="AI64" s="3">
        <f>IF(K37&lt;=MAX(1,SUM($AB64:AH64))*$E$35,0,1)</f>
        <v>0</v>
      </c>
      <c r="AJ64" s="3">
        <f>IF(L37&lt;=MAX(1,SUM($AB64:AI64))*$E$35,0,1)</f>
        <v>0</v>
      </c>
      <c r="AK64" s="3">
        <f>IF(M37&lt;=MAX(1,SUM($AB64:AJ64))*$E$35,0,1)</f>
        <v>0</v>
      </c>
      <c r="AL64" s="3">
        <f>IF(N37&lt;=MAX(1,SUM($AB64:AK64))*$E$35,0,1)</f>
        <v>0</v>
      </c>
      <c r="AM64" s="3">
        <f>IF(O37&lt;=MAX(1,SUM($AB64:AL64))*$E$35,0,1)</f>
        <v>0</v>
      </c>
      <c r="AN64" s="3">
        <f>IF(P37&lt;=MAX(1,SUM($AB64:AM64))*$E$35,0,1)</f>
        <v>0</v>
      </c>
    </row>
    <row r="65" spans="30:40" ht="11.5" customHeight="1" x14ac:dyDescent="0.25">
      <c r="AD65" s="3">
        <v>1</v>
      </c>
      <c r="AE65" s="3">
        <f>IF(F37&lt;=MAX(1,SUM($AC65:AD65))*$E$35,0,1)</f>
        <v>0</v>
      </c>
      <c r="AF65" s="3">
        <f>IF(G37&lt;=MAX(1,SUM($AC65:AE65))*$E$35,0,1)</f>
        <v>0</v>
      </c>
      <c r="AG65" s="3">
        <f>IF(H37&lt;=MAX(1,SUM($AC65:AF65))*$E$35,0,1)</f>
        <v>0</v>
      </c>
      <c r="AH65" s="3">
        <f>IF(I37&lt;=MAX(1,SUM($AC65:AG65))*$E$35,0,1)</f>
        <v>0</v>
      </c>
      <c r="AI65" s="3">
        <f>IF(J37&lt;=MAX(1,SUM($AC65:AH65))*$E$35,0,1)</f>
        <v>0</v>
      </c>
      <c r="AJ65" s="3">
        <f>IF(K37&lt;=MAX(1,SUM($AC65:AI65))*$E$35,0,1)</f>
        <v>0</v>
      </c>
      <c r="AK65" s="3">
        <f>IF(L37&lt;=MAX(1,SUM($AC65:AJ65))*$E$35,0,1)</f>
        <v>0</v>
      </c>
      <c r="AL65" s="3">
        <f>IF(M37&lt;=MAX(1,SUM($AC65:AK65))*$E$35,0,1)</f>
        <v>0</v>
      </c>
      <c r="AM65" s="3">
        <f>IF(N37&lt;=MAX(1,SUM($AC65:AL65))*$E$35,0,1)</f>
        <v>0</v>
      </c>
      <c r="AN65" s="3">
        <f>IF(O37&lt;=MAX(1,SUM($AC65:AM65))*$E$35,0,1)</f>
        <v>0</v>
      </c>
    </row>
    <row r="66" spans="30:40" ht="11.5" customHeight="1" x14ac:dyDescent="0.25">
      <c r="AE66" s="3">
        <v>1</v>
      </c>
      <c r="AF66" s="3">
        <f>IF(F37&lt;=MAX(1,SUM($AD66:AE66))*$E$35,0,1)</f>
        <v>0</v>
      </c>
      <c r="AG66" s="3">
        <f>IF(G37&lt;=MAX(1,SUM($AD66:AF66))*$E$35,0,1)</f>
        <v>0</v>
      </c>
      <c r="AH66" s="3">
        <f>IF(H37&lt;=MAX(1,SUM($AD66:AG66))*$E$35,0,1)</f>
        <v>0</v>
      </c>
      <c r="AI66" s="3">
        <f>IF(I37&lt;=MAX(1,SUM($AD66:AH66))*$E$35,0,1)</f>
        <v>0</v>
      </c>
      <c r="AJ66" s="3">
        <f>IF(J37&lt;=MAX(1,SUM($AD66:AI66))*$E$35,0,1)</f>
        <v>0</v>
      </c>
      <c r="AK66" s="3">
        <f>IF(K37&lt;=MAX(1,SUM($AD66:AJ66))*$E$35,0,1)</f>
        <v>0</v>
      </c>
      <c r="AL66" s="3">
        <f>IF(L37&lt;=MAX(1,SUM($AD66:AK66))*$E$35,0,1)</f>
        <v>0</v>
      </c>
      <c r="AM66" s="3">
        <f>IF(M37&lt;=MAX(1,SUM($AD66:AL66))*$E$35,0,1)</f>
        <v>0</v>
      </c>
      <c r="AN66" s="3">
        <f>IF(N37&lt;=MAX(1,SUM($AD66:AM66))*$E$35,0,1)</f>
        <v>0</v>
      </c>
    </row>
    <row r="67" spans="30:40" ht="11.5" customHeight="1" x14ac:dyDescent="0.25">
      <c r="AF67" s="3">
        <v>1</v>
      </c>
      <c r="AG67" s="3">
        <f>IF(F37&lt;=MAX(1,SUM($AE67:AF67))*$E$35,0,1)</f>
        <v>0</v>
      </c>
      <c r="AH67" s="3">
        <f>IF(G37&lt;=MAX(1,SUM($AE67:AG67))*$E$35,0,1)</f>
        <v>0</v>
      </c>
      <c r="AI67" s="3">
        <f>IF(H37&lt;=MAX(1,SUM($AE67:AH67))*$E$35,0,1)</f>
        <v>0</v>
      </c>
      <c r="AJ67" s="3">
        <f>IF(I37&lt;=MAX(1,SUM($AE67:AI67))*$E$35,0,1)</f>
        <v>0</v>
      </c>
      <c r="AK67" s="3">
        <f>IF(J37&lt;=MAX(1,SUM($AE67:AJ67))*$E$35,0,1)</f>
        <v>0</v>
      </c>
      <c r="AL67" s="3">
        <f>IF(K37&lt;=MAX(1,SUM($AE67:AK67))*$E$35,0,1)</f>
        <v>0</v>
      </c>
      <c r="AM67" s="3">
        <f>IF(L37&lt;=MAX(1,SUM($AE67:AL67))*$E$35,0,1)</f>
        <v>0</v>
      </c>
      <c r="AN67" s="3">
        <f>IF(M37&lt;=MAX(1,SUM($AE67:AM67))*$E$35,0,1)</f>
        <v>0</v>
      </c>
    </row>
    <row r="68" spans="30:40" ht="11.5" customHeight="1" x14ac:dyDescent="0.25">
      <c r="AG68" s="3">
        <v>1</v>
      </c>
      <c r="AH68" s="3">
        <f>IF(F37&lt;=MAX(1,SUM($AF68:AG68))*$E$35,0,1)</f>
        <v>0</v>
      </c>
      <c r="AI68" s="3">
        <f>IF(G37&lt;=MAX(1,SUM($AF68:AH68))*$E$35,0,1)</f>
        <v>0</v>
      </c>
      <c r="AJ68" s="3">
        <f>IF(H37&lt;=MAX(1,SUM($AF68:AI68))*$E$35,0,1)</f>
        <v>0</v>
      </c>
      <c r="AK68" s="3">
        <f>IF(I37&lt;=MAX(1,SUM($AF68:AJ68))*$E$35,0,1)</f>
        <v>0</v>
      </c>
      <c r="AL68" s="3">
        <f>IF(J37&lt;=MAX(1,SUM($AF68:AK68))*$E$35,0,1)</f>
        <v>0</v>
      </c>
      <c r="AM68" s="3">
        <f>IF(K37&lt;=MAX(1,SUM($AF68:AL68))*$E$35,0,1)</f>
        <v>0</v>
      </c>
      <c r="AN68" s="3">
        <f>IF(L37&lt;=MAX(1,SUM($AF68:AM68))*$E$35,0,1)</f>
        <v>0</v>
      </c>
    </row>
    <row r="69" spans="30:40" ht="11.5" customHeight="1" x14ac:dyDescent="0.25">
      <c r="AH69" s="3">
        <v>1</v>
      </c>
      <c r="AI69" s="3">
        <f>IF(F37&lt;=MAX(1,SUM($AG69:AH69))*$E$35,0,1)</f>
        <v>0</v>
      </c>
      <c r="AJ69" s="3">
        <f>IF(G37&lt;=MAX(1,SUM($AG69:AI69))*$E$35,0,1)</f>
        <v>0</v>
      </c>
      <c r="AK69" s="3">
        <f>IF(H37&lt;=MAX(1,SUM($AG69:AJ69))*$E$35,0,1)</f>
        <v>0</v>
      </c>
      <c r="AL69" s="3">
        <f>IF(I37&lt;=MAX(1,SUM($AG69:AK69))*$E$35,0,1)</f>
        <v>0</v>
      </c>
      <c r="AM69" s="3">
        <f>IF(J37&lt;=MAX(1,SUM($AG69:AL69))*$E$35,0,1)</f>
        <v>0</v>
      </c>
      <c r="AN69" s="3">
        <f>IF(K37&lt;=MAX(1,SUM($AG69:AM69))*$E$35,0,1)</f>
        <v>0</v>
      </c>
    </row>
    <row r="70" spans="30:40" ht="11.5" customHeight="1" x14ac:dyDescent="0.25">
      <c r="AI70" s="3">
        <v>1</v>
      </c>
      <c r="AJ70" s="3">
        <f>IF(F37&lt;=MAX(1,SUM($AH70:AI70))*$E$35,0,1)</f>
        <v>0</v>
      </c>
      <c r="AK70" s="3">
        <f>IF(G37&lt;=MAX(1,SUM($AH70:AJ70))*$E$35,0,1)</f>
        <v>0</v>
      </c>
      <c r="AL70" s="3">
        <f>IF(H37&lt;=MAX(1,SUM($AH70:AK70))*$E$35,0,1)</f>
        <v>0</v>
      </c>
      <c r="AM70" s="3">
        <f>IF(I37&lt;=MAX(1,SUM($AH70:AL70))*$E$35,0,1)</f>
        <v>0</v>
      </c>
      <c r="AN70" s="3">
        <f>IF(J37&lt;=MAX(1,SUM($AH70:AM70))*$E$35,0,1)</f>
        <v>0</v>
      </c>
    </row>
    <row r="71" spans="30:40" ht="11.5" customHeight="1" x14ac:dyDescent="0.25">
      <c r="AJ71" s="3">
        <v>1</v>
      </c>
      <c r="AK71" s="3">
        <f>IF(F37&lt;=MAX(1,SUM($AI71:AJ71))*$E$35,0,1)</f>
        <v>0</v>
      </c>
      <c r="AL71" s="3">
        <f>IF(G37&lt;=MAX(1,SUM($AI71:AK71))*$E$35,0,1)</f>
        <v>0</v>
      </c>
      <c r="AM71" s="3">
        <f>IF(H37&lt;=MAX(1,SUM($AI71:AL71))*$E$35,0,1)</f>
        <v>0</v>
      </c>
      <c r="AN71" s="3">
        <f>IF(I37&lt;=MAX(1,SUM($AI71:AM71))*$E$35,0,1)</f>
        <v>0</v>
      </c>
    </row>
    <row r="72" spans="30:40" ht="11.5" customHeight="1" x14ac:dyDescent="0.25">
      <c r="AK72" s="3">
        <v>1</v>
      </c>
      <c r="AL72" s="3">
        <f>IF(F37&lt;=MAX(1,SUM($AJ72:AK72))*$E$35,0,1)</f>
        <v>0</v>
      </c>
      <c r="AM72" s="3">
        <f>IF(G37&lt;=MAX(1,SUM($AJ72:AL72))*$E$35,0,1)</f>
        <v>0</v>
      </c>
      <c r="AN72" s="3">
        <f>IF(H37&lt;=MAX(1,SUM($AJ72:AM72))*$E$35,0,1)</f>
        <v>0</v>
      </c>
    </row>
    <row r="73" spans="30:40" ht="11.5" customHeight="1" x14ac:dyDescent="0.25">
      <c r="AL73" s="3">
        <v>1</v>
      </c>
      <c r="AM73" s="3">
        <f>IF(F37&lt;=MAX(1,SUM($AK73:AL73))*$E$35,0,1)</f>
        <v>0</v>
      </c>
      <c r="AN73" s="3">
        <f>IF(G37&lt;=MAX(1,SUM($AK73:AM73))*$E$35,0,1)</f>
        <v>0</v>
      </c>
    </row>
    <row r="74" spans="30:40" ht="11.5" customHeight="1" x14ac:dyDescent="0.25">
      <c r="AM74" s="3">
        <v>1</v>
      </c>
      <c r="AN74" s="3">
        <f>IF(F37&lt;=MAX(1,SUM($AL74:AM74))*$E$35,0,1)</f>
        <v>0</v>
      </c>
    </row>
    <row r="75" spans="30:40" ht="11.5" customHeight="1" x14ac:dyDescent="0.25">
      <c r="AN75" s="3">
        <v>1</v>
      </c>
    </row>
  </sheetData>
  <pageMargins left="0.7" right="0.7" top="0.75" bottom="0.75" header="0.3" footer="0.3"/>
  <ignoredErrors>
    <ignoredError sqref="E10:AN10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51444-5C21-447D-9524-D052ED1F0679}">
  <dimension ref="A1:AQ85"/>
  <sheetViews>
    <sheetView showGridLines="0" zoomScale="70" zoomScaleNormal="70" workbookViewId="0"/>
  </sheetViews>
  <sheetFormatPr defaultColWidth="0" defaultRowHeight="11.5" customHeight="1" x14ac:dyDescent="0.25"/>
  <cols>
    <col min="1" max="2" width="3.6328125" style="3" customWidth="1"/>
    <col min="3" max="3" width="50.6328125" style="3" customWidth="1"/>
    <col min="4" max="4" width="10" style="3" bestFit="1" customWidth="1"/>
    <col min="5" max="40" width="15.6328125" style="3" customWidth="1"/>
    <col min="41" max="41" width="0.453125" style="3" customWidth="1"/>
    <col min="42" max="42" width="50.6328125" style="3" customWidth="1"/>
    <col min="43" max="43" width="3.6328125" style="3" customWidth="1"/>
    <col min="44" max="16384" width="8.7265625" style="3" hidden="1"/>
  </cols>
  <sheetData>
    <row r="1" spans="1:42" s="4" customFormat="1" ht="14" x14ac:dyDescent="0.3">
      <c r="A1" s="103" t="str">
        <f ca="1">MID(CELL("filename",A1),FIND("]",CELL("filename",A1))+1,255)</f>
        <v>3.7 D&amp;A</v>
      </c>
      <c r="AO1" s="5"/>
    </row>
    <row r="2" spans="1:42" s="5" customFormat="1" x14ac:dyDescent="0.25">
      <c r="A2" s="7" t="s">
        <v>970</v>
      </c>
    </row>
    <row r="3" spans="1:42" ht="11.5" customHeight="1" x14ac:dyDescent="0.25">
      <c r="C3" s="2"/>
    </row>
    <row r="4" spans="1:42" ht="11.5" customHeight="1" x14ac:dyDescent="0.25">
      <c r="B4" s="6" t="s">
        <v>0</v>
      </c>
      <c r="C4" s="10" t="s">
        <v>20</v>
      </c>
      <c r="D4" s="29" t="s">
        <v>14</v>
      </c>
      <c r="E4" s="252">
        <v>45688</v>
      </c>
      <c r="F4" s="252">
        <v>45716</v>
      </c>
      <c r="G4" s="252">
        <v>45747</v>
      </c>
      <c r="H4" s="252">
        <v>45777</v>
      </c>
      <c r="I4" s="252">
        <v>45808</v>
      </c>
      <c r="J4" s="252">
        <v>45838</v>
      </c>
      <c r="K4" s="252">
        <v>45869</v>
      </c>
      <c r="L4" s="252">
        <v>45900</v>
      </c>
      <c r="M4" s="252">
        <v>45930</v>
      </c>
      <c r="N4" s="252">
        <v>45961</v>
      </c>
      <c r="O4" s="252">
        <v>45991</v>
      </c>
      <c r="P4" s="252">
        <v>46022</v>
      </c>
      <c r="Q4" s="252">
        <f>E4+365.25</f>
        <v>46053.25</v>
      </c>
      <c r="R4" s="252">
        <f t="shared" ref="R4:AN4" si="0">F4+365.25</f>
        <v>46081.25</v>
      </c>
      <c r="S4" s="252">
        <f t="shared" si="0"/>
        <v>46112.25</v>
      </c>
      <c r="T4" s="252">
        <f t="shared" si="0"/>
        <v>46142.25</v>
      </c>
      <c r="U4" s="252">
        <f t="shared" si="0"/>
        <v>46173.25</v>
      </c>
      <c r="V4" s="252">
        <f t="shared" si="0"/>
        <v>46203.25</v>
      </c>
      <c r="W4" s="252">
        <f t="shared" si="0"/>
        <v>46234.25</v>
      </c>
      <c r="X4" s="252">
        <f t="shared" si="0"/>
        <v>46265.25</v>
      </c>
      <c r="Y4" s="252">
        <f t="shared" si="0"/>
        <v>46295.25</v>
      </c>
      <c r="Z4" s="252">
        <f t="shared" si="0"/>
        <v>46326.25</v>
      </c>
      <c r="AA4" s="252">
        <f t="shared" si="0"/>
        <v>46356.25</v>
      </c>
      <c r="AB4" s="252">
        <f t="shared" si="0"/>
        <v>46387.25</v>
      </c>
      <c r="AC4" s="252">
        <f t="shared" si="0"/>
        <v>46418.5</v>
      </c>
      <c r="AD4" s="252">
        <f t="shared" si="0"/>
        <v>46446.5</v>
      </c>
      <c r="AE4" s="252">
        <f t="shared" si="0"/>
        <v>46477.5</v>
      </c>
      <c r="AF4" s="252">
        <f t="shared" si="0"/>
        <v>46507.5</v>
      </c>
      <c r="AG4" s="252">
        <f t="shared" si="0"/>
        <v>46538.5</v>
      </c>
      <c r="AH4" s="252">
        <f t="shared" si="0"/>
        <v>46568.5</v>
      </c>
      <c r="AI4" s="252">
        <f t="shared" si="0"/>
        <v>46599.5</v>
      </c>
      <c r="AJ4" s="252">
        <f t="shared" si="0"/>
        <v>46630.5</v>
      </c>
      <c r="AK4" s="252">
        <f t="shared" si="0"/>
        <v>46660.5</v>
      </c>
      <c r="AL4" s="252">
        <f t="shared" si="0"/>
        <v>46691.5</v>
      </c>
      <c r="AM4" s="252">
        <f t="shared" si="0"/>
        <v>46721.5</v>
      </c>
      <c r="AN4" s="252">
        <f t="shared" si="0"/>
        <v>46752.5</v>
      </c>
      <c r="AO4" s="74"/>
      <c r="AP4" s="100" t="s">
        <v>45</v>
      </c>
    </row>
    <row r="5" spans="1:42" ht="11.5" customHeight="1" x14ac:dyDescent="0.25">
      <c r="C5" s="28" t="s">
        <v>845</v>
      </c>
      <c r="D5" s="34" t="s">
        <v>46</v>
      </c>
      <c r="E5" s="28">
        <f>SUM(E36:E38)</f>
        <v>23.958333333333332</v>
      </c>
      <c r="F5" s="28">
        <f t="shared" ref="F5:AN5" si="1">SUM(F36:F38)</f>
        <v>50</v>
      </c>
      <c r="G5" s="28">
        <f t="shared" si="1"/>
        <v>54.166666666666664</v>
      </c>
      <c r="H5" s="28">
        <f t="shared" si="1"/>
        <v>58.333333333333329</v>
      </c>
      <c r="I5" s="28">
        <f t="shared" si="1"/>
        <v>62.499999999999993</v>
      </c>
      <c r="J5" s="28">
        <f t="shared" si="1"/>
        <v>66.666666666666657</v>
      </c>
      <c r="K5" s="28">
        <f t="shared" si="1"/>
        <v>70.833333333333314</v>
      </c>
      <c r="L5" s="28">
        <f t="shared" si="1"/>
        <v>74.999999999999986</v>
      </c>
      <c r="M5" s="28">
        <f t="shared" si="1"/>
        <v>79.166666666666657</v>
      </c>
      <c r="N5" s="28">
        <f t="shared" si="1"/>
        <v>83.333333333333329</v>
      </c>
      <c r="O5" s="28">
        <f t="shared" si="1"/>
        <v>87.5</v>
      </c>
      <c r="P5" s="28">
        <f t="shared" si="1"/>
        <v>91.666666666666671</v>
      </c>
      <c r="Q5" s="28">
        <f t="shared" si="1"/>
        <v>95.833333333333343</v>
      </c>
      <c r="R5" s="28">
        <f t="shared" si="1"/>
        <v>100.00000000000001</v>
      </c>
      <c r="S5" s="28">
        <f t="shared" si="1"/>
        <v>104.16666666666669</v>
      </c>
      <c r="T5" s="28">
        <f t="shared" si="1"/>
        <v>108.33333333333336</v>
      </c>
      <c r="U5" s="28">
        <f t="shared" si="1"/>
        <v>112.50000000000003</v>
      </c>
      <c r="V5" s="28">
        <f t="shared" si="1"/>
        <v>116.6666666666667</v>
      </c>
      <c r="W5" s="28">
        <f t="shared" si="1"/>
        <v>120.83333333333337</v>
      </c>
      <c r="X5" s="28">
        <f t="shared" si="1"/>
        <v>125.00000000000004</v>
      </c>
      <c r="Y5" s="28">
        <f t="shared" si="1"/>
        <v>129.16666666666671</v>
      </c>
      <c r="Z5" s="28">
        <f t="shared" si="1"/>
        <v>133.33333333333337</v>
      </c>
      <c r="AA5" s="28">
        <f t="shared" si="1"/>
        <v>137.50000000000006</v>
      </c>
      <c r="AB5" s="28">
        <f t="shared" si="1"/>
        <v>141.66666666666671</v>
      </c>
      <c r="AC5" s="28">
        <f t="shared" si="1"/>
        <v>145.83333333333337</v>
      </c>
      <c r="AD5" s="28">
        <f t="shared" si="1"/>
        <v>150.00000000000003</v>
      </c>
      <c r="AE5" s="28">
        <f t="shared" si="1"/>
        <v>154.16666666666669</v>
      </c>
      <c r="AF5" s="28">
        <f t="shared" si="1"/>
        <v>158.33333333333334</v>
      </c>
      <c r="AG5" s="28">
        <f t="shared" si="1"/>
        <v>162.5</v>
      </c>
      <c r="AH5" s="28">
        <f t="shared" si="1"/>
        <v>166.66666666666666</v>
      </c>
      <c r="AI5" s="28">
        <f t="shared" si="1"/>
        <v>170.83333333333331</v>
      </c>
      <c r="AJ5" s="28">
        <f t="shared" si="1"/>
        <v>174.99999999999997</v>
      </c>
      <c r="AK5" s="28">
        <f t="shared" si="1"/>
        <v>179.16666666666663</v>
      </c>
      <c r="AL5" s="28">
        <f t="shared" si="1"/>
        <v>183.33333333333329</v>
      </c>
      <c r="AM5" s="28">
        <f t="shared" si="1"/>
        <v>187.49999999999994</v>
      </c>
      <c r="AN5" s="28">
        <f t="shared" si="1"/>
        <v>193.74999999999991</v>
      </c>
      <c r="AP5" s="20"/>
    </row>
    <row r="6" spans="1:42" ht="11.5" customHeight="1" x14ac:dyDescent="0.25">
      <c r="C6" s="21" t="s">
        <v>848</v>
      </c>
      <c r="D6" s="34" t="s">
        <v>46</v>
      </c>
      <c r="E6" s="376">
        <f>SUM(E39:E40)</f>
        <v>520.83333333333337</v>
      </c>
      <c r="F6" s="376">
        <f t="shared" ref="F6:AN6" si="2">SUM(F39:F40)</f>
        <v>1041.6666666666667</v>
      </c>
      <c r="G6" s="376">
        <f t="shared" si="2"/>
        <v>1562.5</v>
      </c>
      <c r="H6" s="376">
        <f t="shared" si="2"/>
        <v>3125</v>
      </c>
      <c r="I6" s="376">
        <f t="shared" si="2"/>
        <v>4687.5</v>
      </c>
      <c r="J6" s="376">
        <f t="shared" si="2"/>
        <v>5729.166666666667</v>
      </c>
      <c r="K6" s="376">
        <f t="shared" si="2"/>
        <v>6770.8333333333339</v>
      </c>
      <c r="L6" s="376">
        <f t="shared" si="2"/>
        <v>8333.3333333333321</v>
      </c>
      <c r="M6" s="376">
        <f t="shared" si="2"/>
        <v>9375</v>
      </c>
      <c r="N6" s="376">
        <f t="shared" si="2"/>
        <v>9895.8333333333339</v>
      </c>
      <c r="O6" s="376">
        <f t="shared" si="2"/>
        <v>10416.666666666668</v>
      </c>
      <c r="P6" s="376">
        <f t="shared" si="2"/>
        <v>10416.666666666668</v>
      </c>
      <c r="Q6" s="376">
        <f t="shared" si="2"/>
        <v>10416.666666666668</v>
      </c>
      <c r="R6" s="376">
        <f t="shared" si="2"/>
        <v>11458.333333333334</v>
      </c>
      <c r="S6" s="376">
        <f t="shared" si="2"/>
        <v>12500</v>
      </c>
      <c r="T6" s="376">
        <f t="shared" si="2"/>
        <v>12500</v>
      </c>
      <c r="U6" s="376">
        <f t="shared" si="2"/>
        <v>12500</v>
      </c>
      <c r="V6" s="376">
        <f t="shared" si="2"/>
        <v>12500</v>
      </c>
      <c r="W6" s="376">
        <f t="shared" si="2"/>
        <v>12500</v>
      </c>
      <c r="X6" s="376">
        <f t="shared" si="2"/>
        <v>12500</v>
      </c>
      <c r="Y6" s="376">
        <f t="shared" si="2"/>
        <v>12500</v>
      </c>
      <c r="Z6" s="376">
        <f t="shared" si="2"/>
        <v>12500</v>
      </c>
      <c r="AA6" s="376">
        <f t="shared" si="2"/>
        <v>12500</v>
      </c>
      <c r="AB6" s="376">
        <f t="shared" si="2"/>
        <v>12500</v>
      </c>
      <c r="AC6" s="376">
        <f t="shared" si="2"/>
        <v>12500</v>
      </c>
      <c r="AD6" s="376">
        <f t="shared" si="2"/>
        <v>12500</v>
      </c>
      <c r="AE6" s="376">
        <f t="shared" si="2"/>
        <v>12500</v>
      </c>
      <c r="AF6" s="376">
        <f t="shared" si="2"/>
        <v>12500</v>
      </c>
      <c r="AG6" s="376">
        <f t="shared" si="2"/>
        <v>12500</v>
      </c>
      <c r="AH6" s="376">
        <f t="shared" si="2"/>
        <v>12500</v>
      </c>
      <c r="AI6" s="376">
        <f t="shared" si="2"/>
        <v>12500</v>
      </c>
      <c r="AJ6" s="376">
        <f t="shared" si="2"/>
        <v>12500</v>
      </c>
      <c r="AK6" s="376">
        <f t="shared" si="2"/>
        <v>12500</v>
      </c>
      <c r="AL6" s="376">
        <f t="shared" si="2"/>
        <v>12500</v>
      </c>
      <c r="AM6" s="376">
        <f t="shared" si="2"/>
        <v>12500</v>
      </c>
      <c r="AN6" s="376">
        <f t="shared" si="2"/>
        <v>12500</v>
      </c>
      <c r="AP6" s="21"/>
    </row>
    <row r="7" spans="1:42" ht="11.5" customHeight="1" x14ac:dyDescent="0.25">
      <c r="C7" s="21" t="s">
        <v>846</v>
      </c>
      <c r="D7" s="34" t="s">
        <v>46</v>
      </c>
      <c r="E7" s="376">
        <f>SUM(E41:E42)</f>
        <v>0</v>
      </c>
      <c r="F7" s="376">
        <f t="shared" ref="F7:AN7" si="3">SUM(F41:F42)</f>
        <v>0</v>
      </c>
      <c r="G7" s="376">
        <f t="shared" si="3"/>
        <v>0</v>
      </c>
      <c r="H7" s="376">
        <f t="shared" si="3"/>
        <v>0</v>
      </c>
      <c r="I7" s="376">
        <f t="shared" si="3"/>
        <v>0</v>
      </c>
      <c r="J7" s="376">
        <f t="shared" si="3"/>
        <v>0</v>
      </c>
      <c r="K7" s="376">
        <f t="shared" si="3"/>
        <v>0</v>
      </c>
      <c r="L7" s="376">
        <f t="shared" si="3"/>
        <v>0</v>
      </c>
      <c r="M7" s="376">
        <f t="shared" si="3"/>
        <v>0</v>
      </c>
      <c r="N7" s="376">
        <f t="shared" si="3"/>
        <v>0</v>
      </c>
      <c r="O7" s="376">
        <f t="shared" si="3"/>
        <v>0</v>
      </c>
      <c r="P7" s="376">
        <f t="shared" si="3"/>
        <v>0</v>
      </c>
      <c r="Q7" s="376">
        <f t="shared" si="3"/>
        <v>0</v>
      </c>
      <c r="R7" s="376">
        <f t="shared" si="3"/>
        <v>0</v>
      </c>
      <c r="S7" s="376">
        <f t="shared" si="3"/>
        <v>0</v>
      </c>
      <c r="T7" s="376">
        <f t="shared" si="3"/>
        <v>0</v>
      </c>
      <c r="U7" s="376">
        <f t="shared" si="3"/>
        <v>0</v>
      </c>
      <c r="V7" s="376">
        <f t="shared" si="3"/>
        <v>0</v>
      </c>
      <c r="W7" s="376">
        <f t="shared" si="3"/>
        <v>0</v>
      </c>
      <c r="X7" s="376">
        <f t="shared" si="3"/>
        <v>0</v>
      </c>
      <c r="Y7" s="376">
        <f t="shared" si="3"/>
        <v>0</v>
      </c>
      <c r="Z7" s="376">
        <f t="shared" si="3"/>
        <v>0</v>
      </c>
      <c r="AA7" s="376">
        <f t="shared" si="3"/>
        <v>0</v>
      </c>
      <c r="AB7" s="376">
        <f t="shared" si="3"/>
        <v>0</v>
      </c>
      <c r="AC7" s="376">
        <f t="shared" si="3"/>
        <v>0</v>
      </c>
      <c r="AD7" s="376">
        <f t="shared" si="3"/>
        <v>0</v>
      </c>
      <c r="AE7" s="376">
        <f t="shared" si="3"/>
        <v>0</v>
      </c>
      <c r="AF7" s="376">
        <f t="shared" si="3"/>
        <v>0</v>
      </c>
      <c r="AG7" s="376">
        <f t="shared" si="3"/>
        <v>0</v>
      </c>
      <c r="AH7" s="376">
        <f t="shared" si="3"/>
        <v>0</v>
      </c>
      <c r="AI7" s="376">
        <f t="shared" si="3"/>
        <v>0</v>
      </c>
      <c r="AJ7" s="376">
        <f t="shared" si="3"/>
        <v>0</v>
      </c>
      <c r="AK7" s="376">
        <f t="shared" si="3"/>
        <v>0</v>
      </c>
      <c r="AL7" s="376">
        <f t="shared" si="3"/>
        <v>0</v>
      </c>
      <c r="AM7" s="376">
        <f t="shared" si="3"/>
        <v>0</v>
      </c>
      <c r="AN7" s="376">
        <f t="shared" si="3"/>
        <v>0</v>
      </c>
      <c r="AP7" s="21"/>
    </row>
    <row r="8" spans="1:42" ht="11.5" customHeight="1" x14ac:dyDescent="0.25">
      <c r="C8" s="21" t="s">
        <v>847</v>
      </c>
      <c r="D8" s="34" t="s">
        <v>46</v>
      </c>
      <c r="E8" s="376">
        <f>SUM(E43:E44)</f>
        <v>275</v>
      </c>
      <c r="F8" s="376">
        <f t="shared" ref="F8:AN8" si="4">SUM(F43:F44)</f>
        <v>800</v>
      </c>
      <c r="G8" s="376">
        <f t="shared" si="4"/>
        <v>1300</v>
      </c>
      <c r="H8" s="376">
        <f t="shared" si="4"/>
        <v>1800</v>
      </c>
      <c r="I8" s="376">
        <f t="shared" si="4"/>
        <v>2300</v>
      </c>
      <c r="J8" s="376">
        <f t="shared" si="4"/>
        <v>2800</v>
      </c>
      <c r="K8" s="376">
        <f t="shared" si="4"/>
        <v>3300</v>
      </c>
      <c r="L8" s="376">
        <f t="shared" si="4"/>
        <v>3800</v>
      </c>
      <c r="M8" s="376">
        <f t="shared" si="4"/>
        <v>4529.1666666666661</v>
      </c>
      <c r="N8" s="376">
        <f t="shared" si="4"/>
        <v>5466.666666666667</v>
      </c>
      <c r="O8" s="376">
        <f t="shared" si="4"/>
        <v>6383.3333333333339</v>
      </c>
      <c r="P8" s="376">
        <f t="shared" si="4"/>
        <v>7300.0000000000009</v>
      </c>
      <c r="Q8" s="376">
        <f t="shared" si="4"/>
        <v>8429.1666666666679</v>
      </c>
      <c r="R8" s="376">
        <f t="shared" si="4"/>
        <v>10183.333333333334</v>
      </c>
      <c r="S8" s="376">
        <f t="shared" si="4"/>
        <v>11850</v>
      </c>
      <c r="T8" s="376">
        <f t="shared" si="4"/>
        <v>13516.666666666666</v>
      </c>
      <c r="U8" s="376">
        <f t="shared" si="4"/>
        <v>15641.666666666666</v>
      </c>
      <c r="V8" s="376">
        <f t="shared" si="4"/>
        <v>18183.333333333328</v>
      </c>
      <c r="W8" s="376">
        <f t="shared" si="4"/>
        <v>20683.333333333328</v>
      </c>
      <c r="X8" s="376">
        <f t="shared" si="4"/>
        <v>23183.333333333332</v>
      </c>
      <c r="Y8" s="376">
        <f t="shared" si="4"/>
        <v>25745.833333333332</v>
      </c>
      <c r="Z8" s="376">
        <f t="shared" si="4"/>
        <v>28725</v>
      </c>
      <c r="AA8" s="376">
        <f t="shared" si="4"/>
        <v>31641.666666666664</v>
      </c>
      <c r="AB8" s="376">
        <f t="shared" si="4"/>
        <v>34558.333333333328</v>
      </c>
      <c r="AC8" s="376">
        <f t="shared" si="4"/>
        <v>37458.333333333328</v>
      </c>
      <c r="AD8" s="376">
        <f t="shared" si="4"/>
        <v>41400</v>
      </c>
      <c r="AE8" s="376">
        <f t="shared" si="4"/>
        <v>45150</v>
      </c>
      <c r="AF8" s="376">
        <f t="shared" si="4"/>
        <v>48900</v>
      </c>
      <c r="AG8" s="376">
        <f t="shared" si="4"/>
        <v>53691.666666666657</v>
      </c>
      <c r="AH8" s="376">
        <f t="shared" si="4"/>
        <v>60149.999999999993</v>
      </c>
      <c r="AI8" s="376">
        <f t="shared" si="4"/>
        <v>66400</v>
      </c>
      <c r="AJ8" s="376">
        <f t="shared" si="4"/>
        <v>72650</v>
      </c>
      <c r="AK8" s="376">
        <f t="shared" si="4"/>
        <v>79275.000000000015</v>
      </c>
      <c r="AL8" s="376">
        <f t="shared" si="4"/>
        <v>86941.666666666672</v>
      </c>
      <c r="AM8" s="376">
        <f t="shared" si="4"/>
        <v>94441.666666666657</v>
      </c>
      <c r="AN8" s="376">
        <f t="shared" si="4"/>
        <v>107608.33333333331</v>
      </c>
      <c r="AP8" s="21"/>
    </row>
    <row r="9" spans="1:42" ht="11.5" customHeight="1" x14ac:dyDescent="0.25">
      <c r="C9" s="27" t="s">
        <v>849</v>
      </c>
      <c r="D9" s="40" t="s">
        <v>46</v>
      </c>
      <c r="E9" s="377">
        <f>E45</f>
        <v>48.46450262725493</v>
      </c>
      <c r="F9" s="377">
        <f t="shared" ref="F9:AN9" ca="1" si="5">F45</f>
        <v>128.11628522325987</v>
      </c>
      <c r="G9" s="377">
        <f t="shared" ca="1" si="5"/>
        <v>197.15135309825985</v>
      </c>
      <c r="H9" s="377">
        <f t="shared" ca="1" si="5"/>
        <v>277.98368821284316</v>
      </c>
      <c r="I9" s="377">
        <f t="shared" ca="1" si="5"/>
        <v>387.48091784825988</v>
      </c>
      <c r="J9" s="377">
        <f t="shared" ca="1" si="5"/>
        <v>554.72538575450994</v>
      </c>
      <c r="K9" s="377">
        <f t="shared" ca="1" si="5"/>
        <v>769.80182452117663</v>
      </c>
      <c r="L9" s="377">
        <f t="shared" ca="1" si="5"/>
        <v>1020.0826242511766</v>
      </c>
      <c r="M9" s="377">
        <f t="shared" ca="1" si="5"/>
        <v>1336.401862502493</v>
      </c>
      <c r="N9" s="377">
        <f t="shared" ca="1" si="5"/>
        <v>1719.4443488907593</v>
      </c>
      <c r="O9" s="377">
        <f t="shared" ca="1" si="5"/>
        <v>2162.1673151163327</v>
      </c>
      <c r="P9" s="377">
        <f t="shared" ca="1" si="5"/>
        <v>2680.8068308183219</v>
      </c>
      <c r="Q9" s="377">
        <f t="shared" ca="1" si="5"/>
        <v>3365.6132952105422</v>
      </c>
      <c r="R9" s="377">
        <f t="shared" ca="1" si="5"/>
        <v>4184.4880604212958</v>
      </c>
      <c r="S9" s="377">
        <f t="shared" ca="1" si="5"/>
        <v>5048.4033643082366</v>
      </c>
      <c r="T9" s="377">
        <f t="shared" ca="1" si="5"/>
        <v>5987.3461223646627</v>
      </c>
      <c r="U9" s="377">
        <f t="shared" ca="1" si="5"/>
        <v>7099.8380760029504</v>
      </c>
      <c r="V9" s="377">
        <f t="shared" ca="1" si="5"/>
        <v>8359.54499017954</v>
      </c>
      <c r="W9" s="377">
        <f t="shared" ca="1" si="5"/>
        <v>9684.7798735993583</v>
      </c>
      <c r="X9" s="377">
        <f t="shared" ca="1" si="5"/>
        <v>11111.60806935813</v>
      </c>
      <c r="Y9" s="377">
        <f t="shared" ca="1" si="5"/>
        <v>12658.959866866702</v>
      </c>
      <c r="Z9" s="377">
        <f t="shared" ca="1" si="5"/>
        <v>14327.641360496891</v>
      </c>
      <c r="AA9" s="377">
        <f t="shared" ca="1" si="5"/>
        <v>16100.818131417087</v>
      </c>
      <c r="AB9" s="377">
        <f t="shared" ca="1" si="5"/>
        <v>17984.863115879805</v>
      </c>
      <c r="AC9" s="377">
        <f t="shared" ca="1" si="5"/>
        <v>20247.828437124677</v>
      </c>
      <c r="AD9" s="377">
        <f t="shared" ca="1" si="5"/>
        <v>22804.381807477715</v>
      </c>
      <c r="AE9" s="377">
        <f t="shared" ca="1" si="5"/>
        <v>25328.913668864618</v>
      </c>
      <c r="AF9" s="377">
        <f t="shared" ca="1" si="5"/>
        <v>28084.932479763193</v>
      </c>
      <c r="AG9" s="377">
        <f t="shared" ca="1" si="5"/>
        <v>31148.117747386397</v>
      </c>
      <c r="AH9" s="377">
        <f t="shared" ca="1" si="5"/>
        <v>34528.479652020033</v>
      </c>
      <c r="AI9" s="377">
        <f t="shared" ca="1" si="5"/>
        <v>38050.414103013114</v>
      </c>
      <c r="AJ9" s="377">
        <f t="shared" ca="1" si="5"/>
        <v>41834.492092193912</v>
      </c>
      <c r="AK9" s="377">
        <f t="shared" ca="1" si="5"/>
        <v>46053.158580259464</v>
      </c>
      <c r="AL9" s="377">
        <f t="shared" ca="1" si="5"/>
        <v>50655.911888782648</v>
      </c>
      <c r="AM9" s="377">
        <f t="shared" ca="1" si="5"/>
        <v>55511.856610006886</v>
      </c>
      <c r="AN9" s="377">
        <f t="shared" ca="1" si="5"/>
        <v>63387.030798864595</v>
      </c>
      <c r="AP9" s="27"/>
    </row>
    <row r="10" spans="1:42" ht="11.5" customHeight="1" x14ac:dyDescent="0.25">
      <c r="C10" s="11" t="s">
        <v>48</v>
      </c>
      <c r="D10" s="557" t="s">
        <v>46</v>
      </c>
      <c r="E10" s="302">
        <f>SUM(E36:E45)</f>
        <v>868.25616929392163</v>
      </c>
      <c r="F10" s="302">
        <f t="shared" ref="F10:AN10" ca="1" si="6">SUM(F36:F45)</f>
        <v>2019.7829518899266</v>
      </c>
      <c r="G10" s="302">
        <f t="shared" ca="1" si="6"/>
        <v>3113.8180197649262</v>
      </c>
      <c r="H10" s="302">
        <f t="shared" ca="1" si="6"/>
        <v>5261.317021546176</v>
      </c>
      <c r="I10" s="302">
        <f t="shared" ca="1" si="6"/>
        <v>7437.4809178482601</v>
      </c>
      <c r="J10" s="302">
        <f t="shared" ca="1" si="6"/>
        <v>9150.5587190878432</v>
      </c>
      <c r="K10" s="302">
        <f t="shared" ca="1" si="6"/>
        <v>10911.468491187845</v>
      </c>
      <c r="L10" s="302">
        <f t="shared" ca="1" si="6"/>
        <v>13228.415957584508</v>
      </c>
      <c r="M10" s="302">
        <f t="shared" ca="1" si="6"/>
        <v>15319.735195835825</v>
      </c>
      <c r="N10" s="302">
        <f t="shared" ca="1" si="6"/>
        <v>17165.277682224092</v>
      </c>
      <c r="O10" s="302">
        <f t="shared" ca="1" si="6"/>
        <v>19049.667315116334</v>
      </c>
      <c r="P10" s="302">
        <f t="shared" ca="1" si="6"/>
        <v>20489.140164151657</v>
      </c>
      <c r="Q10" s="302">
        <f t="shared" ca="1" si="6"/>
        <v>22307.279961877211</v>
      </c>
      <c r="R10" s="302">
        <f t="shared" ca="1" si="6"/>
        <v>25926.154727087964</v>
      </c>
      <c r="S10" s="302">
        <f t="shared" ca="1" si="6"/>
        <v>29502.570030974905</v>
      </c>
      <c r="T10" s="302">
        <f t="shared" ca="1" si="6"/>
        <v>32112.346122364663</v>
      </c>
      <c r="U10" s="302">
        <f t="shared" ca="1" si="6"/>
        <v>35354.004742669611</v>
      </c>
      <c r="V10" s="302">
        <f t="shared" ca="1" si="6"/>
        <v>39159.544990179536</v>
      </c>
      <c r="W10" s="302">
        <f t="shared" ca="1" si="6"/>
        <v>42988.946540266013</v>
      </c>
      <c r="X10" s="302">
        <f t="shared" ca="1" si="6"/>
        <v>46919.94140269146</v>
      </c>
      <c r="Y10" s="302">
        <f t="shared" ca="1" si="6"/>
        <v>51033.959866866702</v>
      </c>
      <c r="Z10" s="302">
        <f t="shared" ca="1" si="6"/>
        <v>55685.97469383022</v>
      </c>
      <c r="AA10" s="302">
        <f t="shared" ca="1" si="6"/>
        <v>60379.984798083751</v>
      </c>
      <c r="AB10" s="302">
        <f t="shared" ca="1" si="6"/>
        <v>65184.863115879809</v>
      </c>
      <c r="AC10" s="302">
        <f t="shared" ca="1" si="6"/>
        <v>70351.995103791342</v>
      </c>
      <c r="AD10" s="302">
        <f t="shared" ca="1" si="6"/>
        <v>76854.381807477708</v>
      </c>
      <c r="AE10" s="302">
        <f t="shared" ca="1" si="6"/>
        <v>83133.080335531282</v>
      </c>
      <c r="AF10" s="302">
        <f t="shared" ca="1" si="6"/>
        <v>89643.265813096514</v>
      </c>
      <c r="AG10" s="302">
        <f t="shared" ca="1" si="6"/>
        <v>97502.284414053051</v>
      </c>
      <c r="AH10" s="302">
        <f t="shared" ca="1" si="6"/>
        <v>107345.14631868669</v>
      </c>
      <c r="AI10" s="302">
        <f t="shared" ca="1" si="6"/>
        <v>117121.24743634644</v>
      </c>
      <c r="AJ10" s="302">
        <f t="shared" ca="1" si="6"/>
        <v>127159.49209219392</v>
      </c>
      <c r="AK10" s="302">
        <f t="shared" ca="1" si="6"/>
        <v>138007.32524692614</v>
      </c>
      <c r="AL10" s="302">
        <f t="shared" ca="1" si="6"/>
        <v>150280.91188878266</v>
      </c>
      <c r="AM10" s="302">
        <f t="shared" ca="1" si="6"/>
        <v>162641.02327667354</v>
      </c>
      <c r="AN10" s="302">
        <f t="shared" ca="1" si="6"/>
        <v>183689.11413219792</v>
      </c>
      <c r="AP10" s="11"/>
    </row>
    <row r="11" spans="1:42" ht="3" customHeight="1" x14ac:dyDescent="0.25"/>
    <row r="12" spans="1:42" ht="11.5" customHeight="1" x14ac:dyDescent="0.25">
      <c r="B12" s="30" t="s">
        <v>0</v>
      </c>
      <c r="C12" s="31" t="s">
        <v>21</v>
      </c>
      <c r="D12" s="32" t="s">
        <v>22</v>
      </c>
      <c r="E12" s="252">
        <v>45688</v>
      </c>
      <c r="F12" s="252">
        <v>45716</v>
      </c>
      <c r="G12" s="252">
        <v>45747</v>
      </c>
      <c r="H12" s="252">
        <v>45777</v>
      </c>
      <c r="I12" s="252">
        <v>45808</v>
      </c>
      <c r="J12" s="252">
        <v>45838</v>
      </c>
      <c r="K12" s="252">
        <v>45869</v>
      </c>
      <c r="L12" s="252">
        <v>45900</v>
      </c>
      <c r="M12" s="252">
        <v>45930</v>
      </c>
      <c r="N12" s="252">
        <v>45961</v>
      </c>
      <c r="O12" s="252">
        <v>45991</v>
      </c>
      <c r="P12" s="252">
        <v>46022</v>
      </c>
      <c r="Q12" s="252">
        <f>E12+365.25</f>
        <v>46053.25</v>
      </c>
      <c r="R12" s="252">
        <f t="shared" ref="R12:AN12" si="7">F12+365.25</f>
        <v>46081.25</v>
      </c>
      <c r="S12" s="252">
        <f t="shared" si="7"/>
        <v>46112.25</v>
      </c>
      <c r="T12" s="252">
        <f t="shared" si="7"/>
        <v>46142.25</v>
      </c>
      <c r="U12" s="252">
        <f t="shared" si="7"/>
        <v>46173.25</v>
      </c>
      <c r="V12" s="252">
        <f t="shared" si="7"/>
        <v>46203.25</v>
      </c>
      <c r="W12" s="252">
        <f t="shared" si="7"/>
        <v>46234.25</v>
      </c>
      <c r="X12" s="252">
        <f t="shared" si="7"/>
        <v>46265.25</v>
      </c>
      <c r="Y12" s="252">
        <f t="shared" si="7"/>
        <v>46295.25</v>
      </c>
      <c r="Z12" s="252">
        <f t="shared" si="7"/>
        <v>46326.25</v>
      </c>
      <c r="AA12" s="252">
        <f t="shared" si="7"/>
        <v>46356.25</v>
      </c>
      <c r="AB12" s="252">
        <f t="shared" si="7"/>
        <v>46387.25</v>
      </c>
      <c r="AC12" s="252">
        <f t="shared" si="7"/>
        <v>46418.5</v>
      </c>
      <c r="AD12" s="252">
        <f t="shared" si="7"/>
        <v>46446.5</v>
      </c>
      <c r="AE12" s="252">
        <f t="shared" si="7"/>
        <v>46477.5</v>
      </c>
      <c r="AF12" s="252">
        <f t="shared" si="7"/>
        <v>46507.5</v>
      </c>
      <c r="AG12" s="252">
        <f t="shared" si="7"/>
        <v>46538.5</v>
      </c>
      <c r="AH12" s="252">
        <f t="shared" si="7"/>
        <v>46568.5</v>
      </c>
      <c r="AI12" s="252">
        <f t="shared" si="7"/>
        <v>46599.5</v>
      </c>
      <c r="AJ12" s="252">
        <f t="shared" si="7"/>
        <v>46630.5</v>
      </c>
      <c r="AK12" s="252">
        <f t="shared" si="7"/>
        <v>46660.5</v>
      </c>
      <c r="AL12" s="252">
        <f t="shared" si="7"/>
        <v>46691.5</v>
      </c>
      <c r="AM12" s="252">
        <f t="shared" si="7"/>
        <v>46721.5</v>
      </c>
      <c r="AN12" s="252">
        <f t="shared" si="7"/>
        <v>46752.5</v>
      </c>
      <c r="AP12" s="602" t="s">
        <v>45</v>
      </c>
    </row>
    <row r="13" spans="1:42" ht="11.5" customHeight="1" x14ac:dyDescent="0.25">
      <c r="B13" s="33" t="s">
        <v>10</v>
      </c>
      <c r="C13" s="604" t="s">
        <v>23</v>
      </c>
      <c r="D13" s="42" t="s">
        <v>46</v>
      </c>
      <c r="E13" s="42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2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2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P13" s="43"/>
    </row>
    <row r="14" spans="1:42" ht="11.5" customHeight="1" x14ac:dyDescent="0.25">
      <c r="B14" s="33"/>
      <c r="C14" s="28" t="s">
        <v>850</v>
      </c>
      <c r="D14" s="34" t="s">
        <v>46</v>
      </c>
      <c r="E14" s="607">
        <f>'3.6 CapEx'!E14</f>
        <v>1500</v>
      </c>
      <c r="F14" s="607">
        <f>'3.6 CapEx'!F14</f>
        <v>0</v>
      </c>
      <c r="G14" s="607">
        <f>'3.6 CapEx'!G14</f>
        <v>0</v>
      </c>
      <c r="H14" s="607">
        <f>'3.6 CapEx'!H14</f>
        <v>0</v>
      </c>
      <c r="I14" s="607">
        <f>'3.6 CapEx'!I14</f>
        <v>0</v>
      </c>
      <c r="J14" s="607">
        <f>'3.6 CapEx'!J14</f>
        <v>0</v>
      </c>
      <c r="K14" s="607">
        <f>'3.6 CapEx'!K14</f>
        <v>0</v>
      </c>
      <c r="L14" s="607">
        <f>'3.6 CapEx'!L14</f>
        <v>0</v>
      </c>
      <c r="M14" s="607">
        <f>'3.6 CapEx'!M14</f>
        <v>0</v>
      </c>
      <c r="N14" s="607">
        <f>'3.6 CapEx'!N14</f>
        <v>0</v>
      </c>
      <c r="O14" s="607">
        <f>'3.6 CapEx'!O14</f>
        <v>0</v>
      </c>
      <c r="P14" s="607">
        <f>'3.6 CapEx'!P14</f>
        <v>0</v>
      </c>
      <c r="Q14" s="607">
        <f>'3.6 CapEx'!Q14</f>
        <v>0</v>
      </c>
      <c r="R14" s="607">
        <f>'3.6 CapEx'!R14</f>
        <v>0</v>
      </c>
      <c r="S14" s="607">
        <f>'3.6 CapEx'!S14</f>
        <v>0</v>
      </c>
      <c r="T14" s="607">
        <f>'3.6 CapEx'!T14</f>
        <v>0</v>
      </c>
      <c r="U14" s="607">
        <f>'3.6 CapEx'!U14</f>
        <v>0</v>
      </c>
      <c r="V14" s="607">
        <f>'3.6 CapEx'!V14</f>
        <v>0</v>
      </c>
      <c r="W14" s="607">
        <f>'3.6 CapEx'!W14</f>
        <v>0</v>
      </c>
      <c r="X14" s="607">
        <f>'3.6 CapEx'!X14</f>
        <v>0</v>
      </c>
      <c r="Y14" s="607">
        <f>'3.6 CapEx'!Y14</f>
        <v>0</v>
      </c>
      <c r="Z14" s="607">
        <f>'3.6 CapEx'!Z14</f>
        <v>0</v>
      </c>
      <c r="AA14" s="607">
        <f>'3.6 CapEx'!AA14</f>
        <v>0</v>
      </c>
      <c r="AB14" s="607">
        <f>'3.6 CapEx'!AB14</f>
        <v>0</v>
      </c>
      <c r="AC14" s="607">
        <f>'3.6 CapEx'!AC14</f>
        <v>0</v>
      </c>
      <c r="AD14" s="607">
        <f>'3.6 CapEx'!AD14</f>
        <v>0</v>
      </c>
      <c r="AE14" s="607">
        <f>'3.6 CapEx'!AE14</f>
        <v>0</v>
      </c>
      <c r="AF14" s="607">
        <f>'3.6 CapEx'!AF14</f>
        <v>0</v>
      </c>
      <c r="AG14" s="607">
        <f>'3.6 CapEx'!AG14</f>
        <v>0</v>
      </c>
      <c r="AH14" s="607">
        <f>'3.6 CapEx'!AH14</f>
        <v>0</v>
      </c>
      <c r="AI14" s="607">
        <f>'3.6 CapEx'!AI14</f>
        <v>0</v>
      </c>
      <c r="AJ14" s="607">
        <f>'3.6 CapEx'!AJ14</f>
        <v>0</v>
      </c>
      <c r="AK14" s="607">
        <f>'3.6 CapEx'!AK14</f>
        <v>0</v>
      </c>
      <c r="AL14" s="607">
        <f>'3.6 CapEx'!AL14</f>
        <v>0</v>
      </c>
      <c r="AM14" s="607">
        <f>'3.6 CapEx'!AM14</f>
        <v>0</v>
      </c>
      <c r="AN14" s="607">
        <f>'3.6 CapEx'!AN14</f>
        <v>0</v>
      </c>
      <c r="AP14" s="37"/>
    </row>
    <row r="15" spans="1:42" ht="11.5" customHeight="1" x14ac:dyDescent="0.25">
      <c r="B15" s="33"/>
      <c r="C15" s="21" t="s">
        <v>851</v>
      </c>
      <c r="D15" s="34" t="s">
        <v>46</v>
      </c>
      <c r="E15" s="608">
        <f>'3.6 CapEx'!E15</f>
        <v>10000</v>
      </c>
      <c r="F15" s="608">
        <f>'3.6 CapEx'!F15</f>
        <v>1000</v>
      </c>
      <c r="G15" s="608">
        <f>'3.6 CapEx'!G15</f>
        <v>1000</v>
      </c>
      <c r="H15" s="608">
        <f>'3.6 CapEx'!H15</f>
        <v>1000</v>
      </c>
      <c r="I15" s="608">
        <f>'3.6 CapEx'!I15</f>
        <v>1000</v>
      </c>
      <c r="J15" s="608">
        <f>'3.6 CapEx'!J15</f>
        <v>1000</v>
      </c>
      <c r="K15" s="608">
        <f>'3.6 CapEx'!K15</f>
        <v>1000</v>
      </c>
      <c r="L15" s="608">
        <f>'3.6 CapEx'!L15</f>
        <v>1000</v>
      </c>
      <c r="M15" s="608">
        <f>'3.6 CapEx'!M15</f>
        <v>1000</v>
      </c>
      <c r="N15" s="608">
        <f>'3.6 CapEx'!N15</f>
        <v>1000</v>
      </c>
      <c r="O15" s="608">
        <f>'3.6 CapEx'!O15</f>
        <v>1000</v>
      </c>
      <c r="P15" s="608">
        <f>'3.6 CapEx'!P15</f>
        <v>1000</v>
      </c>
      <c r="Q15" s="608">
        <f>'3.6 CapEx'!Q15</f>
        <v>1000</v>
      </c>
      <c r="R15" s="608">
        <f>'3.6 CapEx'!R15</f>
        <v>1000</v>
      </c>
      <c r="S15" s="608">
        <f>'3.6 CapEx'!S15</f>
        <v>1000</v>
      </c>
      <c r="T15" s="608">
        <f>'3.6 CapEx'!T15</f>
        <v>1000</v>
      </c>
      <c r="U15" s="608">
        <f>'3.6 CapEx'!U15</f>
        <v>1000</v>
      </c>
      <c r="V15" s="608">
        <f>'3.6 CapEx'!V15</f>
        <v>1000</v>
      </c>
      <c r="W15" s="608">
        <f>'3.6 CapEx'!W15</f>
        <v>1000</v>
      </c>
      <c r="X15" s="608">
        <f>'3.6 CapEx'!X15</f>
        <v>1000</v>
      </c>
      <c r="Y15" s="608">
        <f>'3.6 CapEx'!Y15</f>
        <v>1000</v>
      </c>
      <c r="Z15" s="608">
        <f>'3.6 CapEx'!Z15</f>
        <v>1000</v>
      </c>
      <c r="AA15" s="608">
        <f>'3.6 CapEx'!AA15</f>
        <v>1000</v>
      </c>
      <c r="AB15" s="608">
        <f>'3.6 CapEx'!AB15</f>
        <v>1000</v>
      </c>
      <c r="AC15" s="608">
        <f>'3.6 CapEx'!AC15</f>
        <v>1000</v>
      </c>
      <c r="AD15" s="608">
        <f>'3.6 CapEx'!AD15</f>
        <v>1000</v>
      </c>
      <c r="AE15" s="608">
        <f>'3.6 CapEx'!AE15</f>
        <v>1000</v>
      </c>
      <c r="AF15" s="608">
        <f>'3.6 CapEx'!AF15</f>
        <v>1000</v>
      </c>
      <c r="AG15" s="608">
        <f>'3.6 CapEx'!AG15</f>
        <v>1000</v>
      </c>
      <c r="AH15" s="608">
        <f>'3.6 CapEx'!AH15</f>
        <v>1000</v>
      </c>
      <c r="AI15" s="608">
        <f>'3.6 CapEx'!AI15</f>
        <v>1000</v>
      </c>
      <c r="AJ15" s="608">
        <f>'3.6 CapEx'!AJ15</f>
        <v>1000</v>
      </c>
      <c r="AK15" s="608">
        <f>'3.6 CapEx'!AK15</f>
        <v>1000</v>
      </c>
      <c r="AL15" s="608">
        <f>'3.6 CapEx'!AL15</f>
        <v>1000</v>
      </c>
      <c r="AM15" s="608">
        <f>'3.6 CapEx'!AM15</f>
        <v>1000</v>
      </c>
      <c r="AN15" s="608">
        <f>'3.6 CapEx'!AN15</f>
        <v>1000</v>
      </c>
      <c r="AP15" s="606"/>
    </row>
    <row r="16" spans="1:42" ht="11.5" customHeight="1" x14ac:dyDescent="0.25">
      <c r="C16" s="21" t="s">
        <v>852</v>
      </c>
      <c r="D16" s="34" t="s">
        <v>46</v>
      </c>
      <c r="E16" s="608">
        <f>'3.6 CapEx'!E16</f>
        <v>0</v>
      </c>
      <c r="F16" s="608">
        <f>'3.6 CapEx'!F16</f>
        <v>0</v>
      </c>
      <c r="G16" s="608">
        <f>'3.6 CapEx'!G16</f>
        <v>0</v>
      </c>
      <c r="H16" s="608">
        <f>'3.6 CapEx'!H16</f>
        <v>0</v>
      </c>
      <c r="I16" s="608">
        <f>'3.6 CapEx'!I16</f>
        <v>0</v>
      </c>
      <c r="J16" s="608">
        <f>'3.6 CapEx'!J16</f>
        <v>0</v>
      </c>
      <c r="K16" s="608">
        <f>'3.6 CapEx'!K16</f>
        <v>0</v>
      </c>
      <c r="L16" s="608">
        <f>'3.6 CapEx'!L16</f>
        <v>0</v>
      </c>
      <c r="M16" s="608">
        <f>'3.6 CapEx'!M16</f>
        <v>0</v>
      </c>
      <c r="N16" s="608">
        <f>'3.6 CapEx'!N16</f>
        <v>0</v>
      </c>
      <c r="O16" s="608">
        <f>'3.6 CapEx'!O16</f>
        <v>0</v>
      </c>
      <c r="P16" s="608">
        <f>'3.6 CapEx'!P16</f>
        <v>0</v>
      </c>
      <c r="Q16" s="608">
        <f>'3.6 CapEx'!Q16</f>
        <v>0</v>
      </c>
      <c r="R16" s="608">
        <f>'3.6 CapEx'!R16</f>
        <v>0</v>
      </c>
      <c r="S16" s="608">
        <f>'3.6 CapEx'!S16</f>
        <v>0</v>
      </c>
      <c r="T16" s="608">
        <f>'3.6 CapEx'!T16</f>
        <v>0</v>
      </c>
      <c r="U16" s="608">
        <f>'3.6 CapEx'!U16</f>
        <v>0</v>
      </c>
      <c r="V16" s="608">
        <f>'3.6 CapEx'!V16</f>
        <v>0</v>
      </c>
      <c r="W16" s="608">
        <f>'3.6 CapEx'!W16</f>
        <v>0</v>
      </c>
      <c r="X16" s="608">
        <f>'3.6 CapEx'!X16</f>
        <v>0</v>
      </c>
      <c r="Y16" s="608">
        <f>'3.6 CapEx'!Y16</f>
        <v>0</v>
      </c>
      <c r="Z16" s="608">
        <f>'3.6 CapEx'!Z16</f>
        <v>0</v>
      </c>
      <c r="AA16" s="608">
        <f>'3.6 CapEx'!AA16</f>
        <v>0</v>
      </c>
      <c r="AB16" s="608">
        <f>'3.6 CapEx'!AB16</f>
        <v>0</v>
      </c>
      <c r="AC16" s="608">
        <f>'3.6 CapEx'!AC16</f>
        <v>0</v>
      </c>
      <c r="AD16" s="608">
        <f>'3.6 CapEx'!AD16</f>
        <v>0</v>
      </c>
      <c r="AE16" s="608">
        <f>'3.6 CapEx'!AE16</f>
        <v>0</v>
      </c>
      <c r="AF16" s="608">
        <f>'3.6 CapEx'!AF16</f>
        <v>0</v>
      </c>
      <c r="AG16" s="608">
        <f>'3.6 CapEx'!AG16</f>
        <v>0</v>
      </c>
      <c r="AH16" s="608">
        <f>'3.6 CapEx'!AH16</f>
        <v>0</v>
      </c>
      <c r="AI16" s="608">
        <f>'3.6 CapEx'!AI16</f>
        <v>0</v>
      </c>
      <c r="AJ16" s="608">
        <f>'3.6 CapEx'!AJ16</f>
        <v>0</v>
      </c>
      <c r="AK16" s="608">
        <f>'3.6 CapEx'!AK16</f>
        <v>0</v>
      </c>
      <c r="AL16" s="608">
        <f>'3.6 CapEx'!AL16</f>
        <v>0</v>
      </c>
      <c r="AM16" s="608">
        <f>'3.6 CapEx'!AM16</f>
        <v>0</v>
      </c>
      <c r="AN16" s="608">
        <f>'3.6 CapEx'!AN16</f>
        <v>0</v>
      </c>
      <c r="AP16" s="606"/>
    </row>
    <row r="17" spans="2:42" ht="11.5" customHeight="1" x14ac:dyDescent="0.25">
      <c r="C17" s="21" t="s">
        <v>854</v>
      </c>
      <c r="D17" s="34" t="s">
        <v>46</v>
      </c>
      <c r="E17" s="608">
        <f>'3.6 CapEx'!E18</f>
        <v>100000</v>
      </c>
      <c r="F17" s="608">
        <f>'3.6 CapEx'!F18</f>
        <v>0</v>
      </c>
      <c r="G17" s="608">
        <f>'3.6 CapEx'!G18</f>
        <v>100000</v>
      </c>
      <c r="H17" s="608">
        <f>'3.6 CapEx'!H18</f>
        <v>200000</v>
      </c>
      <c r="I17" s="608">
        <f>'3.6 CapEx'!I18</f>
        <v>100000</v>
      </c>
      <c r="J17" s="608">
        <f>'3.6 CapEx'!J18</f>
        <v>100000</v>
      </c>
      <c r="K17" s="608">
        <f>'3.6 CapEx'!K18</f>
        <v>100000</v>
      </c>
      <c r="L17" s="608">
        <f>'3.6 CapEx'!L18</f>
        <v>200000</v>
      </c>
      <c r="M17" s="608">
        <f>'3.6 CapEx'!M18</f>
        <v>0</v>
      </c>
      <c r="N17" s="608">
        <f>'3.6 CapEx'!N18</f>
        <v>100000</v>
      </c>
      <c r="O17" s="608">
        <f>'3.6 CapEx'!O18</f>
        <v>0</v>
      </c>
      <c r="P17" s="608">
        <f>'3.6 CapEx'!P18</f>
        <v>0</v>
      </c>
      <c r="Q17" s="608">
        <f>'3.6 CapEx'!Q18</f>
        <v>0</v>
      </c>
      <c r="R17" s="608">
        <f>'3.6 CapEx'!R18</f>
        <v>200000</v>
      </c>
      <c r="S17" s="608">
        <f>'3.6 CapEx'!S18</f>
        <v>0</v>
      </c>
      <c r="T17" s="608">
        <f>'3.6 CapEx'!T18</f>
        <v>0</v>
      </c>
      <c r="U17" s="608">
        <f>'3.6 CapEx'!U18</f>
        <v>0</v>
      </c>
      <c r="V17" s="608">
        <f>'3.6 CapEx'!V18</f>
        <v>0</v>
      </c>
      <c r="W17" s="608">
        <f>'3.6 CapEx'!W18</f>
        <v>0</v>
      </c>
      <c r="X17" s="608">
        <f>'3.6 CapEx'!X18</f>
        <v>0</v>
      </c>
      <c r="Y17" s="608">
        <f>'3.6 CapEx'!Y18</f>
        <v>0</v>
      </c>
      <c r="Z17" s="608">
        <f>'3.6 CapEx'!Z18</f>
        <v>0</v>
      </c>
      <c r="AA17" s="608">
        <f>'3.6 CapEx'!AA18</f>
        <v>0</v>
      </c>
      <c r="AB17" s="608">
        <f>'3.6 CapEx'!AB18</f>
        <v>0</v>
      </c>
      <c r="AC17" s="608">
        <f>'3.6 CapEx'!AC18</f>
        <v>0</v>
      </c>
      <c r="AD17" s="608">
        <f>'3.6 CapEx'!AD18</f>
        <v>0</v>
      </c>
      <c r="AE17" s="608">
        <f>'3.6 CapEx'!AE18</f>
        <v>0</v>
      </c>
      <c r="AF17" s="608">
        <f>'3.6 CapEx'!AF18</f>
        <v>0</v>
      </c>
      <c r="AG17" s="608">
        <f>'3.6 CapEx'!AG18</f>
        <v>0</v>
      </c>
      <c r="AH17" s="608">
        <f>'3.6 CapEx'!AH18</f>
        <v>0</v>
      </c>
      <c r="AI17" s="608">
        <f>'3.6 CapEx'!AI18</f>
        <v>0</v>
      </c>
      <c r="AJ17" s="608">
        <f>'3.6 CapEx'!AJ18</f>
        <v>0</v>
      </c>
      <c r="AK17" s="608">
        <f>'3.6 CapEx'!AK18</f>
        <v>0</v>
      </c>
      <c r="AL17" s="608">
        <f>'3.6 CapEx'!AL18</f>
        <v>0</v>
      </c>
      <c r="AM17" s="608">
        <f>'3.6 CapEx'!AM18</f>
        <v>0</v>
      </c>
      <c r="AN17" s="608">
        <f>'3.6 CapEx'!AN18</f>
        <v>0</v>
      </c>
      <c r="AP17" s="606"/>
    </row>
    <row r="18" spans="2:42" ht="11.5" customHeight="1" x14ac:dyDescent="0.25">
      <c r="C18" s="21" t="s">
        <v>853</v>
      </c>
      <c r="D18" s="34" t="s">
        <v>46</v>
      </c>
      <c r="E18" s="608">
        <f>'3.6 CapEx'!E19</f>
        <v>150000</v>
      </c>
      <c r="F18" s="608">
        <f>'3.6 CapEx'!F19</f>
        <v>0</v>
      </c>
      <c r="G18" s="608">
        <f>'3.6 CapEx'!G19</f>
        <v>150000</v>
      </c>
      <c r="H18" s="608">
        <f>'3.6 CapEx'!H19</f>
        <v>300000</v>
      </c>
      <c r="I18" s="608">
        <f>'3.6 CapEx'!I19</f>
        <v>150000</v>
      </c>
      <c r="J18" s="608">
        <f>'3.6 CapEx'!J19</f>
        <v>150000</v>
      </c>
      <c r="K18" s="608">
        <f>'3.6 CapEx'!K19</f>
        <v>150000</v>
      </c>
      <c r="L18" s="608">
        <f>'3.6 CapEx'!L19</f>
        <v>300000</v>
      </c>
      <c r="M18" s="608">
        <f>'3.6 CapEx'!M19</f>
        <v>0</v>
      </c>
      <c r="N18" s="608">
        <f>'3.6 CapEx'!N19</f>
        <v>150000</v>
      </c>
      <c r="O18" s="608">
        <f>'3.6 CapEx'!O19</f>
        <v>0</v>
      </c>
      <c r="P18" s="608">
        <f>'3.6 CapEx'!P19</f>
        <v>0</v>
      </c>
      <c r="Q18" s="608">
        <f>'3.6 CapEx'!Q19</f>
        <v>0</v>
      </c>
      <c r="R18" s="608">
        <f>'3.6 CapEx'!R19</f>
        <v>300000</v>
      </c>
      <c r="S18" s="608">
        <f>'3.6 CapEx'!S19</f>
        <v>0</v>
      </c>
      <c r="T18" s="608">
        <f>'3.6 CapEx'!T19</f>
        <v>0</v>
      </c>
      <c r="U18" s="608">
        <f>'3.6 CapEx'!U19</f>
        <v>0</v>
      </c>
      <c r="V18" s="608">
        <f>'3.6 CapEx'!V19</f>
        <v>0</v>
      </c>
      <c r="W18" s="608">
        <f>'3.6 CapEx'!W19</f>
        <v>0</v>
      </c>
      <c r="X18" s="608">
        <f>'3.6 CapEx'!X19</f>
        <v>0</v>
      </c>
      <c r="Y18" s="608">
        <f>'3.6 CapEx'!Y19</f>
        <v>0</v>
      </c>
      <c r="Z18" s="608">
        <f>'3.6 CapEx'!Z19</f>
        <v>0</v>
      </c>
      <c r="AA18" s="608">
        <f>'3.6 CapEx'!AA19</f>
        <v>0</v>
      </c>
      <c r="AB18" s="608">
        <f>'3.6 CapEx'!AB19</f>
        <v>0</v>
      </c>
      <c r="AC18" s="608">
        <f>'3.6 CapEx'!AC19</f>
        <v>0</v>
      </c>
      <c r="AD18" s="608">
        <f>'3.6 CapEx'!AD19</f>
        <v>0</v>
      </c>
      <c r="AE18" s="608">
        <f>'3.6 CapEx'!AE19</f>
        <v>0</v>
      </c>
      <c r="AF18" s="608">
        <f>'3.6 CapEx'!AF19</f>
        <v>0</v>
      </c>
      <c r="AG18" s="608">
        <f>'3.6 CapEx'!AG19</f>
        <v>0</v>
      </c>
      <c r="AH18" s="608">
        <f>'3.6 CapEx'!AH19</f>
        <v>0</v>
      </c>
      <c r="AI18" s="608">
        <f>'3.6 CapEx'!AI19</f>
        <v>0</v>
      </c>
      <c r="AJ18" s="608">
        <f>'3.6 CapEx'!AJ19</f>
        <v>0</v>
      </c>
      <c r="AK18" s="608">
        <f>'3.6 CapEx'!AK19</f>
        <v>0</v>
      </c>
      <c r="AL18" s="608">
        <f>'3.6 CapEx'!AL19</f>
        <v>0</v>
      </c>
      <c r="AM18" s="608">
        <f>'3.6 CapEx'!AM19</f>
        <v>0</v>
      </c>
      <c r="AN18" s="608">
        <f>'3.6 CapEx'!AN19</f>
        <v>0</v>
      </c>
      <c r="AP18" s="39"/>
    </row>
    <row r="19" spans="2:42" ht="11.5" customHeight="1" x14ac:dyDescent="0.25">
      <c r="C19" s="21" t="s">
        <v>855</v>
      </c>
      <c r="D19" s="34" t="s">
        <v>46</v>
      </c>
      <c r="E19" s="609">
        <f>'3.6 CapEx'!E21</f>
        <v>0</v>
      </c>
      <c r="F19" s="609">
        <f>'3.6 CapEx'!F21</f>
        <v>0</v>
      </c>
      <c r="G19" s="609">
        <f>'3.6 CapEx'!G21</f>
        <v>0</v>
      </c>
      <c r="H19" s="609">
        <f>'3.6 CapEx'!H21</f>
        <v>0</v>
      </c>
      <c r="I19" s="609">
        <f>'3.6 CapEx'!I21</f>
        <v>0</v>
      </c>
      <c r="J19" s="609">
        <f>'3.6 CapEx'!J21</f>
        <v>0</v>
      </c>
      <c r="K19" s="609">
        <f>'3.6 CapEx'!K21</f>
        <v>0</v>
      </c>
      <c r="L19" s="609">
        <f>'3.6 CapEx'!L21</f>
        <v>0</v>
      </c>
      <c r="M19" s="609">
        <f>'3.6 CapEx'!M21</f>
        <v>0</v>
      </c>
      <c r="N19" s="609">
        <f>'3.6 CapEx'!N21</f>
        <v>0</v>
      </c>
      <c r="O19" s="609">
        <f>'3.6 CapEx'!O21</f>
        <v>0</v>
      </c>
      <c r="P19" s="609">
        <f>'3.6 CapEx'!P21</f>
        <v>0</v>
      </c>
      <c r="Q19" s="609">
        <f>'3.6 CapEx'!Q21</f>
        <v>0</v>
      </c>
      <c r="R19" s="609">
        <f>'3.6 CapEx'!R21</f>
        <v>0</v>
      </c>
      <c r="S19" s="609">
        <f>'3.6 CapEx'!S21</f>
        <v>0</v>
      </c>
      <c r="T19" s="609">
        <f>'3.6 CapEx'!T21</f>
        <v>0</v>
      </c>
      <c r="U19" s="609">
        <f>'3.6 CapEx'!U21</f>
        <v>0</v>
      </c>
      <c r="V19" s="609">
        <f>'3.6 CapEx'!V21</f>
        <v>0</v>
      </c>
      <c r="W19" s="609">
        <f>'3.6 CapEx'!W21</f>
        <v>0</v>
      </c>
      <c r="X19" s="609">
        <f>'3.6 CapEx'!X21</f>
        <v>0</v>
      </c>
      <c r="Y19" s="609">
        <f>'3.6 CapEx'!Y21</f>
        <v>0</v>
      </c>
      <c r="Z19" s="609">
        <f>'3.6 CapEx'!Z21</f>
        <v>0</v>
      </c>
      <c r="AA19" s="609">
        <f>'3.6 CapEx'!AA21</f>
        <v>0</v>
      </c>
      <c r="AB19" s="609">
        <f>'3.6 CapEx'!AB21</f>
        <v>0</v>
      </c>
      <c r="AC19" s="609">
        <f>'3.6 CapEx'!AC21</f>
        <v>0</v>
      </c>
      <c r="AD19" s="609">
        <f>'3.6 CapEx'!AD21</f>
        <v>0</v>
      </c>
      <c r="AE19" s="609">
        <f>'3.6 CapEx'!AE21</f>
        <v>0</v>
      </c>
      <c r="AF19" s="609">
        <f>'3.6 CapEx'!AF21</f>
        <v>0</v>
      </c>
      <c r="AG19" s="609">
        <f>'3.6 CapEx'!AG21</f>
        <v>0</v>
      </c>
      <c r="AH19" s="609">
        <f>'3.6 CapEx'!AH21</f>
        <v>0</v>
      </c>
      <c r="AI19" s="609">
        <f>'3.6 CapEx'!AI21</f>
        <v>0</v>
      </c>
      <c r="AJ19" s="609">
        <f>'3.6 CapEx'!AJ21</f>
        <v>0</v>
      </c>
      <c r="AK19" s="609">
        <f>'3.6 CapEx'!AK21</f>
        <v>0</v>
      </c>
      <c r="AL19" s="609">
        <f>'3.6 CapEx'!AL21</f>
        <v>0</v>
      </c>
      <c r="AM19" s="609">
        <f>'3.6 CapEx'!AM21</f>
        <v>0</v>
      </c>
      <c r="AN19" s="609">
        <f>'3.6 CapEx'!AN21</f>
        <v>0</v>
      </c>
      <c r="AP19" s="39"/>
    </row>
    <row r="20" spans="2:42" ht="11.5" customHeight="1" x14ac:dyDescent="0.25">
      <c r="C20" s="21" t="s">
        <v>856</v>
      </c>
      <c r="D20" s="34" t="s">
        <v>46</v>
      </c>
      <c r="E20" s="609">
        <f>'3.6 CapEx'!E22</f>
        <v>0</v>
      </c>
      <c r="F20" s="609">
        <f>'3.6 CapEx'!F22</f>
        <v>0</v>
      </c>
      <c r="G20" s="609">
        <f>'3.6 CapEx'!G22</f>
        <v>0</v>
      </c>
      <c r="H20" s="609">
        <f>'3.6 CapEx'!H22</f>
        <v>0</v>
      </c>
      <c r="I20" s="609">
        <f>'3.6 CapEx'!I22</f>
        <v>0</v>
      </c>
      <c r="J20" s="609">
        <f>'3.6 CapEx'!J22</f>
        <v>0</v>
      </c>
      <c r="K20" s="609">
        <f>'3.6 CapEx'!K22</f>
        <v>0</v>
      </c>
      <c r="L20" s="609">
        <f>'3.6 CapEx'!L22</f>
        <v>0</v>
      </c>
      <c r="M20" s="609">
        <f>'3.6 CapEx'!M22</f>
        <v>0</v>
      </c>
      <c r="N20" s="609">
        <f>'3.6 CapEx'!N22</f>
        <v>0</v>
      </c>
      <c r="O20" s="609">
        <f>'3.6 CapEx'!O22</f>
        <v>0</v>
      </c>
      <c r="P20" s="609">
        <f>'3.6 CapEx'!P22</f>
        <v>0</v>
      </c>
      <c r="Q20" s="609">
        <f>'3.6 CapEx'!Q22</f>
        <v>0</v>
      </c>
      <c r="R20" s="609">
        <f>'3.6 CapEx'!R22</f>
        <v>0</v>
      </c>
      <c r="S20" s="609">
        <f>'3.6 CapEx'!S22</f>
        <v>0</v>
      </c>
      <c r="T20" s="609">
        <f>'3.6 CapEx'!T22</f>
        <v>0</v>
      </c>
      <c r="U20" s="609">
        <f>'3.6 CapEx'!U22</f>
        <v>0</v>
      </c>
      <c r="V20" s="609">
        <f>'3.6 CapEx'!V22</f>
        <v>0</v>
      </c>
      <c r="W20" s="609">
        <f>'3.6 CapEx'!W22</f>
        <v>0</v>
      </c>
      <c r="X20" s="609">
        <f>'3.6 CapEx'!X22</f>
        <v>0</v>
      </c>
      <c r="Y20" s="609">
        <f>'3.6 CapEx'!Y22</f>
        <v>0</v>
      </c>
      <c r="Z20" s="609">
        <f>'3.6 CapEx'!Z22</f>
        <v>0</v>
      </c>
      <c r="AA20" s="609">
        <f>'3.6 CapEx'!AA22</f>
        <v>0</v>
      </c>
      <c r="AB20" s="609">
        <f>'3.6 CapEx'!AB22</f>
        <v>0</v>
      </c>
      <c r="AC20" s="609">
        <f>'3.6 CapEx'!AC22</f>
        <v>0</v>
      </c>
      <c r="AD20" s="609">
        <f>'3.6 CapEx'!AD22</f>
        <v>0</v>
      </c>
      <c r="AE20" s="609">
        <f>'3.6 CapEx'!AE22</f>
        <v>0</v>
      </c>
      <c r="AF20" s="609">
        <f>'3.6 CapEx'!AF22</f>
        <v>0</v>
      </c>
      <c r="AG20" s="609">
        <f>'3.6 CapEx'!AG22</f>
        <v>0</v>
      </c>
      <c r="AH20" s="609">
        <f>'3.6 CapEx'!AH22</f>
        <v>0</v>
      </c>
      <c r="AI20" s="609">
        <f>'3.6 CapEx'!AI22</f>
        <v>0</v>
      </c>
      <c r="AJ20" s="609">
        <f>'3.6 CapEx'!AJ22</f>
        <v>0</v>
      </c>
      <c r="AK20" s="609">
        <f>'3.6 CapEx'!AK22</f>
        <v>0</v>
      </c>
      <c r="AL20" s="609">
        <f>'3.6 CapEx'!AL22</f>
        <v>0</v>
      </c>
      <c r="AM20" s="609">
        <f>'3.6 CapEx'!AM22</f>
        <v>0</v>
      </c>
      <c r="AN20" s="609">
        <f>'3.6 CapEx'!AN22</f>
        <v>0</v>
      </c>
      <c r="AP20" s="39"/>
    </row>
    <row r="21" spans="2:42" ht="11.5" customHeight="1" x14ac:dyDescent="0.25">
      <c r="C21" s="21" t="s">
        <v>857</v>
      </c>
      <c r="D21" s="34" t="s">
        <v>46</v>
      </c>
      <c r="E21" s="610">
        <f>'3.6 CapEx'!E24</f>
        <v>12000</v>
      </c>
      <c r="F21" s="610">
        <f>'3.6 CapEx'!F24</f>
        <v>0</v>
      </c>
      <c r="G21" s="610">
        <f>'3.6 CapEx'!G24</f>
        <v>0</v>
      </c>
      <c r="H21" s="610">
        <f>'3.6 CapEx'!H24</f>
        <v>0</v>
      </c>
      <c r="I21" s="610">
        <f>'3.6 CapEx'!I24</f>
        <v>0</v>
      </c>
      <c r="J21" s="610">
        <f>'3.6 CapEx'!J24</f>
        <v>0</v>
      </c>
      <c r="K21" s="610">
        <f>'3.6 CapEx'!K24</f>
        <v>0</v>
      </c>
      <c r="L21" s="610">
        <f>'3.6 CapEx'!L24</f>
        <v>0</v>
      </c>
      <c r="M21" s="610">
        <f>'3.6 CapEx'!M24</f>
        <v>10000</v>
      </c>
      <c r="N21" s="610">
        <f>'3.6 CapEx'!N24</f>
        <v>0</v>
      </c>
      <c r="O21" s="610">
        <f>'3.6 CapEx'!O24</f>
        <v>0</v>
      </c>
      <c r="P21" s="610">
        <f>'3.6 CapEx'!P24</f>
        <v>0</v>
      </c>
      <c r="Q21" s="610">
        <f>'3.6 CapEx'!Q24</f>
        <v>42000</v>
      </c>
      <c r="R21" s="610">
        <f>'3.6 CapEx'!R24</f>
        <v>0</v>
      </c>
      <c r="S21" s="610">
        <f>'3.6 CapEx'!S24</f>
        <v>0</v>
      </c>
      <c r="T21" s="610">
        <f>'3.6 CapEx'!T24</f>
        <v>0</v>
      </c>
      <c r="U21" s="610">
        <f>'3.6 CapEx'!U24</f>
        <v>20000</v>
      </c>
      <c r="V21" s="610">
        <f>'3.6 CapEx'!V24</f>
        <v>0</v>
      </c>
      <c r="W21" s="610">
        <f>'3.6 CapEx'!W24</f>
        <v>0</v>
      </c>
      <c r="X21" s="610">
        <f>'3.6 CapEx'!X24</f>
        <v>0</v>
      </c>
      <c r="Y21" s="610">
        <f>'3.6 CapEx'!Y24</f>
        <v>30000</v>
      </c>
      <c r="Z21" s="610">
        <f>'3.6 CapEx'!Z24</f>
        <v>0</v>
      </c>
      <c r="AA21" s="610">
        <f>'3.6 CapEx'!AA24</f>
        <v>0</v>
      </c>
      <c r="AB21" s="610">
        <f>'3.6 CapEx'!AB24</f>
        <v>0</v>
      </c>
      <c r="AC21" s="610">
        <f>'3.6 CapEx'!AC24</f>
        <v>92000</v>
      </c>
      <c r="AD21" s="610">
        <f>'3.6 CapEx'!AD24</f>
        <v>0</v>
      </c>
      <c r="AE21" s="610">
        <f>'3.6 CapEx'!AE24</f>
        <v>0</v>
      </c>
      <c r="AF21" s="610">
        <f>'3.6 CapEx'!AF24</f>
        <v>0</v>
      </c>
      <c r="AG21" s="610">
        <f>'3.6 CapEx'!AG24</f>
        <v>100000</v>
      </c>
      <c r="AH21" s="610">
        <f>'3.6 CapEx'!AH24</f>
        <v>0</v>
      </c>
      <c r="AI21" s="610">
        <f>'3.6 CapEx'!AI24</f>
        <v>0</v>
      </c>
      <c r="AJ21" s="610">
        <f>'3.6 CapEx'!AJ24</f>
        <v>0</v>
      </c>
      <c r="AK21" s="610">
        <f>'3.6 CapEx'!AK24</f>
        <v>80000</v>
      </c>
      <c r="AL21" s="610">
        <f>'3.6 CapEx'!AL24</f>
        <v>0</v>
      </c>
      <c r="AM21" s="610">
        <f>'3.6 CapEx'!AM24</f>
        <v>0</v>
      </c>
      <c r="AN21" s="610">
        <f>'3.6 CapEx'!AN24</f>
        <v>0</v>
      </c>
      <c r="AP21" s="21"/>
    </row>
    <row r="22" spans="2:42" ht="11.5" customHeight="1" x14ac:dyDescent="0.25">
      <c r="C22" s="21" t="s">
        <v>858</v>
      </c>
      <c r="D22" s="34" t="s">
        <v>46</v>
      </c>
      <c r="E22" s="610">
        <f>'3.6 CapEx'!E25</f>
        <v>6000</v>
      </c>
      <c r="F22" s="610">
        <f>'3.6 CapEx'!F25</f>
        <v>6000</v>
      </c>
      <c r="G22" s="610">
        <f>'3.6 CapEx'!G25</f>
        <v>6000</v>
      </c>
      <c r="H22" s="610">
        <f>'3.6 CapEx'!H25</f>
        <v>6000</v>
      </c>
      <c r="I22" s="610">
        <f>'3.6 CapEx'!I25</f>
        <v>6000</v>
      </c>
      <c r="J22" s="610">
        <f>'3.6 CapEx'!J25</f>
        <v>6000</v>
      </c>
      <c r="K22" s="610">
        <f>'3.6 CapEx'!K25</f>
        <v>6000</v>
      </c>
      <c r="L22" s="610">
        <f>'3.6 CapEx'!L25</f>
        <v>6000</v>
      </c>
      <c r="M22" s="610">
        <f>'3.6 CapEx'!M25</f>
        <v>11000</v>
      </c>
      <c r="N22" s="610">
        <f>'3.6 CapEx'!N25</f>
        <v>11000</v>
      </c>
      <c r="O22" s="610">
        <f>'3.6 CapEx'!O25</f>
        <v>11000</v>
      </c>
      <c r="P22" s="610">
        <f>'3.6 CapEx'!P25</f>
        <v>11000</v>
      </c>
      <c r="Q22" s="610">
        <f>'3.6 CapEx'!Q25</f>
        <v>26000</v>
      </c>
      <c r="R22" s="610">
        <f>'3.6 CapEx'!R25</f>
        <v>26000</v>
      </c>
      <c r="S22" s="610">
        <f>'3.6 CapEx'!S25</f>
        <v>26000</v>
      </c>
      <c r="T22" s="610">
        <f>'3.6 CapEx'!T25</f>
        <v>26000</v>
      </c>
      <c r="U22" s="610">
        <f>'3.6 CapEx'!U25</f>
        <v>36000</v>
      </c>
      <c r="V22" s="610">
        <f>'3.6 CapEx'!V25</f>
        <v>36000</v>
      </c>
      <c r="W22" s="610">
        <f>'3.6 CapEx'!W25</f>
        <v>36000</v>
      </c>
      <c r="X22" s="610">
        <f>'3.6 CapEx'!X25</f>
        <v>36000</v>
      </c>
      <c r="Y22" s="610">
        <f>'3.6 CapEx'!Y25</f>
        <v>46000</v>
      </c>
      <c r="Z22" s="610">
        <f>'3.6 CapEx'!Z25</f>
        <v>46000</v>
      </c>
      <c r="AA22" s="610">
        <f>'3.6 CapEx'!AA25</f>
        <v>46000</v>
      </c>
      <c r="AB22" s="610">
        <f>'3.6 CapEx'!AB25</f>
        <v>46000</v>
      </c>
      <c r="AC22" s="610">
        <f>'3.6 CapEx'!AC25</f>
        <v>71000</v>
      </c>
      <c r="AD22" s="610">
        <f>'3.6 CapEx'!AD25</f>
        <v>71000</v>
      </c>
      <c r="AE22" s="610">
        <f>'3.6 CapEx'!AE25</f>
        <v>71000</v>
      </c>
      <c r="AF22" s="610">
        <f>'3.6 CapEx'!AF25</f>
        <v>71000</v>
      </c>
      <c r="AG22" s="610">
        <f>'3.6 CapEx'!AG25</f>
        <v>111000</v>
      </c>
      <c r="AH22" s="610">
        <f>'3.6 CapEx'!AH25</f>
        <v>111000</v>
      </c>
      <c r="AI22" s="610">
        <f>'3.6 CapEx'!AI25</f>
        <v>111000</v>
      </c>
      <c r="AJ22" s="610">
        <f>'3.6 CapEx'!AJ25</f>
        <v>111000</v>
      </c>
      <c r="AK22" s="610">
        <f>'3.6 CapEx'!AK25</f>
        <v>136000</v>
      </c>
      <c r="AL22" s="610">
        <f>'3.6 CapEx'!AL25</f>
        <v>136000</v>
      </c>
      <c r="AM22" s="610">
        <f>'3.6 CapEx'!AM25</f>
        <v>136000</v>
      </c>
      <c r="AN22" s="610">
        <f>'3.6 CapEx'!AN25</f>
        <v>136000</v>
      </c>
      <c r="AP22" s="21"/>
    </row>
    <row r="23" spans="2:42" ht="11.5" customHeight="1" x14ac:dyDescent="0.25">
      <c r="C23" s="22" t="s">
        <v>849</v>
      </c>
      <c r="D23" s="236" t="s">
        <v>46</v>
      </c>
      <c r="E23" s="611">
        <f>'3.6 CapEx'!E26</f>
        <v>23262.961261082368</v>
      </c>
      <c r="F23" s="611">
        <f ca="1">'3.6 CapEx'!F26</f>
        <v>14969.894385</v>
      </c>
      <c r="G23" s="611">
        <f ca="1">'3.6 CapEx'!G26</f>
        <v>18166.938194999999</v>
      </c>
      <c r="H23" s="611">
        <f ca="1">'3.6 CapEx'!H26</f>
        <v>20632.58266</v>
      </c>
      <c r="I23" s="611">
        <f ca="1">'3.6 CapEx'!I26</f>
        <v>31926.087565000009</v>
      </c>
      <c r="J23" s="611">
        <f ca="1">'3.6 CapEx'!J26</f>
        <v>48351.257030000001</v>
      </c>
      <c r="K23" s="611">
        <f ca="1">'3.6 CapEx'!K26</f>
        <v>54885.433578000011</v>
      </c>
      <c r="L23" s="611">
        <f ca="1">'3.6 CapEx'!L26</f>
        <v>65249.350292400006</v>
      </c>
      <c r="M23" s="611">
        <f ca="1">'3.6 CapEx'!M26</f>
        <v>86583.884068231797</v>
      </c>
      <c r="N23" s="611">
        <f ca="1">'3.6 CapEx'!N26</f>
        <v>97276.509398136011</v>
      </c>
      <c r="O23" s="611">
        <f ca="1">'3.6 CapEx'!O26</f>
        <v>115230.51439013921</v>
      </c>
      <c r="P23" s="611">
        <f ca="1">'3.6 CapEx'!P26</f>
        <v>133716.45314681571</v>
      </c>
      <c r="Q23" s="611">
        <f ca="1">'3.6 CapEx'!Q26</f>
        <v>194990.64976144998</v>
      </c>
      <c r="R23" s="611">
        <f ca="1">'3.6 CapEx'!R26</f>
        <v>198069.23753971176</v>
      </c>
      <c r="S23" s="611">
        <f ca="1">'3.6 CapEx'!S26</f>
        <v>216610.10832601937</v>
      </c>
      <c r="T23" s="611">
        <f ca="1">'3.6 CapEx'!T26</f>
        <v>234082.41554106551</v>
      </c>
      <c r="U23" s="611">
        <f ca="1">'3.6 CapEx'!U26</f>
        <v>299913.72220531246</v>
      </c>
      <c r="V23" s="611">
        <f ca="1">'3.6 CapEx'!V26</f>
        <v>304745.59659945115</v>
      </c>
      <c r="W23" s="611">
        <f ca="1">'3.6 CapEx'!W26</f>
        <v>331367.14744206099</v>
      </c>
      <c r="X23" s="611">
        <f ca="1">'3.6 CapEx'!X26</f>
        <v>353510.38652214879</v>
      </c>
      <c r="Y23" s="611">
        <f ca="1">'3.6 CapEx'!Y26</f>
        <v>389218.47628196637</v>
      </c>
      <c r="Z23" s="611">
        <f ca="1">'3.6 CapEx'!Z26</f>
        <v>411748.64066052431</v>
      </c>
      <c r="AA23" s="611">
        <f ca="1">'3.6 CapEx'!AA26</f>
        <v>439376.20938116946</v>
      </c>
      <c r="AB23" s="611">
        <f ca="1">'3.6 CapEx'!AB26</f>
        <v>464965.38316093554</v>
      </c>
      <c r="AC23" s="611">
        <f ca="1">'3.6 CapEx'!AC26</f>
        <v>621257.97103660216</v>
      </c>
      <c r="AD23" s="611">
        <f ca="1">'3.6 CapEx'!AD26</f>
        <v>605887.64673285617</v>
      </c>
      <c r="AE23" s="611">
        <f ca="1">'3.6 CapEx'!AE26</f>
        <v>634789.38315247255</v>
      </c>
      <c r="AF23" s="611">
        <f ca="1">'3.6 CapEx'!AF26</f>
        <v>659197.90965922794</v>
      </c>
      <c r="AG23" s="611">
        <f ca="1">'3.6 CapEx'!AG26</f>
        <v>811131.01879991079</v>
      </c>
      <c r="AH23" s="611">
        <f ca="1">'3.6 CapEx'!AH26</f>
        <v>811442.69542423333</v>
      </c>
      <c r="AI23" s="611">
        <f ca="1">'3.6 CapEx'!AI26</f>
        <v>879085.84105244919</v>
      </c>
      <c r="AJ23" s="611">
        <f ca="1">'3.6 CapEx'!AJ26</f>
        <v>937271.59375433438</v>
      </c>
      <c r="AK23" s="611">
        <f ca="1">'3.6 CapEx'!AK26</f>
        <v>1087688.3205171318</v>
      </c>
      <c r="AL23" s="611">
        <f ca="1">'3.6 CapEx'!AL26</f>
        <v>1121633.2675739962</v>
      </c>
      <c r="AM23" s="611">
        <f ca="1">'3.6 CapEx'!AM26</f>
        <v>1209220.1986136348</v>
      </c>
      <c r="AN23" s="611">
        <f ca="1">'3.6 CapEx'!AN26</f>
        <v>1285431.7060190327</v>
      </c>
      <c r="AP23" s="26"/>
    </row>
    <row r="24" spans="2:42" ht="11.5" customHeight="1" x14ac:dyDescent="0.25">
      <c r="B24" s="33" t="s">
        <v>10</v>
      </c>
      <c r="C24" s="604" t="s">
        <v>24</v>
      </c>
      <c r="D24" s="42" t="s">
        <v>46</v>
      </c>
      <c r="E24" s="42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2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2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P24" s="43"/>
    </row>
    <row r="25" spans="2:42" ht="11.5" customHeight="1" x14ac:dyDescent="0.25">
      <c r="C25" s="28" t="s">
        <v>850</v>
      </c>
      <c r="D25" s="34">
        <f>'1.1 Control Panel'!E966*12</f>
        <v>240</v>
      </c>
      <c r="E25" s="607">
        <f>SLN(E14,0,$D25)</f>
        <v>6.25</v>
      </c>
      <c r="F25" s="612">
        <f t="shared" ref="F25:AN25" si="8">SLN(F14,0,$D25)</f>
        <v>0</v>
      </c>
      <c r="G25" s="612">
        <f t="shared" si="8"/>
        <v>0</v>
      </c>
      <c r="H25" s="612">
        <f t="shared" si="8"/>
        <v>0</v>
      </c>
      <c r="I25" s="612">
        <f t="shared" si="8"/>
        <v>0</v>
      </c>
      <c r="J25" s="612">
        <f t="shared" si="8"/>
        <v>0</v>
      </c>
      <c r="K25" s="612">
        <f t="shared" si="8"/>
        <v>0</v>
      </c>
      <c r="L25" s="612">
        <f t="shared" si="8"/>
        <v>0</v>
      </c>
      <c r="M25" s="612">
        <f t="shared" si="8"/>
        <v>0</v>
      </c>
      <c r="N25" s="612">
        <f t="shared" si="8"/>
        <v>0</v>
      </c>
      <c r="O25" s="612">
        <f t="shared" si="8"/>
        <v>0</v>
      </c>
      <c r="P25" s="612">
        <f t="shared" si="8"/>
        <v>0</v>
      </c>
      <c r="Q25" s="607">
        <f t="shared" si="8"/>
        <v>0</v>
      </c>
      <c r="R25" s="612">
        <f t="shared" si="8"/>
        <v>0</v>
      </c>
      <c r="S25" s="612">
        <f t="shared" si="8"/>
        <v>0</v>
      </c>
      <c r="T25" s="612">
        <f t="shared" si="8"/>
        <v>0</v>
      </c>
      <c r="U25" s="612">
        <f t="shared" si="8"/>
        <v>0</v>
      </c>
      <c r="V25" s="612">
        <f t="shared" si="8"/>
        <v>0</v>
      </c>
      <c r="W25" s="612">
        <f t="shared" si="8"/>
        <v>0</v>
      </c>
      <c r="X25" s="612">
        <f t="shared" si="8"/>
        <v>0</v>
      </c>
      <c r="Y25" s="612">
        <f t="shared" si="8"/>
        <v>0</v>
      </c>
      <c r="Z25" s="612">
        <f t="shared" si="8"/>
        <v>0</v>
      </c>
      <c r="AA25" s="612">
        <f t="shared" si="8"/>
        <v>0</v>
      </c>
      <c r="AB25" s="612">
        <f t="shared" si="8"/>
        <v>0</v>
      </c>
      <c r="AC25" s="607">
        <f t="shared" si="8"/>
        <v>0</v>
      </c>
      <c r="AD25" s="612">
        <f t="shared" si="8"/>
        <v>0</v>
      </c>
      <c r="AE25" s="612">
        <f t="shared" si="8"/>
        <v>0</v>
      </c>
      <c r="AF25" s="612">
        <f t="shared" si="8"/>
        <v>0</v>
      </c>
      <c r="AG25" s="612">
        <f t="shared" si="8"/>
        <v>0</v>
      </c>
      <c r="AH25" s="612">
        <f t="shared" si="8"/>
        <v>0</v>
      </c>
      <c r="AI25" s="612">
        <f t="shared" si="8"/>
        <v>0</v>
      </c>
      <c r="AJ25" s="612">
        <f t="shared" si="8"/>
        <v>0</v>
      </c>
      <c r="AK25" s="612">
        <f t="shared" si="8"/>
        <v>0</v>
      </c>
      <c r="AL25" s="612">
        <f t="shared" si="8"/>
        <v>0</v>
      </c>
      <c r="AM25" s="612">
        <f t="shared" si="8"/>
        <v>0</v>
      </c>
      <c r="AN25" s="612">
        <f t="shared" si="8"/>
        <v>0</v>
      </c>
      <c r="AP25" s="37"/>
    </row>
    <row r="26" spans="2:42" ht="11.5" customHeight="1" x14ac:dyDescent="0.25">
      <c r="C26" s="21" t="s">
        <v>851</v>
      </c>
      <c r="D26" s="34">
        <f>'1.1 Control Panel'!E967*12</f>
        <v>240</v>
      </c>
      <c r="E26" s="608">
        <f t="shared" ref="E26:AN26" si="9">SLN(E15,0,$D26)</f>
        <v>41.666666666666664</v>
      </c>
      <c r="F26" s="613">
        <f t="shared" si="9"/>
        <v>4.166666666666667</v>
      </c>
      <c r="G26" s="614">
        <f t="shared" si="9"/>
        <v>4.166666666666667</v>
      </c>
      <c r="H26" s="614">
        <f t="shared" si="9"/>
        <v>4.166666666666667</v>
      </c>
      <c r="I26" s="614">
        <f t="shared" si="9"/>
        <v>4.166666666666667</v>
      </c>
      <c r="J26" s="614">
        <f t="shared" si="9"/>
        <v>4.166666666666667</v>
      </c>
      <c r="K26" s="614">
        <f t="shared" si="9"/>
        <v>4.166666666666667</v>
      </c>
      <c r="L26" s="614">
        <f t="shared" si="9"/>
        <v>4.166666666666667</v>
      </c>
      <c r="M26" s="614">
        <f t="shared" si="9"/>
        <v>4.166666666666667</v>
      </c>
      <c r="N26" s="614">
        <f t="shared" si="9"/>
        <v>4.166666666666667</v>
      </c>
      <c r="O26" s="614">
        <f t="shared" si="9"/>
        <v>4.166666666666667</v>
      </c>
      <c r="P26" s="614">
        <f t="shared" si="9"/>
        <v>4.166666666666667</v>
      </c>
      <c r="Q26" s="608">
        <f t="shared" si="9"/>
        <v>4.166666666666667</v>
      </c>
      <c r="R26" s="613">
        <f t="shared" si="9"/>
        <v>4.166666666666667</v>
      </c>
      <c r="S26" s="614">
        <f t="shared" si="9"/>
        <v>4.166666666666667</v>
      </c>
      <c r="T26" s="614">
        <f t="shared" si="9"/>
        <v>4.166666666666667</v>
      </c>
      <c r="U26" s="614">
        <f t="shared" si="9"/>
        <v>4.166666666666667</v>
      </c>
      <c r="V26" s="614">
        <f t="shared" si="9"/>
        <v>4.166666666666667</v>
      </c>
      <c r="W26" s="614">
        <f t="shared" si="9"/>
        <v>4.166666666666667</v>
      </c>
      <c r="X26" s="614">
        <f t="shared" si="9"/>
        <v>4.166666666666667</v>
      </c>
      <c r="Y26" s="614">
        <f t="shared" si="9"/>
        <v>4.166666666666667</v>
      </c>
      <c r="Z26" s="614">
        <f t="shared" si="9"/>
        <v>4.166666666666667</v>
      </c>
      <c r="AA26" s="614">
        <f t="shared" si="9"/>
        <v>4.166666666666667</v>
      </c>
      <c r="AB26" s="614">
        <f t="shared" si="9"/>
        <v>4.166666666666667</v>
      </c>
      <c r="AC26" s="608">
        <f t="shared" si="9"/>
        <v>4.166666666666667</v>
      </c>
      <c r="AD26" s="613">
        <f t="shared" si="9"/>
        <v>4.166666666666667</v>
      </c>
      <c r="AE26" s="614">
        <f t="shared" si="9"/>
        <v>4.166666666666667</v>
      </c>
      <c r="AF26" s="614">
        <f t="shared" si="9"/>
        <v>4.166666666666667</v>
      </c>
      <c r="AG26" s="614">
        <f t="shared" si="9"/>
        <v>4.166666666666667</v>
      </c>
      <c r="AH26" s="614">
        <f t="shared" si="9"/>
        <v>4.166666666666667</v>
      </c>
      <c r="AI26" s="614">
        <f t="shared" si="9"/>
        <v>4.166666666666667</v>
      </c>
      <c r="AJ26" s="614">
        <f t="shared" si="9"/>
        <v>4.166666666666667</v>
      </c>
      <c r="AK26" s="614">
        <f t="shared" si="9"/>
        <v>4.166666666666667</v>
      </c>
      <c r="AL26" s="614">
        <f t="shared" si="9"/>
        <v>4.166666666666667</v>
      </c>
      <c r="AM26" s="614">
        <f t="shared" si="9"/>
        <v>4.166666666666667</v>
      </c>
      <c r="AN26" s="614">
        <f t="shared" si="9"/>
        <v>4.166666666666667</v>
      </c>
      <c r="AP26" s="606"/>
    </row>
    <row r="27" spans="2:42" ht="11.5" customHeight="1" x14ac:dyDescent="0.25">
      <c r="C27" s="21" t="s">
        <v>852</v>
      </c>
      <c r="D27" s="34">
        <f>'1.1 Control Panel'!E968*12</f>
        <v>240</v>
      </c>
      <c r="E27" s="608">
        <f t="shared" ref="E27:AN27" si="10">SLN(E16,0,$D27)</f>
        <v>0</v>
      </c>
      <c r="F27" s="614">
        <f t="shared" si="10"/>
        <v>0</v>
      </c>
      <c r="G27" s="614">
        <f t="shared" si="10"/>
        <v>0</v>
      </c>
      <c r="H27" s="614">
        <f t="shared" si="10"/>
        <v>0</v>
      </c>
      <c r="I27" s="614">
        <f t="shared" si="10"/>
        <v>0</v>
      </c>
      <c r="J27" s="614">
        <f t="shared" si="10"/>
        <v>0</v>
      </c>
      <c r="K27" s="614">
        <f t="shared" si="10"/>
        <v>0</v>
      </c>
      <c r="L27" s="614">
        <f t="shared" si="10"/>
        <v>0</v>
      </c>
      <c r="M27" s="614">
        <f t="shared" si="10"/>
        <v>0</v>
      </c>
      <c r="N27" s="614">
        <f t="shared" si="10"/>
        <v>0</v>
      </c>
      <c r="O27" s="614">
        <f t="shared" si="10"/>
        <v>0</v>
      </c>
      <c r="P27" s="614">
        <f t="shared" si="10"/>
        <v>0</v>
      </c>
      <c r="Q27" s="608">
        <f t="shared" si="10"/>
        <v>0</v>
      </c>
      <c r="R27" s="614">
        <f t="shared" si="10"/>
        <v>0</v>
      </c>
      <c r="S27" s="614">
        <f t="shared" si="10"/>
        <v>0</v>
      </c>
      <c r="T27" s="614">
        <f t="shared" si="10"/>
        <v>0</v>
      </c>
      <c r="U27" s="614">
        <f t="shared" si="10"/>
        <v>0</v>
      </c>
      <c r="V27" s="614">
        <f t="shared" si="10"/>
        <v>0</v>
      </c>
      <c r="W27" s="614">
        <f t="shared" si="10"/>
        <v>0</v>
      </c>
      <c r="X27" s="614">
        <f t="shared" si="10"/>
        <v>0</v>
      </c>
      <c r="Y27" s="614">
        <f t="shared" si="10"/>
        <v>0</v>
      </c>
      <c r="Z27" s="614">
        <f t="shared" si="10"/>
        <v>0</v>
      </c>
      <c r="AA27" s="614">
        <f t="shared" si="10"/>
        <v>0</v>
      </c>
      <c r="AB27" s="614">
        <f t="shared" si="10"/>
        <v>0</v>
      </c>
      <c r="AC27" s="608">
        <f t="shared" si="10"/>
        <v>0</v>
      </c>
      <c r="AD27" s="614">
        <f t="shared" si="10"/>
        <v>0</v>
      </c>
      <c r="AE27" s="614">
        <f t="shared" si="10"/>
        <v>0</v>
      </c>
      <c r="AF27" s="614">
        <f t="shared" si="10"/>
        <v>0</v>
      </c>
      <c r="AG27" s="614">
        <f t="shared" si="10"/>
        <v>0</v>
      </c>
      <c r="AH27" s="614">
        <f t="shared" si="10"/>
        <v>0</v>
      </c>
      <c r="AI27" s="614">
        <f t="shared" si="10"/>
        <v>0</v>
      </c>
      <c r="AJ27" s="614">
        <f t="shared" si="10"/>
        <v>0</v>
      </c>
      <c r="AK27" s="614">
        <f t="shared" si="10"/>
        <v>0</v>
      </c>
      <c r="AL27" s="614">
        <f t="shared" si="10"/>
        <v>0</v>
      </c>
      <c r="AM27" s="614">
        <f t="shared" si="10"/>
        <v>0</v>
      </c>
      <c r="AN27" s="614">
        <f t="shared" si="10"/>
        <v>0</v>
      </c>
      <c r="AP27" s="606"/>
    </row>
    <row r="28" spans="2:42" ht="11.5" customHeight="1" x14ac:dyDescent="0.25">
      <c r="C28" s="21" t="s">
        <v>854</v>
      </c>
      <c r="D28" s="34">
        <f>'1.1 Control Panel'!E969*12</f>
        <v>240</v>
      </c>
      <c r="E28" s="608">
        <f t="shared" ref="E28:AN28" si="11">SLN(E17,0,$D28)</f>
        <v>416.66666666666669</v>
      </c>
      <c r="F28" s="613">
        <f t="shared" si="11"/>
        <v>0</v>
      </c>
      <c r="G28" s="614">
        <f t="shared" si="11"/>
        <v>416.66666666666669</v>
      </c>
      <c r="H28" s="614">
        <f t="shared" si="11"/>
        <v>833.33333333333337</v>
      </c>
      <c r="I28" s="614">
        <f t="shared" si="11"/>
        <v>416.66666666666669</v>
      </c>
      <c r="J28" s="614">
        <f t="shared" si="11"/>
        <v>416.66666666666669</v>
      </c>
      <c r="K28" s="614">
        <f t="shared" si="11"/>
        <v>416.66666666666669</v>
      </c>
      <c r="L28" s="614">
        <f t="shared" si="11"/>
        <v>833.33333333333337</v>
      </c>
      <c r="M28" s="614">
        <f t="shared" si="11"/>
        <v>0</v>
      </c>
      <c r="N28" s="614">
        <f t="shared" si="11"/>
        <v>416.66666666666669</v>
      </c>
      <c r="O28" s="614">
        <f t="shared" si="11"/>
        <v>0</v>
      </c>
      <c r="P28" s="614">
        <f t="shared" si="11"/>
        <v>0</v>
      </c>
      <c r="Q28" s="608">
        <f t="shared" si="11"/>
        <v>0</v>
      </c>
      <c r="R28" s="613">
        <f t="shared" si="11"/>
        <v>833.33333333333337</v>
      </c>
      <c r="S28" s="614">
        <f t="shared" si="11"/>
        <v>0</v>
      </c>
      <c r="T28" s="614">
        <f t="shared" si="11"/>
        <v>0</v>
      </c>
      <c r="U28" s="614">
        <f t="shared" si="11"/>
        <v>0</v>
      </c>
      <c r="V28" s="614">
        <f t="shared" si="11"/>
        <v>0</v>
      </c>
      <c r="W28" s="614">
        <f t="shared" si="11"/>
        <v>0</v>
      </c>
      <c r="X28" s="614">
        <f t="shared" si="11"/>
        <v>0</v>
      </c>
      <c r="Y28" s="614">
        <f t="shared" si="11"/>
        <v>0</v>
      </c>
      <c r="Z28" s="614">
        <f t="shared" si="11"/>
        <v>0</v>
      </c>
      <c r="AA28" s="614">
        <f t="shared" si="11"/>
        <v>0</v>
      </c>
      <c r="AB28" s="614">
        <f t="shared" si="11"/>
        <v>0</v>
      </c>
      <c r="AC28" s="608">
        <f t="shared" si="11"/>
        <v>0</v>
      </c>
      <c r="AD28" s="613">
        <f t="shared" si="11"/>
        <v>0</v>
      </c>
      <c r="AE28" s="614">
        <f t="shared" si="11"/>
        <v>0</v>
      </c>
      <c r="AF28" s="614">
        <f t="shared" si="11"/>
        <v>0</v>
      </c>
      <c r="AG28" s="614">
        <f t="shared" si="11"/>
        <v>0</v>
      </c>
      <c r="AH28" s="614">
        <f t="shared" si="11"/>
        <v>0</v>
      </c>
      <c r="AI28" s="614">
        <f t="shared" si="11"/>
        <v>0</v>
      </c>
      <c r="AJ28" s="614">
        <f t="shared" si="11"/>
        <v>0</v>
      </c>
      <c r="AK28" s="614">
        <f t="shared" si="11"/>
        <v>0</v>
      </c>
      <c r="AL28" s="614">
        <f t="shared" si="11"/>
        <v>0</v>
      </c>
      <c r="AM28" s="614">
        <f t="shared" si="11"/>
        <v>0</v>
      </c>
      <c r="AN28" s="614">
        <f t="shared" si="11"/>
        <v>0</v>
      </c>
      <c r="AP28" s="606"/>
    </row>
    <row r="29" spans="2:42" ht="11.5" customHeight="1" x14ac:dyDescent="0.25">
      <c r="C29" s="21" t="s">
        <v>853</v>
      </c>
      <c r="D29" s="34">
        <f>'1.1 Control Panel'!E970*12</f>
        <v>240</v>
      </c>
      <c r="E29" s="609">
        <f t="shared" ref="E29:AN29" si="12">SLN(E18,0,$D29)</f>
        <v>625</v>
      </c>
      <c r="F29" s="609">
        <f t="shared" si="12"/>
        <v>0</v>
      </c>
      <c r="G29" s="609">
        <f t="shared" si="12"/>
        <v>625</v>
      </c>
      <c r="H29" s="609">
        <f t="shared" si="12"/>
        <v>1250</v>
      </c>
      <c r="I29" s="609">
        <f t="shared" si="12"/>
        <v>625</v>
      </c>
      <c r="J29" s="609">
        <f t="shared" si="12"/>
        <v>625</v>
      </c>
      <c r="K29" s="609">
        <f t="shared" si="12"/>
        <v>625</v>
      </c>
      <c r="L29" s="609">
        <f t="shared" si="12"/>
        <v>1250</v>
      </c>
      <c r="M29" s="609">
        <f t="shared" si="12"/>
        <v>0</v>
      </c>
      <c r="N29" s="609">
        <f t="shared" si="12"/>
        <v>625</v>
      </c>
      <c r="O29" s="609">
        <f t="shared" si="12"/>
        <v>0</v>
      </c>
      <c r="P29" s="609">
        <f t="shared" si="12"/>
        <v>0</v>
      </c>
      <c r="Q29" s="609">
        <f t="shared" si="12"/>
        <v>0</v>
      </c>
      <c r="R29" s="609">
        <f t="shared" si="12"/>
        <v>1250</v>
      </c>
      <c r="S29" s="609">
        <f t="shared" si="12"/>
        <v>0</v>
      </c>
      <c r="T29" s="609">
        <f t="shared" si="12"/>
        <v>0</v>
      </c>
      <c r="U29" s="609">
        <f t="shared" si="12"/>
        <v>0</v>
      </c>
      <c r="V29" s="609">
        <f t="shared" si="12"/>
        <v>0</v>
      </c>
      <c r="W29" s="609">
        <f t="shared" si="12"/>
        <v>0</v>
      </c>
      <c r="X29" s="609">
        <f t="shared" si="12"/>
        <v>0</v>
      </c>
      <c r="Y29" s="609">
        <f t="shared" si="12"/>
        <v>0</v>
      </c>
      <c r="Z29" s="609">
        <f t="shared" si="12"/>
        <v>0</v>
      </c>
      <c r="AA29" s="609">
        <f t="shared" si="12"/>
        <v>0</v>
      </c>
      <c r="AB29" s="609">
        <f t="shared" si="12"/>
        <v>0</v>
      </c>
      <c r="AC29" s="609">
        <f t="shared" si="12"/>
        <v>0</v>
      </c>
      <c r="AD29" s="609">
        <f t="shared" si="12"/>
        <v>0</v>
      </c>
      <c r="AE29" s="609">
        <f t="shared" si="12"/>
        <v>0</v>
      </c>
      <c r="AF29" s="609">
        <f t="shared" si="12"/>
        <v>0</v>
      </c>
      <c r="AG29" s="609">
        <f t="shared" si="12"/>
        <v>0</v>
      </c>
      <c r="AH29" s="609">
        <f t="shared" si="12"/>
        <v>0</v>
      </c>
      <c r="AI29" s="609">
        <f t="shared" si="12"/>
        <v>0</v>
      </c>
      <c r="AJ29" s="609">
        <f t="shared" si="12"/>
        <v>0</v>
      </c>
      <c r="AK29" s="609">
        <f t="shared" si="12"/>
        <v>0</v>
      </c>
      <c r="AL29" s="609">
        <f t="shared" si="12"/>
        <v>0</v>
      </c>
      <c r="AM29" s="609">
        <f t="shared" si="12"/>
        <v>0</v>
      </c>
      <c r="AN29" s="609">
        <f t="shared" si="12"/>
        <v>0</v>
      </c>
      <c r="AP29" s="39"/>
    </row>
    <row r="30" spans="2:42" ht="11.5" customHeight="1" x14ac:dyDescent="0.25">
      <c r="C30" s="21" t="s">
        <v>855</v>
      </c>
      <c r="D30" s="34">
        <f>'1.1 Control Panel'!E971*12</f>
        <v>240</v>
      </c>
      <c r="E30" s="609">
        <f t="shared" ref="E30:AN30" si="13">SLN(E19,0,$D30)</f>
        <v>0</v>
      </c>
      <c r="F30" s="609">
        <f t="shared" si="13"/>
        <v>0</v>
      </c>
      <c r="G30" s="609">
        <f t="shared" si="13"/>
        <v>0</v>
      </c>
      <c r="H30" s="609">
        <f t="shared" si="13"/>
        <v>0</v>
      </c>
      <c r="I30" s="609">
        <f t="shared" si="13"/>
        <v>0</v>
      </c>
      <c r="J30" s="609">
        <f t="shared" si="13"/>
        <v>0</v>
      </c>
      <c r="K30" s="609">
        <f t="shared" si="13"/>
        <v>0</v>
      </c>
      <c r="L30" s="609">
        <f t="shared" si="13"/>
        <v>0</v>
      </c>
      <c r="M30" s="609">
        <f t="shared" si="13"/>
        <v>0</v>
      </c>
      <c r="N30" s="609">
        <f t="shared" si="13"/>
        <v>0</v>
      </c>
      <c r="O30" s="609">
        <f t="shared" si="13"/>
        <v>0</v>
      </c>
      <c r="P30" s="609">
        <f t="shared" si="13"/>
        <v>0</v>
      </c>
      <c r="Q30" s="609">
        <f t="shared" si="13"/>
        <v>0</v>
      </c>
      <c r="R30" s="609">
        <f t="shared" si="13"/>
        <v>0</v>
      </c>
      <c r="S30" s="609">
        <f t="shared" si="13"/>
        <v>0</v>
      </c>
      <c r="T30" s="609">
        <f t="shared" si="13"/>
        <v>0</v>
      </c>
      <c r="U30" s="609">
        <f t="shared" si="13"/>
        <v>0</v>
      </c>
      <c r="V30" s="609">
        <f t="shared" si="13"/>
        <v>0</v>
      </c>
      <c r="W30" s="609">
        <f t="shared" si="13"/>
        <v>0</v>
      </c>
      <c r="X30" s="609">
        <f t="shared" si="13"/>
        <v>0</v>
      </c>
      <c r="Y30" s="609">
        <f t="shared" si="13"/>
        <v>0</v>
      </c>
      <c r="Z30" s="609">
        <f t="shared" si="13"/>
        <v>0</v>
      </c>
      <c r="AA30" s="609">
        <f t="shared" si="13"/>
        <v>0</v>
      </c>
      <c r="AB30" s="609">
        <f t="shared" si="13"/>
        <v>0</v>
      </c>
      <c r="AC30" s="609">
        <f t="shared" si="13"/>
        <v>0</v>
      </c>
      <c r="AD30" s="609">
        <f t="shared" si="13"/>
        <v>0</v>
      </c>
      <c r="AE30" s="609">
        <f t="shared" si="13"/>
        <v>0</v>
      </c>
      <c r="AF30" s="609">
        <f t="shared" si="13"/>
        <v>0</v>
      </c>
      <c r="AG30" s="609">
        <f t="shared" si="13"/>
        <v>0</v>
      </c>
      <c r="AH30" s="609">
        <f t="shared" si="13"/>
        <v>0</v>
      </c>
      <c r="AI30" s="609">
        <f t="shared" si="13"/>
        <v>0</v>
      </c>
      <c r="AJ30" s="609">
        <f t="shared" si="13"/>
        <v>0</v>
      </c>
      <c r="AK30" s="609">
        <f t="shared" si="13"/>
        <v>0</v>
      </c>
      <c r="AL30" s="609">
        <f t="shared" si="13"/>
        <v>0</v>
      </c>
      <c r="AM30" s="609">
        <f t="shared" si="13"/>
        <v>0</v>
      </c>
      <c r="AN30" s="609">
        <f t="shared" si="13"/>
        <v>0</v>
      </c>
      <c r="AP30" s="39"/>
    </row>
    <row r="31" spans="2:42" ht="11.5" customHeight="1" x14ac:dyDescent="0.25">
      <c r="C31" s="21" t="s">
        <v>856</v>
      </c>
      <c r="D31" s="34">
        <f>'1.1 Control Panel'!E972*12</f>
        <v>240</v>
      </c>
      <c r="E31" s="609">
        <f t="shared" ref="E31:AN31" si="14">SLN(E20,0,$D31)</f>
        <v>0</v>
      </c>
      <c r="F31" s="609">
        <f t="shared" si="14"/>
        <v>0</v>
      </c>
      <c r="G31" s="609">
        <f t="shared" si="14"/>
        <v>0</v>
      </c>
      <c r="H31" s="609">
        <f t="shared" si="14"/>
        <v>0</v>
      </c>
      <c r="I31" s="609">
        <f t="shared" si="14"/>
        <v>0</v>
      </c>
      <c r="J31" s="609">
        <f t="shared" si="14"/>
        <v>0</v>
      </c>
      <c r="K31" s="609">
        <f t="shared" si="14"/>
        <v>0</v>
      </c>
      <c r="L31" s="609">
        <f t="shared" si="14"/>
        <v>0</v>
      </c>
      <c r="M31" s="609">
        <f t="shared" si="14"/>
        <v>0</v>
      </c>
      <c r="N31" s="609">
        <f t="shared" si="14"/>
        <v>0</v>
      </c>
      <c r="O31" s="609">
        <f t="shared" si="14"/>
        <v>0</v>
      </c>
      <c r="P31" s="609">
        <f t="shared" si="14"/>
        <v>0</v>
      </c>
      <c r="Q31" s="609">
        <f t="shared" si="14"/>
        <v>0</v>
      </c>
      <c r="R31" s="609">
        <f t="shared" si="14"/>
        <v>0</v>
      </c>
      <c r="S31" s="609">
        <f t="shared" si="14"/>
        <v>0</v>
      </c>
      <c r="T31" s="609">
        <f t="shared" si="14"/>
        <v>0</v>
      </c>
      <c r="U31" s="609">
        <f t="shared" si="14"/>
        <v>0</v>
      </c>
      <c r="V31" s="609">
        <f t="shared" si="14"/>
        <v>0</v>
      </c>
      <c r="W31" s="609">
        <f t="shared" si="14"/>
        <v>0</v>
      </c>
      <c r="X31" s="609">
        <f t="shared" si="14"/>
        <v>0</v>
      </c>
      <c r="Y31" s="609">
        <f t="shared" si="14"/>
        <v>0</v>
      </c>
      <c r="Z31" s="609">
        <f t="shared" si="14"/>
        <v>0</v>
      </c>
      <c r="AA31" s="609">
        <f t="shared" si="14"/>
        <v>0</v>
      </c>
      <c r="AB31" s="609">
        <f t="shared" si="14"/>
        <v>0</v>
      </c>
      <c r="AC31" s="609">
        <f t="shared" si="14"/>
        <v>0</v>
      </c>
      <c r="AD31" s="609">
        <f t="shared" si="14"/>
        <v>0</v>
      </c>
      <c r="AE31" s="609">
        <f t="shared" si="14"/>
        <v>0</v>
      </c>
      <c r="AF31" s="609">
        <f t="shared" si="14"/>
        <v>0</v>
      </c>
      <c r="AG31" s="609">
        <f t="shared" si="14"/>
        <v>0</v>
      </c>
      <c r="AH31" s="609">
        <f t="shared" si="14"/>
        <v>0</v>
      </c>
      <c r="AI31" s="609">
        <f t="shared" si="14"/>
        <v>0</v>
      </c>
      <c r="AJ31" s="609">
        <f t="shared" si="14"/>
        <v>0</v>
      </c>
      <c r="AK31" s="609">
        <f t="shared" si="14"/>
        <v>0</v>
      </c>
      <c r="AL31" s="609">
        <f t="shared" si="14"/>
        <v>0</v>
      </c>
      <c r="AM31" s="609">
        <f t="shared" si="14"/>
        <v>0</v>
      </c>
      <c r="AN31" s="609">
        <f t="shared" si="14"/>
        <v>0</v>
      </c>
      <c r="AP31" s="39"/>
    </row>
    <row r="32" spans="2:42" ht="11.5" customHeight="1" x14ac:dyDescent="0.25">
      <c r="C32" s="21" t="s">
        <v>857</v>
      </c>
      <c r="D32" s="34">
        <f>'1.1 Control Panel'!E973*12</f>
        <v>240</v>
      </c>
      <c r="E32" s="610">
        <f t="shared" ref="E32:AN32" si="15">SLN(E21,0,$D32)</f>
        <v>50</v>
      </c>
      <c r="F32" s="610">
        <f t="shared" si="15"/>
        <v>0</v>
      </c>
      <c r="G32" s="610">
        <f t="shared" si="15"/>
        <v>0</v>
      </c>
      <c r="H32" s="610">
        <f t="shared" si="15"/>
        <v>0</v>
      </c>
      <c r="I32" s="610">
        <f t="shared" si="15"/>
        <v>0</v>
      </c>
      <c r="J32" s="610">
        <f t="shared" si="15"/>
        <v>0</v>
      </c>
      <c r="K32" s="610">
        <f t="shared" si="15"/>
        <v>0</v>
      </c>
      <c r="L32" s="610">
        <f t="shared" si="15"/>
        <v>0</v>
      </c>
      <c r="M32" s="610">
        <f t="shared" si="15"/>
        <v>41.666666666666664</v>
      </c>
      <c r="N32" s="610">
        <f t="shared" si="15"/>
        <v>0</v>
      </c>
      <c r="O32" s="610">
        <f t="shared" si="15"/>
        <v>0</v>
      </c>
      <c r="P32" s="610">
        <f t="shared" si="15"/>
        <v>0</v>
      </c>
      <c r="Q32" s="610">
        <f t="shared" si="15"/>
        <v>175</v>
      </c>
      <c r="R32" s="610">
        <f t="shared" si="15"/>
        <v>0</v>
      </c>
      <c r="S32" s="610">
        <f t="shared" si="15"/>
        <v>0</v>
      </c>
      <c r="T32" s="610">
        <f t="shared" si="15"/>
        <v>0</v>
      </c>
      <c r="U32" s="610">
        <f t="shared" si="15"/>
        <v>83.333333333333329</v>
      </c>
      <c r="V32" s="610">
        <f t="shared" si="15"/>
        <v>0</v>
      </c>
      <c r="W32" s="610">
        <f t="shared" si="15"/>
        <v>0</v>
      </c>
      <c r="X32" s="610">
        <f t="shared" si="15"/>
        <v>0</v>
      </c>
      <c r="Y32" s="610">
        <f t="shared" si="15"/>
        <v>125</v>
      </c>
      <c r="Z32" s="610">
        <f t="shared" si="15"/>
        <v>0</v>
      </c>
      <c r="AA32" s="610">
        <f t="shared" si="15"/>
        <v>0</v>
      </c>
      <c r="AB32" s="610">
        <f t="shared" si="15"/>
        <v>0</v>
      </c>
      <c r="AC32" s="610">
        <f t="shared" si="15"/>
        <v>383.33333333333331</v>
      </c>
      <c r="AD32" s="610">
        <f t="shared" si="15"/>
        <v>0</v>
      </c>
      <c r="AE32" s="610">
        <f t="shared" si="15"/>
        <v>0</v>
      </c>
      <c r="AF32" s="610">
        <f t="shared" si="15"/>
        <v>0</v>
      </c>
      <c r="AG32" s="610">
        <f t="shared" si="15"/>
        <v>416.66666666666669</v>
      </c>
      <c r="AH32" s="610">
        <f t="shared" si="15"/>
        <v>0</v>
      </c>
      <c r="AI32" s="610">
        <f t="shared" si="15"/>
        <v>0</v>
      </c>
      <c r="AJ32" s="610">
        <f t="shared" si="15"/>
        <v>0</v>
      </c>
      <c r="AK32" s="610">
        <f t="shared" si="15"/>
        <v>333.33333333333331</v>
      </c>
      <c r="AL32" s="610">
        <f t="shared" si="15"/>
        <v>0</v>
      </c>
      <c r="AM32" s="610">
        <f t="shared" si="15"/>
        <v>0</v>
      </c>
      <c r="AN32" s="610">
        <f t="shared" si="15"/>
        <v>0</v>
      </c>
      <c r="AP32" s="21"/>
    </row>
    <row r="33" spans="2:42" ht="11.5" customHeight="1" x14ac:dyDescent="0.25">
      <c r="C33" s="21" t="s">
        <v>858</v>
      </c>
      <c r="D33" s="34">
        <f>'1.1 Control Panel'!E974*12</f>
        <v>12</v>
      </c>
      <c r="E33" s="610">
        <f t="shared" ref="E33:AN33" si="16">SLN(E22,0,$D33)</f>
        <v>500</v>
      </c>
      <c r="F33" s="610">
        <f t="shared" si="16"/>
        <v>500</v>
      </c>
      <c r="G33" s="610">
        <f t="shared" si="16"/>
        <v>500</v>
      </c>
      <c r="H33" s="610">
        <f t="shared" si="16"/>
        <v>500</v>
      </c>
      <c r="I33" s="610">
        <f t="shared" si="16"/>
        <v>500</v>
      </c>
      <c r="J33" s="610">
        <f t="shared" si="16"/>
        <v>500</v>
      </c>
      <c r="K33" s="610">
        <f t="shared" si="16"/>
        <v>500</v>
      </c>
      <c r="L33" s="610">
        <f t="shared" si="16"/>
        <v>500</v>
      </c>
      <c r="M33" s="610">
        <f t="shared" si="16"/>
        <v>916.66666666666663</v>
      </c>
      <c r="N33" s="610">
        <f t="shared" si="16"/>
        <v>916.66666666666663</v>
      </c>
      <c r="O33" s="610">
        <f t="shared" si="16"/>
        <v>916.66666666666663</v>
      </c>
      <c r="P33" s="610">
        <f t="shared" si="16"/>
        <v>916.66666666666663</v>
      </c>
      <c r="Q33" s="610">
        <f t="shared" si="16"/>
        <v>2166.6666666666665</v>
      </c>
      <c r="R33" s="610">
        <f t="shared" si="16"/>
        <v>2166.6666666666665</v>
      </c>
      <c r="S33" s="610">
        <f t="shared" si="16"/>
        <v>2166.6666666666665</v>
      </c>
      <c r="T33" s="610">
        <f t="shared" si="16"/>
        <v>2166.6666666666665</v>
      </c>
      <c r="U33" s="610">
        <f t="shared" si="16"/>
        <v>3000</v>
      </c>
      <c r="V33" s="610">
        <f t="shared" si="16"/>
        <v>3000</v>
      </c>
      <c r="W33" s="610">
        <f t="shared" si="16"/>
        <v>3000</v>
      </c>
      <c r="X33" s="610">
        <f t="shared" si="16"/>
        <v>3000</v>
      </c>
      <c r="Y33" s="610">
        <f t="shared" si="16"/>
        <v>3833.3333333333335</v>
      </c>
      <c r="Z33" s="610">
        <f t="shared" si="16"/>
        <v>3833.3333333333335</v>
      </c>
      <c r="AA33" s="610">
        <f t="shared" si="16"/>
        <v>3833.3333333333335</v>
      </c>
      <c r="AB33" s="610">
        <f t="shared" si="16"/>
        <v>3833.3333333333335</v>
      </c>
      <c r="AC33" s="610">
        <f t="shared" si="16"/>
        <v>5916.666666666667</v>
      </c>
      <c r="AD33" s="610">
        <f t="shared" si="16"/>
        <v>5916.666666666667</v>
      </c>
      <c r="AE33" s="610">
        <f t="shared" si="16"/>
        <v>5916.666666666667</v>
      </c>
      <c r="AF33" s="610">
        <f t="shared" si="16"/>
        <v>5916.666666666667</v>
      </c>
      <c r="AG33" s="610">
        <f t="shared" si="16"/>
        <v>9250</v>
      </c>
      <c r="AH33" s="610">
        <f t="shared" si="16"/>
        <v>9250</v>
      </c>
      <c r="AI33" s="610">
        <f t="shared" si="16"/>
        <v>9250</v>
      </c>
      <c r="AJ33" s="610">
        <f t="shared" si="16"/>
        <v>9250</v>
      </c>
      <c r="AK33" s="610">
        <f t="shared" si="16"/>
        <v>11333.333333333334</v>
      </c>
      <c r="AL33" s="610">
        <f t="shared" si="16"/>
        <v>11333.333333333334</v>
      </c>
      <c r="AM33" s="610">
        <f t="shared" si="16"/>
        <v>11333.333333333334</v>
      </c>
      <c r="AN33" s="610">
        <f t="shared" si="16"/>
        <v>11333.333333333334</v>
      </c>
      <c r="AP33" s="21"/>
    </row>
    <row r="34" spans="2:42" ht="11.5" customHeight="1" x14ac:dyDescent="0.25">
      <c r="C34" s="22" t="s">
        <v>849</v>
      </c>
      <c r="D34" s="236">
        <f>'1.1 Control Panel'!E975*12</f>
        <v>240</v>
      </c>
      <c r="E34" s="611">
        <f t="shared" ref="E34:AN34" si="17">SLN(E23,0,$D34)</f>
        <v>96.92900525450986</v>
      </c>
      <c r="F34" s="611">
        <f t="shared" ca="1" si="17"/>
        <v>62.374559937499995</v>
      </c>
      <c r="G34" s="611">
        <f t="shared" ca="1" si="17"/>
        <v>75.695575812499996</v>
      </c>
      <c r="H34" s="611">
        <f t="shared" ca="1" si="17"/>
        <v>85.969094416666664</v>
      </c>
      <c r="I34" s="611">
        <f t="shared" ca="1" si="17"/>
        <v>133.0253648541667</v>
      </c>
      <c r="J34" s="611">
        <f t="shared" ca="1" si="17"/>
        <v>201.46357095833335</v>
      </c>
      <c r="K34" s="611">
        <f t="shared" ca="1" si="17"/>
        <v>228.68930657500005</v>
      </c>
      <c r="L34" s="611">
        <f t="shared" ca="1" si="17"/>
        <v>271.87229288500004</v>
      </c>
      <c r="M34" s="611">
        <f t="shared" ca="1" si="17"/>
        <v>360.76618361763246</v>
      </c>
      <c r="N34" s="611">
        <f t="shared" ca="1" si="17"/>
        <v>405.31878915890007</v>
      </c>
      <c r="O34" s="611">
        <f t="shared" ca="1" si="17"/>
        <v>480.12714329224673</v>
      </c>
      <c r="P34" s="611">
        <f t="shared" ca="1" si="17"/>
        <v>557.15188811173209</v>
      </c>
      <c r="Q34" s="611">
        <f t="shared" ca="1" si="17"/>
        <v>812.46104067270824</v>
      </c>
      <c r="R34" s="611">
        <f t="shared" ca="1" si="17"/>
        <v>825.28848974879895</v>
      </c>
      <c r="S34" s="611">
        <f t="shared" ca="1" si="17"/>
        <v>902.54211802508075</v>
      </c>
      <c r="T34" s="611">
        <f t="shared" ca="1" si="17"/>
        <v>975.34339808777293</v>
      </c>
      <c r="U34" s="611">
        <f t="shared" ca="1" si="17"/>
        <v>1249.6405091888018</v>
      </c>
      <c r="V34" s="611">
        <f t="shared" ca="1" si="17"/>
        <v>1269.7733191643797</v>
      </c>
      <c r="W34" s="611">
        <f t="shared" ca="1" si="17"/>
        <v>1380.6964476752541</v>
      </c>
      <c r="X34" s="611">
        <f t="shared" ca="1" si="17"/>
        <v>1472.9599438422867</v>
      </c>
      <c r="Y34" s="611">
        <f t="shared" ca="1" si="17"/>
        <v>1621.7436511748599</v>
      </c>
      <c r="Z34" s="611">
        <f t="shared" ca="1" si="17"/>
        <v>1715.6193360855179</v>
      </c>
      <c r="AA34" s="611">
        <f t="shared" ca="1" si="17"/>
        <v>1830.7342057548728</v>
      </c>
      <c r="AB34" s="611">
        <f t="shared" ca="1" si="17"/>
        <v>1937.3557631705648</v>
      </c>
      <c r="AC34" s="611">
        <f t="shared" ca="1" si="17"/>
        <v>2588.5748793191756</v>
      </c>
      <c r="AD34" s="611">
        <f t="shared" ca="1" si="17"/>
        <v>2524.5318613869008</v>
      </c>
      <c r="AE34" s="611">
        <f t="shared" ca="1" si="17"/>
        <v>2644.9557631353023</v>
      </c>
      <c r="AF34" s="611">
        <f t="shared" ca="1" si="17"/>
        <v>2746.6579569134497</v>
      </c>
      <c r="AG34" s="611">
        <f t="shared" ca="1" si="17"/>
        <v>3379.7125783329616</v>
      </c>
      <c r="AH34" s="611">
        <f t="shared" ca="1" si="17"/>
        <v>3381.0112309343053</v>
      </c>
      <c r="AI34" s="611">
        <f t="shared" ca="1" si="17"/>
        <v>3662.8576710518714</v>
      </c>
      <c r="AJ34" s="611">
        <f t="shared" ca="1" si="17"/>
        <v>3905.2983073097266</v>
      </c>
      <c r="AK34" s="611">
        <f t="shared" ca="1" si="17"/>
        <v>4532.0346688213822</v>
      </c>
      <c r="AL34" s="611">
        <f t="shared" ca="1" si="17"/>
        <v>4673.4719482249839</v>
      </c>
      <c r="AM34" s="611">
        <f t="shared" ca="1" si="17"/>
        <v>5038.4174942234786</v>
      </c>
      <c r="AN34" s="611">
        <f t="shared" ca="1" si="17"/>
        <v>5355.9654417459697</v>
      </c>
      <c r="AP34" s="26"/>
    </row>
    <row r="35" spans="2:42" ht="11.5" customHeight="1" x14ac:dyDescent="0.25">
      <c r="B35" s="33" t="s">
        <v>10</v>
      </c>
      <c r="C35" s="604" t="s">
        <v>25</v>
      </c>
      <c r="D35" s="42" t="s">
        <v>46</v>
      </c>
      <c r="E35" s="42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2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2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P35" s="43"/>
    </row>
    <row r="36" spans="2:42" ht="11.5" customHeight="1" x14ac:dyDescent="0.25">
      <c r="C36" s="28" t="s">
        <v>850</v>
      </c>
      <c r="D36" s="34" t="s">
        <v>46</v>
      </c>
      <c r="E36" s="618">
        <f>IF(E$46&lt;=$D25,$E25,0)*'1.1 Control Panel'!$E$965</f>
        <v>3.125</v>
      </c>
      <c r="F36" s="618">
        <f t="shared" ref="F36:F45" si="18">IF(F$46&lt;=$D25,$E25,0)+IF(F$47&lt;=$D25,$F25,0)*DA</f>
        <v>6.25</v>
      </c>
      <c r="G36" s="618">
        <f t="shared" ref="G36:G45" si="19">IF(G$46&lt;=$D25,$E25,0)+IF(G$47&lt;=$D25,$F25,0)+IF(G$48&lt;=$D25,$G25,0)*DA</f>
        <v>6.25</v>
      </c>
      <c r="H36" s="618">
        <f t="shared" ref="H36:H45" si="20">IF(H$46&lt;=$D25,$E25,0)+IF(H$47&lt;=$D25,$F25,0)+IF(H$48&lt;=$D25,$G25,0)+IF(H$49&lt;=$D25,$H25,0)*DA</f>
        <v>6.25</v>
      </c>
      <c r="I36" s="618">
        <f t="shared" ref="I36:I45" si="21">IF(I$46&lt;=$D25,$E25,0)+IF(I$47&lt;=$D25,$F25,0)+IF(I$48&lt;=$D25,$G25,0)+IF(I$49&lt;=$D25,$H25,0)+IF(I$50&lt;=$D25,$I25,0)*DA</f>
        <v>6.25</v>
      </c>
      <c r="J36" s="618">
        <f t="shared" ref="J36:J45" si="22">IF(J$46&lt;=$D25,$E25,0)+IF(J$47&lt;=$D25,$F25,0)+IF(J$48&lt;=$D25,$G25,0)+IF(J$49&lt;=$D25,$H25,0)+IF(J$50&lt;=$D25,$I25,0)+IF(J$51&lt;=$D25,$J25,0)*DA</f>
        <v>6.25</v>
      </c>
      <c r="K36" s="618">
        <f t="shared" ref="K36:K45" si="23">IF(K$46&lt;=$D25,$E25,0)+IF(K$47&lt;=$D25,$F25,0)+IF(K$48&lt;=$D25,$G25,0)+IF(K$49&lt;=$D25,$H25,0)+IF(K$50&lt;=$D25,$I25,0)+IF(K$51&lt;=$D25,$J25,0)+IF(K$52&lt;=$D25,$K25,0)*DA</f>
        <v>6.25</v>
      </c>
      <c r="L36" s="618">
        <f t="shared" ref="L36:L45" si="24">IF(L$46&lt;=$D25,$E25,0)+IF(L$47&lt;=$D25,$F25,0)+IF(L$48&lt;=$D25,$G25,0)+IF(L$49&lt;=$D25,$H25,0)+IF(L$50&lt;=$D25,$I25,0)+IF(L$51&lt;=$D25,$J25,0)+IF(L$52&lt;=$D25,$K25,0)+IF(L$53&lt;=$D25,$L25,0)*DA</f>
        <v>6.25</v>
      </c>
      <c r="M36" s="618">
        <f t="shared" ref="M36:M45" si="25">IF(M$46&lt;=$D25,$E25,0)+IF(M$47&lt;=$D25,$F25,0)+IF(M$48&lt;=$D25,$G25,0)+IF(M$49&lt;=$D25,$H25,0)+IF(M$50&lt;=$D25,$I25,0)+IF(M$51&lt;=$D25,$J25,0)+IF(M$52&lt;=$D25,$K25,0)+IF(M$53&lt;=$D25,$L25,0)+IF(M$54&lt;=$D25,$M25,0)*DA</f>
        <v>6.25</v>
      </c>
      <c r="N36" s="618">
        <f t="shared" ref="N36:N45" si="26">IF(N$46&lt;=$D25,$E25,0)+IF(N$47&lt;=$D25,$F25,0)+IF(N$48&lt;=$D25,$G25,0)+IF(N$49&lt;=$D25,$H25,0)+IF(N$50&lt;=$D25,$I25,0)+IF(N$51&lt;=$D25,$J25,0)+IF(N$52&lt;=$D25,$K25,0)+IF(N$53&lt;=$D25,$L25,0)+IF(N$54&lt;=$D25,$M25,0)+IF(N$55&lt;=$D25,$N25,0)*DA</f>
        <v>6.25</v>
      </c>
      <c r="O36" s="618">
        <f t="shared" ref="O36:O45" si="27">IF(O$46&lt;=$D25,$E25,0)+IF(O$47&lt;=$D25,$F25,0)+IF(O$48&lt;=$D25,$G25,0)+IF(O$49&lt;=$D25,$H25,0)+IF(O$50&lt;=$D25,$I25,0)+IF(O$51&lt;=$D25,$J25,0)+IF(O$52&lt;=$D25,$K25,0)+IF(O$53&lt;=$D25,$L25,0)+IF(O$54&lt;=$D25,$M25,0)+IF(O$55&lt;=$D25,$N25,0)+IF(O$56&lt;=$D25,$O25,0)*DA</f>
        <v>6.25</v>
      </c>
      <c r="P36" s="618">
        <f t="shared" ref="P36:P45" si="28">IF(P$46&lt;=$D25,$E25,0)+IF(P$47&lt;=$D25,$F25,0)+IF(P$48&lt;=$D25,$G25,0)+IF(P$49&lt;=$D25,$H25,0)+IF(P$50&lt;=$D25,$I25,0)+IF(P$51&lt;=$D25,$J25,0)+IF(P$52&lt;=$D25,$K25,0)+IF(P$53&lt;=$D25,$L25,0)+IF(P$54&lt;=$D25,$M25,0)+IF(P$55&lt;=$D25,$N25,0)+IF(P$56&lt;=$D25,$O25,0)+IF(P$57&lt;=$D25,$P25,0)*DA</f>
        <v>6.25</v>
      </c>
      <c r="Q36" s="618">
        <f t="shared" ref="Q36:Q45" si="29">IF(Q$46&lt;=$D25,$E25,0)+IF(Q$47&lt;=$D25,$F25,0)+IF(Q$48&lt;=$D25,$G25,0)+IF(Q$49&lt;=$D25,$H25,0)+IF(Q$50&lt;=$D25,$I25,0)+IF(Q$51&lt;=$D25,$J25,0)+IF(Q$52&lt;=$D25,$K25,0)+IF(Q$53&lt;=$D25,$L25,0)+IF(Q$54&lt;=$D25,$M25,0)+IF(Q$55&lt;=$D25,$N25,0)+IF(Q$56&lt;=$D25,$O25,0)+IF(Q$57&lt;=$D25,$P25,0)++IF(Q$58&lt;=$D25,$Q25,0)*DA</f>
        <v>6.25</v>
      </c>
      <c r="R36" s="618">
        <f t="shared" ref="R36:R45" si="30">IF(R$46&lt;=$D25,$E25,0)+IF(R$47&lt;=$D25,$F25,0)+IF(R$48&lt;=$D25,$G25,0)+IF(R$49&lt;=$D25,$H25,0)+IF(R$50&lt;=$D25,$I25,0)+IF(R$51&lt;=$D25,$J25,0)+IF(R$52&lt;=$D25,$K25,0)+IF(R$53&lt;=$D25,$L25,0)+IF(R$54&lt;=$D25,$M25,0)+IF(R$55&lt;=$D25,$N25,0)+IF(R$56&lt;=$D25,$O25,0)+IF(R$57&lt;=$D25,$P25,0)++IF(R$58&lt;=$D25,$Q25,0)+IF(R$59&lt;=$D25,$R25,0)*DA</f>
        <v>6.25</v>
      </c>
      <c r="S36" s="618">
        <f t="shared" ref="S36:S45" si="31">IF(S$46&lt;=$D25,$E25,0)+IF(S$47&lt;=$D25,$F25,0)+IF(S$48&lt;=$D25,$G25,0)+IF(S$49&lt;=$D25,$H25,0)+IF(S$50&lt;=$D25,$I25,0)+IF(S$51&lt;=$D25,$J25,0)+IF(S$52&lt;=$D25,$K25,0)+IF(S$53&lt;=$D25,$L25,0)+IF(S$54&lt;=$D25,$M25,0)+IF(S$55&lt;=$D25,$N25,0)+IF(S$56&lt;=$D25,$O25,0)+IF(S$57&lt;=$D25,$P25,0)++IF(S$58&lt;=$D25,$Q25,0)+IF(S$59&lt;=$D25,$R25,0)+IF(S$60&lt;=$D25,$S25,0)*DA</f>
        <v>6.25</v>
      </c>
      <c r="T36" s="618">
        <f t="shared" ref="T36:T45" si="32">IF(T$46&lt;=$D25,$E25,0)+IF(T$47&lt;=$D25,$F25,0)+IF(T$48&lt;=$D25,$G25,0)+IF(T$49&lt;=$D25,$H25,0)+IF(T$50&lt;=$D25,$I25,0)+IF(T$51&lt;=$D25,$J25,0)+IF(T$52&lt;=$D25,$K25,0)+IF(T$53&lt;=$D25,$L25,0)+IF(T$54&lt;=$D25,$M25,0)+IF(T$55&lt;=$D25,$N25,0)+IF(T$56&lt;=$D25,$O25,0)+IF(T$57&lt;=$D25,$P25,0)++IF(T$58&lt;=$D25,$Q25,0)+IF(T$59&lt;=$D25,$R25,0)+IF(T$60&lt;=$D25,$S25,0)+IF(T$61&lt;=$D25,$T25,0)*DA</f>
        <v>6.25</v>
      </c>
      <c r="U36" s="618">
        <f t="shared" ref="U36:U45" si="33">IF(U$46&lt;=$D25,$E25,0)+IF(U$47&lt;=$D25,$F25,0)+IF(U$48&lt;=$D25,$G25,0)+IF(U$49&lt;=$D25,$H25,0)+IF(U$50&lt;=$D25,$I25,0)+IF(U$51&lt;=$D25,$J25,0)+IF(U$52&lt;=$D25,$K25,0)+IF(U$53&lt;=$D25,$L25,0)+IF(U$54&lt;=$D25,$M25,0)+IF(U$55&lt;=$D25,$N25,0)+IF(U$56&lt;=$D25,$O25,0)+IF(U$57&lt;=$D25,$P25,0)++IF(U$58&lt;=$D25,$Q25,0)+IF(U$59&lt;=$D25,$R25,0)+IF(U$60&lt;=$D25,$S25,0)+IF(U$61&lt;=$D25,$T25,0)+IF(U$62&lt;=$D25,$U25,0)*DA</f>
        <v>6.25</v>
      </c>
      <c r="V36" s="618">
        <f t="shared" ref="V36:V45" si="34">IF(V$46&lt;=$D25,$E25,0)+IF(V$47&lt;=$D25,$F25,0)+IF(V$48&lt;=$D25,$G25,0)+IF(V$49&lt;=$D25,$H25,0)+IF(V$50&lt;=$D25,$I25,0)+IF(V$51&lt;=$D25,$J25,0)+IF(V$52&lt;=$D25,$K25,0)+IF(V$53&lt;=$D25,$L25,0)+IF(V$54&lt;=$D25,$M25,0)+IF(V$55&lt;=$D25,$N25,0)+IF(V$56&lt;=$D25,$O25,0)+IF(V$57&lt;=$D25,$P25,0)++IF(V$58&lt;=$D25,$Q25,0)+IF(V$59&lt;=$D25,$R25,0)+IF(V$60&lt;=$D25,$S25,0)+IF(V$61&lt;=$D25,$T25,0)+IF(V$62&lt;=$D25,$U25,0)+IF(V$63&lt;=$D25,$V25,0)*DA</f>
        <v>6.25</v>
      </c>
      <c r="W36" s="618">
        <f t="shared" ref="W36:W45" si="35">IF(W$46&lt;=$D25,$E25,0)+IF(W$47&lt;=$D25,$F25,0)+IF(W$48&lt;=$D25,$G25,0)+IF(W$49&lt;=$D25,$H25,0)+IF(W$50&lt;=$D25,$I25,0)+IF(W$51&lt;=$D25,$J25,0)+IF(W$52&lt;=$D25,$K25,0)+IF(W$53&lt;=$D25,$L25,0)+IF(W$54&lt;=$D25,$M25,0)+IF(W$55&lt;=$D25,$N25,0)+IF(W$56&lt;=$D25,$O25,0)+IF(W$57&lt;=$D25,$P25,0)+IF(W$58&lt;=$D25,$Q25,0)+IF(W$59&lt;=$D25,$R25,0)+IF(W$60&lt;=$D25,$S25,0)+IF(W$61&lt;=$D25,$T25,0)+IF(W$62&lt;=$D25,$U25,0)+IF(W$63&lt;=$D25,$V25,0)+IF(W$64&lt;=$D25,$W25,0)*DA</f>
        <v>6.25</v>
      </c>
      <c r="X36" s="618">
        <f t="shared" ref="X36:X45" si="36">IF(X$46&lt;=$D25,$E25,0)+IF(X$47&lt;=$D25,$F25,0)+IF(X$48&lt;=$D25,$G25,0)+IF(X$49&lt;=$D25,$H25,0)+IF(X$50&lt;=$D25,$I25,0)+IF(X$51&lt;=$D25,$J25,0)+IF(X$52&lt;=$D25,$K25,0)+IF(X$53&lt;=$D25,$L25,0)+IF(X$54&lt;=$D25,$M25,0)+IF(X$55&lt;=$D25,$N25,0)+IF(X$56&lt;=$D25,$O25,0)+IF(X$57&lt;=$D25,$P25,0)+IF(X$58&lt;=$D25,$Q25,0)+IF(X$59&lt;=$D25,$R25,0)+IF(X$60&lt;=$D25,$S25,0)+IF(X$61&lt;=$D25,$T25,0)+IF(X$62&lt;=$D25,$U25,0)+IF(X$63&lt;=$D25,$V25,0)+IF(X$64&lt;=$D25,$W25,0)+IF(X$65&lt;=$D25,$X25,0)*DA</f>
        <v>6.25</v>
      </c>
      <c r="Y36" s="618">
        <f t="shared" ref="Y36:Y45" si="37">IF(Y$46&lt;=$D25,$E25,0)+IF(Y$47&lt;=$D25,$F25,0)+IF(Y$48&lt;=$D25,$G25,0)+IF(Y$49&lt;=$D25,$H25,0)+IF(Y$50&lt;=$D25,$I25,0)+IF(Y$51&lt;=$D25,$J25,0)+IF(Y$52&lt;=$D25,$K25,0)+IF(Y$53&lt;=$D25,$L25,0)+IF(Y$54&lt;=$D25,$M25,0)+IF(Y$55&lt;=$D25,$N25,0)+IF(Y$56&lt;=$D25,$O25,0)+IF(Y$57&lt;=$D25,$P25,0)+IF(Y$58&lt;=$D25,$Q25,0)+IF(Y$59&lt;=$D25,$R25,0)+IF(Y$60&lt;=$D25,$S25,0)+IF(Y$61&lt;=$D25,$T25,0)+IF(Y$62&lt;=$D25,$U25,0)+IF(Y$63&lt;=$D25,$V25,0)+IF(Y$64&lt;=$D25,$W25,0)+IF(Y$65&lt;=$D25,$X25,0)+IF(Y$66&lt;=$D25,$Y25,0)*DA</f>
        <v>6.25</v>
      </c>
      <c r="Z36" s="618">
        <f t="shared" ref="Z36:Z45" si="38">IF(Z$46&lt;=$D25,$E25,0)+IF(Z$47&lt;=$D25,$F25,0)+IF(Z$48&lt;=$D25,$G25,0)+IF(Z$49&lt;=$D25,$H25,0)+IF(Z$50&lt;=$D25,$I25,0)+IF(Z$51&lt;=$D25,$J25,0)+IF(Z$52&lt;=$D25,$K25,0)+IF(Z$53&lt;=$D25,$L25,0)+IF(Z$54&lt;=$D25,$M25,0)+IF(Z$55&lt;=$D25,$N25,0)+IF(Z$56&lt;=$D25,$O25,0)+IF(Z$57&lt;=$D25,$P25,0)+IF(Z$58&lt;=$D25,$Q25,0)+IF(Z$59&lt;=$D25,$R25,0)+IF(Z$60&lt;=$D25,$S25,0)+IF(Z$61&lt;=$D25,$T25,0)+IF(Z$62&lt;=$D25,$U25,0)+IF(Z$63&lt;=$D25,$V25,0)+IF(Z$64&lt;=$D25,$W25,0)+IF(Z$65&lt;=$D25,$X25,0)+IF(Z$66&lt;=$D25,$Y25,0)+IF(Z$67&lt;=$D25,$Z25,0)*DA</f>
        <v>6.25</v>
      </c>
      <c r="AA36" s="618">
        <f t="shared" ref="AA36:AA45" si="39">IF(AA$46&lt;=$D25,$E25,0)+IF(AA$47&lt;=$D25,$F25,0)+IF(AA$48&lt;=$D25,$G25,0)+IF(AA$49&lt;=$D25,$H25,0)+IF(AA$50&lt;=$D25,$I25,0)+IF(AA$51&lt;=$D25,$J25,0)+IF(AA$52&lt;=$D25,$K25,0)+IF(AA$53&lt;=$D25,$L25,0)+IF(AA$54&lt;=$D25,$M25,0)+IF(AA$55&lt;=$D25,$N25,0)+IF(AA$56&lt;=$D25,$O25,0)+IF(AA$57&lt;=$D25,$P25,0)+IF(AA$58&lt;=$D25,$Q25,0)+IF(AA$59&lt;=$D25,$R25,0)+IF(AA$60&lt;=$D25,$S25,0)+IF(AA$61&lt;=$D25,$T25,0)+IF(AA$62&lt;=$D25,$U25,0)+IF(AA$63&lt;=$D25,$V25,0)+IF(AA$64&lt;=$D25,$W25,0)+IF(AA$65&lt;=$D25,$X25,0)+IF(AA$66&lt;=$D25,$Y25,0)+IF(AA$67&lt;=$D25,$Z25,0)+IF(AA$68&lt;=$D25,$AA25,0)*DA</f>
        <v>6.25</v>
      </c>
      <c r="AB36" s="618">
        <f t="shared" ref="AB36:AB45" si="40">IF(AB$46&lt;=$D25,$E25,0)+IF(AB$47&lt;=$D25,$F25,0)+IF(AB$48&lt;=$D25,$G25,0)+IF(AB$49&lt;=$D25,$H25,0)+IF(AB$50&lt;=$D25,$I25,0)+IF(AB$51&lt;=$D25,$J25,0)+IF(AB$52&lt;=$D25,$K25,0)+IF(AB$53&lt;=$D25,$L25,0)+IF(AB$54&lt;=$D25,$M25,0)+IF(AB$55&lt;=$D25,$N25,0)+IF(AB$56&lt;=$D25,$O25,0)+IF(AB$57&lt;=$D25,$P25,0)+IF(AB$58&lt;=$D25,$Q25,0)+IF(AB$59&lt;=$D25,$R25,0)+IF(AB$60&lt;=$D25,$S25,0)+IF(AB$61&lt;=$D25,$T25,0)+IF(AB$62&lt;=$D25,$U25,0)+IF(AB$63&lt;=$D25,$V25,0)+IF(AB$64&lt;=$D25,$W25,0)+IF(AB$65&lt;=$D25,$X25,0)+IF(AB$66&lt;=$D25,$Y25,0)+IF(AB$67&lt;=$D25,$Z25,0)+IF(AB$68&lt;=$D25,$AA25,0)+IF(AB$69&lt;=$D25,$AB25,0)*DA</f>
        <v>6.25</v>
      </c>
      <c r="AC36" s="618">
        <f t="shared" ref="AC36:AC45" si="41">IF(AC$46&lt;=$D25,$E25,0)+IF(AC$47&lt;=$D25,$F25,0)+IF(AC$48&lt;=$D25,$G25,0)+IF(AC$49&lt;=$D25,$H25,0)+IF(AC$50&lt;=$D25,$I25,0)+IF(AC$51&lt;=$D25,$J25,0)+IF(AC$52&lt;=$D25,$K25,0)+IF(AC$53&lt;=$D25,$L25,0)+IF(AC$54&lt;=$D25,$M25,0)+IF(AC$55&lt;=$D25,$N25,0)+IF(AC$56&lt;=$D25,$O25,0)+IF(AC$57&lt;=$D25,$P25,0)+IF(AC$58&lt;=$D25,$Q25,0)+IF(AC$59&lt;=$D25,$R25,0)+IF(AC$60&lt;=$D25,$S25,0)+IF(AC$61&lt;=$D25,$T25,0)+IF(AC$62&lt;=$D25,$U25,0)+IF(AC$63&lt;=$D25,$V25,0)+IF(AC$64&lt;=$D25,$W25,0)+IF(AC$65&lt;=$D25,$X25,0)+IF(AC$66&lt;=$D25,$Y25,0)+IF(AC$67&lt;=$D25,$Z25,0)+IF(AC$68&lt;=$D25,$AA25,0)+IF(AC$69&lt;=$D25,$AB25,0)+IF(AC$70&lt;=$D25,$AC25,0)*DA</f>
        <v>6.25</v>
      </c>
      <c r="AD36" s="618">
        <f t="shared" ref="AD36:AD45" si="42">IF(AD$46&lt;=$D25,$E25,0)+IF(AD$47&lt;=$D25,$F25,0)+IF(AD$48&lt;=$D25,$G25,0)+IF(AD$49&lt;=$D25,$H25,0)+IF(AD$50&lt;=$D25,$I25,0)+IF(AD$51&lt;=$D25,$J25,0)+IF(AD$52&lt;=$D25,$K25,0)+IF(AD$53&lt;=$D25,$L25,0)+IF(AD$54&lt;=$D25,$M25,0)+IF(AD$55&lt;=$D25,$N25,0)+IF(AD$56&lt;=$D25,$O25,0)+IF(AD$57&lt;=$D25,$P25,0)+IF(AD$58&lt;=$D25,$Q25,0)+IF(AD$59&lt;=$D25,$R25,0)+IF(AD$60&lt;=$D25,$S25,0)+IF(AD$61&lt;=$D25,$T25,0)+IF(AD$62&lt;=$D25,$U25,0)+IF(AD$63&lt;=$D25,$V25,0)+IF(AD$64&lt;=$D25,$W25,0)+IF(AD$65&lt;=$D25,$X25,0)+IF(AD$66&lt;=$D25,$Y25,0)+IF(AD$67&lt;=$D25,$Z25,0)+IF(AD$68&lt;=$D25,$AA25,0)+IF(AD$69&lt;=$D25,$AB25,0)+IF(AD$70&lt;=$D25,$AC25,0)+IF(AD$71&lt;=$D25,$AD25,0)*DA</f>
        <v>6.25</v>
      </c>
      <c r="AE36" s="618">
        <f t="shared" ref="AE36:AE45" si="43">IF(AE$46&lt;=$D25,$E25,0)+IF(AE$47&lt;=$D25,$F25,0)+IF(AE$48&lt;=$D25,$G25,0)+IF(AE$49&lt;=$D25,$H25,0)+IF(AE$50&lt;=$D25,$I25,0)+IF(AE$51&lt;=$D25,$J25,0)+IF(AE$52&lt;=$D25,$K25,0)+IF(AE$53&lt;=$D25,$L25,0)+IF(AE$54&lt;=$D25,$M25,0)+IF(AE$55&lt;=$D25,$N25,0)+IF(AE$56&lt;=$D25,$O25,0)+IF(AE$57&lt;=$D25,$P25,0)+IF(AE$58&lt;=$D25,$Q25,0)+IF(AE$59&lt;=$D25,$R25,0)+IF(AE$60&lt;=$D25,$S25,0)+IF(AE$61&lt;=$D25,$T25,0)+IF(AE$62&lt;=$D25,$U25,0)+IF(AE$63&lt;=$D25,$V25,0)+IF(AE$64&lt;=$D25,$W25,0)+IF(AE$65&lt;=$D25,$X25,0)+IF(AE$66&lt;=$D25,$Y25,0)+IF(AE$67&lt;=$D25,$Z25,0)+IF(AE$68&lt;=$D25,$AA25,0)+IF(AE$69&lt;=$D25,$AB25,0)+IF(AE$70&lt;=$D25,$AC25,0)+IF(AE$71&lt;=$D25,$AD25,0)+IF(AE$72&lt;=$D25,$AD25,0)*DA</f>
        <v>6.25</v>
      </c>
      <c r="AF36" s="618">
        <f t="shared" ref="AF36:AF45" si="44">IF(AF$46&lt;=$D25,$E25,0)+IF(AF$47&lt;=$D25,$F25,0)+IF(AF$48&lt;=$D25,$G25,0)+IF(AF$49&lt;=$D25,$H25,0)+IF(AF$50&lt;=$D25,$I25,0)+IF(AF$51&lt;=$D25,$J25,0)+IF(AF$52&lt;=$D25,$K25,0)+IF(AF$53&lt;=$D25,$L25,0)+IF(AF$54&lt;=$D25,$M25,0)+IF(AF$55&lt;=$D25,$N25,0)+IF(AF$56&lt;=$D25,$O25,0)+IF(AF$57&lt;=$D25,$P25,0)+IF(AF$58&lt;=$D25,$Q25,0)+IF(AF$59&lt;=$D25,$R25,0)+IF(AF$60&lt;=$D25,$S25,0)+IF(AF$61&lt;=$D25,$T25,0)+IF(AF$62&lt;=$D25,$U25,0)+IF(AF$63&lt;=$D25,$V25,0)+IF(AF$64&lt;=$D25,$W25,0)+IF(AF$65&lt;=$D25,$X25,0)+IF(AF$66&lt;=$D25,$Y25,0)+IF(AF$67&lt;=$D25,$Z25,0)+IF(AF$68&lt;=$D25,$AA25,0)+IF(AF$69&lt;=$D25,$AB25,0)+IF(AF$70&lt;=$D25,$AC25,0)+IF(AF$71&lt;=$D25,$AD25,0)+IF(AF$72&lt;=$D25,$AE25,0)+IF(AF$73&lt;=$D25,$AF25,0)*DA</f>
        <v>6.25</v>
      </c>
      <c r="AG36" s="618">
        <f t="shared" ref="AG36:AG45" si="45">IF(AG$46&lt;=$D25,$E25,0)+IF(AG$47&lt;=$D25,$F25,0)+IF(AG$48&lt;=$D25,$G25,0)+IF(AG$49&lt;=$D25,$H25,0)+IF(AG$50&lt;=$D25,$I25,0)+IF(AG$51&lt;=$D25,$J25,0)+IF(AG$52&lt;=$D25,$K25,0)+IF(AG$53&lt;=$D25,$L25,0)+IF(AG$54&lt;=$D25,$M25,0)+IF(AG$55&lt;=$D25,$N25,0)+IF(AG$56&lt;=$D25,$O25,0)+IF(AG$57&lt;=$D25,$P25,0)+IF(AG$58&lt;=$D25,$Q25,0)+IF(AG$59&lt;=$D25,$R25,0)+IF(AG$60&lt;=$D25,$S25,0)+IF(AG$61&lt;=$D25,$T25,0)+IF(AG$62&lt;=$D25,$U25,0)+IF(AG$63&lt;=$D25,$V25,0)+IF(AG$64&lt;=$D25,$W25,0)+IF(AG$65&lt;=$D25,$X25,0)+IF(AG$66&lt;=$D25,$Y25,0)+IF(AG$67&lt;=$D25,$Z25,0)+IF(AG$68&lt;=$D25,$AA25,0)+IF(AG$69&lt;=$D25,$AB25,0)+IF(AG$70&lt;=$D25,$AC25,0)+IF(AG$71&lt;=$D25,$AD25,0)+IF(AG$72&lt;=$D25,$AE25,0)+IF(AG$73&lt;=$D25,$AF25,0)+IF(AG$74&lt;=$D25,$AG25,0)*DA</f>
        <v>6.25</v>
      </c>
      <c r="AH36" s="618">
        <f t="shared" ref="AH36:AH45" si="46">IF(AH$46&lt;=$D25,$E25,0)+IF(AH$47&lt;=$D25,$F25,0)+IF(AH$48&lt;=$D25,$G25,0)+IF(AH$49&lt;=$D25,$H25,0)+IF(AH$50&lt;=$D25,$I25,0)+IF(AH$51&lt;=$D25,$J25,0)+IF(AH$52&lt;=$D25,$K25,0)+IF(AH$53&lt;=$D25,$L25,0)+IF(AH$54&lt;=$D25,$M25,0)+IF(AH$55&lt;=$D25,$N25,0)+IF(AH$56&lt;=$D25,$O25,0)+IF(AH$57&lt;=$D25,$P25,0)+IF(AH$58&lt;=$D25,$Q25,0)+IF(AH$59&lt;=$D25,$R25,0)+IF(AH$60&lt;=$D25,$S25,0)+IF(AH$61&lt;=$D25,$T25,0)+IF(AH$62&lt;=$D25,$U25,0)+IF(AH$63&lt;=$D25,$V25,0)+IF(AH$64&lt;=$D25,$W25,0)+IF(AH$65&lt;=$D25,$X25,0)+IF(AH$66&lt;=$D25,$Y25,0)+IF(AH$67&lt;=$D25,$Z25,0)+IF(AH$68&lt;=$D25,$AA25,0)+IF(AH$69&lt;=$D25,$AB25,0)+IF(AH$70&lt;=$D25,$AC25,0)+IF(AH$71&lt;=$D25,$AD25,0)+IF(AH$72&lt;=$D25,$AE25,0)+IF(AH$73&lt;=$D25,$AF25,0)+IF(AH$74&lt;=$D25,$AG25,0)+IF(AH$75&lt;=$D25,$AH25,0)*DA</f>
        <v>6.25</v>
      </c>
      <c r="AI36" s="618">
        <f t="shared" ref="AI36:AI45" si="47">IF(AI$46&lt;=$D25,$E25,0)+IF(AI$47&lt;=$D25,$F25,0)+IF(AI$48&lt;=$D25,$G25,0)+IF(AI$49&lt;=$D25,$H25,0)+IF(AI$50&lt;=$D25,$I25,0)+IF(AI$51&lt;=$D25,$J25,0)+IF(AI$52&lt;=$D25,$K25,0)+IF(AI$53&lt;=$D25,$L25,0)+IF(AI$54&lt;=$D25,$M25,0)+IF(AI$55&lt;=$D25,$N25,0)+IF(AI$56&lt;=$D25,$O25,0)+IF(AI$57&lt;=$D25,$P25,0)+IF(AI$58&lt;=$D25,$Q25,0)+IF(AI$59&lt;=$D25,$R25,0)+IF(AI$60&lt;=$D25,$S25,0)+IF(AI$61&lt;=$D25,$T25,0)+IF(AI$62&lt;=$D25,$U25,0)+IF(AI$63&lt;=$D25,$V25,0)+IF(AI$64&lt;=$D25,$W25,0)+IF(AI$65&lt;=$D25,$X25,0)+IF(AI$66&lt;=$D25,$Y25,0)+IF(AI$67&lt;=$D25,$Z25,0)+IF(AI$68&lt;=$D25,$AA25,0)+IF(AI$69&lt;=$D25,$AB25,0)+IF(AI$70&lt;=$D25,$AC25,0)+IF(AI$71&lt;=$D25,$AD25,0)+IF(AI$72&lt;=$D25,$AE25,0)+IF(AI$73&lt;=$D25,$AF25,0)+IF(AI$74&lt;=$D25,$AG25,0)+IF(AI$75&lt;=$D25,$AH25,0)+IF(AI$76&lt;=$D25,$AI25,0)*DA</f>
        <v>6.25</v>
      </c>
      <c r="AJ36" s="618">
        <f t="shared" ref="AJ36:AJ45" si="48">IF(AJ$46&lt;=$D25,$E25,0)+IF(AJ$47&lt;=$D25,$F25,0)+IF(AJ$48&lt;=$D25,$G25,0)+IF(AJ$49&lt;=$D25,$H25,0)+IF(AJ$50&lt;=$D25,$I25,0)+IF(AJ$51&lt;=$D25,$J25,0)+IF(AJ$52&lt;=$D25,$K25,0)+IF(AJ$53&lt;=$D25,$L25,0)+IF(AJ$54&lt;=$D25,$M25,0)+IF(AJ$55&lt;=$D25,$N25,0)+IF(AJ$56&lt;=$D25,$O25,0)+IF(AJ$57&lt;=$D25,$P25,0)+IF(AJ$58&lt;=$D25,$Q25,0)+IF(AJ$59&lt;=$D25,$R25,0)+IF(AJ$60&lt;=$D25,$S25,0)+IF(AJ$61&lt;=$D25,$T25,0)+IF(AJ$62&lt;=$D25,$U25,0)+IF(AJ$63&lt;=$D25,$V25,0)+IF(AJ$64&lt;=$D25,$W25,0)+IF(AJ$65&lt;=$D25,$X25,0)+IF(AJ$66&lt;=$D25,$Y25,0)+IF(AJ$67&lt;=$D25,$Z25,0)+IF(AJ$68&lt;=$D25,$AA25,0)+IF(AJ$69&lt;=$D25,$AB25,0)+IF(AJ$70&lt;=$D25,$AC25,0)+IF(AJ$71&lt;=$D25,$AD25,0)+IF(AJ$72&lt;=$D25,$AE25,0)+IF(AJ$73&lt;=$D25,$AF25,0)+IF(AJ$74&lt;=$D25,$AG25,0)+IF(AJ$75&lt;=$D25,$AH25,0)+IF(AJ$76&lt;=$D25,$AI25,0)+IF(AJ$77&lt;=$D25,$AJ25,0)*DA</f>
        <v>6.25</v>
      </c>
      <c r="AK36" s="618">
        <f t="shared" ref="AK36:AK45" si="49">IF(AK$46&lt;=$D25,$E25,0)+IF(AK$47&lt;=$D25,$F25,0)+IF(AK$48&lt;=$D25,$G25,0)+IF(AK$49&lt;=$D25,$H25,0)+IF(AK$50&lt;=$D25,$I25,0)+IF(AK$51&lt;=$D25,$J25,0)+IF(AK$52&lt;=$D25,$K25,0)+IF(AK$53&lt;=$D25,$L25,0)+IF(AK$54&lt;=$D25,$M25,0)+IF(AK$55&lt;=$D25,$N25,0)+IF(AK$56&lt;=$D25,$O25,0)+IF(AK$57&lt;=$D25,$P25,0)+IF(AK$58&lt;=$D25,$Q25,0)+IF(AK$59&lt;=$D25,$R25,0)+IF(AK$60&lt;=$D25,$S25,0)+IF(AK$61&lt;=$D25,$T25,0)+IF(AK$62&lt;=$D25,$U25,0)+IF(AK$63&lt;=$D25,$V25,0)+IF(AK$64&lt;=$D25,$W25,0)+IF(AK$65&lt;=$D25,$X25,0)+IF(AK$66&lt;=$D25,$Y25,0)+IF(AK$67&lt;=$D25,$Z25,0)+IF(AK$68&lt;=$D25,$AA25,0)+IF(AK$69&lt;=$D25,$AB25,0)+IF(AK$70&lt;=$D25,$AC25,0)+IF(AK$71&lt;=$D25,$AD25,0)+IF(AK$72&lt;=$D25,$AE25,0)+IF(AK$73&lt;=$D25,$AF25,0)+IF(AK$74&lt;=$D25,$AG25,0)+IF(AK$75&lt;=$D25,$AH25,0)+IF(AK$76&lt;=$D25,$AI25,0)+IF(AK$77&lt;=$D25,$AJ25,0)+IF(AK$78&lt;=$D25,$AK25,0)*DA</f>
        <v>6.25</v>
      </c>
      <c r="AL36" s="618">
        <f t="shared" ref="AL36:AL45" si="50">IF(AL$46&lt;=$D25,$E25,0)+IF(AL$47&lt;=$D25,$F25,0)+IF(AL$48&lt;=$D25,$G25,0)+IF(AL$49&lt;=$D25,$H25,0)+IF(AL$50&lt;=$D25,$I25,0)+IF(AL$51&lt;=$D25,$J25,0)+IF(AL$52&lt;=$D25,$K25,0)+IF(AL$53&lt;=$D25,$L25,0)+IF(AL$54&lt;=$D25,$M25,0)+IF(AL$55&lt;=$D25,$N25,0)+IF(AL$56&lt;=$D25,$O25,0)+IF(AL$57&lt;=$D25,$P25,0)+IF(AL$58&lt;=$D25,$Q25,0)+IF(AL$59&lt;=$D25,$R25,0)+IF(AL$60&lt;=$D25,$S25,0)+IF(AL$61&lt;=$D25,$T25,0)+IF(AL$62&lt;=$D25,$U25,0)+IF(AL$63&lt;=$D25,$V25,0)+IF(AL$64&lt;=$D25,$W25,0)+IF(AL$65&lt;=$D25,$X25,0)+IF(AL$66&lt;=$D25,$Y25,0)+IF(AL$67&lt;=$D25,$Z25,0)+IF(AL$68&lt;=$D25,$AA25,0)+IF(AL$69&lt;=$D25,$AB25,0)+IF(AL$70&lt;=$D25,$AC25,0)+IF(AL$71&lt;=$D25,$AD25,0)+IF(AL$72&lt;=$D25,$AE25,0)+IF(AL$73&lt;=$D25,$AF25,0)+IF(AL$74&lt;=$D25,$AG25,0)+IF(AL$75&lt;=$D25,$AH25,0)+IF(AL$76&lt;=$D25,$AI25,0)+IF(AL$77&lt;=$D25,$AJ25,0)+IF(AL$78&lt;=$D25,$AK25,0)+IF(AL$79&lt;=$D25,$AL25,0)*DA</f>
        <v>6.25</v>
      </c>
      <c r="AM36" s="618">
        <f t="shared" ref="AM36:AM45" si="51">IF(AM$46&lt;=$D25,$E25,0)+IF(AM$47&lt;=$D25,$F25,0)+IF(AM$48&lt;=$D25,$G25,0)+IF(AM$49&lt;=$D25,$H25,0)+IF(AM$50&lt;=$D25,$I25,0)+IF(AM$51&lt;=$D25,$J25,0)+IF(AM$52&lt;=$D25,$K25,0)+IF(AM$53&lt;=$D25,$L25,0)+IF(AM$54&lt;=$D25,$M25,0)+IF(AM$55&lt;=$D25,$N25,0)+IF(AM$56&lt;=$D25,$O25,0)+IF(AM$57&lt;=$D25,$P25,0)+IF(AM$58&lt;=$D25,$Q25,0)+IF(AM$59&lt;=$D25,$R25,0)+IF(AM$60&lt;=$D25,$S25,0)+IF(AM$61&lt;=$D25,$T25,0)+IF(AM$62&lt;=$D25,$U25,0)+IF(AM$63&lt;=$D25,$V25,0)+IF(AM$64&lt;=$D25,$W25,0)+IF(AM$65&lt;=$D25,$X25,0)+IF(AM$66&lt;=$D25,$Y25,0)+IF(AM$67&lt;=$D25,$Z25,0)+IF(AM$68&lt;=$D25,$AA25,0)+IF(AM$69&lt;=$D25,$AB25,0)+IF(AM$70&lt;=$D25,$AC25,0)+IF(AM$71&lt;=$D25,$AD25,0)+IF(AM$72&lt;=$D25,$AE25,0)+IF(AM$73&lt;=$D25,$AF25,0)+IF(AM$74&lt;=$D25,$AG25,0)+IF(AM$75&lt;=$D25,$AH25,0)+IF(AM$76&lt;=$D25,$AI25,0)+IF(AM$77&lt;=$D25,$AJ25,0)+IF(AM$78&lt;=$D25,$AK25,0)+IF(AM$79&lt;=$D25,$AL25,0)+IF(AM$80&lt;=$D25,$AM25,0)*DA</f>
        <v>6.25</v>
      </c>
      <c r="AN36" s="618">
        <f>IF(AN$46&lt;=$D25,$E25,0)+IF(AN$47&lt;=$D25,$F25,0)+IF(AN$48&lt;=$D25,$G25,0)+IF(AN$49&lt;=$D25,$H25,0)+IF(AN$50&lt;=$D25,$I25,0)+IF(AN$51&lt;=$D25,$J25,0)+IF(AN$52&lt;=$D25,$K25,0)+IF(AN$53&lt;=$D25,$L25,0)+IF(AN$54&lt;=$D25,$M25,0)+IF(AN$55&lt;=$D25,$N25,0)+IF(AN$56&lt;=$D25,$O25,0)+IF(AN$57&lt;=$D25,$P25,0)+IF(AN$58&lt;=$D25,$Q25,0)+IF(AN$59&lt;=$D25,$R25,0)+IF(AN$60&lt;=$D25,$S25,0)+IF(AN$61&lt;=$D25,$T25,0)+IF(AN$62&lt;=$D25,$U25,0)+IF(AN$63&lt;=$D25,$V25,0)+IF(AN$64&lt;=$D25,$W25,0)+IF(AN$65&lt;=$D25,$X25,0)+IF(AN$66&lt;=$D25,$Y25,0)+IF(AN$67&lt;=$D25,$Z25,0)+IF(AN$68&lt;=$D25,$AA25,0)+IF(AN$69&lt;=$D25,$AB25,0)+IF(AN$70&lt;=$D25,$AC25,0)+IF(AN$71&lt;=$D25,$AD25,0)+IF(AN$72&lt;=$D25,$AE25,0)+IF(AN$73&lt;=$D25,$AF25,0)+IF(AN$74&lt;=$D25,$AG25,0)+IF(AN$75&lt;=$D25,$AH25,0)+IF(AN$76&lt;=$D25,$AI25,0)+IF(AN$77&lt;=$D25,$AJ25,0)+IF(AN$78&lt;=$D25,$AK25,0)+IF(AN$79&lt;=$D25,$AL25,0)+IF(AN$80&lt;=$D25,$AM25,0)+IF(AN$81&lt;=$D25,$AN25,0)</f>
        <v>6.25</v>
      </c>
      <c r="AP36" s="37"/>
    </row>
    <row r="37" spans="2:42" ht="11.5" customHeight="1" x14ac:dyDescent="0.25">
      <c r="C37" s="21" t="s">
        <v>851</v>
      </c>
      <c r="D37" s="34" t="s">
        <v>46</v>
      </c>
      <c r="E37" s="619">
        <f>IF(E$46&lt;=$D26,$E26,0)*'1.1 Control Panel'!$E$965</f>
        <v>20.833333333333332</v>
      </c>
      <c r="F37" s="620">
        <f t="shared" si="18"/>
        <v>43.75</v>
      </c>
      <c r="G37" s="621">
        <f t="shared" si="19"/>
        <v>47.916666666666664</v>
      </c>
      <c r="H37" s="621">
        <f t="shared" si="20"/>
        <v>52.083333333333329</v>
      </c>
      <c r="I37" s="621">
        <f t="shared" si="21"/>
        <v>56.249999999999993</v>
      </c>
      <c r="J37" s="621">
        <f t="shared" si="22"/>
        <v>60.416666666666657</v>
      </c>
      <c r="K37" s="621">
        <f t="shared" si="23"/>
        <v>64.583333333333314</v>
      </c>
      <c r="L37" s="621">
        <f t="shared" si="24"/>
        <v>68.749999999999986</v>
      </c>
      <c r="M37" s="621">
        <f t="shared" si="25"/>
        <v>72.916666666666657</v>
      </c>
      <c r="N37" s="621">
        <f t="shared" si="26"/>
        <v>77.083333333333329</v>
      </c>
      <c r="O37" s="621">
        <f t="shared" si="27"/>
        <v>81.25</v>
      </c>
      <c r="P37" s="621">
        <f t="shared" si="28"/>
        <v>85.416666666666671</v>
      </c>
      <c r="Q37" s="619">
        <f t="shared" si="29"/>
        <v>89.583333333333343</v>
      </c>
      <c r="R37" s="620">
        <f t="shared" si="30"/>
        <v>93.750000000000014</v>
      </c>
      <c r="S37" s="621">
        <f t="shared" si="31"/>
        <v>97.916666666666686</v>
      </c>
      <c r="T37" s="621">
        <f t="shared" si="32"/>
        <v>102.08333333333336</v>
      </c>
      <c r="U37" s="621">
        <f t="shared" si="33"/>
        <v>106.25000000000003</v>
      </c>
      <c r="V37" s="621">
        <f t="shared" si="34"/>
        <v>110.4166666666667</v>
      </c>
      <c r="W37" s="621">
        <f t="shared" si="35"/>
        <v>114.58333333333337</v>
      </c>
      <c r="X37" s="621">
        <f t="shared" si="36"/>
        <v>118.75000000000004</v>
      </c>
      <c r="Y37" s="621">
        <f t="shared" si="37"/>
        <v>122.91666666666671</v>
      </c>
      <c r="Z37" s="621">
        <f t="shared" si="38"/>
        <v>127.08333333333339</v>
      </c>
      <c r="AA37" s="621">
        <f t="shared" si="39"/>
        <v>131.25000000000006</v>
      </c>
      <c r="AB37" s="621">
        <f t="shared" si="40"/>
        <v>135.41666666666671</v>
      </c>
      <c r="AC37" s="619">
        <f t="shared" si="41"/>
        <v>139.58333333333337</v>
      </c>
      <c r="AD37" s="620">
        <f t="shared" si="42"/>
        <v>143.75000000000003</v>
      </c>
      <c r="AE37" s="621">
        <f t="shared" si="43"/>
        <v>147.91666666666669</v>
      </c>
      <c r="AF37" s="621">
        <f t="shared" si="44"/>
        <v>152.08333333333334</v>
      </c>
      <c r="AG37" s="621">
        <f t="shared" si="45"/>
        <v>156.25</v>
      </c>
      <c r="AH37" s="621">
        <f t="shared" si="46"/>
        <v>160.41666666666666</v>
      </c>
      <c r="AI37" s="621">
        <f t="shared" si="47"/>
        <v>164.58333333333331</v>
      </c>
      <c r="AJ37" s="621">
        <f t="shared" si="48"/>
        <v>168.74999999999997</v>
      </c>
      <c r="AK37" s="621">
        <f t="shared" si="49"/>
        <v>172.91666666666663</v>
      </c>
      <c r="AL37" s="621">
        <f t="shared" si="50"/>
        <v>177.08333333333329</v>
      </c>
      <c r="AM37" s="621">
        <f t="shared" si="51"/>
        <v>181.24999999999994</v>
      </c>
      <c r="AN37" s="621">
        <f t="shared" ref="AN37:AN45" si="52">IF(AN$46&lt;=$D26,$E26,0)+IF(AN$47&lt;=$D26,$F26,0)+IF(AN$48&lt;=$D26,$G26,0)+IF(AN$49&lt;=$D26,$H26,0)+IF(AN$50&lt;=$D26,$I26,0)+IF(AN$51&lt;=$D26,$J26,0)+IF(AN$52&lt;=$D26,$K26,0)+IF(AN$53&lt;=$D26,$L26,0)+IF(AN$54&lt;=$D26,$M26,0)+IF(AN$55&lt;=$D26,$N26,0)+IF(AN$56&lt;=$D26,$O26,0)+IF(AN$57&lt;=$D26,$P26,0)+IF(AN$58&lt;=$D26,$Q26,0)+IF(AN$59&lt;=$D26,$R26,0)+IF(AN$60&lt;=$D26,$S26,0)+IF(AN$61&lt;=$D26,$T26,0)+IF(AN$62&lt;=$D26,$U26,0)+IF(AN$63&lt;=$D26,$V26,0)+IF(AN$64&lt;=$D26,$W26,0)+IF(AN$65&lt;=$D26,$X26,0)+IF(AN$66&lt;=$D26,$Y26,0)+IF(AN$67&lt;=$D26,$Z26,0)+IF(AN$68&lt;=$D26,$AA26,0)+IF(AN$69&lt;=$D26,$AB26,0)+IF(AN$70&lt;=$D26,$AC26,0)+IF(AN$71&lt;=$D26,$AD26,0)+IF(AN$72&lt;=$D26,$AE26,0)+IF(AN$73&lt;=$D26,$AF26,0)+IF(AN$74&lt;=$D26,$AG26,0)+IF(AN$75&lt;=$D26,$AH26,0)+IF(AN$76&lt;=$D26,$AI26,0)+IF(AN$77&lt;=$D26,$AJ26,0)+IF(AN$78&lt;=$D26,$AK26,0)+IF(AN$79&lt;=$D26,$AL26,0)+IF(AN$80&lt;=$D26,$AM26,0)+IF(AN$81&lt;=$D26,$AN26,0)</f>
        <v>187.49999999999991</v>
      </c>
      <c r="AP37" s="606"/>
    </row>
    <row r="38" spans="2:42" ht="11.5" customHeight="1" x14ac:dyDescent="0.25">
      <c r="C38" s="21" t="s">
        <v>852</v>
      </c>
      <c r="D38" s="34" t="s">
        <v>46</v>
      </c>
      <c r="E38" s="619">
        <f>IF(E$46&lt;=$D27,$E27,0)*'1.1 Control Panel'!$E$965</f>
        <v>0</v>
      </c>
      <c r="F38" s="621">
        <f t="shared" si="18"/>
        <v>0</v>
      </c>
      <c r="G38" s="621">
        <f t="shared" si="19"/>
        <v>0</v>
      </c>
      <c r="H38" s="621">
        <f t="shared" si="20"/>
        <v>0</v>
      </c>
      <c r="I38" s="621">
        <f t="shared" si="21"/>
        <v>0</v>
      </c>
      <c r="J38" s="621">
        <f t="shared" si="22"/>
        <v>0</v>
      </c>
      <c r="K38" s="621">
        <f t="shared" si="23"/>
        <v>0</v>
      </c>
      <c r="L38" s="621">
        <f t="shared" si="24"/>
        <v>0</v>
      </c>
      <c r="M38" s="621">
        <f t="shared" si="25"/>
        <v>0</v>
      </c>
      <c r="N38" s="621">
        <f t="shared" si="26"/>
        <v>0</v>
      </c>
      <c r="O38" s="621">
        <f t="shared" si="27"/>
        <v>0</v>
      </c>
      <c r="P38" s="621">
        <f t="shared" si="28"/>
        <v>0</v>
      </c>
      <c r="Q38" s="619">
        <f t="shared" si="29"/>
        <v>0</v>
      </c>
      <c r="R38" s="621">
        <f t="shared" si="30"/>
        <v>0</v>
      </c>
      <c r="S38" s="621">
        <f t="shared" si="31"/>
        <v>0</v>
      </c>
      <c r="T38" s="621">
        <f t="shared" si="32"/>
        <v>0</v>
      </c>
      <c r="U38" s="621">
        <f t="shared" si="33"/>
        <v>0</v>
      </c>
      <c r="V38" s="621">
        <f t="shared" si="34"/>
        <v>0</v>
      </c>
      <c r="W38" s="621">
        <f t="shared" si="35"/>
        <v>0</v>
      </c>
      <c r="X38" s="621">
        <f t="shared" si="36"/>
        <v>0</v>
      </c>
      <c r="Y38" s="621">
        <f t="shared" si="37"/>
        <v>0</v>
      </c>
      <c r="Z38" s="621">
        <f t="shared" si="38"/>
        <v>0</v>
      </c>
      <c r="AA38" s="621">
        <f t="shared" si="39"/>
        <v>0</v>
      </c>
      <c r="AB38" s="621">
        <f t="shared" si="40"/>
        <v>0</v>
      </c>
      <c r="AC38" s="619">
        <f t="shared" si="41"/>
        <v>0</v>
      </c>
      <c r="AD38" s="621">
        <f t="shared" si="42"/>
        <v>0</v>
      </c>
      <c r="AE38" s="621">
        <f t="shared" si="43"/>
        <v>0</v>
      </c>
      <c r="AF38" s="621">
        <f t="shared" si="44"/>
        <v>0</v>
      </c>
      <c r="AG38" s="621">
        <f t="shared" si="45"/>
        <v>0</v>
      </c>
      <c r="AH38" s="621">
        <f t="shared" si="46"/>
        <v>0</v>
      </c>
      <c r="AI38" s="621">
        <f t="shared" si="47"/>
        <v>0</v>
      </c>
      <c r="AJ38" s="621">
        <f t="shared" si="48"/>
        <v>0</v>
      </c>
      <c r="AK38" s="621">
        <f t="shared" si="49"/>
        <v>0</v>
      </c>
      <c r="AL38" s="621">
        <f t="shared" si="50"/>
        <v>0</v>
      </c>
      <c r="AM38" s="621">
        <f t="shared" si="51"/>
        <v>0</v>
      </c>
      <c r="AN38" s="621">
        <f t="shared" si="52"/>
        <v>0</v>
      </c>
      <c r="AP38" s="606"/>
    </row>
    <row r="39" spans="2:42" ht="11.5" customHeight="1" x14ac:dyDescent="0.25">
      <c r="C39" s="21" t="s">
        <v>854</v>
      </c>
      <c r="D39" s="34" t="s">
        <v>46</v>
      </c>
      <c r="E39" s="619">
        <f>IF(E$46&lt;=$D28,$E28,0)*'1.1 Control Panel'!$E$965</f>
        <v>208.33333333333334</v>
      </c>
      <c r="F39" s="620">
        <f t="shared" si="18"/>
        <v>416.66666666666669</v>
      </c>
      <c r="G39" s="621">
        <f t="shared" si="19"/>
        <v>625</v>
      </c>
      <c r="H39" s="621">
        <f t="shared" si="20"/>
        <v>1250</v>
      </c>
      <c r="I39" s="621">
        <f t="shared" si="21"/>
        <v>1875</v>
      </c>
      <c r="J39" s="621">
        <f t="shared" si="22"/>
        <v>2291.666666666667</v>
      </c>
      <c r="K39" s="621">
        <f t="shared" si="23"/>
        <v>2708.3333333333335</v>
      </c>
      <c r="L39" s="621">
        <f t="shared" si="24"/>
        <v>3333.333333333333</v>
      </c>
      <c r="M39" s="621">
        <f t="shared" si="25"/>
        <v>3750</v>
      </c>
      <c r="N39" s="621">
        <f t="shared" si="26"/>
        <v>3958.3333333333335</v>
      </c>
      <c r="O39" s="621">
        <f t="shared" si="27"/>
        <v>4166.666666666667</v>
      </c>
      <c r="P39" s="621">
        <f t="shared" si="28"/>
        <v>4166.666666666667</v>
      </c>
      <c r="Q39" s="619">
        <f t="shared" si="29"/>
        <v>4166.666666666667</v>
      </c>
      <c r="R39" s="620">
        <f t="shared" si="30"/>
        <v>4583.3333333333339</v>
      </c>
      <c r="S39" s="621">
        <f t="shared" si="31"/>
        <v>5000</v>
      </c>
      <c r="T39" s="621">
        <f t="shared" si="32"/>
        <v>5000</v>
      </c>
      <c r="U39" s="621">
        <f t="shared" si="33"/>
        <v>5000</v>
      </c>
      <c r="V39" s="621">
        <f t="shared" si="34"/>
        <v>5000</v>
      </c>
      <c r="W39" s="621">
        <f t="shared" si="35"/>
        <v>5000</v>
      </c>
      <c r="X39" s="621">
        <f t="shared" si="36"/>
        <v>5000</v>
      </c>
      <c r="Y39" s="621">
        <f t="shared" si="37"/>
        <v>5000</v>
      </c>
      <c r="Z39" s="621">
        <f t="shared" si="38"/>
        <v>5000</v>
      </c>
      <c r="AA39" s="621">
        <f t="shared" si="39"/>
        <v>5000</v>
      </c>
      <c r="AB39" s="621">
        <f t="shared" si="40"/>
        <v>5000</v>
      </c>
      <c r="AC39" s="619">
        <f t="shared" si="41"/>
        <v>5000</v>
      </c>
      <c r="AD39" s="620">
        <f t="shared" si="42"/>
        <v>5000</v>
      </c>
      <c r="AE39" s="621">
        <f t="shared" si="43"/>
        <v>5000</v>
      </c>
      <c r="AF39" s="621">
        <f t="shared" si="44"/>
        <v>5000</v>
      </c>
      <c r="AG39" s="621">
        <f t="shared" si="45"/>
        <v>5000</v>
      </c>
      <c r="AH39" s="621">
        <f t="shared" si="46"/>
        <v>5000</v>
      </c>
      <c r="AI39" s="621">
        <f t="shared" si="47"/>
        <v>5000</v>
      </c>
      <c r="AJ39" s="621">
        <f t="shared" si="48"/>
        <v>5000</v>
      </c>
      <c r="AK39" s="621">
        <f t="shared" si="49"/>
        <v>5000</v>
      </c>
      <c r="AL39" s="621">
        <f t="shared" si="50"/>
        <v>5000</v>
      </c>
      <c r="AM39" s="621">
        <f t="shared" si="51"/>
        <v>5000</v>
      </c>
      <c r="AN39" s="621">
        <f t="shared" si="52"/>
        <v>5000</v>
      </c>
      <c r="AP39" s="606"/>
    </row>
    <row r="40" spans="2:42" ht="11.5" customHeight="1" x14ac:dyDescent="0.25">
      <c r="C40" s="21" t="s">
        <v>853</v>
      </c>
      <c r="D40" s="34" t="s">
        <v>46</v>
      </c>
      <c r="E40" s="622">
        <f>IF(E$46&lt;=$D29,$E29,0)*'1.1 Control Panel'!$E$965</f>
        <v>312.5</v>
      </c>
      <c r="F40" s="622">
        <f t="shared" si="18"/>
        <v>625</v>
      </c>
      <c r="G40" s="622">
        <f t="shared" si="19"/>
        <v>937.5</v>
      </c>
      <c r="H40" s="622">
        <f t="shared" si="20"/>
        <v>1875</v>
      </c>
      <c r="I40" s="622">
        <f t="shared" si="21"/>
        <v>2812.5</v>
      </c>
      <c r="J40" s="622">
        <f t="shared" si="22"/>
        <v>3437.5</v>
      </c>
      <c r="K40" s="622">
        <f t="shared" si="23"/>
        <v>4062.5</v>
      </c>
      <c r="L40" s="622">
        <f t="shared" si="24"/>
        <v>5000</v>
      </c>
      <c r="M40" s="622">
        <f t="shared" si="25"/>
        <v>5625</v>
      </c>
      <c r="N40" s="622">
        <f t="shared" si="26"/>
        <v>5937.5</v>
      </c>
      <c r="O40" s="622">
        <f t="shared" si="27"/>
        <v>6250</v>
      </c>
      <c r="P40" s="622">
        <f t="shared" si="28"/>
        <v>6250</v>
      </c>
      <c r="Q40" s="622">
        <f t="shared" si="29"/>
        <v>6250</v>
      </c>
      <c r="R40" s="622">
        <f t="shared" si="30"/>
        <v>6875</v>
      </c>
      <c r="S40" s="622">
        <f t="shared" si="31"/>
        <v>7500</v>
      </c>
      <c r="T40" s="622">
        <f t="shared" si="32"/>
        <v>7500</v>
      </c>
      <c r="U40" s="622">
        <f t="shared" si="33"/>
        <v>7500</v>
      </c>
      <c r="V40" s="622">
        <f t="shared" si="34"/>
        <v>7500</v>
      </c>
      <c r="W40" s="622">
        <f t="shared" si="35"/>
        <v>7500</v>
      </c>
      <c r="X40" s="622">
        <f t="shared" si="36"/>
        <v>7500</v>
      </c>
      <c r="Y40" s="622">
        <f t="shared" si="37"/>
        <v>7500</v>
      </c>
      <c r="Z40" s="622">
        <f t="shared" si="38"/>
        <v>7500</v>
      </c>
      <c r="AA40" s="622">
        <f t="shared" si="39"/>
        <v>7500</v>
      </c>
      <c r="AB40" s="622">
        <f t="shared" si="40"/>
        <v>7500</v>
      </c>
      <c r="AC40" s="622">
        <f t="shared" si="41"/>
        <v>7500</v>
      </c>
      <c r="AD40" s="622">
        <f t="shared" si="42"/>
        <v>7500</v>
      </c>
      <c r="AE40" s="622">
        <f t="shared" si="43"/>
        <v>7500</v>
      </c>
      <c r="AF40" s="622">
        <f t="shared" si="44"/>
        <v>7500</v>
      </c>
      <c r="AG40" s="622">
        <f t="shared" si="45"/>
        <v>7500</v>
      </c>
      <c r="AH40" s="622">
        <f t="shared" si="46"/>
        <v>7500</v>
      </c>
      <c r="AI40" s="622">
        <f t="shared" si="47"/>
        <v>7500</v>
      </c>
      <c r="AJ40" s="622">
        <f t="shared" si="48"/>
        <v>7500</v>
      </c>
      <c r="AK40" s="622">
        <f t="shared" si="49"/>
        <v>7500</v>
      </c>
      <c r="AL40" s="622">
        <f t="shared" si="50"/>
        <v>7500</v>
      </c>
      <c r="AM40" s="622">
        <f t="shared" si="51"/>
        <v>7500</v>
      </c>
      <c r="AN40" s="622">
        <f t="shared" si="52"/>
        <v>7500</v>
      </c>
      <c r="AP40" s="39"/>
    </row>
    <row r="41" spans="2:42" ht="11.5" customHeight="1" x14ac:dyDescent="0.25">
      <c r="C41" s="21" t="s">
        <v>855</v>
      </c>
      <c r="D41" s="34" t="s">
        <v>46</v>
      </c>
      <c r="E41" s="622">
        <f>IF(E$46&lt;=$D30,$E30,0)*'1.1 Control Panel'!$E$965</f>
        <v>0</v>
      </c>
      <c r="F41" s="622">
        <f t="shared" si="18"/>
        <v>0</v>
      </c>
      <c r="G41" s="622">
        <f t="shared" si="19"/>
        <v>0</v>
      </c>
      <c r="H41" s="622">
        <f t="shared" si="20"/>
        <v>0</v>
      </c>
      <c r="I41" s="622">
        <f t="shared" si="21"/>
        <v>0</v>
      </c>
      <c r="J41" s="622">
        <f t="shared" si="22"/>
        <v>0</v>
      </c>
      <c r="K41" s="622">
        <f t="shared" si="23"/>
        <v>0</v>
      </c>
      <c r="L41" s="622">
        <f t="shared" si="24"/>
        <v>0</v>
      </c>
      <c r="M41" s="622">
        <f t="shared" si="25"/>
        <v>0</v>
      </c>
      <c r="N41" s="622">
        <f t="shared" si="26"/>
        <v>0</v>
      </c>
      <c r="O41" s="622">
        <f t="shared" si="27"/>
        <v>0</v>
      </c>
      <c r="P41" s="622">
        <f t="shared" si="28"/>
        <v>0</v>
      </c>
      <c r="Q41" s="622">
        <f t="shared" si="29"/>
        <v>0</v>
      </c>
      <c r="R41" s="622">
        <f t="shared" si="30"/>
        <v>0</v>
      </c>
      <c r="S41" s="622">
        <f t="shared" si="31"/>
        <v>0</v>
      </c>
      <c r="T41" s="622">
        <f t="shared" si="32"/>
        <v>0</v>
      </c>
      <c r="U41" s="622">
        <f t="shared" si="33"/>
        <v>0</v>
      </c>
      <c r="V41" s="622">
        <f t="shared" si="34"/>
        <v>0</v>
      </c>
      <c r="W41" s="622">
        <f t="shared" si="35"/>
        <v>0</v>
      </c>
      <c r="X41" s="622">
        <f t="shared" si="36"/>
        <v>0</v>
      </c>
      <c r="Y41" s="622">
        <f t="shared" si="37"/>
        <v>0</v>
      </c>
      <c r="Z41" s="622">
        <f t="shared" si="38"/>
        <v>0</v>
      </c>
      <c r="AA41" s="622">
        <f t="shared" si="39"/>
        <v>0</v>
      </c>
      <c r="AB41" s="622">
        <f t="shared" si="40"/>
        <v>0</v>
      </c>
      <c r="AC41" s="622">
        <f t="shared" si="41"/>
        <v>0</v>
      </c>
      <c r="AD41" s="622">
        <f t="shared" si="42"/>
        <v>0</v>
      </c>
      <c r="AE41" s="622">
        <f t="shared" si="43"/>
        <v>0</v>
      </c>
      <c r="AF41" s="622">
        <f t="shared" si="44"/>
        <v>0</v>
      </c>
      <c r="AG41" s="622">
        <f t="shared" si="45"/>
        <v>0</v>
      </c>
      <c r="AH41" s="622">
        <f t="shared" si="46"/>
        <v>0</v>
      </c>
      <c r="AI41" s="622">
        <f t="shared" si="47"/>
        <v>0</v>
      </c>
      <c r="AJ41" s="622">
        <f t="shared" si="48"/>
        <v>0</v>
      </c>
      <c r="AK41" s="622">
        <f t="shared" si="49"/>
        <v>0</v>
      </c>
      <c r="AL41" s="622">
        <f t="shared" si="50"/>
        <v>0</v>
      </c>
      <c r="AM41" s="622">
        <f t="shared" si="51"/>
        <v>0</v>
      </c>
      <c r="AN41" s="622">
        <f t="shared" si="52"/>
        <v>0</v>
      </c>
      <c r="AP41" s="39"/>
    </row>
    <row r="42" spans="2:42" ht="11.5" customHeight="1" x14ac:dyDescent="0.25">
      <c r="C42" s="21" t="s">
        <v>856</v>
      </c>
      <c r="D42" s="34" t="s">
        <v>46</v>
      </c>
      <c r="E42" s="622">
        <f>IF(E$46&lt;=$D31,$E31,0)*'1.1 Control Panel'!$E$965</f>
        <v>0</v>
      </c>
      <c r="F42" s="622">
        <f t="shared" si="18"/>
        <v>0</v>
      </c>
      <c r="G42" s="622">
        <f t="shared" si="19"/>
        <v>0</v>
      </c>
      <c r="H42" s="622">
        <f t="shared" si="20"/>
        <v>0</v>
      </c>
      <c r="I42" s="622">
        <f t="shared" si="21"/>
        <v>0</v>
      </c>
      <c r="J42" s="622">
        <f t="shared" si="22"/>
        <v>0</v>
      </c>
      <c r="K42" s="622">
        <f t="shared" si="23"/>
        <v>0</v>
      </c>
      <c r="L42" s="622">
        <f t="shared" si="24"/>
        <v>0</v>
      </c>
      <c r="M42" s="622">
        <f t="shared" si="25"/>
        <v>0</v>
      </c>
      <c r="N42" s="622">
        <f t="shared" si="26"/>
        <v>0</v>
      </c>
      <c r="O42" s="622">
        <f t="shared" si="27"/>
        <v>0</v>
      </c>
      <c r="P42" s="622">
        <f t="shared" si="28"/>
        <v>0</v>
      </c>
      <c r="Q42" s="622">
        <f t="shared" si="29"/>
        <v>0</v>
      </c>
      <c r="R42" s="622">
        <f t="shared" si="30"/>
        <v>0</v>
      </c>
      <c r="S42" s="622">
        <f t="shared" si="31"/>
        <v>0</v>
      </c>
      <c r="T42" s="622">
        <f t="shared" si="32"/>
        <v>0</v>
      </c>
      <c r="U42" s="622">
        <f t="shared" si="33"/>
        <v>0</v>
      </c>
      <c r="V42" s="622">
        <f t="shared" si="34"/>
        <v>0</v>
      </c>
      <c r="W42" s="622">
        <f t="shared" si="35"/>
        <v>0</v>
      </c>
      <c r="X42" s="622">
        <f t="shared" si="36"/>
        <v>0</v>
      </c>
      <c r="Y42" s="622">
        <f t="shared" si="37"/>
        <v>0</v>
      </c>
      <c r="Z42" s="622">
        <f t="shared" si="38"/>
        <v>0</v>
      </c>
      <c r="AA42" s="622">
        <f t="shared" si="39"/>
        <v>0</v>
      </c>
      <c r="AB42" s="622">
        <f t="shared" si="40"/>
        <v>0</v>
      </c>
      <c r="AC42" s="622">
        <f t="shared" si="41"/>
        <v>0</v>
      </c>
      <c r="AD42" s="622">
        <f t="shared" si="42"/>
        <v>0</v>
      </c>
      <c r="AE42" s="622">
        <f t="shared" si="43"/>
        <v>0</v>
      </c>
      <c r="AF42" s="622">
        <f t="shared" si="44"/>
        <v>0</v>
      </c>
      <c r="AG42" s="622">
        <f t="shared" si="45"/>
        <v>0</v>
      </c>
      <c r="AH42" s="622">
        <f t="shared" si="46"/>
        <v>0</v>
      </c>
      <c r="AI42" s="622">
        <f t="shared" si="47"/>
        <v>0</v>
      </c>
      <c r="AJ42" s="622">
        <f t="shared" si="48"/>
        <v>0</v>
      </c>
      <c r="AK42" s="622">
        <f t="shared" si="49"/>
        <v>0</v>
      </c>
      <c r="AL42" s="622">
        <f t="shared" si="50"/>
        <v>0</v>
      </c>
      <c r="AM42" s="622">
        <f t="shared" si="51"/>
        <v>0</v>
      </c>
      <c r="AN42" s="622">
        <f t="shared" si="52"/>
        <v>0</v>
      </c>
      <c r="AP42" s="39"/>
    </row>
    <row r="43" spans="2:42" ht="11.5" customHeight="1" x14ac:dyDescent="0.25">
      <c r="C43" s="21" t="s">
        <v>857</v>
      </c>
      <c r="D43" s="34" t="s">
        <v>46</v>
      </c>
      <c r="E43" s="376">
        <f>IF(E$46&lt;=$D32,$E32,0)*'1.1 Control Panel'!$E$965</f>
        <v>25</v>
      </c>
      <c r="F43" s="376">
        <f t="shared" si="18"/>
        <v>50</v>
      </c>
      <c r="G43" s="376">
        <f t="shared" si="19"/>
        <v>50</v>
      </c>
      <c r="H43" s="376">
        <f t="shared" si="20"/>
        <v>50</v>
      </c>
      <c r="I43" s="376">
        <f t="shared" si="21"/>
        <v>50</v>
      </c>
      <c r="J43" s="376">
        <f t="shared" si="22"/>
        <v>50</v>
      </c>
      <c r="K43" s="376">
        <f t="shared" si="23"/>
        <v>50</v>
      </c>
      <c r="L43" s="376">
        <f t="shared" si="24"/>
        <v>50</v>
      </c>
      <c r="M43" s="376">
        <f t="shared" si="25"/>
        <v>70.833333333333329</v>
      </c>
      <c r="N43" s="376">
        <f t="shared" si="26"/>
        <v>91.666666666666657</v>
      </c>
      <c r="O43" s="376">
        <f t="shared" si="27"/>
        <v>91.666666666666657</v>
      </c>
      <c r="P43" s="376">
        <f t="shared" si="28"/>
        <v>91.666666666666657</v>
      </c>
      <c r="Q43" s="376">
        <f t="shared" si="29"/>
        <v>179.16666666666666</v>
      </c>
      <c r="R43" s="376">
        <f t="shared" si="30"/>
        <v>266.66666666666663</v>
      </c>
      <c r="S43" s="376">
        <f t="shared" si="31"/>
        <v>266.66666666666663</v>
      </c>
      <c r="T43" s="376">
        <f t="shared" si="32"/>
        <v>266.66666666666663</v>
      </c>
      <c r="U43" s="376">
        <f t="shared" si="33"/>
        <v>308.33333333333331</v>
      </c>
      <c r="V43" s="376">
        <f t="shared" si="34"/>
        <v>349.99999999999994</v>
      </c>
      <c r="W43" s="376">
        <f t="shared" si="35"/>
        <v>349.99999999999994</v>
      </c>
      <c r="X43" s="376">
        <f t="shared" si="36"/>
        <v>349.99999999999994</v>
      </c>
      <c r="Y43" s="376">
        <f t="shared" si="37"/>
        <v>412.49999999999994</v>
      </c>
      <c r="Z43" s="376">
        <f t="shared" si="38"/>
        <v>474.99999999999994</v>
      </c>
      <c r="AA43" s="376">
        <f t="shared" si="39"/>
        <v>474.99999999999994</v>
      </c>
      <c r="AB43" s="376">
        <f t="shared" si="40"/>
        <v>474.99999999999994</v>
      </c>
      <c r="AC43" s="376">
        <f t="shared" si="41"/>
        <v>666.66666666666663</v>
      </c>
      <c r="AD43" s="376">
        <f t="shared" si="42"/>
        <v>858.33333333333326</v>
      </c>
      <c r="AE43" s="376">
        <f t="shared" si="43"/>
        <v>858.33333333333326</v>
      </c>
      <c r="AF43" s="376">
        <f t="shared" si="44"/>
        <v>858.33333333333326</v>
      </c>
      <c r="AG43" s="376">
        <f t="shared" si="45"/>
        <v>1066.6666666666665</v>
      </c>
      <c r="AH43" s="376">
        <f t="shared" si="46"/>
        <v>1275</v>
      </c>
      <c r="AI43" s="376">
        <f t="shared" si="47"/>
        <v>1275</v>
      </c>
      <c r="AJ43" s="376">
        <f t="shared" si="48"/>
        <v>1275</v>
      </c>
      <c r="AK43" s="376">
        <f t="shared" si="49"/>
        <v>1441.6666666666667</v>
      </c>
      <c r="AL43" s="376">
        <f t="shared" si="50"/>
        <v>1608.3333333333333</v>
      </c>
      <c r="AM43" s="376">
        <f t="shared" si="51"/>
        <v>1608.3333333333333</v>
      </c>
      <c r="AN43" s="376">
        <f t="shared" si="52"/>
        <v>1608.3333333333333</v>
      </c>
      <c r="AP43" s="21"/>
    </row>
    <row r="44" spans="2:42" ht="11.5" customHeight="1" x14ac:dyDescent="0.25">
      <c r="C44" s="21" t="s">
        <v>858</v>
      </c>
      <c r="D44" s="34" t="s">
        <v>46</v>
      </c>
      <c r="E44" s="376">
        <f>IF(E$46&lt;=$D33,$E33,0)*'1.1 Control Panel'!$E$965</f>
        <v>250</v>
      </c>
      <c r="F44" s="376">
        <f t="shared" si="18"/>
        <v>750</v>
      </c>
      <c r="G44" s="376">
        <f t="shared" si="19"/>
        <v>1250</v>
      </c>
      <c r="H44" s="376">
        <f t="shared" si="20"/>
        <v>1750</v>
      </c>
      <c r="I44" s="376">
        <f t="shared" si="21"/>
        <v>2250</v>
      </c>
      <c r="J44" s="376">
        <f t="shared" si="22"/>
        <v>2750</v>
      </c>
      <c r="K44" s="376">
        <f t="shared" si="23"/>
        <v>3250</v>
      </c>
      <c r="L44" s="376">
        <f t="shared" si="24"/>
        <v>3750</v>
      </c>
      <c r="M44" s="376">
        <f t="shared" si="25"/>
        <v>4458.333333333333</v>
      </c>
      <c r="N44" s="376">
        <f t="shared" si="26"/>
        <v>5375</v>
      </c>
      <c r="O44" s="376">
        <f t="shared" si="27"/>
        <v>6291.666666666667</v>
      </c>
      <c r="P44" s="376">
        <f t="shared" si="28"/>
        <v>7208.3333333333339</v>
      </c>
      <c r="Q44" s="376">
        <f t="shared" si="29"/>
        <v>8250.0000000000018</v>
      </c>
      <c r="R44" s="376">
        <f t="shared" si="30"/>
        <v>9916.6666666666679</v>
      </c>
      <c r="S44" s="376">
        <f t="shared" si="31"/>
        <v>11583.333333333334</v>
      </c>
      <c r="T44" s="376">
        <f t="shared" si="32"/>
        <v>13250</v>
      </c>
      <c r="U44" s="376">
        <f t="shared" si="33"/>
        <v>15333.333333333332</v>
      </c>
      <c r="V44" s="376">
        <f t="shared" si="34"/>
        <v>17833.333333333328</v>
      </c>
      <c r="W44" s="376">
        <f t="shared" si="35"/>
        <v>20333.333333333328</v>
      </c>
      <c r="X44" s="376">
        <f t="shared" si="36"/>
        <v>22833.333333333332</v>
      </c>
      <c r="Y44" s="376">
        <f t="shared" si="37"/>
        <v>25333.333333333332</v>
      </c>
      <c r="Z44" s="376">
        <f t="shared" si="38"/>
        <v>28250</v>
      </c>
      <c r="AA44" s="376">
        <f t="shared" si="39"/>
        <v>31166.666666666664</v>
      </c>
      <c r="AB44" s="376">
        <f t="shared" si="40"/>
        <v>34083.333333333328</v>
      </c>
      <c r="AC44" s="376">
        <f t="shared" si="41"/>
        <v>36791.666666666664</v>
      </c>
      <c r="AD44" s="376">
        <f t="shared" si="42"/>
        <v>40541.666666666664</v>
      </c>
      <c r="AE44" s="376">
        <f t="shared" si="43"/>
        <v>44291.666666666664</v>
      </c>
      <c r="AF44" s="376">
        <f t="shared" si="44"/>
        <v>48041.666666666664</v>
      </c>
      <c r="AG44" s="376">
        <f t="shared" si="45"/>
        <v>52624.999999999993</v>
      </c>
      <c r="AH44" s="376">
        <f t="shared" si="46"/>
        <v>58874.999999999993</v>
      </c>
      <c r="AI44" s="376">
        <f t="shared" si="47"/>
        <v>65125</v>
      </c>
      <c r="AJ44" s="376">
        <f t="shared" si="48"/>
        <v>71375</v>
      </c>
      <c r="AK44" s="376">
        <f t="shared" si="49"/>
        <v>77833.333333333343</v>
      </c>
      <c r="AL44" s="376">
        <f t="shared" si="50"/>
        <v>85333.333333333343</v>
      </c>
      <c r="AM44" s="376">
        <f t="shared" si="51"/>
        <v>92833.333333333328</v>
      </c>
      <c r="AN44" s="376">
        <f t="shared" si="52"/>
        <v>105999.99999999999</v>
      </c>
      <c r="AP44" s="21"/>
    </row>
    <row r="45" spans="2:42" ht="11.5" customHeight="1" x14ac:dyDescent="0.25">
      <c r="C45" s="27" t="s">
        <v>849</v>
      </c>
      <c r="D45" s="605" t="s">
        <v>46</v>
      </c>
      <c r="E45" s="377">
        <f>IF(E$46&lt;=$D34,$E34,0)*'1.1 Control Panel'!$E$965</f>
        <v>48.46450262725493</v>
      </c>
      <c r="F45" s="377">
        <f t="shared" ca="1" si="18"/>
        <v>128.11628522325987</v>
      </c>
      <c r="G45" s="377">
        <f t="shared" ca="1" si="19"/>
        <v>197.15135309825985</v>
      </c>
      <c r="H45" s="377">
        <f t="shared" ca="1" si="20"/>
        <v>277.98368821284316</v>
      </c>
      <c r="I45" s="377">
        <f t="shared" ca="1" si="21"/>
        <v>387.48091784825988</v>
      </c>
      <c r="J45" s="377">
        <f t="shared" ca="1" si="22"/>
        <v>554.72538575450994</v>
      </c>
      <c r="K45" s="377">
        <f t="shared" ca="1" si="23"/>
        <v>769.80182452117663</v>
      </c>
      <c r="L45" s="377">
        <f t="shared" ca="1" si="24"/>
        <v>1020.0826242511766</v>
      </c>
      <c r="M45" s="377">
        <f t="shared" ca="1" si="25"/>
        <v>1336.401862502493</v>
      </c>
      <c r="N45" s="377">
        <f t="shared" ca="1" si="26"/>
        <v>1719.4443488907593</v>
      </c>
      <c r="O45" s="377">
        <f t="shared" ca="1" si="27"/>
        <v>2162.1673151163327</v>
      </c>
      <c r="P45" s="377">
        <f t="shared" ca="1" si="28"/>
        <v>2680.8068308183219</v>
      </c>
      <c r="Q45" s="377">
        <f t="shared" ca="1" si="29"/>
        <v>3365.6132952105422</v>
      </c>
      <c r="R45" s="377">
        <f t="shared" ca="1" si="30"/>
        <v>4184.4880604212958</v>
      </c>
      <c r="S45" s="377">
        <f t="shared" ca="1" si="31"/>
        <v>5048.4033643082366</v>
      </c>
      <c r="T45" s="377">
        <f t="shared" ca="1" si="32"/>
        <v>5987.3461223646627</v>
      </c>
      <c r="U45" s="377">
        <f t="shared" ca="1" si="33"/>
        <v>7099.8380760029504</v>
      </c>
      <c r="V45" s="377">
        <f t="shared" ca="1" si="34"/>
        <v>8359.54499017954</v>
      </c>
      <c r="W45" s="377">
        <f t="shared" ca="1" si="35"/>
        <v>9684.7798735993583</v>
      </c>
      <c r="X45" s="377">
        <f t="shared" ca="1" si="36"/>
        <v>11111.60806935813</v>
      </c>
      <c r="Y45" s="377">
        <f t="shared" ca="1" si="37"/>
        <v>12658.959866866702</v>
      </c>
      <c r="Z45" s="377">
        <f t="shared" ca="1" si="38"/>
        <v>14327.641360496891</v>
      </c>
      <c r="AA45" s="377">
        <f t="shared" ca="1" si="39"/>
        <v>16100.818131417087</v>
      </c>
      <c r="AB45" s="377">
        <f t="shared" ca="1" si="40"/>
        <v>17984.863115879805</v>
      </c>
      <c r="AC45" s="377">
        <f t="shared" ca="1" si="41"/>
        <v>20247.828437124677</v>
      </c>
      <c r="AD45" s="377">
        <f t="shared" ca="1" si="42"/>
        <v>22804.381807477715</v>
      </c>
      <c r="AE45" s="377">
        <f t="shared" ca="1" si="43"/>
        <v>25328.913668864618</v>
      </c>
      <c r="AF45" s="377">
        <f t="shared" ca="1" si="44"/>
        <v>28084.932479763193</v>
      </c>
      <c r="AG45" s="377">
        <f t="shared" ca="1" si="45"/>
        <v>31148.117747386397</v>
      </c>
      <c r="AH45" s="377">
        <f t="shared" ca="1" si="46"/>
        <v>34528.479652020033</v>
      </c>
      <c r="AI45" s="377">
        <f t="shared" ca="1" si="47"/>
        <v>38050.414103013114</v>
      </c>
      <c r="AJ45" s="377">
        <f t="shared" ca="1" si="48"/>
        <v>41834.492092193912</v>
      </c>
      <c r="AK45" s="377">
        <f t="shared" ca="1" si="49"/>
        <v>46053.158580259464</v>
      </c>
      <c r="AL45" s="377">
        <f t="shared" ca="1" si="50"/>
        <v>50655.911888782648</v>
      </c>
      <c r="AM45" s="377">
        <f t="shared" ca="1" si="51"/>
        <v>55511.856610006886</v>
      </c>
      <c r="AN45" s="377">
        <f t="shared" ca="1" si="52"/>
        <v>63387.030798864595</v>
      </c>
      <c r="AP45" s="27"/>
    </row>
    <row r="46" spans="2:42" ht="11.5" customHeight="1" x14ac:dyDescent="0.25">
      <c r="E46" s="616">
        <v>1</v>
      </c>
      <c r="F46" s="616">
        <f>E46+1</f>
        <v>2</v>
      </c>
      <c r="G46" s="616">
        <f t="shared" ref="G46:AN46" si="53">F46+1</f>
        <v>3</v>
      </c>
      <c r="H46" s="616">
        <f t="shared" si="53"/>
        <v>4</v>
      </c>
      <c r="I46" s="616">
        <f t="shared" si="53"/>
        <v>5</v>
      </c>
      <c r="J46" s="616">
        <f t="shared" si="53"/>
        <v>6</v>
      </c>
      <c r="K46" s="616">
        <f t="shared" si="53"/>
        <v>7</v>
      </c>
      <c r="L46" s="616">
        <f t="shared" si="53"/>
        <v>8</v>
      </c>
      <c r="M46" s="616">
        <f t="shared" si="53"/>
        <v>9</v>
      </c>
      <c r="N46" s="616">
        <f t="shared" si="53"/>
        <v>10</v>
      </c>
      <c r="O46" s="616">
        <f t="shared" si="53"/>
        <v>11</v>
      </c>
      <c r="P46" s="616">
        <f t="shared" si="53"/>
        <v>12</v>
      </c>
      <c r="Q46" s="616">
        <f t="shared" si="53"/>
        <v>13</v>
      </c>
      <c r="R46" s="616">
        <f t="shared" si="53"/>
        <v>14</v>
      </c>
      <c r="S46" s="616">
        <f t="shared" si="53"/>
        <v>15</v>
      </c>
      <c r="T46" s="616">
        <f t="shared" si="53"/>
        <v>16</v>
      </c>
      <c r="U46" s="616">
        <f t="shared" si="53"/>
        <v>17</v>
      </c>
      <c r="V46" s="616">
        <f t="shared" si="53"/>
        <v>18</v>
      </c>
      <c r="W46" s="616">
        <f t="shared" si="53"/>
        <v>19</v>
      </c>
      <c r="X46" s="616">
        <f t="shared" si="53"/>
        <v>20</v>
      </c>
      <c r="Y46" s="616">
        <f t="shared" si="53"/>
        <v>21</v>
      </c>
      <c r="Z46" s="616">
        <f t="shared" si="53"/>
        <v>22</v>
      </c>
      <c r="AA46" s="616">
        <f t="shared" si="53"/>
        <v>23</v>
      </c>
      <c r="AB46" s="616">
        <f t="shared" si="53"/>
        <v>24</v>
      </c>
      <c r="AC46" s="616">
        <f t="shared" si="53"/>
        <v>25</v>
      </c>
      <c r="AD46" s="616">
        <f t="shared" si="53"/>
        <v>26</v>
      </c>
      <c r="AE46" s="616">
        <f t="shared" si="53"/>
        <v>27</v>
      </c>
      <c r="AF46" s="616">
        <f t="shared" si="53"/>
        <v>28</v>
      </c>
      <c r="AG46" s="616">
        <f t="shared" si="53"/>
        <v>29</v>
      </c>
      <c r="AH46" s="616">
        <f t="shared" si="53"/>
        <v>30</v>
      </c>
      <c r="AI46" s="616">
        <f t="shared" si="53"/>
        <v>31</v>
      </c>
      <c r="AJ46" s="616">
        <f t="shared" si="53"/>
        <v>32</v>
      </c>
      <c r="AK46" s="616">
        <f t="shared" si="53"/>
        <v>33</v>
      </c>
      <c r="AL46" s="616">
        <f t="shared" si="53"/>
        <v>34</v>
      </c>
      <c r="AM46" s="616">
        <f t="shared" si="53"/>
        <v>35</v>
      </c>
      <c r="AN46" s="616">
        <f t="shared" si="53"/>
        <v>36</v>
      </c>
    </row>
    <row r="47" spans="2:42" ht="11.5" customHeight="1" x14ac:dyDescent="0.25">
      <c r="E47" s="616"/>
      <c r="F47" s="616">
        <v>1</v>
      </c>
      <c r="G47" s="616">
        <f>F47+1</f>
        <v>2</v>
      </c>
      <c r="H47" s="616">
        <f t="shared" ref="H47:AN47" si="54">G47+1</f>
        <v>3</v>
      </c>
      <c r="I47" s="616">
        <f t="shared" si="54"/>
        <v>4</v>
      </c>
      <c r="J47" s="616">
        <f t="shared" si="54"/>
        <v>5</v>
      </c>
      <c r="K47" s="616">
        <f t="shared" si="54"/>
        <v>6</v>
      </c>
      <c r="L47" s="616">
        <f t="shared" si="54"/>
        <v>7</v>
      </c>
      <c r="M47" s="616">
        <f t="shared" si="54"/>
        <v>8</v>
      </c>
      <c r="N47" s="616">
        <f t="shared" si="54"/>
        <v>9</v>
      </c>
      <c r="O47" s="616">
        <f t="shared" si="54"/>
        <v>10</v>
      </c>
      <c r="P47" s="616">
        <f t="shared" si="54"/>
        <v>11</v>
      </c>
      <c r="Q47" s="616">
        <f t="shared" si="54"/>
        <v>12</v>
      </c>
      <c r="R47" s="616">
        <f t="shared" si="54"/>
        <v>13</v>
      </c>
      <c r="S47" s="616">
        <f t="shared" si="54"/>
        <v>14</v>
      </c>
      <c r="T47" s="616">
        <f t="shared" si="54"/>
        <v>15</v>
      </c>
      <c r="U47" s="616">
        <f t="shared" si="54"/>
        <v>16</v>
      </c>
      <c r="V47" s="616">
        <f t="shared" si="54"/>
        <v>17</v>
      </c>
      <c r="W47" s="616">
        <f t="shared" si="54"/>
        <v>18</v>
      </c>
      <c r="X47" s="616">
        <f t="shared" si="54"/>
        <v>19</v>
      </c>
      <c r="Y47" s="616">
        <f t="shared" si="54"/>
        <v>20</v>
      </c>
      <c r="Z47" s="616">
        <f t="shared" si="54"/>
        <v>21</v>
      </c>
      <c r="AA47" s="616">
        <f t="shared" si="54"/>
        <v>22</v>
      </c>
      <c r="AB47" s="616">
        <f t="shared" si="54"/>
        <v>23</v>
      </c>
      <c r="AC47" s="616">
        <f t="shared" si="54"/>
        <v>24</v>
      </c>
      <c r="AD47" s="616">
        <f t="shared" si="54"/>
        <v>25</v>
      </c>
      <c r="AE47" s="616">
        <f t="shared" si="54"/>
        <v>26</v>
      </c>
      <c r="AF47" s="616">
        <f t="shared" si="54"/>
        <v>27</v>
      </c>
      <c r="AG47" s="616">
        <f t="shared" si="54"/>
        <v>28</v>
      </c>
      <c r="AH47" s="616">
        <f t="shared" si="54"/>
        <v>29</v>
      </c>
      <c r="AI47" s="616">
        <f t="shared" si="54"/>
        <v>30</v>
      </c>
      <c r="AJ47" s="616">
        <f t="shared" si="54"/>
        <v>31</v>
      </c>
      <c r="AK47" s="616">
        <f t="shared" si="54"/>
        <v>32</v>
      </c>
      <c r="AL47" s="616">
        <f t="shared" si="54"/>
        <v>33</v>
      </c>
      <c r="AM47" s="616">
        <f t="shared" si="54"/>
        <v>34</v>
      </c>
      <c r="AN47" s="616">
        <f t="shared" si="54"/>
        <v>35</v>
      </c>
    </row>
    <row r="48" spans="2:42" ht="11.5" customHeight="1" x14ac:dyDescent="0.25">
      <c r="E48" s="616"/>
      <c r="F48" s="616"/>
      <c r="G48" s="616">
        <v>1</v>
      </c>
      <c r="H48" s="616">
        <f>G48+1</f>
        <v>2</v>
      </c>
      <c r="I48" s="616">
        <f>H48+1</f>
        <v>3</v>
      </c>
      <c r="J48" s="616">
        <f>I48+1</f>
        <v>4</v>
      </c>
      <c r="K48" s="616">
        <f>J48+1</f>
        <v>5</v>
      </c>
      <c r="L48" s="616">
        <f>L49+1</f>
        <v>6</v>
      </c>
      <c r="M48" s="616">
        <v>7</v>
      </c>
      <c r="N48" s="616">
        <v>8</v>
      </c>
      <c r="O48" s="616">
        <v>9</v>
      </c>
      <c r="P48" s="616">
        <v>10</v>
      </c>
      <c r="Q48" s="616">
        <f t="shared" ref="Q48:AN48" si="55">Q47-1</f>
        <v>11</v>
      </c>
      <c r="R48" s="616">
        <f t="shared" si="55"/>
        <v>12</v>
      </c>
      <c r="S48" s="616">
        <f t="shared" si="55"/>
        <v>13</v>
      </c>
      <c r="T48" s="616">
        <f t="shared" si="55"/>
        <v>14</v>
      </c>
      <c r="U48" s="616">
        <f t="shared" si="55"/>
        <v>15</v>
      </c>
      <c r="V48" s="616">
        <f t="shared" si="55"/>
        <v>16</v>
      </c>
      <c r="W48" s="616">
        <f t="shared" si="55"/>
        <v>17</v>
      </c>
      <c r="X48" s="616">
        <f t="shared" si="55"/>
        <v>18</v>
      </c>
      <c r="Y48" s="616">
        <f t="shared" si="55"/>
        <v>19</v>
      </c>
      <c r="Z48" s="616">
        <f t="shared" si="55"/>
        <v>20</v>
      </c>
      <c r="AA48" s="616">
        <f t="shared" si="55"/>
        <v>21</v>
      </c>
      <c r="AB48" s="616">
        <f t="shared" si="55"/>
        <v>22</v>
      </c>
      <c r="AC48" s="616">
        <f t="shared" si="55"/>
        <v>23</v>
      </c>
      <c r="AD48" s="616">
        <f t="shared" si="55"/>
        <v>24</v>
      </c>
      <c r="AE48" s="616">
        <f t="shared" si="55"/>
        <v>25</v>
      </c>
      <c r="AF48" s="616">
        <f t="shared" si="55"/>
        <v>26</v>
      </c>
      <c r="AG48" s="616">
        <f t="shared" si="55"/>
        <v>27</v>
      </c>
      <c r="AH48" s="616">
        <f t="shared" si="55"/>
        <v>28</v>
      </c>
      <c r="AI48" s="616">
        <f t="shared" si="55"/>
        <v>29</v>
      </c>
      <c r="AJ48" s="616">
        <f t="shared" si="55"/>
        <v>30</v>
      </c>
      <c r="AK48" s="616">
        <f t="shared" si="55"/>
        <v>31</v>
      </c>
      <c r="AL48" s="616">
        <f t="shared" si="55"/>
        <v>32</v>
      </c>
      <c r="AM48" s="616">
        <f t="shared" si="55"/>
        <v>33</v>
      </c>
      <c r="AN48" s="616">
        <f t="shared" si="55"/>
        <v>34</v>
      </c>
    </row>
    <row r="49" spans="5:40" ht="11.5" customHeight="1" x14ac:dyDescent="0.25">
      <c r="E49" s="616"/>
      <c r="F49" s="616"/>
      <c r="G49" s="616"/>
      <c r="H49" s="616">
        <v>1</v>
      </c>
      <c r="I49" s="616">
        <f>H49+1</f>
        <v>2</v>
      </c>
      <c r="J49" s="616">
        <f>I49+1</f>
        <v>3</v>
      </c>
      <c r="K49" s="616">
        <f>J49+1</f>
        <v>4</v>
      </c>
      <c r="L49" s="616">
        <f>K49+1</f>
        <v>5</v>
      </c>
      <c r="M49" s="616">
        <f>M50+1</f>
        <v>6</v>
      </c>
      <c r="N49" s="616">
        <v>7</v>
      </c>
      <c r="O49" s="616">
        <v>8</v>
      </c>
      <c r="P49" s="616">
        <v>9</v>
      </c>
      <c r="Q49" s="616">
        <f t="shared" ref="Q49:Q58" si="56">Q48-1</f>
        <v>10</v>
      </c>
      <c r="R49" s="616">
        <f t="shared" ref="R49:R59" si="57">R48-1</f>
        <v>11</v>
      </c>
      <c r="S49" s="616">
        <f t="shared" ref="S49:S60" si="58">S48-1</f>
        <v>12</v>
      </c>
      <c r="T49" s="616">
        <f t="shared" ref="T49:T61" si="59">T48-1</f>
        <v>13</v>
      </c>
      <c r="U49" s="616">
        <f t="shared" ref="U49:U62" si="60">U48-1</f>
        <v>14</v>
      </c>
      <c r="V49" s="616">
        <f t="shared" ref="V49:V63" si="61">V48-1</f>
        <v>15</v>
      </c>
      <c r="W49" s="616">
        <f t="shared" ref="W49:W64" si="62">W48-1</f>
        <v>16</v>
      </c>
      <c r="X49" s="616">
        <f t="shared" ref="X49:X65" si="63">X48-1</f>
        <v>17</v>
      </c>
      <c r="Y49" s="616">
        <f t="shared" ref="Y49:Y66" si="64">Y48-1</f>
        <v>18</v>
      </c>
      <c r="Z49" s="616">
        <f t="shared" ref="Z49:Z67" si="65">Z48-1</f>
        <v>19</v>
      </c>
      <c r="AA49" s="616">
        <f t="shared" ref="AA49:AA68" si="66">AA48-1</f>
        <v>20</v>
      </c>
      <c r="AB49" s="616">
        <f t="shared" ref="AB49:AB69" si="67">AB48-1</f>
        <v>21</v>
      </c>
      <c r="AC49" s="616">
        <f t="shared" ref="AC49:AC70" si="68">AC48-1</f>
        <v>22</v>
      </c>
      <c r="AD49" s="616">
        <f t="shared" ref="AD49:AD71" si="69">AD48-1</f>
        <v>23</v>
      </c>
      <c r="AE49" s="616">
        <f t="shared" ref="AE49:AE72" si="70">AE48-1</f>
        <v>24</v>
      </c>
      <c r="AF49" s="616">
        <f t="shared" ref="AF49:AF73" si="71">AF48-1</f>
        <v>25</v>
      </c>
      <c r="AG49" s="616">
        <f t="shared" ref="AG49:AN81" si="72">AG48-1</f>
        <v>26</v>
      </c>
      <c r="AH49" s="616">
        <f t="shared" si="72"/>
        <v>27</v>
      </c>
      <c r="AI49" s="616">
        <f t="shared" si="72"/>
        <v>28</v>
      </c>
      <c r="AJ49" s="616">
        <f t="shared" si="72"/>
        <v>29</v>
      </c>
      <c r="AK49" s="616">
        <f t="shared" si="72"/>
        <v>30</v>
      </c>
      <c r="AL49" s="616">
        <f t="shared" si="72"/>
        <v>31</v>
      </c>
      <c r="AM49" s="616">
        <f t="shared" si="72"/>
        <v>32</v>
      </c>
      <c r="AN49" s="616">
        <f t="shared" si="72"/>
        <v>33</v>
      </c>
    </row>
    <row r="50" spans="5:40" ht="11.5" customHeight="1" x14ac:dyDescent="0.25">
      <c r="E50" s="616"/>
      <c r="F50" s="616"/>
      <c r="G50" s="616"/>
      <c r="H50" s="616"/>
      <c r="I50" s="616">
        <v>1</v>
      </c>
      <c r="J50" s="616">
        <f>I50+1</f>
        <v>2</v>
      </c>
      <c r="K50" s="616">
        <f>J50+1</f>
        <v>3</v>
      </c>
      <c r="L50" s="616">
        <f>K50+1</f>
        <v>4</v>
      </c>
      <c r="M50" s="616">
        <f>L50+1</f>
        <v>5</v>
      </c>
      <c r="N50" s="616">
        <f>N51+1</f>
        <v>6</v>
      </c>
      <c r="O50" s="616">
        <v>7</v>
      </c>
      <c r="P50" s="616">
        <v>8</v>
      </c>
      <c r="Q50" s="616">
        <f t="shared" si="56"/>
        <v>9</v>
      </c>
      <c r="R50" s="616">
        <f t="shared" si="57"/>
        <v>10</v>
      </c>
      <c r="S50" s="616">
        <f t="shared" si="58"/>
        <v>11</v>
      </c>
      <c r="T50" s="616">
        <f t="shared" si="59"/>
        <v>12</v>
      </c>
      <c r="U50" s="616">
        <f t="shared" si="60"/>
        <v>13</v>
      </c>
      <c r="V50" s="616">
        <f t="shared" si="61"/>
        <v>14</v>
      </c>
      <c r="W50" s="616">
        <f t="shared" si="62"/>
        <v>15</v>
      </c>
      <c r="X50" s="616">
        <f t="shared" si="63"/>
        <v>16</v>
      </c>
      <c r="Y50" s="616">
        <f t="shared" si="64"/>
        <v>17</v>
      </c>
      <c r="Z50" s="616">
        <f t="shared" si="65"/>
        <v>18</v>
      </c>
      <c r="AA50" s="616">
        <f t="shared" si="66"/>
        <v>19</v>
      </c>
      <c r="AB50" s="616">
        <f t="shared" si="67"/>
        <v>20</v>
      </c>
      <c r="AC50" s="616">
        <f t="shared" si="68"/>
        <v>21</v>
      </c>
      <c r="AD50" s="616">
        <f t="shared" si="69"/>
        <v>22</v>
      </c>
      <c r="AE50" s="616">
        <f t="shared" si="70"/>
        <v>23</v>
      </c>
      <c r="AF50" s="616">
        <f t="shared" si="71"/>
        <v>24</v>
      </c>
      <c r="AG50" s="616">
        <f t="shared" si="72"/>
        <v>25</v>
      </c>
      <c r="AH50" s="616">
        <f t="shared" si="72"/>
        <v>26</v>
      </c>
      <c r="AI50" s="616">
        <f t="shared" si="72"/>
        <v>27</v>
      </c>
      <c r="AJ50" s="616">
        <f t="shared" si="72"/>
        <v>28</v>
      </c>
      <c r="AK50" s="616">
        <f t="shared" si="72"/>
        <v>29</v>
      </c>
      <c r="AL50" s="616">
        <f t="shared" si="72"/>
        <v>30</v>
      </c>
      <c r="AM50" s="616">
        <f t="shared" si="72"/>
        <v>31</v>
      </c>
      <c r="AN50" s="616">
        <f t="shared" si="72"/>
        <v>32</v>
      </c>
    </row>
    <row r="51" spans="5:40" ht="11.5" customHeight="1" x14ac:dyDescent="0.25">
      <c r="G51" s="616"/>
      <c r="H51" s="616"/>
      <c r="I51" s="616"/>
      <c r="J51" s="616">
        <v>1</v>
      </c>
      <c r="K51" s="616">
        <f>J51+1</f>
        <v>2</v>
      </c>
      <c r="L51" s="616">
        <f>K51+1</f>
        <v>3</v>
      </c>
      <c r="M51" s="616">
        <f>L51+1</f>
        <v>4</v>
      </c>
      <c r="N51" s="616">
        <f>M51+1</f>
        <v>5</v>
      </c>
      <c r="O51" s="616">
        <f>O52+1</f>
        <v>6</v>
      </c>
      <c r="P51" s="616">
        <v>7</v>
      </c>
      <c r="Q51" s="616">
        <f t="shared" si="56"/>
        <v>8</v>
      </c>
      <c r="R51" s="616">
        <f t="shared" si="57"/>
        <v>9</v>
      </c>
      <c r="S51" s="616">
        <f t="shared" si="58"/>
        <v>10</v>
      </c>
      <c r="T51" s="616">
        <f t="shared" si="59"/>
        <v>11</v>
      </c>
      <c r="U51" s="616">
        <f t="shared" si="60"/>
        <v>12</v>
      </c>
      <c r="V51" s="616">
        <f t="shared" si="61"/>
        <v>13</v>
      </c>
      <c r="W51" s="616">
        <f t="shared" si="62"/>
        <v>14</v>
      </c>
      <c r="X51" s="616">
        <f t="shared" si="63"/>
        <v>15</v>
      </c>
      <c r="Y51" s="616">
        <f t="shared" si="64"/>
        <v>16</v>
      </c>
      <c r="Z51" s="616">
        <f t="shared" si="65"/>
        <v>17</v>
      </c>
      <c r="AA51" s="616">
        <f t="shared" si="66"/>
        <v>18</v>
      </c>
      <c r="AB51" s="616">
        <f t="shared" si="67"/>
        <v>19</v>
      </c>
      <c r="AC51" s="616">
        <f t="shared" si="68"/>
        <v>20</v>
      </c>
      <c r="AD51" s="616">
        <f t="shared" si="69"/>
        <v>21</v>
      </c>
      <c r="AE51" s="616">
        <f t="shared" si="70"/>
        <v>22</v>
      </c>
      <c r="AF51" s="616">
        <f t="shared" si="71"/>
        <v>23</v>
      </c>
      <c r="AG51" s="616">
        <f t="shared" si="72"/>
        <v>24</v>
      </c>
      <c r="AH51" s="616">
        <f t="shared" si="72"/>
        <v>25</v>
      </c>
      <c r="AI51" s="616">
        <f t="shared" si="72"/>
        <v>26</v>
      </c>
      <c r="AJ51" s="616">
        <f t="shared" si="72"/>
        <v>27</v>
      </c>
      <c r="AK51" s="616">
        <f t="shared" si="72"/>
        <v>28</v>
      </c>
      <c r="AL51" s="616">
        <f t="shared" si="72"/>
        <v>29</v>
      </c>
      <c r="AM51" s="616">
        <f t="shared" si="72"/>
        <v>30</v>
      </c>
      <c r="AN51" s="616">
        <f t="shared" si="72"/>
        <v>31</v>
      </c>
    </row>
    <row r="52" spans="5:40" ht="11.5" customHeight="1" x14ac:dyDescent="0.25">
      <c r="G52" s="616"/>
      <c r="H52" s="616"/>
      <c r="I52" s="616"/>
      <c r="J52" s="616"/>
      <c r="K52" s="616">
        <v>1</v>
      </c>
      <c r="L52" s="616">
        <f>K52+1</f>
        <v>2</v>
      </c>
      <c r="M52" s="616">
        <f>L52+1</f>
        <v>3</v>
      </c>
      <c r="N52" s="616">
        <f>M52+1</f>
        <v>4</v>
      </c>
      <c r="O52" s="616">
        <f>N52+1</f>
        <v>5</v>
      </c>
      <c r="P52" s="616">
        <f>P53+1</f>
        <v>6</v>
      </c>
      <c r="Q52" s="616">
        <f t="shared" si="56"/>
        <v>7</v>
      </c>
      <c r="R52" s="616">
        <f t="shared" si="57"/>
        <v>8</v>
      </c>
      <c r="S52" s="616">
        <f t="shared" si="58"/>
        <v>9</v>
      </c>
      <c r="T52" s="616">
        <f t="shared" si="59"/>
        <v>10</v>
      </c>
      <c r="U52" s="616">
        <f t="shared" si="60"/>
        <v>11</v>
      </c>
      <c r="V52" s="616">
        <f t="shared" si="61"/>
        <v>12</v>
      </c>
      <c r="W52" s="616">
        <f t="shared" si="62"/>
        <v>13</v>
      </c>
      <c r="X52" s="616">
        <f t="shared" si="63"/>
        <v>14</v>
      </c>
      <c r="Y52" s="616">
        <f t="shared" si="64"/>
        <v>15</v>
      </c>
      <c r="Z52" s="616">
        <f t="shared" si="65"/>
        <v>16</v>
      </c>
      <c r="AA52" s="616">
        <f t="shared" si="66"/>
        <v>17</v>
      </c>
      <c r="AB52" s="616">
        <f t="shared" si="67"/>
        <v>18</v>
      </c>
      <c r="AC52" s="616">
        <f t="shared" si="68"/>
        <v>19</v>
      </c>
      <c r="AD52" s="616">
        <f t="shared" si="69"/>
        <v>20</v>
      </c>
      <c r="AE52" s="616">
        <f t="shared" si="70"/>
        <v>21</v>
      </c>
      <c r="AF52" s="616">
        <f t="shared" si="71"/>
        <v>22</v>
      </c>
      <c r="AG52" s="616">
        <f t="shared" si="72"/>
        <v>23</v>
      </c>
      <c r="AH52" s="616">
        <f t="shared" si="72"/>
        <v>24</v>
      </c>
      <c r="AI52" s="616">
        <f t="shared" si="72"/>
        <v>25</v>
      </c>
      <c r="AJ52" s="616">
        <f t="shared" si="72"/>
        <v>26</v>
      </c>
      <c r="AK52" s="616">
        <f t="shared" si="72"/>
        <v>27</v>
      </c>
      <c r="AL52" s="616">
        <f t="shared" si="72"/>
        <v>28</v>
      </c>
      <c r="AM52" s="616">
        <f t="shared" si="72"/>
        <v>29</v>
      </c>
      <c r="AN52" s="616">
        <f t="shared" si="72"/>
        <v>30</v>
      </c>
    </row>
    <row r="53" spans="5:40" ht="11.5" customHeight="1" x14ac:dyDescent="0.25">
      <c r="G53" s="616"/>
      <c r="H53" s="616"/>
      <c r="I53" s="616"/>
      <c r="J53" s="616"/>
      <c r="K53" s="616"/>
      <c r="L53" s="616">
        <v>1</v>
      </c>
      <c r="M53" s="616">
        <f>L53+1</f>
        <v>2</v>
      </c>
      <c r="N53" s="616">
        <f>M53+1</f>
        <v>3</v>
      </c>
      <c r="O53" s="616">
        <f>N53+1</f>
        <v>4</v>
      </c>
      <c r="P53" s="616">
        <f>O53+1</f>
        <v>5</v>
      </c>
      <c r="Q53" s="616">
        <f t="shared" si="56"/>
        <v>6</v>
      </c>
      <c r="R53" s="616">
        <f t="shared" si="57"/>
        <v>7</v>
      </c>
      <c r="S53" s="616">
        <f t="shared" si="58"/>
        <v>8</v>
      </c>
      <c r="T53" s="616">
        <f t="shared" si="59"/>
        <v>9</v>
      </c>
      <c r="U53" s="616">
        <f t="shared" si="60"/>
        <v>10</v>
      </c>
      <c r="V53" s="616">
        <f t="shared" si="61"/>
        <v>11</v>
      </c>
      <c r="W53" s="616">
        <f t="shared" si="62"/>
        <v>12</v>
      </c>
      <c r="X53" s="616">
        <f t="shared" si="63"/>
        <v>13</v>
      </c>
      <c r="Y53" s="616">
        <f t="shared" si="64"/>
        <v>14</v>
      </c>
      <c r="Z53" s="616">
        <f t="shared" si="65"/>
        <v>15</v>
      </c>
      <c r="AA53" s="616">
        <f t="shared" si="66"/>
        <v>16</v>
      </c>
      <c r="AB53" s="616">
        <f t="shared" si="67"/>
        <v>17</v>
      </c>
      <c r="AC53" s="616">
        <f t="shared" si="68"/>
        <v>18</v>
      </c>
      <c r="AD53" s="616">
        <f t="shared" si="69"/>
        <v>19</v>
      </c>
      <c r="AE53" s="616">
        <f t="shared" si="70"/>
        <v>20</v>
      </c>
      <c r="AF53" s="616">
        <f t="shared" si="71"/>
        <v>21</v>
      </c>
      <c r="AG53" s="616">
        <f t="shared" si="72"/>
        <v>22</v>
      </c>
      <c r="AH53" s="616">
        <f t="shared" si="72"/>
        <v>23</v>
      </c>
      <c r="AI53" s="616">
        <f t="shared" si="72"/>
        <v>24</v>
      </c>
      <c r="AJ53" s="616">
        <f t="shared" si="72"/>
        <v>25</v>
      </c>
      <c r="AK53" s="616">
        <f t="shared" si="72"/>
        <v>26</v>
      </c>
      <c r="AL53" s="616">
        <f t="shared" si="72"/>
        <v>27</v>
      </c>
      <c r="AM53" s="616">
        <f t="shared" si="72"/>
        <v>28</v>
      </c>
      <c r="AN53" s="616">
        <f t="shared" si="72"/>
        <v>29</v>
      </c>
    </row>
    <row r="54" spans="5:40" ht="11.5" customHeight="1" x14ac:dyDescent="0.25">
      <c r="G54" s="616"/>
      <c r="H54" s="616"/>
      <c r="I54" s="616"/>
      <c r="J54" s="616"/>
      <c r="K54" s="616"/>
      <c r="L54" s="616"/>
      <c r="M54" s="616">
        <v>1</v>
      </c>
      <c r="N54" s="616">
        <f>M54+1</f>
        <v>2</v>
      </c>
      <c r="O54" s="616">
        <f>N54+1</f>
        <v>3</v>
      </c>
      <c r="P54" s="616">
        <f>O54+1</f>
        <v>4</v>
      </c>
      <c r="Q54" s="616">
        <f t="shared" si="56"/>
        <v>5</v>
      </c>
      <c r="R54" s="616">
        <f t="shared" si="57"/>
        <v>6</v>
      </c>
      <c r="S54" s="616">
        <f t="shared" si="58"/>
        <v>7</v>
      </c>
      <c r="T54" s="616">
        <f t="shared" si="59"/>
        <v>8</v>
      </c>
      <c r="U54" s="616">
        <f t="shared" si="60"/>
        <v>9</v>
      </c>
      <c r="V54" s="616">
        <f t="shared" si="61"/>
        <v>10</v>
      </c>
      <c r="W54" s="616">
        <f t="shared" si="62"/>
        <v>11</v>
      </c>
      <c r="X54" s="616">
        <f t="shared" si="63"/>
        <v>12</v>
      </c>
      <c r="Y54" s="616">
        <f t="shared" si="64"/>
        <v>13</v>
      </c>
      <c r="Z54" s="616">
        <f t="shared" si="65"/>
        <v>14</v>
      </c>
      <c r="AA54" s="616">
        <f t="shared" si="66"/>
        <v>15</v>
      </c>
      <c r="AB54" s="616">
        <f t="shared" si="67"/>
        <v>16</v>
      </c>
      <c r="AC54" s="616">
        <f t="shared" si="68"/>
        <v>17</v>
      </c>
      <c r="AD54" s="616">
        <f t="shared" si="69"/>
        <v>18</v>
      </c>
      <c r="AE54" s="616">
        <f t="shared" si="70"/>
        <v>19</v>
      </c>
      <c r="AF54" s="616">
        <f t="shared" si="71"/>
        <v>20</v>
      </c>
      <c r="AG54" s="616">
        <f t="shared" si="72"/>
        <v>21</v>
      </c>
      <c r="AH54" s="616">
        <f t="shared" si="72"/>
        <v>22</v>
      </c>
      <c r="AI54" s="616">
        <f t="shared" si="72"/>
        <v>23</v>
      </c>
      <c r="AJ54" s="616">
        <f t="shared" si="72"/>
        <v>24</v>
      </c>
      <c r="AK54" s="616">
        <f t="shared" si="72"/>
        <v>25</v>
      </c>
      <c r="AL54" s="616">
        <f t="shared" si="72"/>
        <v>26</v>
      </c>
      <c r="AM54" s="616">
        <f t="shared" si="72"/>
        <v>27</v>
      </c>
      <c r="AN54" s="616">
        <f t="shared" si="72"/>
        <v>28</v>
      </c>
    </row>
    <row r="55" spans="5:40" ht="11.5" customHeight="1" x14ac:dyDescent="0.25">
      <c r="G55" s="616"/>
      <c r="H55" s="616"/>
      <c r="I55" s="616"/>
      <c r="J55" s="616"/>
      <c r="K55" s="616"/>
      <c r="L55" s="616"/>
      <c r="M55" s="616"/>
      <c r="N55" s="616">
        <v>1</v>
      </c>
      <c r="O55" s="616">
        <f>N55+1</f>
        <v>2</v>
      </c>
      <c r="P55" s="616">
        <f>O55+1</f>
        <v>3</v>
      </c>
      <c r="Q55" s="616">
        <f t="shared" si="56"/>
        <v>4</v>
      </c>
      <c r="R55" s="616">
        <f t="shared" si="57"/>
        <v>5</v>
      </c>
      <c r="S55" s="616">
        <f t="shared" si="58"/>
        <v>6</v>
      </c>
      <c r="T55" s="616">
        <f t="shared" si="59"/>
        <v>7</v>
      </c>
      <c r="U55" s="616">
        <f t="shared" si="60"/>
        <v>8</v>
      </c>
      <c r="V55" s="616">
        <f t="shared" si="61"/>
        <v>9</v>
      </c>
      <c r="W55" s="616">
        <f t="shared" si="62"/>
        <v>10</v>
      </c>
      <c r="X55" s="616">
        <f t="shared" si="63"/>
        <v>11</v>
      </c>
      <c r="Y55" s="616">
        <f t="shared" si="64"/>
        <v>12</v>
      </c>
      <c r="Z55" s="616">
        <f t="shared" si="65"/>
        <v>13</v>
      </c>
      <c r="AA55" s="616">
        <f t="shared" si="66"/>
        <v>14</v>
      </c>
      <c r="AB55" s="616">
        <f t="shared" si="67"/>
        <v>15</v>
      </c>
      <c r="AC55" s="616">
        <f t="shared" si="68"/>
        <v>16</v>
      </c>
      <c r="AD55" s="616">
        <f t="shared" si="69"/>
        <v>17</v>
      </c>
      <c r="AE55" s="616">
        <f t="shared" si="70"/>
        <v>18</v>
      </c>
      <c r="AF55" s="616">
        <f t="shared" si="71"/>
        <v>19</v>
      </c>
      <c r="AG55" s="616">
        <f t="shared" si="72"/>
        <v>20</v>
      </c>
      <c r="AH55" s="616">
        <f t="shared" si="72"/>
        <v>21</v>
      </c>
      <c r="AI55" s="616">
        <f t="shared" si="72"/>
        <v>22</v>
      </c>
      <c r="AJ55" s="616">
        <f t="shared" si="72"/>
        <v>23</v>
      </c>
      <c r="AK55" s="616">
        <f t="shared" si="72"/>
        <v>24</v>
      </c>
      <c r="AL55" s="616">
        <f t="shared" si="72"/>
        <v>25</v>
      </c>
      <c r="AM55" s="616">
        <f t="shared" si="72"/>
        <v>26</v>
      </c>
      <c r="AN55" s="616">
        <f t="shared" si="72"/>
        <v>27</v>
      </c>
    </row>
    <row r="56" spans="5:40" ht="11.5" customHeight="1" x14ac:dyDescent="0.25">
      <c r="G56" s="616"/>
      <c r="H56" s="616"/>
      <c r="I56" s="616"/>
      <c r="J56" s="616"/>
      <c r="K56" s="616"/>
      <c r="L56" s="616"/>
      <c r="M56" s="616"/>
      <c r="N56" s="616"/>
      <c r="O56" s="616">
        <v>1</v>
      </c>
      <c r="P56" s="616">
        <f>O56+1</f>
        <v>2</v>
      </c>
      <c r="Q56" s="616">
        <f t="shared" si="56"/>
        <v>3</v>
      </c>
      <c r="R56" s="616">
        <f t="shared" si="57"/>
        <v>4</v>
      </c>
      <c r="S56" s="616">
        <f t="shared" si="58"/>
        <v>5</v>
      </c>
      <c r="T56" s="616">
        <f t="shared" si="59"/>
        <v>6</v>
      </c>
      <c r="U56" s="616">
        <f t="shared" si="60"/>
        <v>7</v>
      </c>
      <c r="V56" s="616">
        <f t="shared" si="61"/>
        <v>8</v>
      </c>
      <c r="W56" s="616">
        <f t="shared" si="62"/>
        <v>9</v>
      </c>
      <c r="X56" s="616">
        <f t="shared" si="63"/>
        <v>10</v>
      </c>
      <c r="Y56" s="616">
        <f t="shared" si="64"/>
        <v>11</v>
      </c>
      <c r="Z56" s="616">
        <f t="shared" si="65"/>
        <v>12</v>
      </c>
      <c r="AA56" s="616">
        <f t="shared" si="66"/>
        <v>13</v>
      </c>
      <c r="AB56" s="616">
        <f t="shared" si="67"/>
        <v>14</v>
      </c>
      <c r="AC56" s="616">
        <f t="shared" si="68"/>
        <v>15</v>
      </c>
      <c r="AD56" s="616">
        <f t="shared" si="69"/>
        <v>16</v>
      </c>
      <c r="AE56" s="616">
        <f t="shared" si="70"/>
        <v>17</v>
      </c>
      <c r="AF56" s="616">
        <f t="shared" si="71"/>
        <v>18</v>
      </c>
      <c r="AG56" s="616">
        <f t="shared" si="72"/>
        <v>19</v>
      </c>
      <c r="AH56" s="616">
        <f t="shared" si="72"/>
        <v>20</v>
      </c>
      <c r="AI56" s="616">
        <f t="shared" si="72"/>
        <v>21</v>
      </c>
      <c r="AJ56" s="616">
        <f t="shared" si="72"/>
        <v>22</v>
      </c>
      <c r="AK56" s="616">
        <f t="shared" si="72"/>
        <v>23</v>
      </c>
      <c r="AL56" s="616">
        <f t="shared" si="72"/>
        <v>24</v>
      </c>
      <c r="AM56" s="616">
        <f t="shared" si="72"/>
        <v>25</v>
      </c>
      <c r="AN56" s="616">
        <f t="shared" si="72"/>
        <v>26</v>
      </c>
    </row>
    <row r="57" spans="5:40" ht="11.5" customHeight="1" x14ac:dyDescent="0.25">
      <c r="G57" s="616"/>
      <c r="H57" s="616"/>
      <c r="I57" s="616"/>
      <c r="J57" s="616"/>
      <c r="K57" s="616"/>
      <c r="L57" s="616"/>
      <c r="M57" s="616"/>
      <c r="N57" s="616"/>
      <c r="O57" s="616"/>
      <c r="P57" s="616">
        <v>1</v>
      </c>
      <c r="Q57" s="616">
        <f t="shared" si="56"/>
        <v>2</v>
      </c>
      <c r="R57" s="616">
        <f t="shared" si="57"/>
        <v>3</v>
      </c>
      <c r="S57" s="616">
        <f t="shared" si="58"/>
        <v>4</v>
      </c>
      <c r="T57" s="616">
        <f t="shared" si="59"/>
        <v>5</v>
      </c>
      <c r="U57" s="616">
        <f t="shared" si="60"/>
        <v>6</v>
      </c>
      <c r="V57" s="616">
        <f t="shared" si="61"/>
        <v>7</v>
      </c>
      <c r="W57" s="616">
        <f t="shared" si="62"/>
        <v>8</v>
      </c>
      <c r="X57" s="616">
        <f t="shared" si="63"/>
        <v>9</v>
      </c>
      <c r="Y57" s="616">
        <f t="shared" si="64"/>
        <v>10</v>
      </c>
      <c r="Z57" s="616">
        <f t="shared" si="65"/>
        <v>11</v>
      </c>
      <c r="AA57" s="616">
        <f t="shared" si="66"/>
        <v>12</v>
      </c>
      <c r="AB57" s="616">
        <f t="shared" si="67"/>
        <v>13</v>
      </c>
      <c r="AC57" s="616">
        <f t="shared" si="68"/>
        <v>14</v>
      </c>
      <c r="AD57" s="616">
        <f t="shared" si="69"/>
        <v>15</v>
      </c>
      <c r="AE57" s="616">
        <f t="shared" si="70"/>
        <v>16</v>
      </c>
      <c r="AF57" s="616">
        <f t="shared" si="71"/>
        <v>17</v>
      </c>
      <c r="AG57" s="616">
        <f t="shared" si="72"/>
        <v>18</v>
      </c>
      <c r="AH57" s="616">
        <f t="shared" si="72"/>
        <v>19</v>
      </c>
      <c r="AI57" s="616">
        <f t="shared" si="72"/>
        <v>20</v>
      </c>
      <c r="AJ57" s="616">
        <f t="shared" si="72"/>
        <v>21</v>
      </c>
      <c r="AK57" s="616">
        <f t="shared" si="72"/>
        <v>22</v>
      </c>
      <c r="AL57" s="616">
        <f t="shared" si="72"/>
        <v>23</v>
      </c>
      <c r="AM57" s="616">
        <f t="shared" si="72"/>
        <v>24</v>
      </c>
      <c r="AN57" s="616">
        <f t="shared" si="72"/>
        <v>25</v>
      </c>
    </row>
    <row r="58" spans="5:40" ht="11.5" customHeight="1" x14ac:dyDescent="0.25">
      <c r="G58" s="616"/>
      <c r="H58" s="616"/>
      <c r="I58" s="616"/>
      <c r="J58" s="616"/>
      <c r="K58" s="616"/>
      <c r="L58" s="616"/>
      <c r="M58" s="616"/>
      <c r="N58" s="616"/>
      <c r="O58" s="616"/>
      <c r="P58" s="616"/>
      <c r="Q58" s="616">
        <f t="shared" si="56"/>
        <v>1</v>
      </c>
      <c r="R58" s="616">
        <f t="shared" si="57"/>
        <v>2</v>
      </c>
      <c r="S58" s="616">
        <f t="shared" si="58"/>
        <v>3</v>
      </c>
      <c r="T58" s="616">
        <f t="shared" si="59"/>
        <v>4</v>
      </c>
      <c r="U58" s="616">
        <f t="shared" si="60"/>
        <v>5</v>
      </c>
      <c r="V58" s="616">
        <f t="shared" si="61"/>
        <v>6</v>
      </c>
      <c r="W58" s="616">
        <f t="shared" si="62"/>
        <v>7</v>
      </c>
      <c r="X58" s="616">
        <f t="shared" si="63"/>
        <v>8</v>
      </c>
      <c r="Y58" s="616">
        <f t="shared" si="64"/>
        <v>9</v>
      </c>
      <c r="Z58" s="616">
        <f t="shared" si="65"/>
        <v>10</v>
      </c>
      <c r="AA58" s="616">
        <f t="shared" si="66"/>
        <v>11</v>
      </c>
      <c r="AB58" s="616">
        <f t="shared" si="67"/>
        <v>12</v>
      </c>
      <c r="AC58" s="616">
        <f t="shared" si="68"/>
        <v>13</v>
      </c>
      <c r="AD58" s="616">
        <f t="shared" si="69"/>
        <v>14</v>
      </c>
      <c r="AE58" s="616">
        <f t="shared" si="70"/>
        <v>15</v>
      </c>
      <c r="AF58" s="616">
        <f t="shared" si="71"/>
        <v>16</v>
      </c>
      <c r="AG58" s="616">
        <f t="shared" si="72"/>
        <v>17</v>
      </c>
      <c r="AH58" s="616">
        <f t="shared" si="72"/>
        <v>18</v>
      </c>
      <c r="AI58" s="616">
        <f t="shared" si="72"/>
        <v>19</v>
      </c>
      <c r="AJ58" s="616">
        <f t="shared" si="72"/>
        <v>20</v>
      </c>
      <c r="AK58" s="616">
        <f t="shared" si="72"/>
        <v>21</v>
      </c>
      <c r="AL58" s="616">
        <f t="shared" si="72"/>
        <v>22</v>
      </c>
      <c r="AM58" s="616">
        <f t="shared" si="72"/>
        <v>23</v>
      </c>
      <c r="AN58" s="616">
        <f t="shared" si="72"/>
        <v>24</v>
      </c>
    </row>
    <row r="59" spans="5:40" ht="11.5" customHeight="1" x14ac:dyDescent="0.25">
      <c r="E59" s="615"/>
      <c r="F59" s="616"/>
      <c r="G59" s="616"/>
      <c r="H59" s="616"/>
      <c r="I59" s="616"/>
      <c r="J59" s="616"/>
      <c r="K59" s="616"/>
      <c r="L59" s="616"/>
      <c r="M59" s="616"/>
      <c r="N59" s="616"/>
      <c r="O59" s="616"/>
      <c r="P59" s="616"/>
      <c r="Q59" s="616"/>
      <c r="R59" s="616">
        <f t="shared" si="57"/>
        <v>1</v>
      </c>
      <c r="S59" s="616">
        <f t="shared" si="58"/>
        <v>2</v>
      </c>
      <c r="T59" s="616">
        <f t="shared" si="59"/>
        <v>3</v>
      </c>
      <c r="U59" s="616">
        <f t="shared" si="60"/>
        <v>4</v>
      </c>
      <c r="V59" s="616">
        <f t="shared" si="61"/>
        <v>5</v>
      </c>
      <c r="W59" s="616">
        <f t="shared" si="62"/>
        <v>6</v>
      </c>
      <c r="X59" s="616">
        <f t="shared" si="63"/>
        <v>7</v>
      </c>
      <c r="Y59" s="616">
        <f t="shared" si="64"/>
        <v>8</v>
      </c>
      <c r="Z59" s="616">
        <f t="shared" si="65"/>
        <v>9</v>
      </c>
      <c r="AA59" s="616">
        <f t="shared" si="66"/>
        <v>10</v>
      </c>
      <c r="AB59" s="616">
        <f t="shared" si="67"/>
        <v>11</v>
      </c>
      <c r="AC59" s="616">
        <f t="shared" si="68"/>
        <v>12</v>
      </c>
      <c r="AD59" s="616">
        <f t="shared" si="69"/>
        <v>13</v>
      </c>
      <c r="AE59" s="616">
        <f t="shared" si="70"/>
        <v>14</v>
      </c>
      <c r="AF59" s="616">
        <f t="shared" si="71"/>
        <v>15</v>
      </c>
      <c r="AG59" s="616">
        <f t="shared" si="72"/>
        <v>16</v>
      </c>
      <c r="AH59" s="616">
        <f t="shared" si="72"/>
        <v>17</v>
      </c>
      <c r="AI59" s="616">
        <f t="shared" si="72"/>
        <v>18</v>
      </c>
      <c r="AJ59" s="616">
        <f t="shared" si="72"/>
        <v>19</v>
      </c>
      <c r="AK59" s="616">
        <f t="shared" si="72"/>
        <v>20</v>
      </c>
      <c r="AL59" s="616">
        <f t="shared" si="72"/>
        <v>21</v>
      </c>
      <c r="AM59" s="616">
        <f t="shared" si="72"/>
        <v>22</v>
      </c>
      <c r="AN59" s="616">
        <f t="shared" si="72"/>
        <v>23</v>
      </c>
    </row>
    <row r="60" spans="5:40" ht="11.5" customHeight="1" x14ac:dyDescent="0.25">
      <c r="E60" s="616"/>
      <c r="F60" s="616"/>
      <c r="G60" s="616"/>
      <c r="H60" s="616"/>
      <c r="I60" s="616"/>
      <c r="J60" s="616"/>
      <c r="K60" s="616"/>
      <c r="L60" s="616"/>
      <c r="M60" s="616"/>
      <c r="N60" s="616"/>
      <c r="O60" s="616"/>
      <c r="P60" s="616"/>
      <c r="Q60" s="616"/>
      <c r="R60" s="616"/>
      <c r="S60" s="616">
        <f t="shared" si="58"/>
        <v>1</v>
      </c>
      <c r="T60" s="616">
        <f t="shared" si="59"/>
        <v>2</v>
      </c>
      <c r="U60" s="616">
        <f t="shared" si="60"/>
        <v>3</v>
      </c>
      <c r="V60" s="616">
        <f t="shared" si="61"/>
        <v>4</v>
      </c>
      <c r="W60" s="616">
        <f t="shared" si="62"/>
        <v>5</v>
      </c>
      <c r="X60" s="616">
        <f t="shared" si="63"/>
        <v>6</v>
      </c>
      <c r="Y60" s="616">
        <f t="shared" si="64"/>
        <v>7</v>
      </c>
      <c r="Z60" s="616">
        <f t="shared" si="65"/>
        <v>8</v>
      </c>
      <c r="AA60" s="616">
        <f t="shared" si="66"/>
        <v>9</v>
      </c>
      <c r="AB60" s="616">
        <f t="shared" si="67"/>
        <v>10</v>
      </c>
      <c r="AC60" s="616">
        <f t="shared" si="68"/>
        <v>11</v>
      </c>
      <c r="AD60" s="616">
        <f t="shared" si="69"/>
        <v>12</v>
      </c>
      <c r="AE60" s="616">
        <f t="shared" si="70"/>
        <v>13</v>
      </c>
      <c r="AF60" s="616">
        <f t="shared" si="71"/>
        <v>14</v>
      </c>
      <c r="AG60" s="616">
        <f t="shared" si="72"/>
        <v>15</v>
      </c>
      <c r="AH60" s="616">
        <f t="shared" si="72"/>
        <v>16</v>
      </c>
      <c r="AI60" s="616">
        <f t="shared" si="72"/>
        <v>17</v>
      </c>
      <c r="AJ60" s="616">
        <f t="shared" si="72"/>
        <v>18</v>
      </c>
      <c r="AK60" s="616">
        <f t="shared" si="72"/>
        <v>19</v>
      </c>
      <c r="AL60" s="616">
        <f t="shared" si="72"/>
        <v>20</v>
      </c>
      <c r="AM60" s="616">
        <f t="shared" si="72"/>
        <v>21</v>
      </c>
      <c r="AN60" s="616">
        <f t="shared" si="72"/>
        <v>22</v>
      </c>
    </row>
    <row r="61" spans="5:40" ht="11.5" customHeight="1" x14ac:dyDescent="0.25">
      <c r="E61" s="616"/>
      <c r="F61" s="616"/>
      <c r="G61" s="616"/>
      <c r="H61" s="616"/>
      <c r="I61" s="616"/>
      <c r="J61" s="616"/>
      <c r="K61" s="616"/>
      <c r="L61" s="616"/>
      <c r="M61" s="616"/>
      <c r="N61" s="616"/>
      <c r="O61" s="616"/>
      <c r="P61" s="616"/>
      <c r="Q61" s="616"/>
      <c r="R61" s="616"/>
      <c r="S61" s="616"/>
      <c r="T61" s="616">
        <f t="shared" si="59"/>
        <v>1</v>
      </c>
      <c r="U61" s="616">
        <f t="shared" si="60"/>
        <v>2</v>
      </c>
      <c r="V61" s="616">
        <f t="shared" si="61"/>
        <v>3</v>
      </c>
      <c r="W61" s="616">
        <f t="shared" si="62"/>
        <v>4</v>
      </c>
      <c r="X61" s="616">
        <f t="shared" si="63"/>
        <v>5</v>
      </c>
      <c r="Y61" s="616">
        <f t="shared" si="64"/>
        <v>6</v>
      </c>
      <c r="Z61" s="616">
        <f t="shared" si="65"/>
        <v>7</v>
      </c>
      <c r="AA61" s="616">
        <f t="shared" si="66"/>
        <v>8</v>
      </c>
      <c r="AB61" s="616">
        <f t="shared" si="67"/>
        <v>9</v>
      </c>
      <c r="AC61" s="616">
        <f t="shared" si="68"/>
        <v>10</v>
      </c>
      <c r="AD61" s="616">
        <f t="shared" si="69"/>
        <v>11</v>
      </c>
      <c r="AE61" s="616">
        <f t="shared" si="70"/>
        <v>12</v>
      </c>
      <c r="AF61" s="616">
        <f t="shared" si="71"/>
        <v>13</v>
      </c>
      <c r="AG61" s="616">
        <f t="shared" si="72"/>
        <v>14</v>
      </c>
      <c r="AH61" s="616">
        <f t="shared" si="72"/>
        <v>15</v>
      </c>
      <c r="AI61" s="616">
        <f t="shared" si="72"/>
        <v>16</v>
      </c>
      <c r="AJ61" s="616">
        <f t="shared" si="72"/>
        <v>17</v>
      </c>
      <c r="AK61" s="616">
        <f t="shared" si="72"/>
        <v>18</v>
      </c>
      <c r="AL61" s="616">
        <f t="shared" si="72"/>
        <v>19</v>
      </c>
      <c r="AM61" s="616">
        <f t="shared" si="72"/>
        <v>20</v>
      </c>
      <c r="AN61" s="616">
        <f t="shared" si="72"/>
        <v>21</v>
      </c>
    </row>
    <row r="62" spans="5:40" ht="11.5" customHeight="1" x14ac:dyDescent="0.25">
      <c r="E62" s="616"/>
      <c r="F62" s="616"/>
      <c r="G62" s="616"/>
      <c r="H62" s="616"/>
      <c r="I62" s="616"/>
      <c r="J62" s="616"/>
      <c r="K62" s="616"/>
      <c r="L62" s="616"/>
      <c r="M62" s="616"/>
      <c r="N62" s="616"/>
      <c r="O62" s="616"/>
      <c r="P62" s="616"/>
      <c r="Q62" s="616"/>
      <c r="R62" s="616"/>
      <c r="S62" s="616"/>
      <c r="T62" s="616"/>
      <c r="U62" s="616">
        <f t="shared" si="60"/>
        <v>1</v>
      </c>
      <c r="V62" s="616">
        <f t="shared" si="61"/>
        <v>2</v>
      </c>
      <c r="W62" s="616">
        <f t="shared" si="62"/>
        <v>3</v>
      </c>
      <c r="X62" s="616">
        <f t="shared" si="63"/>
        <v>4</v>
      </c>
      <c r="Y62" s="616">
        <f t="shared" si="64"/>
        <v>5</v>
      </c>
      <c r="Z62" s="616">
        <f t="shared" si="65"/>
        <v>6</v>
      </c>
      <c r="AA62" s="616">
        <f t="shared" si="66"/>
        <v>7</v>
      </c>
      <c r="AB62" s="616">
        <f t="shared" si="67"/>
        <v>8</v>
      </c>
      <c r="AC62" s="616">
        <f t="shared" si="68"/>
        <v>9</v>
      </c>
      <c r="AD62" s="616">
        <f t="shared" si="69"/>
        <v>10</v>
      </c>
      <c r="AE62" s="616">
        <f t="shared" si="70"/>
        <v>11</v>
      </c>
      <c r="AF62" s="616">
        <f t="shared" si="71"/>
        <v>12</v>
      </c>
      <c r="AG62" s="616">
        <f t="shared" si="72"/>
        <v>13</v>
      </c>
      <c r="AH62" s="616">
        <f t="shared" si="72"/>
        <v>14</v>
      </c>
      <c r="AI62" s="616">
        <f t="shared" si="72"/>
        <v>15</v>
      </c>
      <c r="AJ62" s="616">
        <f t="shared" si="72"/>
        <v>16</v>
      </c>
      <c r="AK62" s="616">
        <f t="shared" si="72"/>
        <v>17</v>
      </c>
      <c r="AL62" s="616">
        <f t="shared" si="72"/>
        <v>18</v>
      </c>
      <c r="AM62" s="616">
        <f t="shared" si="72"/>
        <v>19</v>
      </c>
      <c r="AN62" s="616">
        <f t="shared" si="72"/>
        <v>20</v>
      </c>
    </row>
    <row r="63" spans="5:40" ht="11.5" customHeight="1" x14ac:dyDescent="0.25">
      <c r="E63" s="616"/>
      <c r="F63" s="616"/>
      <c r="G63" s="616"/>
      <c r="H63" s="616"/>
      <c r="I63" s="616"/>
      <c r="J63" s="616"/>
      <c r="K63" s="616"/>
      <c r="L63" s="616"/>
      <c r="M63" s="616"/>
      <c r="N63" s="616"/>
      <c r="O63" s="616"/>
      <c r="P63" s="616"/>
      <c r="Q63" s="616"/>
      <c r="R63" s="616"/>
      <c r="S63" s="616"/>
      <c r="T63" s="616"/>
      <c r="U63" s="616"/>
      <c r="V63" s="616">
        <f t="shared" si="61"/>
        <v>1</v>
      </c>
      <c r="W63" s="616">
        <f t="shared" si="62"/>
        <v>2</v>
      </c>
      <c r="X63" s="616">
        <f t="shared" si="63"/>
        <v>3</v>
      </c>
      <c r="Y63" s="616">
        <f t="shared" si="64"/>
        <v>4</v>
      </c>
      <c r="Z63" s="616">
        <f t="shared" si="65"/>
        <v>5</v>
      </c>
      <c r="AA63" s="616">
        <f t="shared" si="66"/>
        <v>6</v>
      </c>
      <c r="AB63" s="616">
        <f t="shared" si="67"/>
        <v>7</v>
      </c>
      <c r="AC63" s="616">
        <f t="shared" si="68"/>
        <v>8</v>
      </c>
      <c r="AD63" s="616">
        <f t="shared" si="69"/>
        <v>9</v>
      </c>
      <c r="AE63" s="616">
        <f t="shared" si="70"/>
        <v>10</v>
      </c>
      <c r="AF63" s="616">
        <f t="shared" si="71"/>
        <v>11</v>
      </c>
      <c r="AG63" s="616">
        <f t="shared" si="72"/>
        <v>12</v>
      </c>
      <c r="AH63" s="616">
        <f t="shared" si="72"/>
        <v>13</v>
      </c>
      <c r="AI63" s="616">
        <f t="shared" si="72"/>
        <v>14</v>
      </c>
      <c r="AJ63" s="616">
        <f t="shared" si="72"/>
        <v>15</v>
      </c>
      <c r="AK63" s="616">
        <f t="shared" si="72"/>
        <v>16</v>
      </c>
      <c r="AL63" s="616">
        <f t="shared" si="72"/>
        <v>17</v>
      </c>
      <c r="AM63" s="616">
        <f t="shared" si="72"/>
        <v>18</v>
      </c>
      <c r="AN63" s="616">
        <f t="shared" si="72"/>
        <v>19</v>
      </c>
    </row>
    <row r="64" spans="5:40" ht="11.5" customHeight="1" x14ac:dyDescent="0.25">
      <c r="G64" s="616"/>
      <c r="H64" s="616"/>
      <c r="I64" s="616"/>
      <c r="J64" s="616"/>
      <c r="K64" s="616"/>
      <c r="L64" s="616"/>
      <c r="M64" s="616"/>
      <c r="N64" s="616"/>
      <c r="O64" s="616"/>
      <c r="P64" s="616"/>
      <c r="Q64" s="616"/>
      <c r="R64" s="616"/>
      <c r="S64" s="616"/>
      <c r="T64" s="616"/>
      <c r="U64" s="616"/>
      <c r="V64" s="616"/>
      <c r="W64" s="616">
        <f t="shared" si="62"/>
        <v>1</v>
      </c>
      <c r="X64" s="616">
        <f t="shared" si="63"/>
        <v>2</v>
      </c>
      <c r="Y64" s="616">
        <f t="shared" si="64"/>
        <v>3</v>
      </c>
      <c r="Z64" s="616">
        <f t="shared" si="65"/>
        <v>4</v>
      </c>
      <c r="AA64" s="616">
        <f t="shared" si="66"/>
        <v>5</v>
      </c>
      <c r="AB64" s="616">
        <f t="shared" si="67"/>
        <v>6</v>
      </c>
      <c r="AC64" s="616">
        <f t="shared" si="68"/>
        <v>7</v>
      </c>
      <c r="AD64" s="616">
        <f t="shared" si="69"/>
        <v>8</v>
      </c>
      <c r="AE64" s="616">
        <f t="shared" si="70"/>
        <v>9</v>
      </c>
      <c r="AF64" s="616">
        <f t="shared" si="71"/>
        <v>10</v>
      </c>
      <c r="AG64" s="616">
        <f t="shared" si="72"/>
        <v>11</v>
      </c>
      <c r="AH64" s="616">
        <f t="shared" si="72"/>
        <v>12</v>
      </c>
      <c r="AI64" s="616">
        <f t="shared" si="72"/>
        <v>13</v>
      </c>
      <c r="AJ64" s="616">
        <f t="shared" si="72"/>
        <v>14</v>
      </c>
      <c r="AK64" s="616">
        <f t="shared" si="72"/>
        <v>15</v>
      </c>
      <c r="AL64" s="616">
        <f t="shared" si="72"/>
        <v>16</v>
      </c>
      <c r="AM64" s="616">
        <f t="shared" si="72"/>
        <v>17</v>
      </c>
      <c r="AN64" s="616">
        <f t="shared" si="72"/>
        <v>18</v>
      </c>
    </row>
    <row r="65" spans="5:40" ht="11.5" customHeight="1" x14ac:dyDescent="0.25">
      <c r="G65" s="616"/>
      <c r="H65" s="616"/>
      <c r="I65" s="616"/>
      <c r="J65" s="616"/>
      <c r="K65" s="616"/>
      <c r="L65" s="616"/>
      <c r="M65" s="616"/>
      <c r="N65" s="616"/>
      <c r="O65" s="616"/>
      <c r="P65" s="616"/>
      <c r="Q65" s="616"/>
      <c r="R65" s="616"/>
      <c r="S65" s="616"/>
      <c r="T65" s="616"/>
      <c r="U65" s="616"/>
      <c r="V65" s="616"/>
      <c r="W65" s="616"/>
      <c r="X65" s="616">
        <f t="shared" si="63"/>
        <v>1</v>
      </c>
      <c r="Y65" s="616">
        <f t="shared" si="64"/>
        <v>2</v>
      </c>
      <c r="Z65" s="616">
        <f t="shared" si="65"/>
        <v>3</v>
      </c>
      <c r="AA65" s="616">
        <f t="shared" si="66"/>
        <v>4</v>
      </c>
      <c r="AB65" s="616">
        <f t="shared" si="67"/>
        <v>5</v>
      </c>
      <c r="AC65" s="616">
        <f t="shared" si="68"/>
        <v>6</v>
      </c>
      <c r="AD65" s="616">
        <f t="shared" si="69"/>
        <v>7</v>
      </c>
      <c r="AE65" s="616">
        <f t="shared" si="70"/>
        <v>8</v>
      </c>
      <c r="AF65" s="616">
        <f t="shared" si="71"/>
        <v>9</v>
      </c>
      <c r="AG65" s="616">
        <f t="shared" si="72"/>
        <v>10</v>
      </c>
      <c r="AH65" s="616">
        <f t="shared" si="72"/>
        <v>11</v>
      </c>
      <c r="AI65" s="616">
        <f t="shared" si="72"/>
        <v>12</v>
      </c>
      <c r="AJ65" s="616">
        <f t="shared" si="72"/>
        <v>13</v>
      </c>
      <c r="AK65" s="616">
        <f t="shared" si="72"/>
        <v>14</v>
      </c>
      <c r="AL65" s="616">
        <f t="shared" si="72"/>
        <v>15</v>
      </c>
      <c r="AM65" s="616">
        <f t="shared" si="72"/>
        <v>16</v>
      </c>
      <c r="AN65" s="616">
        <f t="shared" si="72"/>
        <v>17</v>
      </c>
    </row>
    <row r="66" spans="5:40" ht="11.5" customHeight="1" x14ac:dyDescent="0.25">
      <c r="G66" s="616"/>
      <c r="H66" s="616"/>
      <c r="I66" s="616"/>
      <c r="J66" s="616"/>
      <c r="K66" s="616"/>
      <c r="L66" s="616"/>
      <c r="M66" s="616"/>
      <c r="N66" s="616"/>
      <c r="O66" s="616"/>
      <c r="P66" s="616"/>
      <c r="Q66" s="616"/>
      <c r="R66" s="616"/>
      <c r="S66" s="616"/>
      <c r="T66" s="616"/>
      <c r="U66" s="616"/>
      <c r="V66" s="616"/>
      <c r="W66" s="616"/>
      <c r="X66" s="616"/>
      <c r="Y66" s="616">
        <f t="shared" si="64"/>
        <v>1</v>
      </c>
      <c r="Z66" s="616">
        <f t="shared" si="65"/>
        <v>2</v>
      </c>
      <c r="AA66" s="616">
        <f t="shared" si="66"/>
        <v>3</v>
      </c>
      <c r="AB66" s="616">
        <f t="shared" si="67"/>
        <v>4</v>
      </c>
      <c r="AC66" s="616">
        <f t="shared" si="68"/>
        <v>5</v>
      </c>
      <c r="AD66" s="616">
        <f t="shared" si="69"/>
        <v>6</v>
      </c>
      <c r="AE66" s="616">
        <f t="shared" si="70"/>
        <v>7</v>
      </c>
      <c r="AF66" s="616">
        <f t="shared" si="71"/>
        <v>8</v>
      </c>
      <c r="AG66" s="616">
        <f t="shared" si="72"/>
        <v>9</v>
      </c>
      <c r="AH66" s="616">
        <f t="shared" si="72"/>
        <v>10</v>
      </c>
      <c r="AI66" s="616">
        <f t="shared" si="72"/>
        <v>11</v>
      </c>
      <c r="AJ66" s="616">
        <f t="shared" si="72"/>
        <v>12</v>
      </c>
      <c r="AK66" s="616">
        <f t="shared" si="72"/>
        <v>13</v>
      </c>
      <c r="AL66" s="616">
        <f t="shared" si="72"/>
        <v>14</v>
      </c>
      <c r="AM66" s="616">
        <f t="shared" si="72"/>
        <v>15</v>
      </c>
      <c r="AN66" s="616">
        <f t="shared" si="72"/>
        <v>16</v>
      </c>
    </row>
    <row r="67" spans="5:40" ht="11.5" customHeight="1" x14ac:dyDescent="0.25">
      <c r="G67" s="616"/>
      <c r="H67" s="616"/>
      <c r="I67" s="616"/>
      <c r="J67" s="616"/>
      <c r="K67" s="616"/>
      <c r="L67" s="616"/>
      <c r="M67" s="616"/>
      <c r="N67" s="616"/>
      <c r="O67" s="616"/>
      <c r="P67" s="616"/>
      <c r="Q67" s="616"/>
      <c r="R67" s="616"/>
      <c r="S67" s="616"/>
      <c r="T67" s="616"/>
      <c r="U67" s="616"/>
      <c r="V67" s="616"/>
      <c r="W67" s="616"/>
      <c r="X67" s="616"/>
      <c r="Y67" s="616"/>
      <c r="Z67" s="616">
        <f t="shared" si="65"/>
        <v>1</v>
      </c>
      <c r="AA67" s="616">
        <f t="shared" si="66"/>
        <v>2</v>
      </c>
      <c r="AB67" s="616">
        <f t="shared" si="67"/>
        <v>3</v>
      </c>
      <c r="AC67" s="616">
        <f t="shared" si="68"/>
        <v>4</v>
      </c>
      <c r="AD67" s="616">
        <f t="shared" si="69"/>
        <v>5</v>
      </c>
      <c r="AE67" s="616">
        <f t="shared" si="70"/>
        <v>6</v>
      </c>
      <c r="AF67" s="616">
        <f t="shared" si="71"/>
        <v>7</v>
      </c>
      <c r="AG67" s="616">
        <f t="shared" si="72"/>
        <v>8</v>
      </c>
      <c r="AH67" s="616">
        <f t="shared" si="72"/>
        <v>9</v>
      </c>
      <c r="AI67" s="616">
        <f t="shared" si="72"/>
        <v>10</v>
      </c>
      <c r="AJ67" s="616">
        <f t="shared" si="72"/>
        <v>11</v>
      </c>
      <c r="AK67" s="616">
        <f t="shared" si="72"/>
        <v>12</v>
      </c>
      <c r="AL67" s="616">
        <f t="shared" si="72"/>
        <v>13</v>
      </c>
      <c r="AM67" s="616">
        <f t="shared" si="72"/>
        <v>14</v>
      </c>
      <c r="AN67" s="616">
        <f t="shared" si="72"/>
        <v>15</v>
      </c>
    </row>
    <row r="68" spans="5:40" ht="11.5" customHeight="1" x14ac:dyDescent="0.25">
      <c r="G68" s="616"/>
      <c r="H68" s="616"/>
      <c r="I68" s="616"/>
      <c r="J68" s="616"/>
      <c r="K68" s="616"/>
      <c r="L68" s="616"/>
      <c r="M68" s="616"/>
      <c r="N68" s="616"/>
      <c r="O68" s="616"/>
      <c r="P68" s="616"/>
      <c r="Q68" s="616"/>
      <c r="R68" s="616"/>
      <c r="S68" s="616"/>
      <c r="T68" s="616"/>
      <c r="U68" s="616"/>
      <c r="V68" s="616"/>
      <c r="W68" s="616"/>
      <c r="X68" s="616"/>
      <c r="Y68" s="616"/>
      <c r="Z68" s="616"/>
      <c r="AA68" s="616">
        <f t="shared" si="66"/>
        <v>1</v>
      </c>
      <c r="AB68" s="616">
        <f t="shared" si="67"/>
        <v>2</v>
      </c>
      <c r="AC68" s="616">
        <f t="shared" si="68"/>
        <v>3</v>
      </c>
      <c r="AD68" s="616">
        <f t="shared" si="69"/>
        <v>4</v>
      </c>
      <c r="AE68" s="616">
        <f t="shared" si="70"/>
        <v>5</v>
      </c>
      <c r="AF68" s="616">
        <f t="shared" si="71"/>
        <v>6</v>
      </c>
      <c r="AG68" s="616">
        <f t="shared" si="72"/>
        <v>7</v>
      </c>
      <c r="AH68" s="616">
        <f t="shared" si="72"/>
        <v>8</v>
      </c>
      <c r="AI68" s="616">
        <f t="shared" si="72"/>
        <v>9</v>
      </c>
      <c r="AJ68" s="616">
        <f t="shared" si="72"/>
        <v>10</v>
      </c>
      <c r="AK68" s="616">
        <f t="shared" si="72"/>
        <v>11</v>
      </c>
      <c r="AL68" s="616">
        <f t="shared" si="72"/>
        <v>12</v>
      </c>
      <c r="AM68" s="616">
        <f t="shared" si="72"/>
        <v>13</v>
      </c>
      <c r="AN68" s="616">
        <f t="shared" si="72"/>
        <v>14</v>
      </c>
    </row>
    <row r="69" spans="5:40" ht="11.5" customHeight="1" x14ac:dyDescent="0.25">
      <c r="G69" s="616"/>
      <c r="H69" s="616"/>
      <c r="I69" s="616"/>
      <c r="J69" s="616"/>
      <c r="K69" s="616"/>
      <c r="L69" s="616"/>
      <c r="M69" s="616"/>
      <c r="N69" s="616"/>
      <c r="O69" s="616"/>
      <c r="P69" s="616"/>
      <c r="Q69" s="616"/>
      <c r="R69" s="616"/>
      <c r="S69" s="616"/>
      <c r="T69" s="616"/>
      <c r="U69" s="616"/>
      <c r="V69" s="616"/>
      <c r="W69" s="616"/>
      <c r="X69" s="616"/>
      <c r="Y69" s="616"/>
      <c r="Z69" s="616"/>
      <c r="AA69" s="616"/>
      <c r="AB69" s="616">
        <f t="shared" si="67"/>
        <v>1</v>
      </c>
      <c r="AC69" s="616">
        <f t="shared" si="68"/>
        <v>2</v>
      </c>
      <c r="AD69" s="616">
        <f t="shared" si="69"/>
        <v>3</v>
      </c>
      <c r="AE69" s="616">
        <f t="shared" si="70"/>
        <v>4</v>
      </c>
      <c r="AF69" s="616">
        <f t="shared" si="71"/>
        <v>5</v>
      </c>
      <c r="AG69" s="616">
        <f t="shared" si="72"/>
        <v>6</v>
      </c>
      <c r="AH69" s="616">
        <f t="shared" si="72"/>
        <v>7</v>
      </c>
      <c r="AI69" s="616">
        <f t="shared" si="72"/>
        <v>8</v>
      </c>
      <c r="AJ69" s="616">
        <f t="shared" si="72"/>
        <v>9</v>
      </c>
      <c r="AK69" s="616">
        <f t="shared" si="72"/>
        <v>10</v>
      </c>
      <c r="AL69" s="616">
        <f t="shared" si="72"/>
        <v>11</v>
      </c>
      <c r="AM69" s="616">
        <f t="shared" si="72"/>
        <v>12</v>
      </c>
      <c r="AN69" s="616">
        <f t="shared" si="72"/>
        <v>13</v>
      </c>
    </row>
    <row r="70" spans="5:40" ht="11.5" customHeight="1" x14ac:dyDescent="0.25">
      <c r="G70" s="616"/>
      <c r="H70" s="616"/>
      <c r="I70" s="616"/>
      <c r="J70" s="616"/>
      <c r="K70" s="616"/>
      <c r="L70" s="616"/>
      <c r="M70" s="616"/>
      <c r="N70" s="616"/>
      <c r="O70" s="616"/>
      <c r="P70" s="616"/>
      <c r="Q70" s="616"/>
      <c r="R70" s="616"/>
      <c r="S70" s="616"/>
      <c r="T70" s="616"/>
      <c r="U70" s="616"/>
      <c r="V70" s="616"/>
      <c r="W70" s="616"/>
      <c r="X70" s="616"/>
      <c r="Y70" s="616"/>
      <c r="Z70" s="616"/>
      <c r="AA70" s="616"/>
      <c r="AB70" s="616"/>
      <c r="AC70" s="616">
        <f t="shared" si="68"/>
        <v>1</v>
      </c>
      <c r="AD70" s="616">
        <f t="shared" si="69"/>
        <v>2</v>
      </c>
      <c r="AE70" s="616">
        <f t="shared" si="70"/>
        <v>3</v>
      </c>
      <c r="AF70" s="616">
        <f t="shared" si="71"/>
        <v>4</v>
      </c>
      <c r="AG70" s="616">
        <f t="shared" si="72"/>
        <v>5</v>
      </c>
      <c r="AH70" s="616">
        <f t="shared" si="72"/>
        <v>6</v>
      </c>
      <c r="AI70" s="616">
        <f t="shared" si="72"/>
        <v>7</v>
      </c>
      <c r="AJ70" s="616">
        <f t="shared" si="72"/>
        <v>8</v>
      </c>
      <c r="AK70" s="616">
        <f t="shared" si="72"/>
        <v>9</v>
      </c>
      <c r="AL70" s="616">
        <f t="shared" si="72"/>
        <v>10</v>
      </c>
      <c r="AM70" s="616">
        <f t="shared" si="72"/>
        <v>11</v>
      </c>
      <c r="AN70" s="616">
        <f t="shared" si="72"/>
        <v>12</v>
      </c>
    </row>
    <row r="71" spans="5:40" ht="11.5" customHeight="1" x14ac:dyDescent="0.25">
      <c r="G71" s="616"/>
      <c r="H71" s="616"/>
      <c r="I71" s="616"/>
      <c r="J71" s="616"/>
      <c r="K71" s="616"/>
      <c r="L71" s="616"/>
      <c r="M71" s="616"/>
      <c r="N71" s="616"/>
      <c r="O71" s="616"/>
      <c r="P71" s="616"/>
      <c r="Q71" s="616"/>
      <c r="R71" s="616"/>
      <c r="S71" s="616"/>
      <c r="T71" s="616"/>
      <c r="U71" s="616"/>
      <c r="V71" s="616"/>
      <c r="W71" s="616"/>
      <c r="X71" s="616"/>
      <c r="Y71" s="616"/>
      <c r="Z71" s="616"/>
      <c r="AA71" s="616"/>
      <c r="AB71" s="616"/>
      <c r="AC71" s="616"/>
      <c r="AD71" s="616">
        <f t="shared" si="69"/>
        <v>1</v>
      </c>
      <c r="AE71" s="616">
        <f t="shared" si="70"/>
        <v>2</v>
      </c>
      <c r="AF71" s="616">
        <f t="shared" si="71"/>
        <v>3</v>
      </c>
      <c r="AG71" s="616">
        <f t="shared" si="72"/>
        <v>4</v>
      </c>
      <c r="AH71" s="616">
        <f t="shared" si="72"/>
        <v>5</v>
      </c>
      <c r="AI71" s="616">
        <f t="shared" si="72"/>
        <v>6</v>
      </c>
      <c r="AJ71" s="616">
        <f t="shared" si="72"/>
        <v>7</v>
      </c>
      <c r="AK71" s="616">
        <f t="shared" si="72"/>
        <v>8</v>
      </c>
      <c r="AL71" s="616">
        <f t="shared" si="72"/>
        <v>9</v>
      </c>
      <c r="AM71" s="616">
        <f t="shared" si="72"/>
        <v>10</v>
      </c>
      <c r="AN71" s="616">
        <f t="shared" si="72"/>
        <v>11</v>
      </c>
    </row>
    <row r="72" spans="5:40" ht="11.5" customHeight="1" x14ac:dyDescent="0.25">
      <c r="E72" s="615"/>
      <c r="F72" s="616"/>
      <c r="G72" s="616"/>
      <c r="H72" s="616"/>
      <c r="I72" s="616"/>
      <c r="J72" s="616"/>
      <c r="K72" s="616"/>
      <c r="L72" s="616"/>
      <c r="M72" s="616"/>
      <c r="N72" s="616"/>
      <c r="O72" s="616"/>
      <c r="P72" s="616"/>
      <c r="Q72" s="616"/>
      <c r="R72" s="616"/>
      <c r="S72" s="616"/>
      <c r="T72" s="616"/>
      <c r="U72" s="616"/>
      <c r="V72" s="616"/>
      <c r="W72" s="616"/>
      <c r="X72" s="616"/>
      <c r="Y72" s="616"/>
      <c r="Z72" s="616"/>
      <c r="AA72" s="616"/>
      <c r="AB72" s="616"/>
      <c r="AC72" s="616"/>
      <c r="AD72" s="616"/>
      <c r="AE72" s="616">
        <f t="shared" si="70"/>
        <v>1</v>
      </c>
      <c r="AF72" s="616">
        <f t="shared" si="71"/>
        <v>2</v>
      </c>
      <c r="AG72" s="616">
        <f t="shared" ref="AG72:AG74" si="73">AG71-1</f>
        <v>3</v>
      </c>
      <c r="AH72" s="616">
        <f t="shared" si="72"/>
        <v>4</v>
      </c>
      <c r="AI72" s="616">
        <f t="shared" si="72"/>
        <v>5</v>
      </c>
      <c r="AJ72" s="616">
        <f t="shared" si="72"/>
        <v>6</v>
      </c>
      <c r="AK72" s="616">
        <f t="shared" si="72"/>
        <v>7</v>
      </c>
      <c r="AL72" s="616">
        <f t="shared" si="72"/>
        <v>8</v>
      </c>
      <c r="AM72" s="616">
        <f t="shared" si="72"/>
        <v>9</v>
      </c>
      <c r="AN72" s="616">
        <f t="shared" si="72"/>
        <v>10</v>
      </c>
    </row>
    <row r="73" spans="5:40" ht="11.5" customHeight="1" x14ac:dyDescent="0.25">
      <c r="E73" s="616"/>
      <c r="F73" s="616"/>
      <c r="G73" s="616"/>
      <c r="H73" s="616"/>
      <c r="I73" s="616"/>
      <c r="J73" s="616"/>
      <c r="K73" s="616"/>
      <c r="L73" s="616"/>
      <c r="M73" s="616"/>
      <c r="N73" s="616"/>
      <c r="O73" s="616"/>
      <c r="P73" s="616"/>
      <c r="Q73" s="616"/>
      <c r="R73" s="616"/>
      <c r="S73" s="616"/>
      <c r="T73" s="616"/>
      <c r="U73" s="616"/>
      <c r="V73" s="616"/>
      <c r="W73" s="616"/>
      <c r="X73" s="616"/>
      <c r="Y73" s="616"/>
      <c r="Z73" s="616"/>
      <c r="AA73" s="616"/>
      <c r="AB73" s="616"/>
      <c r="AC73" s="616"/>
      <c r="AD73" s="616"/>
      <c r="AE73" s="616"/>
      <c r="AF73" s="616">
        <f t="shared" si="71"/>
        <v>1</v>
      </c>
      <c r="AG73" s="616">
        <f t="shared" si="73"/>
        <v>2</v>
      </c>
      <c r="AH73" s="616">
        <f t="shared" si="72"/>
        <v>3</v>
      </c>
      <c r="AI73" s="616">
        <f t="shared" si="72"/>
        <v>4</v>
      </c>
      <c r="AJ73" s="616">
        <f t="shared" si="72"/>
        <v>5</v>
      </c>
      <c r="AK73" s="616">
        <f t="shared" si="72"/>
        <v>6</v>
      </c>
      <c r="AL73" s="616">
        <f t="shared" si="72"/>
        <v>7</v>
      </c>
      <c r="AM73" s="616">
        <f t="shared" si="72"/>
        <v>8</v>
      </c>
      <c r="AN73" s="616">
        <f t="shared" si="72"/>
        <v>9</v>
      </c>
    </row>
    <row r="74" spans="5:40" ht="11.5" customHeight="1" x14ac:dyDescent="0.25">
      <c r="E74" s="616"/>
      <c r="F74" s="616"/>
      <c r="G74" s="616"/>
      <c r="H74" s="616"/>
      <c r="I74" s="616"/>
      <c r="J74" s="616"/>
      <c r="K74" s="616"/>
      <c r="L74" s="616"/>
      <c r="M74" s="616"/>
      <c r="N74" s="616"/>
      <c r="O74" s="616"/>
      <c r="P74" s="616"/>
      <c r="Q74" s="616"/>
      <c r="R74" s="616"/>
      <c r="S74" s="616"/>
      <c r="T74" s="616"/>
      <c r="U74" s="616"/>
      <c r="V74" s="616"/>
      <c r="W74" s="616"/>
      <c r="X74" s="616"/>
      <c r="Y74" s="616"/>
      <c r="Z74" s="616"/>
      <c r="AA74" s="616"/>
      <c r="AB74" s="616"/>
      <c r="AC74" s="616"/>
      <c r="AD74" s="616"/>
      <c r="AE74" s="616"/>
      <c r="AF74" s="616"/>
      <c r="AG74" s="616">
        <f t="shared" si="73"/>
        <v>1</v>
      </c>
      <c r="AH74" s="616">
        <f t="shared" si="72"/>
        <v>2</v>
      </c>
      <c r="AI74" s="616">
        <f t="shared" si="72"/>
        <v>3</v>
      </c>
      <c r="AJ74" s="616">
        <f t="shared" si="72"/>
        <v>4</v>
      </c>
      <c r="AK74" s="616">
        <f t="shared" si="72"/>
        <v>5</v>
      </c>
      <c r="AL74" s="616">
        <f t="shared" si="72"/>
        <v>6</v>
      </c>
      <c r="AM74" s="616">
        <f t="shared" si="72"/>
        <v>7</v>
      </c>
      <c r="AN74" s="616">
        <f t="shared" si="72"/>
        <v>8</v>
      </c>
    </row>
    <row r="75" spans="5:40" ht="11.5" customHeight="1" x14ac:dyDescent="0.25">
      <c r="E75" s="616"/>
      <c r="F75" s="616"/>
      <c r="G75" s="616"/>
      <c r="H75" s="616"/>
      <c r="I75" s="616"/>
      <c r="J75" s="616"/>
      <c r="K75" s="616"/>
      <c r="L75" s="616"/>
      <c r="M75" s="616"/>
      <c r="N75" s="616"/>
      <c r="O75" s="616"/>
      <c r="P75" s="616"/>
      <c r="Q75" s="616"/>
      <c r="R75" s="616"/>
      <c r="S75" s="616"/>
      <c r="T75" s="616"/>
      <c r="U75" s="616"/>
      <c r="V75" s="616"/>
      <c r="W75" s="616"/>
      <c r="X75" s="616"/>
      <c r="Y75" s="616"/>
      <c r="Z75" s="616"/>
      <c r="AA75" s="616"/>
      <c r="AB75" s="616"/>
      <c r="AC75" s="616"/>
      <c r="AD75" s="616"/>
      <c r="AE75" s="616"/>
      <c r="AF75" s="616"/>
      <c r="AG75" s="616"/>
      <c r="AH75" s="616">
        <f t="shared" si="72"/>
        <v>1</v>
      </c>
      <c r="AI75" s="616">
        <f t="shared" si="72"/>
        <v>2</v>
      </c>
      <c r="AJ75" s="616">
        <f t="shared" si="72"/>
        <v>3</v>
      </c>
      <c r="AK75" s="616">
        <f t="shared" si="72"/>
        <v>4</v>
      </c>
      <c r="AL75" s="616">
        <f t="shared" si="72"/>
        <v>5</v>
      </c>
      <c r="AM75" s="616">
        <f t="shared" si="72"/>
        <v>6</v>
      </c>
      <c r="AN75" s="616">
        <f t="shared" si="72"/>
        <v>7</v>
      </c>
    </row>
    <row r="76" spans="5:40" ht="11.5" customHeight="1" x14ac:dyDescent="0.25">
      <c r="E76" s="616"/>
      <c r="F76" s="616"/>
      <c r="G76" s="616"/>
      <c r="H76" s="616"/>
      <c r="I76" s="616"/>
      <c r="J76" s="616"/>
      <c r="K76" s="616"/>
      <c r="L76" s="616"/>
      <c r="M76" s="616"/>
      <c r="N76" s="616"/>
      <c r="O76" s="616"/>
      <c r="P76" s="616"/>
      <c r="Q76" s="616"/>
      <c r="R76" s="616"/>
      <c r="S76" s="616"/>
      <c r="T76" s="616"/>
      <c r="U76" s="616"/>
      <c r="V76" s="616"/>
      <c r="W76" s="616"/>
      <c r="X76" s="616"/>
      <c r="Y76" s="616"/>
      <c r="Z76" s="616"/>
      <c r="AA76" s="616"/>
      <c r="AB76" s="616"/>
      <c r="AC76" s="616"/>
      <c r="AD76" s="616"/>
      <c r="AE76" s="616"/>
      <c r="AF76" s="616"/>
      <c r="AG76" s="616"/>
      <c r="AH76" s="616"/>
      <c r="AI76" s="616">
        <f t="shared" si="72"/>
        <v>1</v>
      </c>
      <c r="AJ76" s="616">
        <f t="shared" si="72"/>
        <v>2</v>
      </c>
      <c r="AK76" s="616">
        <f t="shared" si="72"/>
        <v>3</v>
      </c>
      <c r="AL76" s="616">
        <f t="shared" si="72"/>
        <v>4</v>
      </c>
      <c r="AM76" s="616">
        <f t="shared" si="72"/>
        <v>5</v>
      </c>
      <c r="AN76" s="616">
        <f t="shared" si="72"/>
        <v>6</v>
      </c>
    </row>
    <row r="77" spans="5:40" ht="11.5" customHeight="1" x14ac:dyDescent="0.25">
      <c r="G77" s="616"/>
      <c r="H77" s="616"/>
      <c r="I77" s="616"/>
      <c r="J77" s="616"/>
      <c r="K77" s="616"/>
      <c r="L77" s="616"/>
      <c r="M77" s="616"/>
      <c r="N77" s="616"/>
      <c r="O77" s="616"/>
      <c r="P77" s="616"/>
      <c r="Q77" s="616"/>
      <c r="R77" s="616"/>
      <c r="S77" s="616"/>
      <c r="T77" s="616"/>
      <c r="U77" s="616"/>
      <c r="V77" s="616"/>
      <c r="W77" s="616"/>
      <c r="X77" s="616"/>
      <c r="Y77" s="616"/>
      <c r="Z77" s="616"/>
      <c r="AA77" s="616"/>
      <c r="AB77" s="616"/>
      <c r="AC77" s="616"/>
      <c r="AD77" s="616"/>
      <c r="AE77" s="616"/>
      <c r="AF77" s="616"/>
      <c r="AG77" s="616"/>
      <c r="AH77" s="616"/>
      <c r="AI77" s="616"/>
      <c r="AJ77" s="616">
        <f t="shared" si="72"/>
        <v>1</v>
      </c>
      <c r="AK77" s="616">
        <f t="shared" si="72"/>
        <v>2</v>
      </c>
      <c r="AL77" s="616">
        <f t="shared" si="72"/>
        <v>3</v>
      </c>
      <c r="AM77" s="616">
        <f t="shared" si="72"/>
        <v>4</v>
      </c>
      <c r="AN77" s="616">
        <f t="shared" si="72"/>
        <v>5</v>
      </c>
    </row>
    <row r="78" spans="5:40" ht="11.5" customHeight="1" x14ac:dyDescent="0.25">
      <c r="G78" s="616"/>
      <c r="H78" s="616"/>
      <c r="I78" s="616"/>
      <c r="J78" s="616"/>
      <c r="K78" s="616"/>
      <c r="L78" s="616"/>
      <c r="M78" s="616"/>
      <c r="N78" s="616"/>
      <c r="O78" s="616"/>
      <c r="P78" s="616"/>
      <c r="Q78" s="616"/>
      <c r="R78" s="616"/>
      <c r="S78" s="616"/>
      <c r="T78" s="616"/>
      <c r="U78" s="616"/>
      <c r="V78" s="616"/>
      <c r="W78" s="616"/>
      <c r="X78" s="616"/>
      <c r="Y78" s="616"/>
      <c r="Z78" s="616"/>
      <c r="AA78" s="616"/>
      <c r="AB78" s="616"/>
      <c r="AC78" s="616"/>
      <c r="AD78" s="616"/>
      <c r="AE78" s="616"/>
      <c r="AF78" s="616"/>
      <c r="AG78" s="616"/>
      <c r="AH78" s="616"/>
      <c r="AI78" s="616"/>
      <c r="AJ78" s="616"/>
      <c r="AK78" s="616">
        <f t="shared" si="72"/>
        <v>1</v>
      </c>
      <c r="AL78" s="616">
        <f t="shared" si="72"/>
        <v>2</v>
      </c>
      <c r="AM78" s="616">
        <f t="shared" si="72"/>
        <v>3</v>
      </c>
      <c r="AN78" s="616">
        <f t="shared" si="72"/>
        <v>4</v>
      </c>
    </row>
    <row r="79" spans="5:40" ht="11.5" customHeight="1" x14ac:dyDescent="0.25">
      <c r="G79" s="616"/>
      <c r="H79" s="616"/>
      <c r="I79" s="616"/>
      <c r="J79" s="616"/>
      <c r="K79" s="616"/>
      <c r="L79" s="616"/>
      <c r="M79" s="616"/>
      <c r="N79" s="616"/>
      <c r="O79" s="616"/>
      <c r="P79" s="616"/>
      <c r="Q79" s="616"/>
      <c r="R79" s="616"/>
      <c r="S79" s="616"/>
      <c r="T79" s="616"/>
      <c r="U79" s="616"/>
      <c r="V79" s="616"/>
      <c r="W79" s="616"/>
      <c r="X79" s="616"/>
      <c r="Y79" s="616"/>
      <c r="Z79" s="616"/>
      <c r="AA79" s="616"/>
      <c r="AB79" s="616"/>
      <c r="AC79" s="616"/>
      <c r="AD79" s="616"/>
      <c r="AE79" s="616"/>
      <c r="AF79" s="616"/>
      <c r="AG79" s="616"/>
      <c r="AH79" s="616"/>
      <c r="AI79" s="616"/>
      <c r="AJ79" s="616"/>
      <c r="AK79" s="616"/>
      <c r="AL79" s="616">
        <f t="shared" si="72"/>
        <v>1</v>
      </c>
      <c r="AM79" s="616">
        <f t="shared" si="72"/>
        <v>2</v>
      </c>
      <c r="AN79" s="616">
        <f t="shared" si="72"/>
        <v>3</v>
      </c>
    </row>
    <row r="80" spans="5:40" ht="11.5" customHeight="1" x14ac:dyDescent="0.25">
      <c r="G80" s="616"/>
      <c r="H80" s="616"/>
      <c r="I80" s="616"/>
      <c r="J80" s="616"/>
      <c r="K80" s="616"/>
      <c r="L80" s="616"/>
      <c r="M80" s="616"/>
      <c r="N80" s="616"/>
      <c r="O80" s="616"/>
      <c r="P80" s="616"/>
      <c r="Q80" s="616"/>
      <c r="R80" s="616"/>
      <c r="S80" s="616"/>
      <c r="T80" s="616"/>
      <c r="U80" s="616"/>
      <c r="V80" s="616"/>
      <c r="W80" s="616"/>
      <c r="X80" s="616"/>
      <c r="Y80" s="616"/>
      <c r="Z80" s="616"/>
      <c r="AA80" s="616"/>
      <c r="AB80" s="616"/>
      <c r="AC80" s="616"/>
      <c r="AD80" s="616"/>
      <c r="AE80" s="616"/>
      <c r="AF80" s="616"/>
      <c r="AG80" s="616"/>
      <c r="AH80" s="616"/>
      <c r="AI80" s="616"/>
      <c r="AJ80" s="616"/>
      <c r="AK80" s="616"/>
      <c r="AL80" s="616"/>
      <c r="AM80" s="616">
        <f t="shared" si="72"/>
        <v>1</v>
      </c>
      <c r="AN80" s="616">
        <f t="shared" si="72"/>
        <v>2</v>
      </c>
    </row>
    <row r="81" spans="7:40" ht="11.5" customHeight="1" x14ac:dyDescent="0.25">
      <c r="G81" s="616"/>
      <c r="H81" s="616"/>
      <c r="I81" s="616"/>
      <c r="J81" s="616"/>
      <c r="K81" s="616"/>
      <c r="L81" s="616"/>
      <c r="M81" s="616"/>
      <c r="N81" s="616"/>
      <c r="O81" s="616"/>
      <c r="P81" s="616"/>
      <c r="Q81" s="616"/>
      <c r="R81" s="616"/>
      <c r="S81" s="616"/>
      <c r="T81" s="616"/>
      <c r="U81" s="616"/>
      <c r="V81" s="616"/>
      <c r="W81" s="616"/>
      <c r="X81" s="616"/>
      <c r="Y81" s="616"/>
      <c r="Z81" s="616"/>
      <c r="AA81" s="616"/>
      <c r="AB81" s="616"/>
      <c r="AC81" s="616"/>
      <c r="AD81" s="616"/>
      <c r="AE81" s="616"/>
      <c r="AF81" s="616"/>
      <c r="AG81" s="616"/>
      <c r="AH81" s="616"/>
      <c r="AI81" s="616"/>
      <c r="AJ81" s="616"/>
      <c r="AK81" s="616"/>
      <c r="AL81" s="616"/>
      <c r="AM81" s="616"/>
      <c r="AN81" s="616">
        <f t="shared" si="72"/>
        <v>1</v>
      </c>
    </row>
    <row r="82" spans="7:40" ht="11.5" customHeight="1" x14ac:dyDescent="0.25">
      <c r="G82" s="616"/>
      <c r="H82" s="616"/>
      <c r="I82" s="616"/>
      <c r="J82" s="616"/>
      <c r="K82" s="616"/>
      <c r="L82" s="616"/>
      <c r="M82" s="616"/>
      <c r="N82" s="616"/>
      <c r="O82" s="616"/>
      <c r="P82" s="616"/>
      <c r="Q82" s="616"/>
      <c r="R82" s="616"/>
      <c r="S82" s="616"/>
      <c r="T82" s="616"/>
      <c r="U82" s="616"/>
      <c r="V82" s="616"/>
      <c r="W82" s="616"/>
      <c r="X82" s="616"/>
      <c r="Y82" s="616"/>
      <c r="Z82" s="616"/>
      <c r="AA82" s="616"/>
      <c r="AB82" s="616"/>
      <c r="AC82" s="616"/>
      <c r="AD82" s="616"/>
      <c r="AE82" s="616"/>
      <c r="AF82" s="616"/>
      <c r="AG82" s="616"/>
      <c r="AH82" s="616"/>
      <c r="AI82" s="616"/>
      <c r="AJ82" s="616"/>
      <c r="AK82" s="616"/>
      <c r="AL82" s="616"/>
      <c r="AM82" s="616"/>
      <c r="AN82" s="616"/>
    </row>
    <row r="83" spans="7:40" ht="11.5" customHeight="1" x14ac:dyDescent="0.25">
      <c r="G83" s="616"/>
      <c r="H83" s="616"/>
      <c r="I83" s="616"/>
      <c r="J83" s="616"/>
      <c r="K83" s="616"/>
      <c r="L83" s="616"/>
      <c r="M83" s="616"/>
      <c r="N83" s="616"/>
      <c r="O83" s="616"/>
      <c r="P83" s="616"/>
      <c r="Q83" s="616"/>
      <c r="R83" s="616"/>
      <c r="S83" s="616"/>
      <c r="T83" s="616"/>
      <c r="U83" s="616"/>
      <c r="V83" s="616"/>
      <c r="W83" s="616"/>
      <c r="X83" s="616"/>
      <c r="Y83" s="616"/>
      <c r="Z83" s="616"/>
      <c r="AA83" s="616"/>
      <c r="AB83" s="616"/>
      <c r="AC83" s="616"/>
      <c r="AD83" s="616"/>
      <c r="AE83" s="616"/>
      <c r="AF83" s="616"/>
      <c r="AG83" s="616"/>
      <c r="AH83" s="616"/>
      <c r="AI83" s="616"/>
      <c r="AJ83" s="616"/>
      <c r="AK83" s="616"/>
      <c r="AL83" s="616"/>
      <c r="AM83" s="616"/>
      <c r="AN83" s="616"/>
    </row>
    <row r="84" spans="7:40" ht="11.5" customHeight="1" x14ac:dyDescent="0.25">
      <c r="G84" s="616"/>
      <c r="H84" s="616"/>
      <c r="I84" s="616"/>
      <c r="J84" s="616"/>
      <c r="K84" s="616"/>
      <c r="L84" s="616"/>
      <c r="M84" s="616"/>
      <c r="N84" s="616"/>
      <c r="O84" s="616"/>
      <c r="P84" s="616"/>
      <c r="Q84" s="616"/>
      <c r="R84" s="616"/>
      <c r="S84" s="616"/>
      <c r="T84" s="616"/>
      <c r="U84" s="616"/>
      <c r="V84" s="616"/>
      <c r="W84" s="616"/>
      <c r="X84" s="616"/>
      <c r="Y84" s="616"/>
      <c r="Z84" s="616"/>
      <c r="AA84" s="616"/>
      <c r="AB84" s="616"/>
      <c r="AC84" s="616"/>
      <c r="AD84" s="616"/>
      <c r="AE84" s="616"/>
      <c r="AF84" s="616"/>
      <c r="AG84" s="616"/>
      <c r="AH84" s="616"/>
      <c r="AI84" s="616"/>
      <c r="AJ84" s="616"/>
      <c r="AK84" s="616"/>
      <c r="AL84" s="616"/>
      <c r="AM84" s="616"/>
      <c r="AN84" s="616"/>
    </row>
    <row r="85" spans="7:40" ht="11.5" customHeight="1" x14ac:dyDescent="0.25">
      <c r="G85" s="616"/>
      <c r="H85" s="616"/>
      <c r="I85" s="616"/>
      <c r="J85" s="616"/>
      <c r="K85" s="616"/>
      <c r="L85" s="616"/>
      <c r="M85" s="616"/>
      <c r="N85" s="616"/>
      <c r="O85" s="616"/>
      <c r="P85" s="616"/>
      <c r="Q85" s="616"/>
      <c r="R85" s="616"/>
      <c r="S85" s="616"/>
      <c r="T85" s="616"/>
      <c r="U85" s="616"/>
      <c r="V85" s="616"/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616"/>
      <c r="AL85" s="616"/>
      <c r="AM85" s="616"/>
      <c r="AN85" s="616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FF933-5D51-4752-8FA9-E6E217DC1D02}">
  <dimension ref="A1:S20"/>
  <sheetViews>
    <sheetView showGridLines="0" zoomScale="70" zoomScaleNormal="70" workbookViewId="0"/>
  </sheetViews>
  <sheetFormatPr defaultColWidth="0" defaultRowHeight="11.5" zeroHeight="1" x14ac:dyDescent="0.25"/>
  <cols>
    <col min="1" max="2" width="3.6328125" style="3" customWidth="1"/>
    <col min="3" max="3" width="30.6328125" style="3" customWidth="1"/>
    <col min="4" max="4" width="12.6328125" style="3" customWidth="1"/>
    <col min="5" max="5" width="3.6328125" style="3" customWidth="1"/>
    <col min="6" max="16" width="15.6328125" style="3" hidden="1" customWidth="1"/>
    <col min="17" max="17" width="0.453125" style="3" hidden="1" customWidth="1"/>
    <col min="18" max="18" width="50.6328125" style="3" hidden="1" customWidth="1"/>
    <col min="19" max="19" width="3.6328125" style="3" hidden="1" customWidth="1"/>
    <col min="20" max="16384" width="8.7265625" style="3" hidden="1"/>
  </cols>
  <sheetData>
    <row r="1" spans="1:17" s="4" customFormat="1" ht="14" x14ac:dyDescent="0.3">
      <c r="A1" s="103" t="str">
        <f ca="1">MID(CELL("filename",A1),FIND("]",CELL("filename",A1))+1,255)</f>
        <v>3.10 WACC</v>
      </c>
      <c r="Q1" s="5"/>
    </row>
    <row r="2" spans="1:17" s="5" customFormat="1" x14ac:dyDescent="0.25">
      <c r="A2" s="7" t="s">
        <v>970</v>
      </c>
    </row>
    <row r="3" spans="1:17" ht="11.5" customHeight="1" x14ac:dyDescent="0.25">
      <c r="C3" s="2"/>
    </row>
    <row r="4" spans="1:17" ht="11.5" customHeight="1" x14ac:dyDescent="0.25">
      <c r="B4" s="687" t="s">
        <v>416</v>
      </c>
      <c r="C4" s="688"/>
      <c r="D4" s="689">
        <f ca="1">D6*1/(1+D13)+D13/(1+D13)*D19</f>
        <v>0.10046073895455647</v>
      </c>
    </row>
    <row r="5" spans="1:17" ht="11.5" customHeight="1" x14ac:dyDescent="0.25"/>
    <row r="6" spans="1:17" ht="11.5" customHeight="1" x14ac:dyDescent="0.25">
      <c r="B6" s="31" t="s">
        <v>921</v>
      </c>
      <c r="C6" s="31"/>
      <c r="D6" s="691">
        <f ca="1">D7+(D10*(D15))+D17+D16</f>
        <v>0.10046483788124436</v>
      </c>
    </row>
    <row r="7" spans="1:17" ht="11.5" customHeight="1" x14ac:dyDescent="0.25">
      <c r="B7" s="226" t="s">
        <v>915</v>
      </c>
      <c r="C7" s="226"/>
      <c r="D7" s="690">
        <f>SUM(D8:D9)</f>
        <v>3.0000000000000002E-2</v>
      </c>
    </row>
    <row r="8" spans="1:17" ht="11.5" customHeight="1" x14ac:dyDescent="0.25">
      <c r="B8" s="20" t="s">
        <v>914</v>
      </c>
      <c r="C8" s="20"/>
      <c r="D8" s="692">
        <f>'1.1 Control Panel'!E15</f>
        <v>0.05</v>
      </c>
    </row>
    <row r="9" spans="1:17" ht="11.5" customHeight="1" x14ac:dyDescent="0.25">
      <c r="B9" s="22" t="s">
        <v>922</v>
      </c>
      <c r="C9" s="22"/>
      <c r="D9" s="693">
        <f>'1.1 Control Panel'!E16</f>
        <v>-0.02</v>
      </c>
    </row>
    <row r="10" spans="1:17" ht="11.5" customHeight="1" x14ac:dyDescent="0.25">
      <c r="B10" s="226" t="s">
        <v>918</v>
      </c>
      <c r="C10" s="226"/>
      <c r="D10" s="694">
        <f ca="1">D11*(1+(1-D12)*D13)</f>
        <v>1.1092967576248871</v>
      </c>
    </row>
    <row r="11" spans="1:17" ht="11.5" customHeight="1" x14ac:dyDescent="0.25">
      <c r="B11" s="20" t="s">
        <v>916</v>
      </c>
      <c r="C11" s="20"/>
      <c r="D11" s="700">
        <f>'1.1 Control Panel'!E20</f>
        <v>1.1000000000000001</v>
      </c>
    </row>
    <row r="12" spans="1:17" ht="11.5" customHeight="1" x14ac:dyDescent="0.25">
      <c r="B12" s="21" t="s">
        <v>923</v>
      </c>
      <c r="C12" s="21"/>
      <c r="D12" s="283">
        <f>'1.1 Control Panel'!E14</f>
        <v>0.05</v>
      </c>
    </row>
    <row r="13" spans="1:17" ht="11.5" customHeight="1" x14ac:dyDescent="0.25">
      <c r="B13" s="22" t="s">
        <v>917</v>
      </c>
      <c r="C13" s="22"/>
      <c r="D13" s="284">
        <f ca="1">AVERAGEIFS('2.2 BS'!E33:AN33,'2.2 BS'!E33:AN33,"&gt;="&amp;0)</f>
        <v>8.8964187797962845E-3</v>
      </c>
    </row>
    <row r="14" spans="1:17" ht="11.5" customHeight="1" x14ac:dyDescent="0.25">
      <c r="B14" s="226" t="s">
        <v>926</v>
      </c>
      <c r="C14" s="226"/>
      <c r="D14" s="557"/>
    </row>
    <row r="15" spans="1:17" ht="11.5" customHeight="1" x14ac:dyDescent="0.25">
      <c r="B15" s="20" t="s">
        <v>919</v>
      </c>
      <c r="C15" s="20"/>
      <c r="D15" s="282">
        <f>'1.1 Control Panel'!E17</f>
        <v>0.05</v>
      </c>
    </row>
    <row r="16" spans="1:17" ht="11.5" customHeight="1" x14ac:dyDescent="0.25">
      <c r="B16" s="21" t="s">
        <v>924</v>
      </c>
      <c r="C16" s="21"/>
      <c r="D16" s="283">
        <f>'1.1 Control Panel'!E18</f>
        <v>5.0000000000000001E-3</v>
      </c>
    </row>
    <row r="17" spans="2:4" ht="11.5" customHeight="1" x14ac:dyDescent="0.25">
      <c r="B17" s="22" t="s">
        <v>920</v>
      </c>
      <c r="C17" s="22"/>
      <c r="D17" s="284">
        <f>'1.1 Control Panel'!E19</f>
        <v>0.01</v>
      </c>
    </row>
    <row r="18" spans="2:4" ht="3" customHeight="1" x14ac:dyDescent="0.25">
      <c r="D18" s="236"/>
    </row>
    <row r="19" spans="2:4" ht="11.5" customHeight="1" x14ac:dyDescent="0.25">
      <c r="B19" s="31" t="s">
        <v>925</v>
      </c>
      <c r="C19" s="31"/>
      <c r="D19" s="691">
        <f>'1.1 Control Panel'!E12</f>
        <v>0.1</v>
      </c>
    </row>
    <row r="20" spans="2:4" ht="3" customHeight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2D90B-E5CA-4CAA-A98C-983C8E2C99B4}">
  <sheetPr>
    <tabColor rgb="FF002060"/>
  </sheetPr>
  <dimension ref="A1"/>
  <sheetViews>
    <sheetView topLeftCell="XFD1048576" workbookViewId="0"/>
  </sheetViews>
  <sheetFormatPr defaultColWidth="0" defaultRowHeight="14.5" zeroHeight="1" x14ac:dyDescent="0.35"/>
  <cols>
    <col min="1" max="16384" width="8.7265625" hidden="1"/>
  </cols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82DC3-976C-4BB1-8A4B-46620CF02C25}">
  <dimension ref="A1:F168"/>
  <sheetViews>
    <sheetView showGridLines="0" zoomScale="70" zoomScaleNormal="70" workbookViewId="0"/>
  </sheetViews>
  <sheetFormatPr defaultColWidth="0" defaultRowHeight="11.5" zeroHeight="1" x14ac:dyDescent="0.25"/>
  <cols>
    <col min="1" max="1" width="3.6328125" style="3" customWidth="1"/>
    <col min="2" max="2" width="35.6328125" style="3" customWidth="1"/>
    <col min="3" max="3" width="35.6328125" style="117" customWidth="1"/>
    <col min="4" max="5" width="35.6328125" style="3" customWidth="1"/>
    <col min="6" max="6" width="3.6328125" style="3" customWidth="1"/>
    <col min="7" max="16384" width="8.7265625" style="3" hidden="1"/>
  </cols>
  <sheetData>
    <row r="1" spans="1:5" s="5" customFormat="1" ht="14" x14ac:dyDescent="0.3">
      <c r="A1" s="8" t="str">
        <f ca="1">MID(CELL("filename",A1),FIND("]",CELL("filename",A1))+1,255)</f>
        <v>4.1 GICS Sectors</v>
      </c>
      <c r="C1" s="239"/>
    </row>
    <row r="2" spans="1:5" s="5" customFormat="1" x14ac:dyDescent="0.25">
      <c r="A2" s="7" t="s">
        <v>434</v>
      </c>
      <c r="C2" s="239"/>
    </row>
    <row r="3" spans="1:5" x14ac:dyDescent="0.25"/>
    <row r="4" spans="1:5" s="74" customFormat="1" x14ac:dyDescent="0.25">
      <c r="B4" s="238" t="s">
        <v>400</v>
      </c>
      <c r="C4" s="238" t="s">
        <v>168</v>
      </c>
      <c r="D4" s="238" t="s">
        <v>169</v>
      </c>
      <c r="E4" s="238" t="s">
        <v>170</v>
      </c>
    </row>
    <row r="5" spans="1:5" x14ac:dyDescent="0.25">
      <c r="B5" s="241" t="s">
        <v>171</v>
      </c>
      <c r="C5" s="241" t="s">
        <v>171</v>
      </c>
      <c r="D5" s="94" t="s">
        <v>172</v>
      </c>
      <c r="E5" s="94" t="s">
        <v>173</v>
      </c>
    </row>
    <row r="6" spans="1:5" x14ac:dyDescent="0.25">
      <c r="B6" s="237" t="s">
        <v>171</v>
      </c>
      <c r="C6" s="237" t="s">
        <v>171</v>
      </c>
      <c r="D6" s="21" t="s">
        <v>172</v>
      </c>
      <c r="E6" s="21" t="s">
        <v>174</v>
      </c>
    </row>
    <row r="7" spans="1:5" x14ac:dyDescent="0.25">
      <c r="B7" s="237" t="s">
        <v>171</v>
      </c>
      <c r="C7" s="237" t="s">
        <v>171</v>
      </c>
      <c r="D7" s="21" t="s">
        <v>175</v>
      </c>
      <c r="E7" s="21" t="s">
        <v>176</v>
      </c>
    </row>
    <row r="8" spans="1:5" x14ac:dyDescent="0.25">
      <c r="B8" s="237" t="s">
        <v>171</v>
      </c>
      <c r="C8" s="237" t="s">
        <v>171</v>
      </c>
      <c r="D8" s="21" t="s">
        <v>175</v>
      </c>
      <c r="E8" s="21" t="s">
        <v>177</v>
      </c>
    </row>
    <row r="9" spans="1:5" x14ac:dyDescent="0.25">
      <c r="B9" s="237" t="s">
        <v>171</v>
      </c>
      <c r="C9" s="237" t="s">
        <v>171</v>
      </c>
      <c r="D9" s="21" t="s">
        <v>175</v>
      </c>
      <c r="E9" s="21" t="s">
        <v>178</v>
      </c>
    </row>
    <row r="10" spans="1:5" x14ac:dyDescent="0.25">
      <c r="B10" s="237" t="s">
        <v>171</v>
      </c>
      <c r="C10" s="237" t="s">
        <v>171</v>
      </c>
      <c r="D10" s="21" t="s">
        <v>175</v>
      </c>
      <c r="E10" s="21" t="s">
        <v>179</v>
      </c>
    </row>
    <row r="11" spans="1:5" x14ac:dyDescent="0.25">
      <c r="B11" s="237" t="s">
        <v>171</v>
      </c>
      <c r="C11" s="237" t="s">
        <v>171</v>
      </c>
      <c r="D11" s="21" t="s">
        <v>175</v>
      </c>
      <c r="E11" s="21" t="s">
        <v>180</v>
      </c>
    </row>
    <row r="12" spans="1:5" x14ac:dyDescent="0.25">
      <c r="B12" s="237" t="s">
        <v>181</v>
      </c>
      <c r="C12" s="237" t="s">
        <v>181</v>
      </c>
      <c r="D12" s="21" t="s">
        <v>155</v>
      </c>
      <c r="E12" s="21" t="s">
        <v>182</v>
      </c>
    </row>
    <row r="13" spans="1:5" x14ac:dyDescent="0.25">
      <c r="B13" s="237" t="s">
        <v>181</v>
      </c>
      <c r="C13" s="237" t="s">
        <v>181</v>
      </c>
      <c r="D13" s="21" t="s">
        <v>155</v>
      </c>
      <c r="E13" s="21" t="s">
        <v>183</v>
      </c>
    </row>
    <row r="14" spans="1:5" x14ac:dyDescent="0.25">
      <c r="B14" s="237" t="s">
        <v>181</v>
      </c>
      <c r="C14" s="237" t="s">
        <v>181</v>
      </c>
      <c r="D14" s="21" t="s">
        <v>155</v>
      </c>
      <c r="E14" s="21" t="s">
        <v>184</v>
      </c>
    </row>
    <row r="15" spans="1:5" x14ac:dyDescent="0.25">
      <c r="B15" s="237" t="s">
        <v>181</v>
      </c>
      <c r="C15" s="237" t="s">
        <v>181</v>
      </c>
      <c r="D15" s="21" t="s">
        <v>155</v>
      </c>
      <c r="E15" s="21" t="s">
        <v>185</v>
      </c>
    </row>
    <row r="16" spans="1:5" x14ac:dyDescent="0.25">
      <c r="B16" s="237" t="s">
        <v>181</v>
      </c>
      <c r="C16" s="237" t="s">
        <v>181</v>
      </c>
      <c r="D16" s="21" t="s">
        <v>155</v>
      </c>
      <c r="E16" s="21" t="s">
        <v>186</v>
      </c>
    </row>
    <row r="17" spans="2:5" x14ac:dyDescent="0.25">
      <c r="B17" s="237" t="s">
        <v>181</v>
      </c>
      <c r="C17" s="237" t="s">
        <v>181</v>
      </c>
      <c r="D17" s="21" t="s">
        <v>187</v>
      </c>
      <c r="E17" s="21" t="s">
        <v>187</v>
      </c>
    </row>
    <row r="18" spans="2:5" x14ac:dyDescent="0.25">
      <c r="B18" s="237" t="s">
        <v>181</v>
      </c>
      <c r="C18" s="237" t="s">
        <v>181</v>
      </c>
      <c r="D18" s="21" t="s">
        <v>188</v>
      </c>
      <c r="E18" s="21" t="s">
        <v>189</v>
      </c>
    </row>
    <row r="19" spans="2:5" x14ac:dyDescent="0.25">
      <c r="B19" s="237" t="s">
        <v>181</v>
      </c>
      <c r="C19" s="237" t="s">
        <v>181</v>
      </c>
      <c r="D19" s="21" t="s">
        <v>188</v>
      </c>
      <c r="E19" s="21" t="s">
        <v>190</v>
      </c>
    </row>
    <row r="20" spans="2:5" x14ac:dyDescent="0.25">
      <c r="B20" s="237" t="s">
        <v>181</v>
      </c>
      <c r="C20" s="237" t="s">
        <v>181</v>
      </c>
      <c r="D20" s="21" t="s">
        <v>191</v>
      </c>
      <c r="E20" s="21" t="s">
        <v>192</v>
      </c>
    </row>
    <row r="21" spans="2:5" x14ac:dyDescent="0.25">
      <c r="B21" s="237" t="s">
        <v>181</v>
      </c>
      <c r="C21" s="237" t="s">
        <v>181</v>
      </c>
      <c r="D21" s="21" t="s">
        <v>191</v>
      </c>
      <c r="E21" s="21" t="s">
        <v>193</v>
      </c>
    </row>
    <row r="22" spans="2:5" x14ac:dyDescent="0.25">
      <c r="B22" s="237" t="s">
        <v>181</v>
      </c>
      <c r="C22" s="237" t="s">
        <v>181</v>
      </c>
      <c r="D22" s="21" t="s">
        <v>191</v>
      </c>
      <c r="E22" s="21" t="s">
        <v>194</v>
      </c>
    </row>
    <row r="23" spans="2:5" x14ac:dyDescent="0.25">
      <c r="B23" s="237" t="s">
        <v>181</v>
      </c>
      <c r="C23" s="237" t="s">
        <v>181</v>
      </c>
      <c r="D23" s="21" t="s">
        <v>191</v>
      </c>
      <c r="E23" s="21" t="s">
        <v>195</v>
      </c>
    </row>
    <row r="24" spans="2:5" x14ac:dyDescent="0.25">
      <c r="B24" s="237" t="s">
        <v>181</v>
      </c>
      <c r="C24" s="237" t="s">
        <v>181</v>
      </c>
      <c r="D24" s="21" t="s">
        <v>191</v>
      </c>
      <c r="E24" s="21" t="s">
        <v>196</v>
      </c>
    </row>
    <row r="25" spans="2:5" x14ac:dyDescent="0.25">
      <c r="B25" s="237" t="s">
        <v>181</v>
      </c>
      <c r="C25" s="237" t="s">
        <v>181</v>
      </c>
      <c r="D25" s="21" t="s">
        <v>191</v>
      </c>
      <c r="E25" s="21" t="s">
        <v>197</v>
      </c>
    </row>
    <row r="26" spans="2:5" x14ac:dyDescent="0.25">
      <c r="B26" s="237" t="s">
        <v>181</v>
      </c>
      <c r="C26" s="237" t="s">
        <v>181</v>
      </c>
      <c r="D26" s="21" t="s">
        <v>191</v>
      </c>
      <c r="E26" s="21" t="s">
        <v>198</v>
      </c>
    </row>
    <row r="27" spans="2:5" x14ac:dyDescent="0.25">
      <c r="B27" s="237" t="s">
        <v>181</v>
      </c>
      <c r="C27" s="237" t="s">
        <v>181</v>
      </c>
      <c r="D27" s="21" t="s">
        <v>199</v>
      </c>
      <c r="E27" s="21" t="s">
        <v>200</v>
      </c>
    </row>
    <row r="28" spans="2:5" x14ac:dyDescent="0.25">
      <c r="B28" s="237" t="s">
        <v>181</v>
      </c>
      <c r="C28" s="237" t="s">
        <v>181</v>
      </c>
      <c r="D28" s="21" t="s">
        <v>199</v>
      </c>
      <c r="E28" s="21" t="s">
        <v>201</v>
      </c>
    </row>
    <row r="29" spans="2:5" x14ac:dyDescent="0.25">
      <c r="B29" s="237" t="s">
        <v>202</v>
      </c>
      <c r="C29" s="237" t="s">
        <v>203</v>
      </c>
      <c r="D29" s="21" t="s">
        <v>204</v>
      </c>
      <c r="E29" s="21" t="s">
        <v>158</v>
      </c>
    </row>
    <row r="30" spans="2:5" x14ac:dyDescent="0.25">
      <c r="B30" s="237" t="s">
        <v>202</v>
      </c>
      <c r="C30" s="237" t="s">
        <v>203</v>
      </c>
      <c r="D30" s="21" t="s">
        <v>205</v>
      </c>
      <c r="E30" s="21" t="s">
        <v>205</v>
      </c>
    </row>
    <row r="31" spans="2:5" x14ac:dyDescent="0.25">
      <c r="B31" s="237" t="s">
        <v>202</v>
      </c>
      <c r="C31" s="237" t="s">
        <v>203</v>
      </c>
      <c r="D31" s="21" t="s">
        <v>206</v>
      </c>
      <c r="E31" s="21" t="s">
        <v>206</v>
      </c>
    </row>
    <row r="32" spans="2:5" x14ac:dyDescent="0.25">
      <c r="B32" s="237" t="s">
        <v>202</v>
      </c>
      <c r="C32" s="237" t="s">
        <v>203</v>
      </c>
      <c r="D32" s="21" t="s">
        <v>207</v>
      </c>
      <c r="E32" s="21" t="s">
        <v>208</v>
      </c>
    </row>
    <row r="33" spans="2:5" x14ac:dyDescent="0.25">
      <c r="B33" s="237" t="s">
        <v>202</v>
      </c>
      <c r="C33" s="237" t="s">
        <v>203</v>
      </c>
      <c r="D33" s="21" t="s">
        <v>207</v>
      </c>
      <c r="E33" s="21" t="s">
        <v>209</v>
      </c>
    </row>
    <row r="34" spans="2:5" x14ac:dyDescent="0.25">
      <c r="B34" s="237" t="s">
        <v>202</v>
      </c>
      <c r="C34" s="237" t="s">
        <v>203</v>
      </c>
      <c r="D34" s="21" t="s">
        <v>210</v>
      </c>
      <c r="E34" s="21" t="s">
        <v>210</v>
      </c>
    </row>
    <row r="35" spans="2:5" x14ac:dyDescent="0.25">
      <c r="B35" s="237" t="s">
        <v>202</v>
      </c>
      <c r="C35" s="237" t="s">
        <v>203</v>
      </c>
      <c r="D35" s="21" t="s">
        <v>211</v>
      </c>
      <c r="E35" s="21" t="s">
        <v>212</v>
      </c>
    </row>
    <row r="36" spans="2:5" x14ac:dyDescent="0.25">
      <c r="B36" s="237" t="s">
        <v>202</v>
      </c>
      <c r="C36" s="237" t="s">
        <v>203</v>
      </c>
      <c r="D36" s="21" t="s">
        <v>211</v>
      </c>
      <c r="E36" s="21" t="s">
        <v>213</v>
      </c>
    </row>
    <row r="37" spans="2:5" x14ac:dyDescent="0.25">
      <c r="B37" s="237" t="s">
        <v>202</v>
      </c>
      <c r="C37" s="237" t="s">
        <v>203</v>
      </c>
      <c r="D37" s="21" t="s">
        <v>211</v>
      </c>
      <c r="E37" s="21" t="s">
        <v>214</v>
      </c>
    </row>
    <row r="38" spans="2:5" x14ac:dyDescent="0.25">
      <c r="B38" s="237" t="s">
        <v>202</v>
      </c>
      <c r="C38" s="237" t="s">
        <v>203</v>
      </c>
      <c r="D38" s="21" t="s">
        <v>215</v>
      </c>
      <c r="E38" s="21" t="s">
        <v>215</v>
      </c>
    </row>
    <row r="39" spans="2:5" x14ac:dyDescent="0.25">
      <c r="B39" s="237" t="s">
        <v>202</v>
      </c>
      <c r="C39" s="237" t="s">
        <v>216</v>
      </c>
      <c r="D39" s="21" t="s">
        <v>217</v>
      </c>
      <c r="E39" s="21" t="s">
        <v>218</v>
      </c>
    </row>
    <row r="40" spans="2:5" x14ac:dyDescent="0.25">
      <c r="B40" s="237" t="s">
        <v>202</v>
      </c>
      <c r="C40" s="237" t="s">
        <v>216</v>
      </c>
      <c r="D40" s="21" t="s">
        <v>217</v>
      </c>
      <c r="E40" s="21" t="s">
        <v>219</v>
      </c>
    </row>
    <row r="41" spans="2:5" x14ac:dyDescent="0.25">
      <c r="B41" s="237" t="s">
        <v>202</v>
      </c>
      <c r="C41" s="237" t="s">
        <v>216</v>
      </c>
      <c r="D41" s="21" t="s">
        <v>217</v>
      </c>
      <c r="E41" s="21" t="s">
        <v>220</v>
      </c>
    </row>
    <row r="42" spans="2:5" x14ac:dyDescent="0.25">
      <c r="B42" s="237" t="s">
        <v>202</v>
      </c>
      <c r="C42" s="237" t="s">
        <v>216</v>
      </c>
      <c r="D42" s="21" t="s">
        <v>217</v>
      </c>
      <c r="E42" s="21" t="s">
        <v>221</v>
      </c>
    </row>
    <row r="43" spans="2:5" x14ac:dyDescent="0.25">
      <c r="B43" s="237" t="s">
        <v>202</v>
      </c>
      <c r="C43" s="237" t="s">
        <v>216</v>
      </c>
      <c r="D43" s="21" t="s">
        <v>217</v>
      </c>
      <c r="E43" s="21" t="s">
        <v>222</v>
      </c>
    </row>
    <row r="44" spans="2:5" x14ac:dyDescent="0.25">
      <c r="B44" s="237" t="s">
        <v>202</v>
      </c>
      <c r="C44" s="237" t="s">
        <v>216</v>
      </c>
      <c r="D44" s="21" t="s">
        <v>223</v>
      </c>
      <c r="E44" s="21" t="s">
        <v>224</v>
      </c>
    </row>
    <row r="45" spans="2:5" x14ac:dyDescent="0.25">
      <c r="B45" s="237" t="s">
        <v>202</v>
      </c>
      <c r="C45" s="237" t="s">
        <v>216</v>
      </c>
      <c r="D45" s="21" t="s">
        <v>223</v>
      </c>
      <c r="E45" s="21" t="s">
        <v>225</v>
      </c>
    </row>
    <row r="46" spans="2:5" x14ac:dyDescent="0.25">
      <c r="B46" s="237" t="s">
        <v>202</v>
      </c>
      <c r="C46" s="237" t="s">
        <v>216</v>
      </c>
      <c r="D46" s="21" t="s">
        <v>223</v>
      </c>
      <c r="E46" s="21" t="s">
        <v>226</v>
      </c>
    </row>
    <row r="47" spans="2:5" x14ac:dyDescent="0.25">
      <c r="B47" s="237" t="s">
        <v>202</v>
      </c>
      <c r="C47" s="237" t="s">
        <v>152</v>
      </c>
      <c r="D47" s="21" t="s">
        <v>227</v>
      </c>
      <c r="E47" s="21" t="s">
        <v>227</v>
      </c>
    </row>
    <row r="48" spans="2:5" x14ac:dyDescent="0.25">
      <c r="B48" s="237" t="s">
        <v>202</v>
      </c>
      <c r="C48" s="237" t="s">
        <v>152</v>
      </c>
      <c r="D48" s="21" t="s">
        <v>228</v>
      </c>
      <c r="E48" s="21" t="s">
        <v>228</v>
      </c>
    </row>
    <row r="49" spans="2:5" x14ac:dyDescent="0.25">
      <c r="B49" s="237" t="s">
        <v>202</v>
      </c>
      <c r="C49" s="237" t="s">
        <v>152</v>
      </c>
      <c r="D49" s="21" t="s">
        <v>229</v>
      </c>
      <c r="E49" s="21" t="s">
        <v>229</v>
      </c>
    </row>
    <row r="50" spans="2:5" x14ac:dyDescent="0.25">
      <c r="B50" s="237" t="s">
        <v>202</v>
      </c>
      <c r="C50" s="237" t="s">
        <v>152</v>
      </c>
      <c r="D50" s="21" t="s">
        <v>230</v>
      </c>
      <c r="E50" s="21" t="s">
        <v>231</v>
      </c>
    </row>
    <row r="51" spans="2:5" x14ac:dyDescent="0.25">
      <c r="B51" s="237" t="s">
        <v>202</v>
      </c>
      <c r="C51" s="237" t="s">
        <v>152</v>
      </c>
      <c r="D51" s="21" t="s">
        <v>230</v>
      </c>
      <c r="E51" s="21" t="s">
        <v>232</v>
      </c>
    </row>
    <row r="52" spans="2:5" x14ac:dyDescent="0.25">
      <c r="B52" s="237" t="s">
        <v>202</v>
      </c>
      <c r="C52" s="237" t="s">
        <v>152</v>
      </c>
      <c r="D52" s="21" t="s">
        <v>230</v>
      </c>
      <c r="E52" s="21" t="s">
        <v>233</v>
      </c>
    </row>
    <row r="53" spans="2:5" x14ac:dyDescent="0.25">
      <c r="B53" s="237" t="s">
        <v>202</v>
      </c>
      <c r="C53" s="237" t="s">
        <v>152</v>
      </c>
      <c r="D53" s="21" t="s">
        <v>234</v>
      </c>
      <c r="E53" s="21" t="s">
        <v>235</v>
      </c>
    </row>
    <row r="54" spans="2:5" x14ac:dyDescent="0.25">
      <c r="B54" s="21" t="s">
        <v>202</v>
      </c>
      <c r="C54" s="21" t="s">
        <v>152</v>
      </c>
      <c r="D54" s="21" t="s">
        <v>234</v>
      </c>
      <c r="E54" s="21" t="s">
        <v>236</v>
      </c>
    </row>
    <row r="55" spans="2:5" x14ac:dyDescent="0.25">
      <c r="B55" s="21" t="s">
        <v>202</v>
      </c>
      <c r="C55" s="21" t="s">
        <v>152</v>
      </c>
      <c r="D55" s="21" t="s">
        <v>234</v>
      </c>
      <c r="E55" s="21" t="s">
        <v>237</v>
      </c>
    </row>
    <row r="56" spans="2:5" x14ac:dyDescent="0.25">
      <c r="B56" s="21" t="s">
        <v>238</v>
      </c>
      <c r="C56" s="21" t="s">
        <v>239</v>
      </c>
      <c r="D56" s="21" t="s">
        <v>240</v>
      </c>
      <c r="E56" s="21" t="s">
        <v>241</v>
      </c>
    </row>
    <row r="57" spans="2:5" x14ac:dyDescent="0.25">
      <c r="B57" s="21" t="s">
        <v>238</v>
      </c>
      <c r="C57" s="21" t="s">
        <v>239</v>
      </c>
      <c r="D57" s="21" t="s">
        <v>240</v>
      </c>
      <c r="E57" s="21" t="s">
        <v>242</v>
      </c>
    </row>
    <row r="58" spans="2:5" x14ac:dyDescent="0.25">
      <c r="B58" s="21" t="s">
        <v>238</v>
      </c>
      <c r="C58" s="21" t="s">
        <v>239</v>
      </c>
      <c r="D58" s="21" t="s">
        <v>243</v>
      </c>
      <c r="E58" s="21" t="s">
        <v>244</v>
      </c>
    </row>
    <row r="59" spans="2:5" x14ac:dyDescent="0.25">
      <c r="B59" s="21" t="s">
        <v>238</v>
      </c>
      <c r="C59" s="21" t="s">
        <v>239</v>
      </c>
      <c r="D59" s="21" t="s">
        <v>243</v>
      </c>
      <c r="E59" s="21" t="s">
        <v>245</v>
      </c>
    </row>
    <row r="60" spans="2:5" x14ac:dyDescent="0.25">
      <c r="B60" s="21" t="s">
        <v>238</v>
      </c>
      <c r="C60" s="21" t="s">
        <v>246</v>
      </c>
      <c r="D60" s="21" t="s">
        <v>247</v>
      </c>
      <c r="E60" s="21" t="s">
        <v>248</v>
      </c>
    </row>
    <row r="61" spans="2:5" x14ac:dyDescent="0.25">
      <c r="B61" s="21" t="s">
        <v>238</v>
      </c>
      <c r="C61" s="21" t="s">
        <v>246</v>
      </c>
      <c r="D61" s="21" t="s">
        <v>247</v>
      </c>
      <c r="E61" s="21" t="s">
        <v>166</v>
      </c>
    </row>
    <row r="62" spans="2:5" x14ac:dyDescent="0.25">
      <c r="B62" s="21" t="s">
        <v>238</v>
      </c>
      <c r="C62" s="21" t="s">
        <v>246</v>
      </c>
      <c r="D62" s="21" t="s">
        <v>247</v>
      </c>
      <c r="E62" s="21" t="s">
        <v>249</v>
      </c>
    </row>
    <row r="63" spans="2:5" x14ac:dyDescent="0.25">
      <c r="B63" s="21" t="s">
        <v>238</v>
      </c>
      <c r="C63" s="21" t="s">
        <v>246</v>
      </c>
      <c r="D63" s="21" t="s">
        <v>247</v>
      </c>
      <c r="E63" s="21" t="s">
        <v>250</v>
      </c>
    </row>
    <row r="64" spans="2:5" x14ac:dyDescent="0.25">
      <c r="B64" s="21" t="s">
        <v>238</v>
      </c>
      <c r="C64" s="21" t="s">
        <v>246</v>
      </c>
      <c r="D64" s="21" t="s">
        <v>247</v>
      </c>
      <c r="E64" s="21" t="s">
        <v>251</v>
      </c>
    </row>
    <row r="65" spans="2:5" x14ac:dyDescent="0.25">
      <c r="B65" s="21" t="s">
        <v>238</v>
      </c>
      <c r="C65" s="21" t="s">
        <v>246</v>
      </c>
      <c r="D65" s="21" t="s">
        <v>252</v>
      </c>
      <c r="E65" s="21" t="s">
        <v>252</v>
      </c>
    </row>
    <row r="66" spans="2:5" x14ac:dyDescent="0.25">
      <c r="B66" s="21" t="s">
        <v>238</v>
      </c>
      <c r="C66" s="21" t="s">
        <v>246</v>
      </c>
      <c r="D66" s="21" t="s">
        <v>253</v>
      </c>
      <c r="E66" s="21" t="s">
        <v>254</v>
      </c>
    </row>
    <row r="67" spans="2:5" x14ac:dyDescent="0.25">
      <c r="B67" s="21" t="s">
        <v>238</v>
      </c>
      <c r="C67" s="21" t="s">
        <v>246</v>
      </c>
      <c r="D67" s="21" t="s">
        <v>253</v>
      </c>
      <c r="E67" s="21" t="s">
        <v>255</v>
      </c>
    </row>
    <row r="68" spans="2:5" x14ac:dyDescent="0.25">
      <c r="B68" s="21" t="s">
        <v>238</v>
      </c>
      <c r="C68" s="21" t="s">
        <v>246</v>
      </c>
      <c r="D68" s="21" t="s">
        <v>253</v>
      </c>
      <c r="E68" s="21" t="s">
        <v>163</v>
      </c>
    </row>
    <row r="69" spans="2:5" x14ac:dyDescent="0.25">
      <c r="B69" s="21" t="s">
        <v>238</v>
      </c>
      <c r="C69" s="21" t="s">
        <v>256</v>
      </c>
      <c r="D69" s="21" t="s">
        <v>257</v>
      </c>
      <c r="E69" s="21" t="s">
        <v>258</v>
      </c>
    </row>
    <row r="70" spans="2:5" x14ac:dyDescent="0.25">
      <c r="B70" s="21" t="s">
        <v>238</v>
      </c>
      <c r="C70" s="21" t="s">
        <v>256</v>
      </c>
      <c r="D70" s="21" t="s">
        <v>257</v>
      </c>
      <c r="E70" s="21" t="s">
        <v>259</v>
      </c>
    </row>
    <row r="71" spans="2:5" x14ac:dyDescent="0.25">
      <c r="B71" s="21" t="s">
        <v>238</v>
      </c>
      <c r="C71" s="21" t="s">
        <v>256</v>
      </c>
      <c r="D71" s="21" t="s">
        <v>257</v>
      </c>
      <c r="E71" s="21" t="s">
        <v>260</v>
      </c>
    </row>
    <row r="72" spans="2:5" x14ac:dyDescent="0.25">
      <c r="B72" s="21" t="s">
        <v>238</v>
      </c>
      <c r="C72" s="21" t="s">
        <v>256</v>
      </c>
      <c r="D72" s="21" t="s">
        <v>257</v>
      </c>
      <c r="E72" s="21" t="s">
        <v>261</v>
      </c>
    </row>
    <row r="73" spans="2:5" x14ac:dyDescent="0.25">
      <c r="B73" s="21" t="s">
        <v>238</v>
      </c>
      <c r="C73" s="21" t="s">
        <v>256</v>
      </c>
      <c r="D73" s="21" t="s">
        <v>262</v>
      </c>
      <c r="E73" s="21" t="s">
        <v>263</v>
      </c>
    </row>
    <row r="74" spans="2:5" x14ac:dyDescent="0.25">
      <c r="B74" s="21" t="s">
        <v>238</v>
      </c>
      <c r="C74" s="21" t="s">
        <v>256</v>
      </c>
      <c r="D74" s="21" t="s">
        <v>262</v>
      </c>
      <c r="E74" s="21" t="s">
        <v>264</v>
      </c>
    </row>
    <row r="75" spans="2:5" x14ac:dyDescent="0.25">
      <c r="B75" s="21" t="s">
        <v>238</v>
      </c>
      <c r="C75" s="21" t="s">
        <v>265</v>
      </c>
      <c r="D75" s="21" t="s">
        <v>266</v>
      </c>
      <c r="E75" s="21" t="s">
        <v>266</v>
      </c>
    </row>
    <row r="76" spans="2:5" x14ac:dyDescent="0.25">
      <c r="B76" s="21" t="s">
        <v>238</v>
      </c>
      <c r="C76" s="21" t="s">
        <v>265</v>
      </c>
      <c r="D76" s="21" t="s">
        <v>267</v>
      </c>
      <c r="E76" s="21" t="s">
        <v>267</v>
      </c>
    </row>
    <row r="77" spans="2:5" x14ac:dyDescent="0.25">
      <c r="B77" s="21" t="s">
        <v>238</v>
      </c>
      <c r="C77" s="21" t="s">
        <v>265</v>
      </c>
      <c r="D77" s="21" t="s">
        <v>268</v>
      </c>
      <c r="E77" s="21" t="s">
        <v>269</v>
      </c>
    </row>
    <row r="78" spans="2:5" x14ac:dyDescent="0.25">
      <c r="B78" s="21" t="s">
        <v>238</v>
      </c>
      <c r="C78" s="21" t="s">
        <v>265</v>
      </c>
      <c r="D78" s="21" t="s">
        <v>268</v>
      </c>
      <c r="E78" s="21" t="s">
        <v>270</v>
      </c>
    </row>
    <row r="79" spans="2:5" x14ac:dyDescent="0.25">
      <c r="B79" s="21" t="s">
        <v>238</v>
      </c>
      <c r="C79" s="21" t="s">
        <v>265</v>
      </c>
      <c r="D79" s="21" t="s">
        <v>268</v>
      </c>
      <c r="E79" s="21" t="s">
        <v>271</v>
      </c>
    </row>
    <row r="80" spans="2:5" x14ac:dyDescent="0.25">
      <c r="B80" s="21" t="s">
        <v>238</v>
      </c>
      <c r="C80" s="21" t="s">
        <v>265</v>
      </c>
      <c r="D80" s="21" t="s">
        <v>268</v>
      </c>
      <c r="E80" s="21" t="s">
        <v>272</v>
      </c>
    </row>
    <row r="81" spans="2:5" x14ac:dyDescent="0.25">
      <c r="B81" s="21" t="s">
        <v>238</v>
      </c>
      <c r="C81" s="21" t="s">
        <v>265</v>
      </c>
      <c r="D81" s="21" t="s">
        <v>268</v>
      </c>
      <c r="E81" s="21" t="s">
        <v>273</v>
      </c>
    </row>
    <row r="82" spans="2:5" x14ac:dyDescent="0.25">
      <c r="B82" s="21" t="s">
        <v>238</v>
      </c>
      <c r="C82" s="21" t="s">
        <v>265</v>
      </c>
      <c r="D82" s="21" t="s">
        <v>268</v>
      </c>
      <c r="E82" s="21" t="s">
        <v>274</v>
      </c>
    </row>
    <row r="83" spans="2:5" x14ac:dyDescent="0.25">
      <c r="B83" s="21" t="s">
        <v>275</v>
      </c>
      <c r="C83" s="21" t="s">
        <v>276</v>
      </c>
      <c r="D83" s="21" t="s">
        <v>276</v>
      </c>
      <c r="E83" s="21" t="s">
        <v>277</v>
      </c>
    </row>
    <row r="84" spans="2:5" x14ac:dyDescent="0.25">
      <c r="B84" s="21" t="s">
        <v>275</v>
      </c>
      <c r="C84" s="21" t="s">
        <v>276</v>
      </c>
      <c r="D84" s="21" t="s">
        <v>276</v>
      </c>
      <c r="E84" s="21" t="s">
        <v>278</v>
      </c>
    </row>
    <row r="85" spans="2:5" x14ac:dyDescent="0.25">
      <c r="B85" s="21" t="s">
        <v>275</v>
      </c>
      <c r="C85" s="21" t="s">
        <v>276</v>
      </c>
      <c r="D85" s="21" t="s">
        <v>276</v>
      </c>
      <c r="E85" s="21" t="s">
        <v>279</v>
      </c>
    </row>
    <row r="86" spans="2:5" x14ac:dyDescent="0.25">
      <c r="B86" s="21" t="s">
        <v>275</v>
      </c>
      <c r="C86" s="21" t="s">
        <v>276</v>
      </c>
      <c r="D86" s="21" t="s">
        <v>276</v>
      </c>
      <c r="E86" s="21" t="s">
        <v>280</v>
      </c>
    </row>
    <row r="87" spans="2:5" x14ac:dyDescent="0.25">
      <c r="B87" s="21" t="s">
        <v>275</v>
      </c>
      <c r="C87" s="21" t="s">
        <v>281</v>
      </c>
      <c r="D87" s="21" t="s">
        <v>282</v>
      </c>
      <c r="E87" s="21" t="s">
        <v>283</v>
      </c>
    </row>
    <row r="88" spans="2:5" x14ac:dyDescent="0.25">
      <c r="B88" s="21" t="s">
        <v>275</v>
      </c>
      <c r="C88" s="21" t="s">
        <v>281</v>
      </c>
      <c r="D88" s="21" t="s">
        <v>282</v>
      </c>
      <c r="E88" s="21" t="s">
        <v>284</v>
      </c>
    </row>
    <row r="89" spans="2:5" x14ac:dyDescent="0.25">
      <c r="B89" s="21" t="s">
        <v>275</v>
      </c>
      <c r="C89" s="21" t="s">
        <v>281</v>
      </c>
      <c r="D89" s="21" t="s">
        <v>282</v>
      </c>
      <c r="E89" s="21" t="s">
        <v>285</v>
      </c>
    </row>
    <row r="90" spans="2:5" x14ac:dyDescent="0.25">
      <c r="B90" s="21" t="s">
        <v>275</v>
      </c>
      <c r="C90" s="21" t="s">
        <v>281</v>
      </c>
      <c r="D90" s="21" t="s">
        <v>286</v>
      </c>
      <c r="E90" s="21" t="s">
        <v>287</v>
      </c>
    </row>
    <row r="91" spans="2:5" x14ac:dyDescent="0.25">
      <c r="B91" s="21" t="s">
        <v>275</v>
      </c>
      <c r="C91" s="21" t="s">
        <v>281</v>
      </c>
      <c r="D91" s="21" t="s">
        <v>286</v>
      </c>
      <c r="E91" s="21" t="s">
        <v>288</v>
      </c>
    </row>
    <row r="92" spans="2:5" x14ac:dyDescent="0.25">
      <c r="B92" s="21" t="s">
        <v>275</v>
      </c>
      <c r="C92" s="21" t="s">
        <v>281</v>
      </c>
      <c r="D92" s="21" t="s">
        <v>289</v>
      </c>
      <c r="E92" s="21" t="s">
        <v>289</v>
      </c>
    </row>
    <row r="93" spans="2:5" x14ac:dyDescent="0.25">
      <c r="B93" s="21" t="s">
        <v>275</v>
      </c>
      <c r="C93" s="21" t="s">
        <v>290</v>
      </c>
      <c r="D93" s="21" t="s">
        <v>291</v>
      </c>
      <c r="E93" s="21" t="s">
        <v>291</v>
      </c>
    </row>
    <row r="94" spans="2:5" x14ac:dyDescent="0.25">
      <c r="B94" s="21" t="s">
        <v>275</v>
      </c>
      <c r="C94" s="21" t="s">
        <v>290</v>
      </c>
      <c r="D94" s="21" t="s">
        <v>292</v>
      </c>
      <c r="E94" s="21" t="s">
        <v>292</v>
      </c>
    </row>
    <row r="95" spans="2:5" x14ac:dyDescent="0.25">
      <c r="B95" s="21" t="s">
        <v>293</v>
      </c>
      <c r="C95" s="21" t="s">
        <v>294</v>
      </c>
      <c r="D95" s="21" t="s">
        <v>295</v>
      </c>
      <c r="E95" s="21" t="s">
        <v>296</v>
      </c>
    </row>
    <row r="96" spans="2:5" x14ac:dyDescent="0.25">
      <c r="B96" s="21" t="s">
        <v>293</v>
      </c>
      <c r="C96" s="21" t="s">
        <v>294</v>
      </c>
      <c r="D96" s="21" t="s">
        <v>295</v>
      </c>
      <c r="E96" s="21" t="s">
        <v>297</v>
      </c>
    </row>
    <row r="97" spans="2:5" x14ac:dyDescent="0.25">
      <c r="B97" s="21" t="s">
        <v>293</v>
      </c>
      <c r="C97" s="21" t="s">
        <v>294</v>
      </c>
      <c r="D97" s="21" t="s">
        <v>298</v>
      </c>
      <c r="E97" s="21" t="s">
        <v>299</v>
      </c>
    </row>
    <row r="98" spans="2:5" x14ac:dyDescent="0.25">
      <c r="B98" s="21" t="s">
        <v>293</v>
      </c>
      <c r="C98" s="21" t="s">
        <v>294</v>
      </c>
      <c r="D98" s="21" t="s">
        <v>298</v>
      </c>
      <c r="E98" s="21" t="s">
        <v>300</v>
      </c>
    </row>
    <row r="99" spans="2:5" x14ac:dyDescent="0.25">
      <c r="B99" s="21" t="s">
        <v>293</v>
      </c>
      <c r="C99" s="21" t="s">
        <v>294</v>
      </c>
      <c r="D99" s="21" t="s">
        <v>298</v>
      </c>
      <c r="E99" s="21" t="s">
        <v>301</v>
      </c>
    </row>
    <row r="100" spans="2:5" x14ac:dyDescent="0.25">
      <c r="B100" s="21" t="s">
        <v>293</v>
      </c>
      <c r="C100" s="21" t="s">
        <v>294</v>
      </c>
      <c r="D100" s="21" t="s">
        <v>298</v>
      </c>
      <c r="E100" s="21" t="s">
        <v>302</v>
      </c>
    </row>
    <row r="101" spans="2:5" x14ac:dyDescent="0.25">
      <c r="B101" s="21" t="s">
        <v>293</v>
      </c>
      <c r="C101" s="21" t="s">
        <v>294</v>
      </c>
      <c r="D101" s="21" t="s">
        <v>303</v>
      </c>
      <c r="E101" s="21" t="s">
        <v>303</v>
      </c>
    </row>
    <row r="102" spans="2:5" x14ac:dyDescent="0.25">
      <c r="B102" s="21" t="s">
        <v>293</v>
      </c>
      <c r="C102" s="21" t="s">
        <v>304</v>
      </c>
      <c r="D102" s="21" t="s">
        <v>305</v>
      </c>
      <c r="E102" s="21" t="s">
        <v>305</v>
      </c>
    </row>
    <row r="103" spans="2:5" x14ac:dyDescent="0.25">
      <c r="B103" s="21" t="s">
        <v>293</v>
      </c>
      <c r="C103" s="21" t="s">
        <v>304</v>
      </c>
      <c r="D103" s="21" t="s">
        <v>306</v>
      </c>
      <c r="E103" s="21" t="s">
        <v>306</v>
      </c>
    </row>
    <row r="104" spans="2:5" x14ac:dyDescent="0.25">
      <c r="B104" s="21" t="s">
        <v>293</v>
      </c>
      <c r="C104" s="21" t="s">
        <v>304</v>
      </c>
      <c r="D104" s="21" t="s">
        <v>307</v>
      </c>
      <c r="E104" s="21" t="s">
        <v>307</v>
      </c>
    </row>
    <row r="105" spans="2:5" x14ac:dyDescent="0.25">
      <c r="B105" s="21" t="s">
        <v>308</v>
      </c>
      <c r="C105" s="21" t="s">
        <v>309</v>
      </c>
      <c r="D105" s="21" t="s">
        <v>309</v>
      </c>
      <c r="E105" s="21" t="s">
        <v>310</v>
      </c>
    </row>
    <row r="106" spans="2:5" x14ac:dyDescent="0.25">
      <c r="B106" s="21" t="s">
        <v>308</v>
      </c>
      <c r="C106" s="21" t="s">
        <v>309</v>
      </c>
      <c r="D106" s="21" t="s">
        <v>309</v>
      </c>
      <c r="E106" s="21" t="s">
        <v>311</v>
      </c>
    </row>
    <row r="107" spans="2:5" x14ac:dyDescent="0.25">
      <c r="B107" s="21" t="s">
        <v>308</v>
      </c>
      <c r="C107" s="21" t="s">
        <v>154</v>
      </c>
      <c r="D107" s="21" t="s">
        <v>154</v>
      </c>
      <c r="E107" s="21" t="s">
        <v>312</v>
      </c>
    </row>
    <row r="108" spans="2:5" x14ac:dyDescent="0.25">
      <c r="B108" s="21" t="s">
        <v>308</v>
      </c>
      <c r="C108" s="21" t="s">
        <v>154</v>
      </c>
      <c r="D108" s="21" t="s">
        <v>154</v>
      </c>
      <c r="E108" s="21" t="s">
        <v>313</v>
      </c>
    </row>
    <row r="109" spans="2:5" x14ac:dyDescent="0.25">
      <c r="B109" s="21" t="s">
        <v>308</v>
      </c>
      <c r="C109" s="21" t="s">
        <v>154</v>
      </c>
      <c r="D109" s="21" t="s">
        <v>154</v>
      </c>
      <c r="E109" s="21" t="s">
        <v>314</v>
      </c>
    </row>
    <row r="110" spans="2:5" x14ac:dyDescent="0.25">
      <c r="B110" s="21" t="s">
        <v>308</v>
      </c>
      <c r="C110" s="21" t="s">
        <v>154</v>
      </c>
      <c r="D110" s="21" t="s">
        <v>154</v>
      </c>
      <c r="E110" s="21" t="s">
        <v>315</v>
      </c>
    </row>
    <row r="111" spans="2:5" x14ac:dyDescent="0.25">
      <c r="B111" s="21" t="s">
        <v>308</v>
      </c>
      <c r="C111" s="21" t="s">
        <v>154</v>
      </c>
      <c r="D111" s="21" t="s">
        <v>154</v>
      </c>
      <c r="E111" s="21" t="s">
        <v>316</v>
      </c>
    </row>
    <row r="112" spans="2:5" x14ac:dyDescent="0.25">
      <c r="B112" s="21" t="s">
        <v>308</v>
      </c>
      <c r="C112" s="21" t="s">
        <v>154</v>
      </c>
      <c r="D112" s="21" t="s">
        <v>317</v>
      </c>
      <c r="E112" s="21" t="s">
        <v>317</v>
      </c>
    </row>
    <row r="113" spans="2:5" x14ac:dyDescent="0.25">
      <c r="B113" s="21" t="s">
        <v>308</v>
      </c>
      <c r="C113" s="21" t="s">
        <v>154</v>
      </c>
      <c r="D113" s="21" t="s">
        <v>318</v>
      </c>
      <c r="E113" s="21" t="s">
        <v>319</v>
      </c>
    </row>
    <row r="114" spans="2:5" x14ac:dyDescent="0.25">
      <c r="B114" s="21" t="s">
        <v>308</v>
      </c>
      <c r="C114" s="21" t="s">
        <v>154</v>
      </c>
      <c r="D114" s="21" t="s">
        <v>318</v>
      </c>
      <c r="E114" s="21" t="s">
        <v>320</v>
      </c>
    </row>
    <row r="115" spans="2:5" x14ac:dyDescent="0.25">
      <c r="B115" s="21" t="s">
        <v>308</v>
      </c>
      <c r="C115" s="21" t="s">
        <v>154</v>
      </c>
      <c r="D115" s="21" t="s">
        <v>318</v>
      </c>
      <c r="E115" s="21" t="s">
        <v>321</v>
      </c>
    </row>
    <row r="116" spans="2:5" x14ac:dyDescent="0.25">
      <c r="B116" s="21" t="s">
        <v>308</v>
      </c>
      <c r="C116" s="21" t="s">
        <v>154</v>
      </c>
      <c r="D116" s="21" t="s">
        <v>318</v>
      </c>
      <c r="E116" s="21" t="s">
        <v>322</v>
      </c>
    </row>
    <row r="117" spans="2:5" x14ac:dyDescent="0.25">
      <c r="B117" s="21" t="s">
        <v>308</v>
      </c>
      <c r="C117" s="21" t="s">
        <v>154</v>
      </c>
      <c r="D117" s="21" t="s">
        <v>323</v>
      </c>
      <c r="E117" s="21" t="s">
        <v>324</v>
      </c>
    </row>
    <row r="118" spans="2:5" x14ac:dyDescent="0.25">
      <c r="B118" s="21" t="s">
        <v>308</v>
      </c>
      <c r="C118" s="21" t="s">
        <v>161</v>
      </c>
      <c r="D118" s="21" t="s">
        <v>161</v>
      </c>
      <c r="E118" s="21" t="s">
        <v>325</v>
      </c>
    </row>
    <row r="119" spans="2:5" x14ac:dyDescent="0.25">
      <c r="B119" s="21" t="s">
        <v>308</v>
      </c>
      <c r="C119" s="21" t="s">
        <v>161</v>
      </c>
      <c r="D119" s="21" t="s">
        <v>161</v>
      </c>
      <c r="E119" s="21" t="s">
        <v>326</v>
      </c>
    </row>
    <row r="120" spans="2:5" x14ac:dyDescent="0.25">
      <c r="B120" s="21" t="s">
        <v>308</v>
      </c>
      <c r="C120" s="21" t="s">
        <v>161</v>
      </c>
      <c r="D120" s="21" t="s">
        <v>161</v>
      </c>
      <c r="E120" s="21" t="s">
        <v>327</v>
      </c>
    </row>
    <row r="121" spans="2:5" x14ac:dyDescent="0.25">
      <c r="B121" s="21" t="s">
        <v>308</v>
      </c>
      <c r="C121" s="21" t="s">
        <v>161</v>
      </c>
      <c r="D121" s="21" t="s">
        <v>161</v>
      </c>
      <c r="E121" s="21" t="s">
        <v>328</v>
      </c>
    </row>
    <row r="122" spans="2:5" x14ac:dyDescent="0.25">
      <c r="B122" s="21" t="s">
        <v>308</v>
      </c>
      <c r="C122" s="21" t="s">
        <v>161</v>
      </c>
      <c r="D122" s="21" t="s">
        <v>161</v>
      </c>
      <c r="E122" s="21" t="s">
        <v>329</v>
      </c>
    </row>
    <row r="123" spans="2:5" x14ac:dyDescent="0.25">
      <c r="B123" s="21" t="s">
        <v>167</v>
      </c>
      <c r="C123" s="21" t="s">
        <v>330</v>
      </c>
      <c r="D123" s="21" t="s">
        <v>331</v>
      </c>
      <c r="E123" s="21" t="s">
        <v>332</v>
      </c>
    </row>
    <row r="124" spans="2:5" x14ac:dyDescent="0.25">
      <c r="B124" s="21" t="s">
        <v>167</v>
      </c>
      <c r="C124" s="21" t="s">
        <v>330</v>
      </c>
      <c r="D124" s="21" t="s">
        <v>331</v>
      </c>
      <c r="E124" s="21" t="s">
        <v>333</v>
      </c>
    </row>
    <row r="125" spans="2:5" x14ac:dyDescent="0.25">
      <c r="B125" s="21" t="s">
        <v>167</v>
      </c>
      <c r="C125" s="21" t="s">
        <v>330</v>
      </c>
      <c r="D125" s="21" t="s">
        <v>334</v>
      </c>
      <c r="E125" s="21" t="s">
        <v>335</v>
      </c>
    </row>
    <row r="126" spans="2:5" x14ac:dyDescent="0.25">
      <c r="B126" s="21" t="s">
        <v>167</v>
      </c>
      <c r="C126" s="21" t="s">
        <v>330</v>
      </c>
      <c r="D126" s="21" t="s">
        <v>334</v>
      </c>
      <c r="E126" s="21" t="s">
        <v>336</v>
      </c>
    </row>
    <row r="127" spans="2:5" x14ac:dyDescent="0.25">
      <c r="B127" s="21" t="s">
        <v>167</v>
      </c>
      <c r="C127" s="21" t="s">
        <v>337</v>
      </c>
      <c r="D127" s="21" t="s">
        <v>338</v>
      </c>
      <c r="E127" s="21" t="s">
        <v>338</v>
      </c>
    </row>
    <row r="128" spans="2:5" x14ac:dyDescent="0.25">
      <c r="B128" s="21" t="s">
        <v>167</v>
      </c>
      <c r="C128" s="21" t="s">
        <v>337</v>
      </c>
      <c r="D128" s="21" t="s">
        <v>339</v>
      </c>
      <c r="E128" s="21" t="s">
        <v>339</v>
      </c>
    </row>
    <row r="129" spans="2:5" x14ac:dyDescent="0.25">
      <c r="B129" s="21" t="s">
        <v>167</v>
      </c>
      <c r="C129" s="21" t="s">
        <v>337</v>
      </c>
      <c r="D129" s="21" t="s">
        <v>340</v>
      </c>
      <c r="E129" s="21" t="s">
        <v>341</v>
      </c>
    </row>
    <row r="130" spans="2:5" x14ac:dyDescent="0.25">
      <c r="B130" s="21" t="s">
        <v>167</v>
      </c>
      <c r="C130" s="21" t="s">
        <v>337</v>
      </c>
      <c r="D130" s="21" t="s">
        <v>340</v>
      </c>
      <c r="E130" s="21" t="s">
        <v>342</v>
      </c>
    </row>
    <row r="131" spans="2:5" x14ac:dyDescent="0.25">
      <c r="B131" s="21" t="s">
        <v>167</v>
      </c>
      <c r="C131" s="21" t="s">
        <v>337</v>
      </c>
      <c r="D131" s="21" t="s">
        <v>340</v>
      </c>
      <c r="E131" s="21" t="s">
        <v>343</v>
      </c>
    </row>
    <row r="132" spans="2:5" x14ac:dyDescent="0.25">
      <c r="B132" s="21" t="s">
        <v>167</v>
      </c>
      <c r="C132" s="21" t="s">
        <v>337</v>
      </c>
      <c r="D132" s="21" t="s">
        <v>340</v>
      </c>
      <c r="E132" s="21" t="s">
        <v>344</v>
      </c>
    </row>
    <row r="133" spans="2:5" x14ac:dyDescent="0.25">
      <c r="B133" s="21" t="s">
        <v>167</v>
      </c>
      <c r="C133" s="21" t="s">
        <v>345</v>
      </c>
      <c r="D133" s="21" t="s">
        <v>345</v>
      </c>
      <c r="E133" s="21" t="s">
        <v>346</v>
      </c>
    </row>
    <row r="134" spans="2:5" x14ac:dyDescent="0.25">
      <c r="B134" s="21" t="s">
        <v>167</v>
      </c>
      <c r="C134" s="21" t="s">
        <v>345</v>
      </c>
      <c r="D134" s="21" t="s">
        <v>345</v>
      </c>
      <c r="E134" s="21" t="s">
        <v>347</v>
      </c>
    </row>
    <row r="135" spans="2:5" x14ac:dyDescent="0.25">
      <c r="B135" s="21" t="s">
        <v>348</v>
      </c>
      <c r="C135" s="21" t="s">
        <v>349</v>
      </c>
      <c r="D135" s="21" t="s">
        <v>350</v>
      </c>
      <c r="E135" s="21" t="s">
        <v>351</v>
      </c>
    </row>
    <row r="136" spans="2:5" x14ac:dyDescent="0.25">
      <c r="B136" s="21" t="s">
        <v>348</v>
      </c>
      <c r="C136" s="21" t="s">
        <v>349</v>
      </c>
      <c r="D136" s="21" t="s">
        <v>350</v>
      </c>
      <c r="E136" s="21" t="s">
        <v>352</v>
      </c>
    </row>
    <row r="137" spans="2:5" x14ac:dyDescent="0.25">
      <c r="B137" s="21" t="s">
        <v>348</v>
      </c>
      <c r="C137" s="21" t="s">
        <v>349</v>
      </c>
      <c r="D137" s="21" t="s">
        <v>353</v>
      </c>
      <c r="E137" s="21" t="s">
        <v>353</v>
      </c>
    </row>
    <row r="138" spans="2:5" x14ac:dyDescent="0.25">
      <c r="B138" s="21" t="s">
        <v>348</v>
      </c>
      <c r="C138" s="21" t="s">
        <v>354</v>
      </c>
      <c r="D138" s="21" t="s">
        <v>355</v>
      </c>
      <c r="E138" s="21" t="s">
        <v>356</v>
      </c>
    </row>
    <row r="139" spans="2:5" x14ac:dyDescent="0.25">
      <c r="B139" s="21" t="s">
        <v>348</v>
      </c>
      <c r="C139" s="21" t="s">
        <v>354</v>
      </c>
      <c r="D139" s="21" t="s">
        <v>355</v>
      </c>
      <c r="E139" s="21" t="s">
        <v>357</v>
      </c>
    </row>
    <row r="140" spans="2:5" x14ac:dyDescent="0.25">
      <c r="B140" s="21" t="s">
        <v>348</v>
      </c>
      <c r="C140" s="21" t="s">
        <v>354</v>
      </c>
      <c r="D140" s="21" t="s">
        <v>355</v>
      </c>
      <c r="E140" s="21" t="s">
        <v>358</v>
      </c>
    </row>
    <row r="141" spans="2:5" x14ac:dyDescent="0.25">
      <c r="B141" s="21" t="s">
        <v>348</v>
      </c>
      <c r="C141" s="21" t="s">
        <v>354</v>
      </c>
      <c r="D141" s="21" t="s">
        <v>355</v>
      </c>
      <c r="E141" s="21" t="s">
        <v>359</v>
      </c>
    </row>
    <row r="142" spans="2:5" x14ac:dyDescent="0.25">
      <c r="B142" s="21" t="s">
        <v>348</v>
      </c>
      <c r="C142" s="21" t="s">
        <v>354</v>
      </c>
      <c r="D142" s="21" t="s">
        <v>160</v>
      </c>
      <c r="E142" s="21" t="s">
        <v>360</v>
      </c>
    </row>
    <row r="143" spans="2:5" x14ac:dyDescent="0.25">
      <c r="B143" s="21" t="s">
        <v>348</v>
      </c>
      <c r="C143" s="21" t="s">
        <v>354</v>
      </c>
      <c r="D143" s="21" t="s">
        <v>160</v>
      </c>
      <c r="E143" s="21" t="s">
        <v>361</v>
      </c>
    </row>
    <row r="144" spans="2:5" x14ac:dyDescent="0.25">
      <c r="B144" s="21" t="s">
        <v>348</v>
      </c>
      <c r="C144" s="21" t="s">
        <v>354</v>
      </c>
      <c r="D144" s="21" t="s">
        <v>362</v>
      </c>
      <c r="E144" s="21" t="s">
        <v>362</v>
      </c>
    </row>
    <row r="145" spans="2:5" x14ac:dyDescent="0.25">
      <c r="B145" s="21" t="s">
        <v>363</v>
      </c>
      <c r="C145" s="21" t="s">
        <v>363</v>
      </c>
      <c r="D145" s="21" t="s">
        <v>364</v>
      </c>
      <c r="E145" s="21" t="s">
        <v>364</v>
      </c>
    </row>
    <row r="146" spans="2:5" x14ac:dyDescent="0.25">
      <c r="B146" s="21" t="s">
        <v>363</v>
      </c>
      <c r="C146" s="21" t="s">
        <v>363</v>
      </c>
      <c r="D146" s="21" t="s">
        <v>365</v>
      </c>
      <c r="E146" s="21" t="s">
        <v>365</v>
      </c>
    </row>
    <row r="147" spans="2:5" x14ac:dyDescent="0.25">
      <c r="B147" s="21" t="s">
        <v>363</v>
      </c>
      <c r="C147" s="21" t="s">
        <v>363</v>
      </c>
      <c r="D147" s="21" t="s">
        <v>366</v>
      </c>
      <c r="E147" s="21" t="s">
        <v>366</v>
      </c>
    </row>
    <row r="148" spans="2:5" x14ac:dyDescent="0.25">
      <c r="B148" s="21" t="s">
        <v>363</v>
      </c>
      <c r="C148" s="21" t="s">
        <v>363</v>
      </c>
      <c r="D148" s="21" t="s">
        <v>367</v>
      </c>
      <c r="E148" s="21" t="s">
        <v>367</v>
      </c>
    </row>
    <row r="149" spans="2:5" x14ac:dyDescent="0.25">
      <c r="B149" s="21" t="s">
        <v>363</v>
      </c>
      <c r="C149" s="21" t="s">
        <v>363</v>
      </c>
      <c r="D149" s="21" t="s">
        <v>368</v>
      </c>
      <c r="E149" s="21" t="s">
        <v>369</v>
      </c>
    </row>
    <row r="150" spans="2:5" x14ac:dyDescent="0.25">
      <c r="B150" s="21" t="s">
        <v>363</v>
      </c>
      <c r="C150" s="21" t="s">
        <v>363</v>
      </c>
      <c r="D150" s="21" t="s">
        <v>368</v>
      </c>
      <c r="E150" s="21" t="s">
        <v>370</v>
      </c>
    </row>
    <row r="151" spans="2:5" x14ac:dyDescent="0.25">
      <c r="B151" s="21" t="s">
        <v>159</v>
      </c>
      <c r="C151" s="21" t="s">
        <v>371</v>
      </c>
      <c r="D151" s="21" t="s">
        <v>372</v>
      </c>
      <c r="E151" s="21" t="s">
        <v>372</v>
      </c>
    </row>
    <row r="152" spans="2:5" x14ac:dyDescent="0.25">
      <c r="B152" s="21" t="s">
        <v>159</v>
      </c>
      <c r="C152" s="21" t="s">
        <v>371</v>
      </c>
      <c r="D152" s="21" t="s">
        <v>373</v>
      </c>
      <c r="E152" s="21" t="s">
        <v>373</v>
      </c>
    </row>
    <row r="153" spans="2:5" x14ac:dyDescent="0.25">
      <c r="B153" s="21" t="s">
        <v>159</v>
      </c>
      <c r="C153" s="21" t="s">
        <v>371</v>
      </c>
      <c r="D153" s="21" t="s">
        <v>374</v>
      </c>
      <c r="E153" s="21" t="s">
        <v>374</v>
      </c>
    </row>
    <row r="154" spans="2:5" x14ac:dyDescent="0.25">
      <c r="B154" s="21" t="s">
        <v>159</v>
      </c>
      <c r="C154" s="21" t="s">
        <v>371</v>
      </c>
      <c r="D154" s="21" t="s">
        <v>375</v>
      </c>
      <c r="E154" s="21" t="s">
        <v>375</v>
      </c>
    </row>
    <row r="155" spans="2:5" x14ac:dyDescent="0.25">
      <c r="B155" s="21" t="s">
        <v>159</v>
      </c>
      <c r="C155" s="21" t="s">
        <v>371</v>
      </c>
      <c r="D155" s="21" t="s">
        <v>376</v>
      </c>
      <c r="E155" s="21" t="s">
        <v>376</v>
      </c>
    </row>
    <row r="156" spans="2:5" x14ac:dyDescent="0.25">
      <c r="B156" s="21" t="s">
        <v>159</v>
      </c>
      <c r="C156" s="21" t="s">
        <v>371</v>
      </c>
      <c r="D156" s="21" t="s">
        <v>377</v>
      </c>
      <c r="E156" s="21" t="s">
        <v>378</v>
      </c>
    </row>
    <row r="157" spans="2:5" x14ac:dyDescent="0.25">
      <c r="B157" s="21" t="s">
        <v>159</v>
      </c>
      <c r="C157" s="21" t="s">
        <v>371</v>
      </c>
      <c r="D157" s="21" t="s">
        <v>377</v>
      </c>
      <c r="E157" s="21" t="s">
        <v>379</v>
      </c>
    </row>
    <row r="158" spans="2:5" x14ac:dyDescent="0.25">
      <c r="B158" s="21" t="s">
        <v>159</v>
      </c>
      <c r="C158" s="21" t="s">
        <v>371</v>
      </c>
      <c r="D158" s="21" t="s">
        <v>380</v>
      </c>
      <c r="E158" s="21" t="s">
        <v>380</v>
      </c>
    </row>
    <row r="159" spans="2:5" x14ac:dyDescent="0.25">
      <c r="B159" s="21" t="s">
        <v>159</v>
      </c>
      <c r="C159" s="21" t="s">
        <v>371</v>
      </c>
      <c r="D159" s="21" t="s">
        <v>381</v>
      </c>
      <c r="E159" s="21" t="s">
        <v>382</v>
      </c>
    </row>
    <row r="160" spans="2:5" x14ac:dyDescent="0.25">
      <c r="B160" s="21" t="s">
        <v>159</v>
      </c>
      <c r="C160" s="21" t="s">
        <v>371</v>
      </c>
      <c r="D160" s="21" t="s">
        <v>381</v>
      </c>
      <c r="E160" s="21" t="s">
        <v>383</v>
      </c>
    </row>
    <row r="161" spans="2:5" x14ac:dyDescent="0.25">
      <c r="B161" s="21" t="s">
        <v>159</v>
      </c>
      <c r="C161" s="21" t="s">
        <v>371</v>
      </c>
      <c r="D161" s="21" t="s">
        <v>381</v>
      </c>
      <c r="E161" s="21" t="s">
        <v>384</v>
      </c>
    </row>
    <row r="162" spans="2:5" x14ac:dyDescent="0.25">
      <c r="B162" s="21" t="s">
        <v>159</v>
      </c>
      <c r="C162" s="21" t="s">
        <v>371</v>
      </c>
      <c r="D162" s="21" t="s">
        <v>381</v>
      </c>
      <c r="E162" s="21" t="s">
        <v>385</v>
      </c>
    </row>
    <row r="163" spans="2:5" x14ac:dyDescent="0.25">
      <c r="B163" s="21" t="s">
        <v>159</v>
      </c>
      <c r="C163" s="21" t="s">
        <v>371</v>
      </c>
      <c r="D163" s="21" t="s">
        <v>381</v>
      </c>
      <c r="E163" s="21" t="s">
        <v>386</v>
      </c>
    </row>
    <row r="164" spans="2:5" x14ac:dyDescent="0.25">
      <c r="B164" s="21" t="s">
        <v>159</v>
      </c>
      <c r="C164" s="21" t="s">
        <v>387</v>
      </c>
      <c r="D164" s="21" t="s">
        <v>387</v>
      </c>
      <c r="E164" s="21" t="s">
        <v>388</v>
      </c>
    </row>
    <row r="165" spans="2:5" x14ac:dyDescent="0.25">
      <c r="B165" s="21" t="s">
        <v>159</v>
      </c>
      <c r="C165" s="21" t="s">
        <v>387</v>
      </c>
      <c r="D165" s="21" t="s">
        <v>387</v>
      </c>
      <c r="E165" s="21" t="s">
        <v>389</v>
      </c>
    </row>
    <row r="166" spans="2:5" x14ac:dyDescent="0.25">
      <c r="B166" s="21" t="s">
        <v>159</v>
      </c>
      <c r="C166" s="21" t="s">
        <v>387</v>
      </c>
      <c r="D166" s="21" t="s">
        <v>387</v>
      </c>
      <c r="E166" s="21" t="s">
        <v>390</v>
      </c>
    </row>
    <row r="167" spans="2:5" x14ac:dyDescent="0.25">
      <c r="B167" s="27" t="s">
        <v>159</v>
      </c>
      <c r="C167" s="27" t="s">
        <v>387</v>
      </c>
      <c r="D167" s="27" t="s">
        <v>387</v>
      </c>
      <c r="E167" s="27" t="s">
        <v>391</v>
      </c>
    </row>
    <row r="168" spans="2:5" x14ac:dyDescent="0.25"/>
  </sheetData>
  <autoFilter ref="B4:E4" xr:uid="{6BE82DC3-976C-4BB1-8A4B-46620CF02C25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145B3-9799-4678-9B0D-AAB5DCB2AD84}">
  <dimension ref="A1:J141"/>
  <sheetViews>
    <sheetView showGridLines="0" zoomScale="70" zoomScaleNormal="70" workbookViewId="0"/>
  </sheetViews>
  <sheetFormatPr defaultColWidth="0" defaultRowHeight="11.5" zeroHeight="1" x14ac:dyDescent="0.25"/>
  <cols>
    <col min="1" max="1" width="3.6328125" style="3" customWidth="1"/>
    <col min="2" max="2" width="55.7265625" style="3" customWidth="1"/>
    <col min="3" max="3" width="55.7265625" style="3" bestFit="1" customWidth="1"/>
    <col min="4" max="4" width="15.6328125" style="3" customWidth="1"/>
    <col min="5" max="5" width="3.6328125" style="3" customWidth="1"/>
    <col min="6" max="6" width="3.6328125" style="3" hidden="1" customWidth="1"/>
    <col min="7" max="10" width="0" style="3" hidden="1" customWidth="1"/>
    <col min="11" max="16384" width="8.7265625" style="3" hidden="1"/>
  </cols>
  <sheetData>
    <row r="1" spans="1:4" s="5" customFormat="1" ht="14" x14ac:dyDescent="0.3">
      <c r="A1" s="8" t="str">
        <f ca="1">MID(CELL("filename",A1),FIND("]",CELL("filename",A1))+1,255)</f>
        <v>4.2 Sector Mapping</v>
      </c>
    </row>
    <row r="2" spans="1:4" s="5" customFormat="1" x14ac:dyDescent="0.25">
      <c r="A2" s="7" t="s">
        <v>434</v>
      </c>
    </row>
    <row r="3" spans="1:4" x14ac:dyDescent="0.25"/>
    <row r="4" spans="1:4" x14ac:dyDescent="0.25">
      <c r="B4" s="276" t="s">
        <v>603</v>
      </c>
      <c r="C4" s="278"/>
      <c r="D4" s="280"/>
    </row>
    <row r="5" spans="1:4" x14ac:dyDescent="0.25">
      <c r="B5" s="137" t="s">
        <v>157</v>
      </c>
      <c r="D5" s="546"/>
    </row>
    <row r="6" spans="1:4" x14ac:dyDescent="0.25">
      <c r="B6" s="21" t="s">
        <v>604</v>
      </c>
      <c r="D6" s="546"/>
    </row>
    <row r="7" spans="1:4" x14ac:dyDescent="0.25">
      <c r="B7" s="21" t="s">
        <v>601</v>
      </c>
      <c r="D7" s="546"/>
    </row>
    <row r="8" spans="1:4" x14ac:dyDescent="0.25">
      <c r="B8" s="21" t="s">
        <v>154</v>
      </c>
    </row>
    <row r="9" spans="1:4" x14ac:dyDescent="0.25">
      <c r="B9" s="21" t="s">
        <v>153</v>
      </c>
    </row>
    <row r="10" spans="1:4" x14ac:dyDescent="0.25">
      <c r="B10" s="21" t="s">
        <v>607</v>
      </c>
    </row>
    <row r="11" spans="1:4" x14ac:dyDescent="0.25">
      <c r="B11" s="21" t="s">
        <v>616</v>
      </c>
    </row>
    <row r="12" spans="1:4" x14ac:dyDescent="0.25">
      <c r="B12" s="21" t="s">
        <v>605</v>
      </c>
    </row>
    <row r="13" spans="1:4" x14ac:dyDescent="0.25">
      <c r="B13" s="21" t="s">
        <v>608</v>
      </c>
    </row>
    <row r="14" spans="1:4" x14ac:dyDescent="0.25">
      <c r="B14" s="21" t="s">
        <v>606</v>
      </c>
    </row>
    <row r="15" spans="1:4" x14ac:dyDescent="0.25">
      <c r="B15" s="21" t="s">
        <v>617</v>
      </c>
    </row>
    <row r="16" spans="1:4" x14ac:dyDescent="0.25">
      <c r="B16" s="22" t="s">
        <v>609</v>
      </c>
    </row>
    <row r="17" spans="2:4" x14ac:dyDescent="0.25"/>
    <row r="18" spans="2:4" s="12" customFormat="1" x14ac:dyDescent="0.25">
      <c r="B18" s="277" t="s">
        <v>610</v>
      </c>
      <c r="C18" s="277" t="s">
        <v>602</v>
      </c>
      <c r="D18" s="281" t="s">
        <v>614</v>
      </c>
    </row>
    <row r="19" spans="2:4" x14ac:dyDescent="0.25">
      <c r="B19" s="272" t="s">
        <v>451</v>
      </c>
      <c r="C19" s="20" t="s">
        <v>604</v>
      </c>
      <c r="D19" s="282">
        <v>1</v>
      </c>
    </row>
    <row r="20" spans="2:4" x14ac:dyDescent="0.25">
      <c r="B20" s="273" t="s">
        <v>157</v>
      </c>
      <c r="C20" s="21" t="s">
        <v>157</v>
      </c>
      <c r="D20" s="283">
        <v>1</v>
      </c>
    </row>
    <row r="21" spans="2:4" x14ac:dyDescent="0.25">
      <c r="B21" s="273" t="s">
        <v>443</v>
      </c>
      <c r="C21" s="21" t="s">
        <v>601</v>
      </c>
      <c r="D21" s="283">
        <v>1</v>
      </c>
    </row>
    <row r="22" spans="2:4" x14ac:dyDescent="0.25">
      <c r="B22" s="273" t="s">
        <v>156</v>
      </c>
      <c r="C22" s="21" t="s">
        <v>608</v>
      </c>
      <c r="D22" s="283">
        <v>1</v>
      </c>
    </row>
    <row r="23" spans="2:4" x14ac:dyDescent="0.25">
      <c r="B23" s="273" t="s">
        <v>440</v>
      </c>
      <c r="C23" s="21" t="s">
        <v>606</v>
      </c>
      <c r="D23" s="283">
        <v>1</v>
      </c>
    </row>
    <row r="24" spans="2:4" x14ac:dyDescent="0.25">
      <c r="B24" s="273" t="s">
        <v>164</v>
      </c>
      <c r="C24" s="21" t="s">
        <v>606</v>
      </c>
      <c r="D24" s="283">
        <v>1</v>
      </c>
    </row>
    <row r="25" spans="2:4" x14ac:dyDescent="0.25">
      <c r="B25" s="273" t="s">
        <v>449</v>
      </c>
      <c r="C25" s="21" t="s">
        <v>601</v>
      </c>
      <c r="D25" s="283">
        <v>1</v>
      </c>
    </row>
    <row r="26" spans="2:4" x14ac:dyDescent="0.25">
      <c r="B26" s="273" t="s">
        <v>439</v>
      </c>
      <c r="C26" s="21" t="s">
        <v>154</v>
      </c>
      <c r="D26" s="283">
        <v>1</v>
      </c>
    </row>
    <row r="27" spans="2:4" x14ac:dyDescent="0.25">
      <c r="B27" s="273" t="s">
        <v>447</v>
      </c>
      <c r="C27" s="21" t="s">
        <v>605</v>
      </c>
      <c r="D27" s="283">
        <v>1</v>
      </c>
    </row>
    <row r="28" spans="2:4" x14ac:dyDescent="0.25">
      <c r="B28" s="273" t="s">
        <v>444</v>
      </c>
      <c r="C28" s="21" t="s">
        <v>153</v>
      </c>
      <c r="D28" s="283">
        <v>1</v>
      </c>
    </row>
    <row r="29" spans="2:4" x14ac:dyDescent="0.25">
      <c r="B29" s="273" t="s">
        <v>452</v>
      </c>
      <c r="C29" s="21" t="s">
        <v>604</v>
      </c>
      <c r="D29" s="283">
        <v>1</v>
      </c>
    </row>
    <row r="30" spans="2:4" x14ac:dyDescent="0.25">
      <c r="B30" s="273" t="s">
        <v>355</v>
      </c>
      <c r="C30" s="21" t="s">
        <v>604</v>
      </c>
      <c r="D30" s="283">
        <v>1</v>
      </c>
    </row>
    <row r="31" spans="2:4" x14ac:dyDescent="0.25">
      <c r="B31" s="273" t="s">
        <v>438</v>
      </c>
      <c r="C31" s="21" t="s">
        <v>607</v>
      </c>
      <c r="D31" s="283">
        <v>1</v>
      </c>
    </row>
    <row r="32" spans="2:4" x14ac:dyDescent="0.25">
      <c r="B32" s="273" t="s">
        <v>159</v>
      </c>
      <c r="C32" s="21" t="s">
        <v>608</v>
      </c>
      <c r="D32" s="283">
        <v>1</v>
      </c>
    </row>
    <row r="33" spans="2:4" x14ac:dyDescent="0.25">
      <c r="B33" s="273" t="s">
        <v>436</v>
      </c>
      <c r="C33" s="21" t="s">
        <v>606</v>
      </c>
      <c r="D33" s="283">
        <v>1</v>
      </c>
    </row>
    <row r="34" spans="2:4" x14ac:dyDescent="0.25">
      <c r="B34" s="273" t="s">
        <v>441</v>
      </c>
      <c r="C34" s="21" t="str">
        <f>$B$11</f>
        <v>Professional Services: Human Resources, Education, Consulting, Legal</v>
      </c>
      <c r="D34" s="283">
        <v>1</v>
      </c>
    </row>
    <row r="35" spans="2:4" x14ac:dyDescent="0.25">
      <c r="B35" s="273" t="s">
        <v>442</v>
      </c>
      <c r="C35" s="21" t="s">
        <v>605</v>
      </c>
      <c r="D35" s="283">
        <v>1</v>
      </c>
    </row>
    <row r="36" spans="2:4" x14ac:dyDescent="0.25">
      <c r="B36" s="273" t="s">
        <v>450</v>
      </c>
      <c r="C36" s="21" t="s">
        <v>617</v>
      </c>
      <c r="D36" s="283">
        <v>1</v>
      </c>
    </row>
    <row r="37" spans="2:4" x14ac:dyDescent="0.25">
      <c r="B37" s="273" t="s">
        <v>446</v>
      </c>
      <c r="C37" s="21" t="s">
        <v>604</v>
      </c>
      <c r="D37" s="283">
        <v>1</v>
      </c>
    </row>
    <row r="38" spans="2:4" x14ac:dyDescent="0.25">
      <c r="B38" s="273" t="s">
        <v>445</v>
      </c>
      <c r="C38" s="21" t="s">
        <v>609</v>
      </c>
      <c r="D38" s="283">
        <v>1</v>
      </c>
    </row>
    <row r="39" spans="2:4" x14ac:dyDescent="0.25">
      <c r="B39" s="274" t="s">
        <v>448</v>
      </c>
      <c r="C39" s="22" t="s">
        <v>609</v>
      </c>
      <c r="D39" s="284">
        <v>1</v>
      </c>
    </row>
    <row r="40" spans="2:4" x14ac:dyDescent="0.25"/>
    <row r="41" spans="2:4" x14ac:dyDescent="0.25">
      <c r="B41" s="276" t="s">
        <v>611</v>
      </c>
      <c r="C41" s="277" t="s">
        <v>602</v>
      </c>
      <c r="D41" s="281" t="s">
        <v>614</v>
      </c>
    </row>
    <row r="42" spans="2:4" x14ac:dyDescent="0.25">
      <c r="B42" s="285" t="s">
        <v>555</v>
      </c>
      <c r="C42" s="94" t="s">
        <v>606</v>
      </c>
      <c r="D42" s="286">
        <v>0.5</v>
      </c>
    </row>
    <row r="43" spans="2:4" x14ac:dyDescent="0.25">
      <c r="B43" s="273" t="s">
        <v>555</v>
      </c>
      <c r="C43" s="20" t="s">
        <v>157</v>
      </c>
      <c r="D43" s="282">
        <v>0.3</v>
      </c>
    </row>
    <row r="44" spans="2:4" x14ac:dyDescent="0.25">
      <c r="B44" s="273" t="s">
        <v>555</v>
      </c>
      <c r="C44" s="21" t="s">
        <v>609</v>
      </c>
      <c r="D44" s="283">
        <v>0.1</v>
      </c>
    </row>
    <row r="45" spans="2:4" x14ac:dyDescent="0.25">
      <c r="B45" s="273" t="s">
        <v>555</v>
      </c>
      <c r="C45" s="21" t="s">
        <v>605</v>
      </c>
      <c r="D45" s="283">
        <v>0.1</v>
      </c>
    </row>
    <row r="46" spans="2:4" x14ac:dyDescent="0.25">
      <c r="B46" s="273" t="s">
        <v>553</v>
      </c>
      <c r="C46" s="21" t="str">
        <f>$B$11</f>
        <v>Professional Services: Human Resources, Education, Consulting, Legal</v>
      </c>
      <c r="D46" s="283">
        <v>0.6</v>
      </c>
    </row>
    <row r="47" spans="2:4" x14ac:dyDescent="0.25">
      <c r="B47" s="273" t="s">
        <v>553</v>
      </c>
      <c r="C47" s="21" t="s">
        <v>617</v>
      </c>
      <c r="D47" s="283">
        <v>0.1</v>
      </c>
    </row>
    <row r="48" spans="2:4" x14ac:dyDescent="0.25">
      <c r="B48" s="273" t="s">
        <v>553</v>
      </c>
      <c r="C48" s="21" t="s">
        <v>605</v>
      </c>
      <c r="D48" s="283">
        <v>0.3</v>
      </c>
    </row>
    <row r="49" spans="2:4" x14ac:dyDescent="0.25">
      <c r="B49" s="273" t="s">
        <v>156</v>
      </c>
      <c r="C49" s="21" t="s">
        <v>608</v>
      </c>
      <c r="D49" s="283">
        <v>1</v>
      </c>
    </row>
    <row r="50" spans="2:4" x14ac:dyDescent="0.25">
      <c r="B50" s="273" t="s">
        <v>560</v>
      </c>
      <c r="C50" s="21" t="s">
        <v>601</v>
      </c>
      <c r="D50" s="283">
        <v>1</v>
      </c>
    </row>
    <row r="51" spans="2:4" x14ac:dyDescent="0.25">
      <c r="B51" s="273" t="s">
        <v>557</v>
      </c>
      <c r="C51" s="21" t="s">
        <v>604</v>
      </c>
      <c r="D51" s="283">
        <v>0.7</v>
      </c>
    </row>
    <row r="52" spans="2:4" x14ac:dyDescent="0.25">
      <c r="B52" s="273" t="s">
        <v>557</v>
      </c>
      <c r="C52" s="21" t="str">
        <f>$B$11</f>
        <v>Professional Services: Human Resources, Education, Consulting, Legal</v>
      </c>
      <c r="D52" s="283">
        <v>0.3</v>
      </c>
    </row>
    <row r="53" spans="2:4" x14ac:dyDescent="0.25">
      <c r="B53" s="273" t="s">
        <v>615</v>
      </c>
      <c r="C53" s="21" t="s">
        <v>154</v>
      </c>
      <c r="D53" s="283">
        <v>1</v>
      </c>
    </row>
    <row r="54" spans="2:4" x14ac:dyDescent="0.25">
      <c r="B54" s="273" t="s">
        <v>543</v>
      </c>
      <c r="C54" s="20" t="s">
        <v>607</v>
      </c>
      <c r="D54" s="283">
        <v>0.9</v>
      </c>
    </row>
    <row r="55" spans="2:4" x14ac:dyDescent="0.25">
      <c r="B55" s="273" t="s">
        <v>543</v>
      </c>
      <c r="C55" s="20" t="s">
        <v>153</v>
      </c>
      <c r="D55" s="283">
        <v>0.1</v>
      </c>
    </row>
    <row r="56" spans="2:4" x14ac:dyDescent="0.25">
      <c r="B56" s="273" t="s">
        <v>561</v>
      </c>
      <c r="C56" s="21" t="s">
        <v>601</v>
      </c>
      <c r="D56" s="283">
        <v>1</v>
      </c>
    </row>
    <row r="57" spans="2:4" x14ac:dyDescent="0.25">
      <c r="B57" s="273" t="s">
        <v>556</v>
      </c>
      <c r="C57" s="21" t="str">
        <f>B11</f>
        <v>Professional Services: Human Resources, Education, Consulting, Legal</v>
      </c>
      <c r="D57" s="283">
        <v>0.5</v>
      </c>
    </row>
    <row r="58" spans="2:4" x14ac:dyDescent="0.25">
      <c r="B58" s="273" t="s">
        <v>556</v>
      </c>
      <c r="C58" s="21" t="s">
        <v>153</v>
      </c>
      <c r="D58" s="283">
        <v>0.2</v>
      </c>
    </row>
    <row r="59" spans="2:4" x14ac:dyDescent="0.25">
      <c r="B59" s="273" t="s">
        <v>556</v>
      </c>
      <c r="C59" s="21" t="s">
        <v>607</v>
      </c>
      <c r="D59" s="283">
        <v>0.15</v>
      </c>
    </row>
    <row r="60" spans="2:4" x14ac:dyDescent="0.25">
      <c r="B60" s="273" t="s">
        <v>556</v>
      </c>
      <c r="C60" s="21" t="s">
        <v>604</v>
      </c>
      <c r="D60" s="283">
        <v>0.15</v>
      </c>
    </row>
    <row r="61" spans="2:4" x14ac:dyDescent="0.25">
      <c r="B61" s="273" t="s">
        <v>559</v>
      </c>
      <c r="C61" s="21" t="s">
        <v>608</v>
      </c>
      <c r="D61" s="283">
        <v>1</v>
      </c>
    </row>
    <row r="62" spans="2:4" x14ac:dyDescent="0.25">
      <c r="B62" s="273" t="s">
        <v>554</v>
      </c>
      <c r="C62" s="21" t="s">
        <v>609</v>
      </c>
      <c r="D62" s="283">
        <v>1</v>
      </c>
    </row>
    <row r="63" spans="2:4" x14ac:dyDescent="0.25">
      <c r="B63" s="273" t="s">
        <v>558</v>
      </c>
      <c r="C63" s="21" t="s">
        <v>601</v>
      </c>
      <c r="D63" s="283">
        <v>0.8</v>
      </c>
    </row>
    <row r="64" spans="2:4" x14ac:dyDescent="0.25">
      <c r="B64" s="273" t="s">
        <v>558</v>
      </c>
      <c r="C64" s="21" t="s">
        <v>605</v>
      </c>
      <c r="D64" s="283">
        <v>0.2</v>
      </c>
    </row>
    <row r="65" spans="2:4" x14ac:dyDescent="0.25">
      <c r="B65" s="273" t="s">
        <v>552</v>
      </c>
      <c r="C65" s="21" t="s">
        <v>606</v>
      </c>
      <c r="D65" s="283">
        <v>0.9</v>
      </c>
    </row>
    <row r="66" spans="2:4" x14ac:dyDescent="0.25">
      <c r="B66" s="274" t="s">
        <v>552</v>
      </c>
      <c r="C66" s="22" t="s">
        <v>607</v>
      </c>
      <c r="D66" s="284">
        <v>0.1</v>
      </c>
    </row>
    <row r="67" spans="2:4" x14ac:dyDescent="0.25"/>
    <row r="68" spans="2:4" x14ac:dyDescent="0.25">
      <c r="B68" s="276" t="s">
        <v>612</v>
      </c>
      <c r="C68" s="277" t="s">
        <v>602</v>
      </c>
      <c r="D68" s="281" t="s">
        <v>614</v>
      </c>
    </row>
    <row r="69" spans="2:4" x14ac:dyDescent="0.25">
      <c r="B69" s="272" t="s">
        <v>586</v>
      </c>
      <c r="C69" s="94" t="s">
        <v>606</v>
      </c>
      <c r="D69" s="286">
        <v>0.5</v>
      </c>
    </row>
    <row r="70" spans="2:4" x14ac:dyDescent="0.25">
      <c r="B70" s="272" t="s">
        <v>586</v>
      </c>
      <c r="C70" s="20" t="s">
        <v>157</v>
      </c>
      <c r="D70" s="282">
        <v>0.3</v>
      </c>
    </row>
    <row r="71" spans="2:4" x14ac:dyDescent="0.25">
      <c r="B71" s="272" t="s">
        <v>586</v>
      </c>
      <c r="C71" s="21" t="s">
        <v>609</v>
      </c>
      <c r="D71" s="283">
        <v>0.1</v>
      </c>
    </row>
    <row r="72" spans="2:4" x14ac:dyDescent="0.25">
      <c r="B72" s="272" t="s">
        <v>586</v>
      </c>
      <c r="C72" s="21" t="s">
        <v>605</v>
      </c>
      <c r="D72" s="283">
        <v>0.1</v>
      </c>
    </row>
    <row r="73" spans="2:4" x14ac:dyDescent="0.25">
      <c r="B73" s="272" t="s">
        <v>583</v>
      </c>
      <c r="C73" s="21" t="str">
        <f>$B$11</f>
        <v>Professional Services: Human Resources, Education, Consulting, Legal</v>
      </c>
      <c r="D73" s="283">
        <v>0.25</v>
      </c>
    </row>
    <row r="74" spans="2:4" x14ac:dyDescent="0.25">
      <c r="B74" s="272" t="s">
        <v>583</v>
      </c>
      <c r="C74" s="21" t="s">
        <v>617</v>
      </c>
      <c r="D74" s="283">
        <v>0.25</v>
      </c>
    </row>
    <row r="75" spans="2:4" x14ac:dyDescent="0.25">
      <c r="B75" s="272" t="s">
        <v>583</v>
      </c>
      <c r="C75" s="21" t="s">
        <v>605</v>
      </c>
      <c r="D75" s="283">
        <v>0.25</v>
      </c>
    </row>
    <row r="76" spans="2:4" x14ac:dyDescent="0.25">
      <c r="B76" s="272" t="s">
        <v>583</v>
      </c>
      <c r="C76" s="20" t="str">
        <f>C50</f>
        <v>Energy and Environment</v>
      </c>
      <c r="D76" s="283">
        <v>0.25</v>
      </c>
    </row>
    <row r="77" spans="2:4" x14ac:dyDescent="0.25">
      <c r="B77" s="272" t="s">
        <v>591</v>
      </c>
      <c r="C77" s="20" t="s">
        <v>157</v>
      </c>
      <c r="D77" s="283">
        <v>1</v>
      </c>
    </row>
    <row r="78" spans="2:4" x14ac:dyDescent="0.25">
      <c r="B78" s="272" t="s">
        <v>572</v>
      </c>
      <c r="C78" s="20" t="str">
        <f>C47</f>
        <v>Entertainment and Recreation</v>
      </c>
      <c r="D78" s="283">
        <v>1</v>
      </c>
    </row>
    <row r="79" spans="2:4" x14ac:dyDescent="0.25">
      <c r="B79" s="272" t="s">
        <v>156</v>
      </c>
      <c r="C79" s="20" t="s">
        <v>608</v>
      </c>
      <c r="D79" s="283">
        <v>1</v>
      </c>
    </row>
    <row r="80" spans="2:4" x14ac:dyDescent="0.25">
      <c r="B80" s="272" t="s">
        <v>588</v>
      </c>
      <c r="C80" s="21" t="str">
        <f>$B$11</f>
        <v>Professional Services: Human Resources, Education, Consulting, Legal</v>
      </c>
      <c r="D80" s="283">
        <v>1</v>
      </c>
    </row>
    <row r="81" spans="2:4" x14ac:dyDescent="0.25">
      <c r="B81" s="272" t="s">
        <v>587</v>
      </c>
      <c r="C81" s="20" t="s">
        <v>154</v>
      </c>
      <c r="D81" s="283">
        <v>1</v>
      </c>
    </row>
    <row r="82" spans="2:4" x14ac:dyDescent="0.25">
      <c r="B82" s="272" t="s">
        <v>585</v>
      </c>
      <c r="C82" s="20" t="s">
        <v>153</v>
      </c>
      <c r="D82" s="283">
        <v>0.6</v>
      </c>
    </row>
    <row r="83" spans="2:4" x14ac:dyDescent="0.25">
      <c r="B83" s="272" t="s">
        <v>585</v>
      </c>
      <c r="C83" s="20" t="s">
        <v>605</v>
      </c>
      <c r="D83" s="283">
        <v>0.2</v>
      </c>
    </row>
    <row r="84" spans="2:4" x14ac:dyDescent="0.25">
      <c r="B84" s="272" t="s">
        <v>585</v>
      </c>
      <c r="C84" s="21" t="str">
        <f>$B$11</f>
        <v>Professional Services: Human Resources, Education, Consulting, Legal</v>
      </c>
      <c r="D84" s="283">
        <v>0.2</v>
      </c>
    </row>
    <row r="85" spans="2:4" x14ac:dyDescent="0.25">
      <c r="B85" s="272" t="s">
        <v>594</v>
      </c>
      <c r="C85" s="20" t="s">
        <v>606</v>
      </c>
      <c r="D85" s="283">
        <v>1</v>
      </c>
    </row>
    <row r="86" spans="2:4" x14ac:dyDescent="0.25">
      <c r="B86" s="272" t="s">
        <v>590</v>
      </c>
      <c r="C86" s="20" t="s">
        <v>604</v>
      </c>
      <c r="D86" s="283">
        <v>0.7</v>
      </c>
    </row>
    <row r="87" spans="2:4" x14ac:dyDescent="0.25">
      <c r="B87" s="272" t="s">
        <v>590</v>
      </c>
      <c r="C87" s="21" t="str">
        <f>$B$11</f>
        <v>Professional Services: Human Resources, Education, Consulting, Legal</v>
      </c>
      <c r="D87" s="283">
        <v>0.3</v>
      </c>
    </row>
    <row r="88" spans="2:4" x14ac:dyDescent="0.25">
      <c r="B88" s="272" t="s">
        <v>593</v>
      </c>
      <c r="C88" s="20" t="str">
        <f>C57</f>
        <v>Professional Services: Human Resources, Education, Consulting, Legal</v>
      </c>
      <c r="D88" s="283">
        <v>1</v>
      </c>
    </row>
    <row r="89" spans="2:4" x14ac:dyDescent="0.25">
      <c r="B89" s="275" t="s">
        <v>543</v>
      </c>
      <c r="C89" s="20" t="s">
        <v>607</v>
      </c>
      <c r="D89" s="283">
        <v>0.9</v>
      </c>
    </row>
    <row r="90" spans="2:4" x14ac:dyDescent="0.25">
      <c r="B90" s="275" t="s">
        <v>543</v>
      </c>
      <c r="C90" s="20" t="s">
        <v>153</v>
      </c>
      <c r="D90" s="283">
        <v>0.1</v>
      </c>
    </row>
    <row r="91" spans="2:4" x14ac:dyDescent="0.25">
      <c r="B91" s="272" t="s">
        <v>592</v>
      </c>
      <c r="C91" s="20" t="s">
        <v>601</v>
      </c>
      <c r="D91" s="283">
        <v>1</v>
      </c>
    </row>
    <row r="92" spans="2:4" x14ac:dyDescent="0.25">
      <c r="B92" s="272" t="s">
        <v>580</v>
      </c>
      <c r="C92" s="20" t="s">
        <v>607</v>
      </c>
      <c r="D92" s="283">
        <v>0.5</v>
      </c>
    </row>
    <row r="93" spans="2:4" x14ac:dyDescent="0.25">
      <c r="B93" s="272" t="s">
        <v>580</v>
      </c>
      <c r="C93" s="20" t="str">
        <f>C57</f>
        <v>Professional Services: Human Resources, Education, Consulting, Legal</v>
      </c>
      <c r="D93" s="283">
        <v>0.5</v>
      </c>
    </row>
    <row r="94" spans="2:4" x14ac:dyDescent="0.25">
      <c r="B94" s="272" t="s">
        <v>579</v>
      </c>
      <c r="C94" s="21" t="str">
        <f>C57</f>
        <v>Professional Services: Human Resources, Education, Consulting, Legal</v>
      </c>
      <c r="D94" s="283">
        <v>0.5</v>
      </c>
    </row>
    <row r="95" spans="2:4" x14ac:dyDescent="0.25">
      <c r="B95" s="272" t="s">
        <v>579</v>
      </c>
      <c r="C95" s="21" t="s">
        <v>153</v>
      </c>
      <c r="D95" s="283">
        <v>0.2</v>
      </c>
    </row>
    <row r="96" spans="2:4" x14ac:dyDescent="0.25">
      <c r="B96" s="272" t="s">
        <v>579</v>
      </c>
      <c r="C96" s="21" t="s">
        <v>607</v>
      </c>
      <c r="D96" s="283">
        <v>0.15</v>
      </c>
    </row>
    <row r="97" spans="2:4" x14ac:dyDescent="0.25">
      <c r="B97" s="272" t="s">
        <v>579</v>
      </c>
      <c r="C97" s="21" t="s">
        <v>604</v>
      </c>
      <c r="D97" s="283">
        <v>0.15</v>
      </c>
    </row>
    <row r="98" spans="2:4" x14ac:dyDescent="0.25">
      <c r="B98" s="272" t="s">
        <v>582</v>
      </c>
      <c r="C98" s="20" t="s">
        <v>608</v>
      </c>
      <c r="D98" s="283">
        <v>1</v>
      </c>
    </row>
    <row r="99" spans="2:4" x14ac:dyDescent="0.25">
      <c r="B99" s="272" t="s">
        <v>584</v>
      </c>
      <c r="C99" s="20" t="s">
        <v>606</v>
      </c>
      <c r="D99" s="283">
        <v>1</v>
      </c>
    </row>
    <row r="100" spans="2:4" x14ac:dyDescent="0.25">
      <c r="B100" s="272" t="s">
        <v>581</v>
      </c>
      <c r="C100" s="20" t="s">
        <v>609</v>
      </c>
      <c r="D100" s="283">
        <v>1</v>
      </c>
    </row>
    <row r="101" spans="2:4" x14ac:dyDescent="0.25">
      <c r="B101" s="272" t="s">
        <v>363</v>
      </c>
      <c r="C101" s="20" t="s">
        <v>601</v>
      </c>
      <c r="D101" s="283">
        <v>1</v>
      </c>
    </row>
    <row r="102" spans="2:4" x14ac:dyDescent="0.25">
      <c r="B102" s="287" t="s">
        <v>589</v>
      </c>
      <c r="C102" s="21" t="s">
        <v>606</v>
      </c>
      <c r="D102" s="290">
        <v>0.9</v>
      </c>
    </row>
    <row r="103" spans="2:4" x14ac:dyDescent="0.25">
      <c r="B103" s="288" t="s">
        <v>589</v>
      </c>
      <c r="C103" s="22" t="s">
        <v>607</v>
      </c>
      <c r="D103" s="291">
        <v>0.1</v>
      </c>
    </row>
    <row r="104" spans="2:4" x14ac:dyDescent="0.25"/>
    <row r="105" spans="2:4" x14ac:dyDescent="0.25">
      <c r="B105" s="276" t="s">
        <v>613</v>
      </c>
      <c r="C105" s="277" t="s">
        <v>602</v>
      </c>
      <c r="D105" s="281" t="s">
        <v>614</v>
      </c>
    </row>
    <row r="106" spans="2:4" x14ac:dyDescent="0.25">
      <c r="B106" s="272" t="s">
        <v>573</v>
      </c>
      <c r="C106" s="94" t="s">
        <v>606</v>
      </c>
      <c r="D106" s="286">
        <v>0.5</v>
      </c>
    </row>
    <row r="107" spans="2:4" x14ac:dyDescent="0.25">
      <c r="B107" s="272" t="s">
        <v>573</v>
      </c>
      <c r="C107" s="20" t="s">
        <v>157</v>
      </c>
      <c r="D107" s="282">
        <v>0.3</v>
      </c>
    </row>
    <row r="108" spans="2:4" x14ac:dyDescent="0.25">
      <c r="B108" s="272" t="s">
        <v>573</v>
      </c>
      <c r="C108" s="21" t="s">
        <v>609</v>
      </c>
      <c r="D108" s="283">
        <v>0.1</v>
      </c>
    </row>
    <row r="109" spans="2:4" x14ac:dyDescent="0.25">
      <c r="B109" s="272" t="s">
        <v>573</v>
      </c>
      <c r="C109" s="21" t="s">
        <v>605</v>
      </c>
      <c r="D109" s="283">
        <v>0.1</v>
      </c>
    </row>
    <row r="110" spans="2:4" x14ac:dyDescent="0.25">
      <c r="B110" s="272" t="s">
        <v>576</v>
      </c>
      <c r="C110" s="21" t="str">
        <f>$B$11</f>
        <v>Professional Services: Human Resources, Education, Consulting, Legal</v>
      </c>
      <c r="D110" s="283">
        <v>0.6</v>
      </c>
    </row>
    <row r="111" spans="2:4" x14ac:dyDescent="0.25">
      <c r="B111" s="272" t="s">
        <v>576</v>
      </c>
      <c r="C111" s="21" t="s">
        <v>617</v>
      </c>
      <c r="D111" s="283">
        <v>0.1</v>
      </c>
    </row>
    <row r="112" spans="2:4" x14ac:dyDescent="0.25">
      <c r="B112" s="272" t="s">
        <v>576</v>
      </c>
      <c r="C112" s="21" t="s">
        <v>605</v>
      </c>
      <c r="D112" s="283">
        <v>0.3</v>
      </c>
    </row>
    <row r="113" spans="2:4" x14ac:dyDescent="0.25">
      <c r="B113" s="272" t="s">
        <v>574</v>
      </c>
      <c r="C113" s="20" t="s">
        <v>157</v>
      </c>
      <c r="D113" s="283">
        <v>1</v>
      </c>
    </row>
    <row r="114" spans="2:4" x14ac:dyDescent="0.25">
      <c r="B114" s="272" t="s">
        <v>572</v>
      </c>
      <c r="C114" s="20" t="str">
        <f>C78</f>
        <v>Entertainment and Recreation</v>
      </c>
      <c r="D114" s="283">
        <v>1</v>
      </c>
    </row>
    <row r="115" spans="2:4" x14ac:dyDescent="0.25">
      <c r="B115" s="272" t="s">
        <v>156</v>
      </c>
      <c r="C115" s="20" t="s">
        <v>608</v>
      </c>
      <c r="D115" s="283">
        <v>1</v>
      </c>
    </row>
    <row r="116" spans="2:4" x14ac:dyDescent="0.25">
      <c r="B116" s="272" t="s">
        <v>165</v>
      </c>
      <c r="C116" s="21" t="str">
        <f>$B$11</f>
        <v>Professional Services: Human Resources, Education, Consulting, Legal</v>
      </c>
      <c r="D116" s="283">
        <v>1</v>
      </c>
    </row>
    <row r="117" spans="2:4" x14ac:dyDescent="0.25">
      <c r="B117" s="272" t="s">
        <v>577</v>
      </c>
      <c r="C117" s="20" t="s">
        <v>154</v>
      </c>
      <c r="D117" s="283">
        <v>1</v>
      </c>
    </row>
    <row r="118" spans="2:4" x14ac:dyDescent="0.25">
      <c r="B118" s="272" t="s">
        <v>569</v>
      </c>
      <c r="C118" s="20" t="s">
        <v>153</v>
      </c>
      <c r="D118" s="283">
        <v>0.6</v>
      </c>
    </row>
    <row r="119" spans="2:4" x14ac:dyDescent="0.25">
      <c r="B119" s="272" t="s">
        <v>569</v>
      </c>
      <c r="C119" s="20" t="s">
        <v>605</v>
      </c>
      <c r="D119" s="283">
        <v>0.2</v>
      </c>
    </row>
    <row r="120" spans="2:4" x14ac:dyDescent="0.25">
      <c r="B120" s="272" t="s">
        <v>569</v>
      </c>
      <c r="C120" s="21" t="str">
        <f>$B$11</f>
        <v>Professional Services: Human Resources, Education, Consulting, Legal</v>
      </c>
      <c r="D120" s="283">
        <v>0.2</v>
      </c>
    </row>
    <row r="121" spans="2:4" x14ac:dyDescent="0.25">
      <c r="B121" s="272" t="s">
        <v>570</v>
      </c>
      <c r="C121" s="20" t="s">
        <v>604</v>
      </c>
      <c r="D121" s="283">
        <v>0.7</v>
      </c>
    </row>
    <row r="122" spans="2:4" x14ac:dyDescent="0.25">
      <c r="B122" s="272" t="s">
        <v>570</v>
      </c>
      <c r="C122" s="21" t="str">
        <f>$B$11</f>
        <v>Professional Services: Human Resources, Education, Consulting, Legal</v>
      </c>
      <c r="D122" s="283">
        <v>0.3</v>
      </c>
    </row>
    <row r="123" spans="2:4" x14ac:dyDescent="0.25">
      <c r="B123" s="272" t="s">
        <v>543</v>
      </c>
      <c r="C123" s="20" t="s">
        <v>607</v>
      </c>
      <c r="D123" s="283">
        <v>0.9</v>
      </c>
    </row>
    <row r="124" spans="2:4" x14ac:dyDescent="0.25">
      <c r="B124" s="272" t="s">
        <v>543</v>
      </c>
      <c r="C124" s="20" t="s">
        <v>153</v>
      </c>
      <c r="D124" s="283">
        <v>0.1</v>
      </c>
    </row>
    <row r="125" spans="2:4" x14ac:dyDescent="0.25">
      <c r="B125" s="272" t="s">
        <v>578</v>
      </c>
      <c r="C125" s="20" t="s">
        <v>601</v>
      </c>
      <c r="D125" s="283">
        <v>1</v>
      </c>
    </row>
    <row r="126" spans="2:4" x14ac:dyDescent="0.25">
      <c r="B126" s="275" t="s">
        <v>568</v>
      </c>
      <c r="C126" s="20" t="str">
        <f>C85</f>
        <v>Retail and Consumer Goods</v>
      </c>
      <c r="D126" s="283">
        <v>1</v>
      </c>
    </row>
    <row r="127" spans="2:4" x14ac:dyDescent="0.25">
      <c r="B127" s="272" t="s">
        <v>566</v>
      </c>
      <c r="C127" s="21" t="str">
        <f>C57</f>
        <v>Professional Services: Human Resources, Education, Consulting, Legal</v>
      </c>
      <c r="D127" s="283">
        <v>0.5</v>
      </c>
    </row>
    <row r="128" spans="2:4" x14ac:dyDescent="0.25">
      <c r="B128" s="272" t="s">
        <v>566</v>
      </c>
      <c r="C128" s="21" t="s">
        <v>153</v>
      </c>
      <c r="D128" s="283">
        <v>0.2</v>
      </c>
    </row>
    <row r="129" spans="2:4" x14ac:dyDescent="0.25">
      <c r="B129" s="272" t="s">
        <v>566</v>
      </c>
      <c r="C129" s="21" t="s">
        <v>607</v>
      </c>
      <c r="D129" s="283">
        <v>0.15</v>
      </c>
    </row>
    <row r="130" spans="2:4" x14ac:dyDescent="0.25">
      <c r="B130" s="272" t="s">
        <v>566</v>
      </c>
      <c r="C130" s="21" t="s">
        <v>604</v>
      </c>
      <c r="D130" s="283">
        <v>0.15</v>
      </c>
    </row>
    <row r="131" spans="2:4" x14ac:dyDescent="0.25">
      <c r="B131" s="272" t="s">
        <v>575</v>
      </c>
      <c r="C131" s="20" t="s">
        <v>608</v>
      </c>
      <c r="D131" s="283">
        <v>1</v>
      </c>
    </row>
    <row r="132" spans="2:4" x14ac:dyDescent="0.25">
      <c r="B132" s="272" t="s">
        <v>571</v>
      </c>
      <c r="C132" s="20" t="s">
        <v>609</v>
      </c>
      <c r="D132" s="283">
        <v>1</v>
      </c>
    </row>
    <row r="133" spans="2:4" x14ac:dyDescent="0.25">
      <c r="B133" s="275" t="s">
        <v>567</v>
      </c>
      <c r="C133" s="35" t="s">
        <v>606</v>
      </c>
      <c r="D133" s="284">
        <v>0.9</v>
      </c>
    </row>
    <row r="134" spans="2:4" x14ac:dyDescent="0.25">
      <c r="B134" s="279" t="s">
        <v>567</v>
      </c>
      <c r="C134" s="293" t="s">
        <v>607</v>
      </c>
      <c r="D134" s="292">
        <v>0.1</v>
      </c>
    </row>
    <row r="135" spans="2:4" x14ac:dyDescent="0.25"/>
    <row r="140" spans="2:4" x14ac:dyDescent="0.25"/>
    <row r="141" spans="2:4" x14ac:dyDescent="0.25"/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340C5-F731-4AEB-B3E5-D189199A96DA}">
  <dimension ref="A1:AN143"/>
  <sheetViews>
    <sheetView showGridLines="0" zoomScale="70" zoomScaleNormal="70" workbookViewId="0"/>
  </sheetViews>
  <sheetFormatPr defaultColWidth="0" defaultRowHeight="11.5" zeroHeight="1" x14ac:dyDescent="0.25"/>
  <cols>
    <col min="1" max="1" width="3.6328125" style="3" customWidth="1"/>
    <col min="2" max="2" width="54.36328125" style="3" bestFit="1" customWidth="1"/>
    <col min="3" max="9" width="8.7265625" style="3" customWidth="1"/>
    <col min="10" max="10" width="3.6328125" style="3" customWidth="1"/>
    <col min="11" max="12" width="8.81640625" style="3" hidden="1" customWidth="1"/>
    <col min="13" max="21" width="8.7265625" style="3" hidden="1" customWidth="1"/>
    <col min="22" max="40" width="0" style="3" hidden="1" customWidth="1"/>
    <col min="41" max="16384" width="8.7265625" style="3" hidden="1"/>
  </cols>
  <sheetData>
    <row r="1" spans="1:29" s="5" customFormat="1" ht="14" x14ac:dyDescent="0.3">
      <c r="A1" s="8" t="str">
        <f ca="1">MID(CELL("filename",A1),FIND("]",CELL("filename",A1))+1,255)</f>
        <v>4.3 Global SME Data</v>
      </c>
      <c r="B1" s="239"/>
    </row>
    <row r="2" spans="1:29" s="5" customFormat="1" x14ac:dyDescent="0.25">
      <c r="A2" s="7" t="s">
        <v>671</v>
      </c>
      <c r="B2" s="239"/>
    </row>
    <row r="3" spans="1:29" x14ac:dyDescent="0.25">
      <c r="B3" s="117"/>
    </row>
    <row r="4" spans="1:29" ht="11.5" customHeight="1" x14ac:dyDescent="0.25">
      <c r="A4" s="33" t="s">
        <v>10</v>
      </c>
      <c r="B4" s="340" t="s">
        <v>453</v>
      </c>
      <c r="C4" s="100"/>
      <c r="D4" s="100"/>
      <c r="E4" s="100"/>
      <c r="F4" s="100"/>
      <c r="G4" s="100"/>
      <c r="H4" s="100"/>
      <c r="I4" s="100"/>
      <c r="W4" s="266"/>
    </row>
    <row r="5" spans="1:29" ht="11.5" customHeight="1" x14ac:dyDescent="0.25">
      <c r="B5" s="120" t="s">
        <v>392</v>
      </c>
      <c r="C5" s="351">
        <v>67.5</v>
      </c>
      <c r="D5" s="20"/>
      <c r="E5" s="20"/>
      <c r="F5" s="20"/>
      <c r="G5" s="20"/>
      <c r="H5" s="20"/>
      <c r="I5" s="20"/>
      <c r="W5" s="262"/>
      <c r="X5" s="262"/>
    </row>
    <row r="6" spans="1:29" ht="11.5" customHeight="1" x14ac:dyDescent="0.25">
      <c r="B6" s="121" t="s">
        <v>454</v>
      </c>
      <c r="C6" s="353">
        <v>12.3</v>
      </c>
      <c r="D6" s="21"/>
      <c r="E6" s="21"/>
      <c r="F6" s="21"/>
      <c r="G6" s="21"/>
      <c r="H6" s="21"/>
      <c r="I6" s="21"/>
      <c r="W6" s="262"/>
      <c r="X6" s="262"/>
    </row>
    <row r="7" spans="1:29" ht="11.5" customHeight="1" x14ac:dyDescent="0.25">
      <c r="B7" s="121" t="s">
        <v>600</v>
      </c>
      <c r="C7" s="353">
        <v>191.99</v>
      </c>
      <c r="D7" s="21"/>
      <c r="E7" s="21"/>
      <c r="F7" s="21"/>
      <c r="G7" s="21"/>
      <c r="H7" s="21"/>
      <c r="I7" s="21"/>
      <c r="W7" s="262"/>
      <c r="X7" s="262"/>
    </row>
    <row r="8" spans="1:29" ht="11.5" customHeight="1" x14ac:dyDescent="0.25">
      <c r="B8" s="121" t="s">
        <v>455</v>
      </c>
      <c r="C8" s="353">
        <v>34.51</v>
      </c>
      <c r="D8" s="21"/>
      <c r="E8" s="21"/>
      <c r="F8" s="21"/>
      <c r="G8" s="21"/>
      <c r="H8" s="21"/>
      <c r="I8" s="21"/>
      <c r="W8" s="262"/>
      <c r="X8" s="262"/>
    </row>
    <row r="9" spans="1:29" ht="11.5" customHeight="1" x14ac:dyDescent="0.25">
      <c r="B9" s="121" t="s">
        <v>393</v>
      </c>
      <c r="C9" s="353">
        <v>33.200000000000003</v>
      </c>
      <c r="D9" s="21"/>
      <c r="E9" s="21"/>
      <c r="F9" s="21"/>
      <c r="G9" s="21"/>
      <c r="H9" s="21"/>
      <c r="I9" s="21"/>
      <c r="W9" s="262"/>
      <c r="X9" s="262"/>
    </row>
    <row r="10" spans="1:29" ht="11.5" customHeight="1" x14ac:dyDescent="0.25">
      <c r="B10" s="122" t="s">
        <v>456</v>
      </c>
      <c r="C10" s="355">
        <v>19.5</v>
      </c>
      <c r="D10" s="22"/>
      <c r="E10" s="22"/>
      <c r="F10" s="22"/>
      <c r="G10" s="22"/>
      <c r="H10" s="22"/>
      <c r="I10" s="22"/>
      <c r="W10" s="262"/>
      <c r="X10" s="262"/>
    </row>
    <row r="11" spans="1:29" ht="11.5" customHeight="1" x14ac:dyDescent="0.25">
      <c r="B11" s="117"/>
      <c r="W11" s="262"/>
      <c r="X11" s="262"/>
    </row>
    <row r="12" spans="1:29" ht="11.5" customHeight="1" x14ac:dyDescent="0.25">
      <c r="A12" s="33" t="s">
        <v>10</v>
      </c>
      <c r="B12" s="340" t="s">
        <v>672</v>
      </c>
      <c r="C12" s="100"/>
      <c r="D12" s="100"/>
      <c r="E12" s="100"/>
      <c r="F12" s="100"/>
      <c r="G12" s="100"/>
      <c r="H12" s="100"/>
      <c r="I12" s="100"/>
      <c r="O12" s="262"/>
      <c r="P12" s="262"/>
      <c r="Q12" s="262"/>
      <c r="R12" s="262"/>
      <c r="S12" s="262"/>
      <c r="T12" s="262"/>
      <c r="U12" s="262"/>
      <c r="W12" s="262"/>
      <c r="X12" s="262"/>
      <c r="Y12" s="262"/>
      <c r="Z12" s="262"/>
      <c r="AA12" s="262"/>
      <c r="AB12" s="262"/>
      <c r="AC12" s="262"/>
    </row>
    <row r="13" spans="1:29" ht="11.5" customHeight="1" x14ac:dyDescent="0.25">
      <c r="B13" s="120" t="s">
        <v>392</v>
      </c>
      <c r="C13" s="351">
        <f t="shared" ref="C13:C18" si="0">C5*0.999</f>
        <v>67.432500000000005</v>
      </c>
      <c r="D13" s="352"/>
      <c r="E13" s="20"/>
      <c r="F13" s="20"/>
      <c r="G13" s="20"/>
      <c r="H13" s="20"/>
      <c r="I13" s="20"/>
      <c r="O13" s="262"/>
      <c r="P13" s="262"/>
      <c r="Q13" s="262"/>
      <c r="R13" s="262"/>
      <c r="S13" s="262"/>
      <c r="T13" s="262"/>
      <c r="U13" s="262"/>
      <c r="W13" s="262"/>
      <c r="X13" s="262"/>
      <c r="Y13" s="262"/>
      <c r="Z13" s="262"/>
      <c r="AA13" s="262"/>
      <c r="AB13" s="262"/>
      <c r="AC13" s="262"/>
    </row>
    <row r="14" spans="1:29" ht="11.5" customHeight="1" x14ac:dyDescent="0.25">
      <c r="B14" s="121" t="s">
        <v>454</v>
      </c>
      <c r="C14" s="353">
        <f t="shared" si="0"/>
        <v>12.287700000000001</v>
      </c>
      <c r="D14" s="354"/>
      <c r="E14" s="21"/>
      <c r="F14" s="21"/>
      <c r="G14" s="21"/>
      <c r="H14" s="21"/>
      <c r="I14" s="21"/>
      <c r="O14" s="262"/>
      <c r="P14" s="262"/>
      <c r="Q14" s="262"/>
      <c r="R14" s="262"/>
      <c r="S14" s="262"/>
      <c r="T14" s="262"/>
      <c r="U14" s="262"/>
      <c r="W14" s="262"/>
      <c r="X14" s="262"/>
      <c r="Y14" s="262"/>
      <c r="Z14" s="262"/>
      <c r="AA14" s="262"/>
      <c r="AB14" s="262"/>
      <c r="AC14" s="262"/>
    </row>
    <row r="15" spans="1:29" ht="11.5" customHeight="1" x14ac:dyDescent="0.25">
      <c r="B15" s="121" t="s">
        <v>600</v>
      </c>
      <c r="C15" s="353">
        <f t="shared" si="0"/>
        <v>191.79801</v>
      </c>
      <c r="D15" s="354"/>
      <c r="E15" s="21"/>
      <c r="F15" s="21"/>
      <c r="G15" s="21"/>
      <c r="H15" s="21"/>
      <c r="I15" s="21"/>
      <c r="O15" s="262"/>
      <c r="P15" s="262"/>
      <c r="Q15" s="262"/>
      <c r="R15" s="262"/>
      <c r="S15" s="262"/>
      <c r="T15" s="262"/>
      <c r="U15" s="262"/>
      <c r="W15" s="262"/>
      <c r="X15" s="262"/>
      <c r="Y15" s="262"/>
      <c r="Z15" s="262"/>
      <c r="AA15" s="262"/>
      <c r="AB15" s="262"/>
      <c r="AC15" s="262"/>
    </row>
    <row r="16" spans="1:29" ht="11.5" customHeight="1" x14ac:dyDescent="0.25">
      <c r="B16" s="121" t="s">
        <v>455</v>
      </c>
      <c r="C16" s="353">
        <f t="shared" si="0"/>
        <v>34.475490000000001</v>
      </c>
      <c r="D16" s="354"/>
      <c r="E16" s="21"/>
      <c r="F16" s="21"/>
      <c r="G16" s="21"/>
      <c r="H16" s="21"/>
      <c r="I16" s="21"/>
      <c r="O16" s="262"/>
      <c r="P16" s="262"/>
      <c r="Q16" s="262"/>
      <c r="R16" s="262"/>
      <c r="S16" s="262"/>
      <c r="T16" s="262"/>
      <c r="U16" s="262"/>
      <c r="W16" s="262"/>
      <c r="X16" s="262"/>
      <c r="Y16" s="262"/>
      <c r="Z16" s="262"/>
      <c r="AA16" s="262"/>
      <c r="AB16" s="262"/>
      <c r="AC16" s="262"/>
    </row>
    <row r="17" spans="1:29" ht="11.5" customHeight="1" x14ac:dyDescent="0.25">
      <c r="B17" s="121" t="s">
        <v>393</v>
      </c>
      <c r="C17" s="353">
        <f t="shared" si="0"/>
        <v>33.166800000000002</v>
      </c>
      <c r="D17" s="354"/>
      <c r="E17" s="21"/>
      <c r="F17" s="21"/>
      <c r="G17" s="21"/>
      <c r="H17" s="21"/>
      <c r="I17" s="21"/>
      <c r="N17" s="266"/>
      <c r="O17" s="262"/>
      <c r="P17" s="262"/>
      <c r="Q17" s="262"/>
      <c r="R17" s="262"/>
      <c r="S17" s="262"/>
      <c r="T17" s="262"/>
      <c r="U17" s="262"/>
      <c r="W17" s="262"/>
      <c r="X17" s="262"/>
      <c r="Y17" s="262"/>
      <c r="Z17" s="262"/>
      <c r="AA17" s="262"/>
      <c r="AB17" s="262"/>
      <c r="AC17" s="262"/>
    </row>
    <row r="18" spans="1:29" ht="11.5" customHeight="1" x14ac:dyDescent="0.25">
      <c r="B18" s="122" t="s">
        <v>456</v>
      </c>
      <c r="C18" s="355">
        <f t="shared" si="0"/>
        <v>19.480499999999999</v>
      </c>
      <c r="D18" s="356"/>
      <c r="E18" s="22"/>
      <c r="F18" s="22"/>
      <c r="G18" s="22"/>
      <c r="H18" s="22"/>
      <c r="I18" s="22"/>
      <c r="O18" s="262"/>
      <c r="P18" s="262"/>
      <c r="Q18" s="262"/>
      <c r="R18" s="262"/>
      <c r="S18" s="262"/>
      <c r="T18" s="262"/>
      <c r="U18" s="262"/>
      <c r="W18" s="262"/>
      <c r="X18" s="262"/>
      <c r="Y18" s="262"/>
      <c r="Z18" s="262"/>
      <c r="AA18" s="262"/>
      <c r="AB18" s="262"/>
      <c r="AC18" s="262"/>
    </row>
    <row r="19" spans="1:29" ht="11.5" customHeight="1" x14ac:dyDescent="0.25">
      <c r="B19" s="117"/>
      <c r="O19" s="262"/>
      <c r="P19" s="262"/>
      <c r="Q19" s="262"/>
      <c r="R19" s="262"/>
      <c r="S19" s="262"/>
      <c r="T19" s="262"/>
      <c r="U19" s="262"/>
      <c r="W19" s="262"/>
      <c r="X19" s="262"/>
      <c r="Y19" s="262"/>
      <c r="Z19" s="262"/>
      <c r="AA19" s="262"/>
      <c r="AB19" s="262"/>
      <c r="AC19" s="262"/>
    </row>
    <row r="20" spans="1:29" ht="11.5" customHeight="1" x14ac:dyDescent="0.25">
      <c r="A20" s="33" t="s">
        <v>10</v>
      </c>
      <c r="B20" s="340" t="s">
        <v>435</v>
      </c>
      <c r="C20" s="100"/>
      <c r="D20" s="100"/>
      <c r="E20" s="100" t="s">
        <v>673</v>
      </c>
      <c r="F20" s="100"/>
      <c r="G20" s="100"/>
      <c r="H20" s="100"/>
      <c r="I20" s="100"/>
      <c r="N20" s="262"/>
      <c r="O20" s="265"/>
      <c r="P20" s="265"/>
      <c r="Q20" s="265"/>
      <c r="R20" s="262"/>
      <c r="S20" s="262"/>
      <c r="T20" s="262"/>
      <c r="U20" s="262"/>
      <c r="W20" s="262"/>
      <c r="X20" s="262"/>
      <c r="Y20" s="262"/>
      <c r="Z20" s="262"/>
      <c r="AA20" s="262"/>
      <c r="AB20" s="262"/>
      <c r="AC20" s="262"/>
    </row>
    <row r="21" spans="1:29" ht="11.5" customHeight="1" x14ac:dyDescent="0.25">
      <c r="B21" s="347" t="s">
        <v>436</v>
      </c>
      <c r="C21" s="388">
        <v>0.28210000000000002</v>
      </c>
      <c r="D21" s="347" t="s">
        <v>437</v>
      </c>
      <c r="E21" s="20" t="str">
        <f>INDEX('4.2 Sector Mapping'!$C$19:$C$39,MATCH($B21,'4.2 Sector Mapping'!$B$19:$B$39,0))</f>
        <v>Retail and Consumer Goods</v>
      </c>
      <c r="F21" s="20"/>
      <c r="G21" s="20"/>
      <c r="H21" s="20"/>
      <c r="I21" s="384"/>
      <c r="N21" s="262"/>
      <c r="O21" s="263"/>
      <c r="P21" s="263"/>
      <c r="Q21" s="263"/>
      <c r="R21" s="262"/>
      <c r="S21" s="262"/>
      <c r="T21" s="262"/>
      <c r="U21" s="262"/>
      <c r="W21" s="262"/>
      <c r="X21" s="262"/>
      <c r="Y21" s="262"/>
      <c r="Z21" s="262"/>
      <c r="AA21" s="262"/>
      <c r="AB21" s="262"/>
      <c r="AC21" s="262"/>
    </row>
    <row r="22" spans="1:29" ht="11.5" customHeight="1" x14ac:dyDescent="0.25">
      <c r="B22" s="348" t="s">
        <v>156</v>
      </c>
      <c r="C22" s="387">
        <v>0.1177</v>
      </c>
      <c r="D22" s="348" t="s">
        <v>437</v>
      </c>
      <c r="E22" s="21" t="str">
        <f>INDEX('4.2 Sector Mapping'!$C$19:$C$39,MATCH($B22,'4.2 Sector Mapping'!$B$19:$B$39,0))</f>
        <v>Real Estate and Construction</v>
      </c>
      <c r="F22" s="21"/>
      <c r="G22" s="21"/>
      <c r="H22" s="21"/>
      <c r="I22" s="385"/>
      <c r="N22" s="262"/>
      <c r="O22" s="263"/>
      <c r="P22" s="263"/>
      <c r="Q22" s="263"/>
      <c r="R22" s="262"/>
      <c r="S22" s="262"/>
      <c r="T22" s="262"/>
      <c r="U22" s="262"/>
      <c r="W22" s="262"/>
      <c r="X22" s="262"/>
      <c r="Y22" s="262"/>
      <c r="Z22" s="262"/>
      <c r="AA22" s="262"/>
      <c r="AB22" s="262"/>
      <c r="AC22" s="262"/>
    </row>
    <row r="23" spans="1:29" ht="11.5" customHeight="1" x14ac:dyDescent="0.25">
      <c r="B23" s="348" t="s">
        <v>438</v>
      </c>
      <c r="C23" s="387">
        <v>8.5800000000000001E-2</v>
      </c>
      <c r="D23" s="348" t="s">
        <v>437</v>
      </c>
      <c r="E23" s="21" t="str">
        <f>INDEX('4.2 Sector Mapping'!$C$19:$C$39,MATCH($B23,'4.2 Sector Mapping'!$B$19:$B$39,0))</f>
        <v>Industrials and Services</v>
      </c>
      <c r="F23" s="21"/>
      <c r="G23" s="21"/>
      <c r="H23" s="21"/>
      <c r="I23" s="385"/>
      <c r="N23" s="262"/>
      <c r="O23" s="263"/>
      <c r="P23" s="263"/>
      <c r="Q23" s="263"/>
      <c r="R23" s="262"/>
      <c r="S23" s="262"/>
      <c r="T23" s="262"/>
      <c r="U23" s="262"/>
      <c r="W23" s="262"/>
      <c r="X23" s="262"/>
      <c r="Y23" s="262"/>
      <c r="Z23" s="262"/>
      <c r="AA23" s="262"/>
      <c r="AB23" s="262"/>
      <c r="AC23" s="262"/>
    </row>
    <row r="24" spans="1:29" ht="11.5" customHeight="1" x14ac:dyDescent="0.25">
      <c r="B24" s="348" t="s">
        <v>439</v>
      </c>
      <c r="C24" s="387">
        <v>7.5700000000000003E-2</v>
      </c>
      <c r="D24" s="348" t="s">
        <v>437</v>
      </c>
      <c r="E24" s="21" t="str">
        <f>INDEX('4.2 Sector Mapping'!$C$19:$C$39,MATCH($B24,'4.2 Sector Mapping'!$B$19:$B$39,0))</f>
        <v>Financial Services</v>
      </c>
      <c r="F24" s="21"/>
      <c r="G24" s="21"/>
      <c r="H24" s="21"/>
      <c r="I24" s="385"/>
      <c r="N24" s="262"/>
      <c r="O24" s="263"/>
      <c r="P24" s="263"/>
      <c r="Q24" s="263"/>
      <c r="R24" s="262"/>
      <c r="S24" s="262"/>
      <c r="T24" s="262"/>
      <c r="U24" s="262"/>
      <c r="W24" s="262"/>
      <c r="X24" s="262"/>
      <c r="Y24" s="262"/>
      <c r="Z24" s="262"/>
      <c r="AA24" s="262"/>
      <c r="AB24" s="262"/>
      <c r="AC24" s="262"/>
    </row>
    <row r="25" spans="1:29" ht="11.5" customHeight="1" x14ac:dyDescent="0.25">
      <c r="B25" s="348" t="s">
        <v>440</v>
      </c>
      <c r="C25" s="387">
        <v>6.3299999999999995E-2</v>
      </c>
      <c r="D25" s="348" t="s">
        <v>437</v>
      </c>
      <c r="E25" s="21" t="str">
        <f>INDEX('4.2 Sector Mapping'!$C$19:$C$39,MATCH($B25,'4.2 Sector Mapping'!$B$19:$B$39,0))</f>
        <v>Retail and Consumer Goods</v>
      </c>
      <c r="F25" s="21"/>
      <c r="G25" s="21"/>
      <c r="H25" s="21"/>
      <c r="I25" s="385"/>
      <c r="N25" s="262"/>
      <c r="O25" s="263"/>
      <c r="P25" s="263"/>
      <c r="Q25" s="263"/>
      <c r="R25" s="262"/>
      <c r="S25" s="262"/>
      <c r="T25" s="262"/>
      <c r="U25" s="262"/>
      <c r="W25" s="262"/>
      <c r="X25" s="262"/>
      <c r="Y25" s="262"/>
      <c r="Z25" s="262"/>
      <c r="AA25" s="262"/>
      <c r="AB25" s="262"/>
      <c r="AC25" s="262"/>
    </row>
    <row r="26" spans="1:29" ht="11.5" customHeight="1" x14ac:dyDescent="0.25">
      <c r="B26" s="348" t="s">
        <v>441</v>
      </c>
      <c r="C26" s="387">
        <v>5.2199999999999996E-2</v>
      </c>
      <c r="D26" s="348" t="s">
        <v>437</v>
      </c>
      <c r="E26" s="21" t="str">
        <f>INDEX('4.2 Sector Mapping'!$C$19:$C$39,MATCH($B26,'4.2 Sector Mapping'!$B$19:$B$39,0))</f>
        <v>Professional Services: Human Resources, Education, Consulting, Legal</v>
      </c>
      <c r="F26" s="21"/>
      <c r="G26" s="21"/>
      <c r="H26" s="21"/>
      <c r="I26" s="385"/>
      <c r="N26" s="262"/>
      <c r="O26" s="263"/>
      <c r="P26" s="263"/>
      <c r="Q26" s="263"/>
      <c r="R26" s="262"/>
      <c r="S26" s="262"/>
      <c r="T26" s="262"/>
      <c r="U26" s="262"/>
      <c r="W26" s="262"/>
      <c r="X26" s="262"/>
      <c r="Y26" s="262"/>
      <c r="Z26" s="262"/>
      <c r="AA26" s="262"/>
      <c r="AB26" s="262"/>
      <c r="AC26" s="262"/>
    </row>
    <row r="27" spans="1:29" ht="11.5" customHeight="1" x14ac:dyDescent="0.25">
      <c r="B27" s="348" t="s">
        <v>442</v>
      </c>
      <c r="C27" s="387">
        <v>5.0999999999999997E-2</v>
      </c>
      <c r="D27" s="348" t="s">
        <v>437</v>
      </c>
      <c r="E27" s="21" t="str">
        <f>INDEX('4.2 Sector Mapping'!$C$19:$C$39,MATCH($B27,'4.2 Sector Mapping'!$B$19:$B$39,0))</f>
        <v>Public and Social Services</v>
      </c>
      <c r="F27" s="21"/>
      <c r="G27" s="21"/>
      <c r="H27" s="21"/>
      <c r="I27" s="385"/>
      <c r="N27" s="262"/>
      <c r="O27" s="263"/>
      <c r="P27" s="263"/>
      <c r="Q27" s="263"/>
      <c r="R27" s="262"/>
      <c r="S27" s="262"/>
      <c r="T27" s="262"/>
      <c r="U27" s="262"/>
      <c r="W27" s="262"/>
      <c r="X27" s="262"/>
      <c r="Y27" s="262"/>
      <c r="Z27" s="262"/>
      <c r="AA27" s="262"/>
      <c r="AB27" s="262"/>
      <c r="AC27" s="262"/>
    </row>
    <row r="28" spans="1:29" ht="11.5" customHeight="1" x14ac:dyDescent="0.25">
      <c r="B28" s="348" t="s">
        <v>443</v>
      </c>
      <c r="C28" s="387">
        <v>4.5400000000000003E-2</v>
      </c>
      <c r="D28" s="348" t="s">
        <v>437</v>
      </c>
      <c r="E28" s="21" t="str">
        <f>INDEX('4.2 Sector Mapping'!$C$19:$C$39,MATCH($B28,'4.2 Sector Mapping'!$B$19:$B$39,0))</f>
        <v>Energy and Environment</v>
      </c>
      <c r="F28" s="21"/>
      <c r="G28" s="21"/>
      <c r="H28" s="21"/>
      <c r="I28" s="385"/>
      <c r="N28" s="262"/>
      <c r="O28" s="263"/>
      <c r="P28" s="263"/>
      <c r="Q28" s="263"/>
      <c r="R28" s="262"/>
      <c r="S28" s="262"/>
      <c r="T28" s="262"/>
      <c r="U28" s="262"/>
    </row>
    <row r="29" spans="1:29" ht="11.5" customHeight="1" x14ac:dyDescent="0.25">
      <c r="B29" s="348" t="s">
        <v>444</v>
      </c>
      <c r="C29" s="387">
        <v>3.6499999999999998E-2</v>
      </c>
      <c r="D29" s="348" t="s">
        <v>437</v>
      </c>
      <c r="E29" s="21" t="str">
        <f>INDEX('4.2 Sector Mapping'!$C$19:$C$39,MATCH($B29,'4.2 Sector Mapping'!$B$19:$B$39,0))</f>
        <v>Healthcare</v>
      </c>
      <c r="F29" s="21"/>
      <c r="G29" s="21"/>
      <c r="H29" s="21"/>
      <c r="I29" s="385"/>
      <c r="N29" s="262"/>
      <c r="O29" s="263"/>
      <c r="P29" s="263"/>
      <c r="Q29" s="263"/>
      <c r="R29" s="262"/>
      <c r="S29" s="262"/>
      <c r="T29" s="262"/>
      <c r="U29" s="262"/>
    </row>
    <row r="30" spans="1:29" ht="11.5" customHeight="1" x14ac:dyDescent="0.25">
      <c r="B30" s="348" t="s">
        <v>445</v>
      </c>
      <c r="C30" s="387">
        <v>3.3399999999999999E-2</v>
      </c>
      <c r="D30" s="348" t="s">
        <v>437</v>
      </c>
      <c r="E30" s="21" t="str">
        <f>INDEX('4.2 Sector Mapping'!$C$19:$C$39,MATCH($B30,'4.2 Sector Mapping'!$B$19:$B$39,0))</f>
        <v>Transportation and Services</v>
      </c>
      <c r="F30" s="21"/>
      <c r="G30" s="21"/>
      <c r="H30" s="21"/>
      <c r="I30" s="385"/>
      <c r="N30" s="262"/>
      <c r="O30" s="263"/>
      <c r="P30" s="263"/>
      <c r="Q30" s="263"/>
      <c r="R30" s="262"/>
      <c r="S30" s="262"/>
      <c r="T30" s="262"/>
      <c r="U30" s="262"/>
    </row>
    <row r="31" spans="1:29" ht="11.5" customHeight="1" x14ac:dyDescent="0.25">
      <c r="B31" s="348" t="s">
        <v>446</v>
      </c>
      <c r="C31" s="387">
        <v>3.0299999999999997E-2</v>
      </c>
      <c r="D31" s="348" t="s">
        <v>437</v>
      </c>
      <c r="E31" s="21" t="str">
        <f>INDEX('4.2 Sector Mapping'!$C$19:$C$39,MATCH($B31,'4.2 Sector Mapping'!$B$19:$B$39,0))</f>
        <v>Communication, Media and Technology</v>
      </c>
      <c r="F31" s="21"/>
      <c r="G31" s="21"/>
      <c r="H31" s="21"/>
      <c r="I31" s="385"/>
      <c r="N31" s="262"/>
      <c r="O31" s="263"/>
      <c r="P31" s="263"/>
      <c r="Q31" s="263"/>
    </row>
    <row r="32" spans="1:29" ht="11.5" customHeight="1" x14ac:dyDescent="0.25">
      <c r="B32" s="348" t="s">
        <v>159</v>
      </c>
      <c r="C32" s="387">
        <v>2.5899999999999999E-2</v>
      </c>
      <c r="D32" s="348" t="s">
        <v>437</v>
      </c>
      <c r="E32" s="21" t="str">
        <f>INDEX('4.2 Sector Mapping'!$C$19:$C$39,MATCH($B32,'4.2 Sector Mapping'!$B$19:$B$39,0))</f>
        <v>Real Estate and Construction</v>
      </c>
      <c r="F32" s="21"/>
      <c r="G32" s="21"/>
      <c r="H32" s="21"/>
      <c r="I32" s="385"/>
      <c r="N32" s="262"/>
      <c r="O32" s="263"/>
      <c r="P32" s="263"/>
      <c r="Q32" s="263"/>
    </row>
    <row r="33" spans="1:17" ht="11.5" customHeight="1" x14ac:dyDescent="0.25">
      <c r="B33" s="348" t="s">
        <v>447</v>
      </c>
      <c r="C33" s="387">
        <v>2.52E-2</v>
      </c>
      <c r="D33" s="348" t="s">
        <v>437</v>
      </c>
      <c r="E33" s="21" t="str">
        <f>INDEX('4.2 Sector Mapping'!$C$19:$C$39,MATCH($B33,'4.2 Sector Mapping'!$B$19:$B$39,0))</f>
        <v>Public and Social Services</v>
      </c>
      <c r="F33" s="21"/>
      <c r="G33" s="21"/>
      <c r="H33" s="21"/>
      <c r="I33" s="385"/>
      <c r="N33" s="262"/>
      <c r="O33" s="263"/>
      <c r="P33" s="263"/>
      <c r="Q33" s="263"/>
    </row>
    <row r="34" spans="1:17" ht="11.5" customHeight="1" x14ac:dyDescent="0.25">
      <c r="B34" s="348" t="s">
        <v>157</v>
      </c>
      <c r="C34" s="387">
        <v>2.1099999999999997E-2</v>
      </c>
      <c r="D34" s="348" t="s">
        <v>437</v>
      </c>
      <c r="E34" s="21" t="str">
        <f>INDEX('4.2 Sector Mapping'!$C$19:$C$39,MATCH($B34,'4.2 Sector Mapping'!$B$19:$B$39,0))</f>
        <v>Agriculture</v>
      </c>
      <c r="F34" s="21"/>
      <c r="G34" s="21"/>
      <c r="H34" s="21"/>
      <c r="I34" s="385"/>
      <c r="N34" s="262"/>
      <c r="O34" s="263"/>
      <c r="P34" s="263"/>
      <c r="Q34" s="263"/>
    </row>
    <row r="35" spans="1:17" ht="11.5" customHeight="1" x14ac:dyDescent="0.25">
      <c r="B35" s="348" t="s">
        <v>448</v>
      </c>
      <c r="C35" s="387">
        <v>1.7899999999999999E-2</v>
      </c>
      <c r="D35" s="348" t="s">
        <v>437</v>
      </c>
      <c r="E35" s="21" t="str">
        <f>INDEX('4.2 Sector Mapping'!$C$19:$C$39,MATCH($B35,'4.2 Sector Mapping'!$B$19:$B$39,0))</f>
        <v>Transportation and Services</v>
      </c>
      <c r="F35" s="21"/>
      <c r="G35" s="21"/>
      <c r="H35" s="21"/>
      <c r="I35" s="385"/>
      <c r="N35" s="262"/>
      <c r="O35" s="263"/>
      <c r="P35" s="263"/>
      <c r="Q35" s="263"/>
    </row>
    <row r="36" spans="1:17" ht="11.5" customHeight="1" x14ac:dyDescent="0.25">
      <c r="B36" s="348" t="s">
        <v>449</v>
      </c>
      <c r="C36" s="387">
        <v>1.4999999999999999E-2</v>
      </c>
      <c r="D36" s="348" t="s">
        <v>437</v>
      </c>
      <c r="E36" s="21" t="str">
        <f>INDEX('4.2 Sector Mapping'!$C$19:$C$39,MATCH($B36,'4.2 Sector Mapping'!$B$19:$B$39,0))</f>
        <v>Energy and Environment</v>
      </c>
      <c r="F36" s="21"/>
      <c r="G36" s="21"/>
      <c r="H36" s="21"/>
      <c r="I36" s="385"/>
      <c r="N36" s="262"/>
      <c r="O36" s="263"/>
      <c r="P36" s="263"/>
      <c r="Q36" s="263"/>
    </row>
    <row r="37" spans="1:17" ht="11.5" customHeight="1" x14ac:dyDescent="0.25">
      <c r="B37" s="348" t="s">
        <v>355</v>
      </c>
      <c r="C37" s="387">
        <v>1.03E-2</v>
      </c>
      <c r="D37" s="348" t="s">
        <v>437</v>
      </c>
      <c r="E37" s="21" t="str">
        <f>INDEX('4.2 Sector Mapping'!$C$19:$C$39,MATCH($B37,'4.2 Sector Mapping'!$B$19:$B$39,0))</f>
        <v>Communication, Media and Technology</v>
      </c>
      <c r="F37" s="21"/>
      <c r="G37" s="21"/>
      <c r="H37" s="21"/>
      <c r="I37" s="385"/>
      <c r="N37" s="262"/>
      <c r="O37" s="263"/>
      <c r="P37" s="263"/>
      <c r="Q37" s="263"/>
    </row>
    <row r="38" spans="1:17" ht="11.5" customHeight="1" x14ac:dyDescent="0.25">
      <c r="B38" s="348" t="s">
        <v>450</v>
      </c>
      <c r="C38" s="387">
        <v>5.7999999999999996E-3</v>
      </c>
      <c r="D38" s="348" t="s">
        <v>437</v>
      </c>
      <c r="E38" s="21" t="str">
        <f>INDEX('4.2 Sector Mapping'!$C$19:$C$39,MATCH($B38,'4.2 Sector Mapping'!$B$19:$B$39,0))</f>
        <v>Entertainment and Recreation</v>
      </c>
      <c r="F38" s="21"/>
      <c r="G38" s="21"/>
      <c r="H38" s="21"/>
      <c r="I38" s="385"/>
      <c r="N38" s="262"/>
      <c r="O38" s="263"/>
      <c r="P38" s="263"/>
      <c r="Q38" s="263"/>
    </row>
    <row r="39" spans="1:17" ht="11.5" customHeight="1" x14ac:dyDescent="0.25">
      <c r="B39" s="348" t="s">
        <v>451</v>
      </c>
      <c r="C39" s="387">
        <v>3.8E-3</v>
      </c>
      <c r="D39" s="348" t="s">
        <v>437</v>
      </c>
      <c r="E39" s="21" t="str">
        <f>INDEX('4.2 Sector Mapping'!$C$19:$C$39,MATCH($B39,'4.2 Sector Mapping'!$B$19:$B$39,0))</f>
        <v>Communication, Media and Technology</v>
      </c>
      <c r="F39" s="21"/>
      <c r="G39" s="21"/>
      <c r="H39" s="21"/>
      <c r="I39" s="385"/>
      <c r="N39" s="262"/>
      <c r="O39" s="263"/>
      <c r="P39" s="263"/>
      <c r="Q39" s="263"/>
    </row>
    <row r="40" spans="1:17" ht="11.5" customHeight="1" x14ac:dyDescent="0.25">
      <c r="B40" s="348" t="s">
        <v>164</v>
      </c>
      <c r="C40" s="387">
        <v>1.4000000000000002E-3</v>
      </c>
      <c r="D40" s="348" t="s">
        <v>437</v>
      </c>
      <c r="E40" s="21" t="str">
        <f>INDEX('4.2 Sector Mapping'!$C$19:$C$39,MATCH($B40,'4.2 Sector Mapping'!$B$19:$B$39,0))</f>
        <v>Retail and Consumer Goods</v>
      </c>
      <c r="F40" s="21"/>
      <c r="G40" s="21"/>
      <c r="H40" s="21"/>
      <c r="I40" s="385"/>
      <c r="N40" s="262"/>
      <c r="O40" s="263"/>
      <c r="P40" s="263"/>
      <c r="Q40" s="263"/>
    </row>
    <row r="41" spans="1:17" ht="11.5" customHeight="1" x14ac:dyDescent="0.25">
      <c r="B41" s="350" t="s">
        <v>452</v>
      </c>
      <c r="C41" s="389">
        <v>2.0000000000000001E-4</v>
      </c>
      <c r="D41" s="350" t="s">
        <v>437</v>
      </c>
      <c r="E41" s="22" t="str">
        <f>INDEX('4.2 Sector Mapping'!$C$19:$C$39,MATCH($B41,'4.2 Sector Mapping'!$B$19:$B$39,0))</f>
        <v>Communication, Media and Technology</v>
      </c>
      <c r="F41" s="22"/>
      <c r="G41" s="22"/>
      <c r="H41" s="22"/>
      <c r="I41" s="386"/>
      <c r="N41" s="262"/>
      <c r="O41" s="263"/>
      <c r="P41" s="263"/>
      <c r="Q41" s="263"/>
    </row>
    <row r="42" spans="1:17" ht="11.5" customHeight="1" x14ac:dyDescent="0.25">
      <c r="N42" s="262"/>
      <c r="O42" s="263"/>
      <c r="P42" s="263"/>
      <c r="Q42" s="263"/>
    </row>
    <row r="43" spans="1:17" ht="11.5" customHeight="1" x14ac:dyDescent="0.25">
      <c r="A43" s="33" t="s">
        <v>10</v>
      </c>
      <c r="B43" s="340" t="s">
        <v>496</v>
      </c>
      <c r="C43" s="100"/>
      <c r="D43" s="100"/>
      <c r="E43" s="100"/>
      <c r="F43" s="100"/>
      <c r="G43" s="100"/>
      <c r="H43" s="100"/>
      <c r="I43" s="100"/>
      <c r="N43" s="262"/>
      <c r="O43" s="263"/>
      <c r="P43" s="263"/>
      <c r="Q43" s="263"/>
    </row>
    <row r="44" spans="1:17" ht="11.5" customHeight="1" x14ac:dyDescent="0.25">
      <c r="B44" s="341" t="s">
        <v>491</v>
      </c>
      <c r="C44" s="341">
        <v>0.59819999999999995</v>
      </c>
      <c r="D44" s="20"/>
      <c r="E44" s="20"/>
      <c r="F44" s="20"/>
      <c r="G44" s="20"/>
      <c r="H44" s="20"/>
      <c r="I44" s="20"/>
      <c r="N44" s="262"/>
      <c r="O44" s="263"/>
      <c r="P44" s="263"/>
      <c r="Q44" s="263"/>
    </row>
    <row r="45" spans="1:17" ht="11.5" customHeight="1" x14ac:dyDescent="0.25">
      <c r="B45" s="342" t="s">
        <v>492</v>
      </c>
      <c r="C45" s="342">
        <v>0.58689999999999998</v>
      </c>
      <c r="D45" s="21"/>
      <c r="E45" s="21"/>
      <c r="F45" s="21"/>
      <c r="G45" s="21"/>
      <c r="H45" s="21"/>
      <c r="I45" s="21"/>
      <c r="N45" s="262"/>
      <c r="O45" s="263"/>
      <c r="P45" s="263"/>
      <c r="Q45" s="263"/>
    </row>
    <row r="46" spans="1:17" ht="11.5" customHeight="1" x14ac:dyDescent="0.25">
      <c r="B46" s="342" t="s">
        <v>392</v>
      </c>
      <c r="C46" s="342">
        <v>0.58609999999999995</v>
      </c>
      <c r="D46" s="21"/>
      <c r="E46" s="21"/>
      <c r="F46" s="21"/>
      <c r="G46" s="21"/>
      <c r="H46" s="21"/>
      <c r="I46" s="21"/>
      <c r="N46" s="262"/>
      <c r="O46" s="263"/>
      <c r="P46" s="263"/>
      <c r="Q46" s="263"/>
    </row>
    <row r="47" spans="1:17" ht="11.5" customHeight="1" x14ac:dyDescent="0.25">
      <c r="B47" s="342" t="s">
        <v>493</v>
      </c>
      <c r="C47" s="342">
        <v>0.58169999999999999</v>
      </c>
      <c r="D47" s="21"/>
      <c r="E47" s="21"/>
      <c r="F47" s="21"/>
      <c r="G47" s="21"/>
      <c r="H47" s="21"/>
      <c r="I47" s="21"/>
      <c r="N47" s="262"/>
      <c r="O47" s="263"/>
      <c r="P47" s="263"/>
      <c r="Q47" s="263"/>
    </row>
    <row r="48" spans="1:17" x14ac:dyDescent="0.25">
      <c r="B48" s="342" t="s">
        <v>494</v>
      </c>
      <c r="C48" s="342">
        <v>0.57689999999999997</v>
      </c>
      <c r="D48" s="21"/>
      <c r="E48" s="21"/>
      <c r="F48" s="21"/>
      <c r="G48" s="21"/>
      <c r="H48" s="21"/>
      <c r="I48" s="21"/>
      <c r="N48" s="262"/>
      <c r="O48" s="263"/>
      <c r="P48" s="263"/>
      <c r="Q48" s="263"/>
    </row>
    <row r="49" spans="1:9" x14ac:dyDescent="0.25">
      <c r="B49" s="343" t="s">
        <v>495</v>
      </c>
      <c r="C49" s="343">
        <v>0.55149999999999999</v>
      </c>
      <c r="D49" s="22"/>
      <c r="E49" s="22"/>
      <c r="F49" s="22"/>
      <c r="G49" s="22"/>
      <c r="H49" s="22"/>
      <c r="I49" s="22"/>
    </row>
    <row r="50" spans="1:9" x14ac:dyDescent="0.25">
      <c r="B50" s="262"/>
      <c r="C50" s="262"/>
    </row>
    <row r="51" spans="1:9" x14ac:dyDescent="0.25">
      <c r="A51" s="33" t="s">
        <v>10</v>
      </c>
      <c r="B51" s="340" t="s">
        <v>498</v>
      </c>
      <c r="C51" s="100"/>
      <c r="D51" s="100"/>
      <c r="E51" s="100"/>
      <c r="F51" s="100"/>
      <c r="G51" s="100"/>
      <c r="H51" s="100"/>
      <c r="I51" s="100"/>
    </row>
    <row r="52" spans="1:9" x14ac:dyDescent="0.25">
      <c r="B52" s="341" t="s">
        <v>482</v>
      </c>
      <c r="C52" s="341">
        <v>2.23</v>
      </c>
      <c r="D52" s="20"/>
      <c r="E52" s="20"/>
      <c r="F52" s="20"/>
      <c r="G52" s="20"/>
      <c r="H52" s="20"/>
      <c r="I52" s="20"/>
    </row>
    <row r="53" spans="1:9" x14ac:dyDescent="0.25">
      <c r="B53" s="342" t="s">
        <v>483</v>
      </c>
      <c r="C53" s="342">
        <v>2.27</v>
      </c>
      <c r="D53" s="21"/>
      <c r="E53" s="21"/>
      <c r="F53" s="21"/>
      <c r="G53" s="21"/>
      <c r="H53" s="21"/>
      <c r="I53" s="21"/>
    </row>
    <row r="54" spans="1:9" x14ac:dyDescent="0.25">
      <c r="B54" s="342" t="s">
        <v>484</v>
      </c>
      <c r="C54" s="342">
        <v>2.29</v>
      </c>
      <c r="D54" s="21"/>
      <c r="E54" s="21"/>
      <c r="F54" s="21"/>
      <c r="G54" s="21"/>
      <c r="H54" s="21"/>
      <c r="I54" s="21"/>
    </row>
    <row r="55" spans="1:9" x14ac:dyDescent="0.25">
      <c r="B55" s="342" t="s">
        <v>485</v>
      </c>
      <c r="C55" s="342">
        <v>2.33</v>
      </c>
      <c r="D55" s="21"/>
      <c r="E55" s="21"/>
      <c r="F55" s="21"/>
      <c r="G55" s="21"/>
      <c r="H55" s="21"/>
      <c r="I55" s="21"/>
    </row>
    <row r="56" spans="1:9" x14ac:dyDescent="0.25">
      <c r="B56" s="342" t="s">
        <v>486</v>
      </c>
      <c r="C56" s="342">
        <v>2.36</v>
      </c>
      <c r="D56" s="21"/>
      <c r="E56" s="21"/>
      <c r="F56" s="21"/>
      <c r="G56" s="21"/>
      <c r="H56" s="21"/>
      <c r="I56" s="21"/>
    </row>
    <row r="57" spans="1:9" x14ac:dyDescent="0.25">
      <c r="B57" s="342" t="s">
        <v>487</v>
      </c>
      <c r="C57" s="342">
        <v>2.4</v>
      </c>
      <c r="D57" s="21"/>
      <c r="E57" s="21"/>
      <c r="F57" s="21"/>
      <c r="G57" s="21"/>
      <c r="H57" s="21"/>
      <c r="I57" s="21"/>
    </row>
    <row r="58" spans="1:9" x14ac:dyDescent="0.25">
      <c r="B58" s="342" t="s">
        <v>488</v>
      </c>
      <c r="C58" s="342">
        <v>2.4500000000000002</v>
      </c>
      <c r="D58" s="21"/>
      <c r="E58" s="21"/>
      <c r="F58" s="21"/>
      <c r="G58" s="21"/>
      <c r="H58" s="21"/>
      <c r="I58" s="21"/>
    </row>
    <row r="59" spans="1:9" x14ac:dyDescent="0.25">
      <c r="B59" s="342" t="s">
        <v>489</v>
      </c>
      <c r="C59" s="342">
        <v>2.4900000000000002</v>
      </c>
      <c r="D59" s="21"/>
      <c r="E59" s="21"/>
      <c r="F59" s="21"/>
      <c r="G59" s="21"/>
      <c r="H59" s="21"/>
      <c r="I59" s="21"/>
    </row>
    <row r="60" spans="1:9" x14ac:dyDescent="0.25">
      <c r="B60" s="342" t="s">
        <v>490</v>
      </c>
      <c r="C60" s="342">
        <v>2.5299999999999998</v>
      </c>
      <c r="D60" s="21"/>
      <c r="E60" s="21"/>
      <c r="F60" s="21"/>
      <c r="G60" s="21"/>
      <c r="H60" s="21"/>
      <c r="I60" s="21"/>
    </row>
    <row r="61" spans="1:9" x14ac:dyDescent="0.25">
      <c r="B61" s="342" t="s">
        <v>458</v>
      </c>
      <c r="C61" s="342">
        <v>2.58</v>
      </c>
      <c r="D61" s="21"/>
      <c r="E61" s="21"/>
      <c r="F61" s="21"/>
      <c r="G61" s="21"/>
      <c r="H61" s="21"/>
      <c r="I61" s="21"/>
    </row>
    <row r="62" spans="1:9" x14ac:dyDescent="0.25">
      <c r="B62" s="342" t="s">
        <v>459</v>
      </c>
      <c r="C62" s="342">
        <v>2.62</v>
      </c>
      <c r="D62" s="21"/>
      <c r="E62" s="21"/>
      <c r="F62" s="21"/>
      <c r="G62" s="21"/>
      <c r="H62" s="21"/>
      <c r="I62" s="21"/>
    </row>
    <row r="63" spans="1:9" x14ac:dyDescent="0.25">
      <c r="B63" s="342" t="s">
        <v>460</v>
      </c>
      <c r="C63" s="342">
        <v>2.65</v>
      </c>
      <c r="D63" s="21"/>
      <c r="E63" s="21"/>
      <c r="F63" s="21"/>
      <c r="G63" s="21"/>
      <c r="H63" s="21"/>
      <c r="I63" s="21"/>
    </row>
    <row r="64" spans="1:9" x14ac:dyDescent="0.25">
      <c r="B64" s="342" t="s">
        <v>461</v>
      </c>
      <c r="C64" s="342">
        <v>2.68</v>
      </c>
      <c r="D64" s="21"/>
      <c r="E64" s="21"/>
      <c r="F64" s="21"/>
      <c r="G64" s="21"/>
      <c r="H64" s="21"/>
      <c r="I64" s="21"/>
    </row>
    <row r="65" spans="2:9" x14ac:dyDescent="0.25">
      <c r="B65" s="342" t="s">
        <v>462</v>
      </c>
      <c r="C65" s="342">
        <v>2.72</v>
      </c>
      <c r="D65" s="21"/>
      <c r="E65" s="21"/>
      <c r="F65" s="21"/>
      <c r="G65" s="21"/>
      <c r="H65" s="21"/>
      <c r="I65" s="21"/>
    </row>
    <row r="66" spans="2:9" x14ac:dyDescent="0.25">
      <c r="B66" s="342" t="s">
        <v>463</v>
      </c>
      <c r="C66" s="342">
        <v>2.77</v>
      </c>
      <c r="D66" s="21"/>
      <c r="E66" s="21"/>
      <c r="F66" s="21"/>
      <c r="G66" s="21"/>
      <c r="H66" s="21"/>
      <c r="I66" s="21"/>
    </row>
    <row r="67" spans="2:9" x14ac:dyDescent="0.25">
      <c r="B67" s="342" t="s">
        <v>464</v>
      </c>
      <c r="C67" s="342">
        <v>2.82</v>
      </c>
      <c r="D67" s="21"/>
      <c r="E67" s="21"/>
      <c r="F67" s="21"/>
      <c r="G67" s="21"/>
      <c r="H67" s="21"/>
      <c r="I67" s="21"/>
    </row>
    <row r="68" spans="2:9" x14ac:dyDescent="0.25">
      <c r="B68" s="342" t="s">
        <v>465</v>
      </c>
      <c r="C68" s="342">
        <v>2.87</v>
      </c>
      <c r="D68" s="21"/>
      <c r="E68" s="21"/>
      <c r="F68" s="21"/>
      <c r="G68" s="21"/>
      <c r="H68" s="21"/>
      <c r="I68" s="21"/>
    </row>
    <row r="69" spans="2:9" x14ac:dyDescent="0.25">
      <c r="B69" s="342" t="s">
        <v>466</v>
      </c>
      <c r="C69" s="342">
        <v>2.9</v>
      </c>
      <c r="D69" s="21"/>
      <c r="E69" s="21"/>
      <c r="F69" s="21"/>
      <c r="G69" s="21"/>
      <c r="H69" s="21"/>
      <c r="I69" s="21"/>
    </row>
    <row r="70" spans="2:9" x14ac:dyDescent="0.25">
      <c r="B70" s="342" t="s">
        <v>467</v>
      </c>
      <c r="C70" s="342">
        <v>2.92</v>
      </c>
      <c r="D70" s="21"/>
      <c r="E70" s="21"/>
      <c r="F70" s="21"/>
      <c r="G70" s="21"/>
      <c r="H70" s="21"/>
      <c r="I70" s="21"/>
    </row>
    <row r="71" spans="2:9" x14ac:dyDescent="0.25">
      <c r="B71" s="342" t="s">
        <v>468</v>
      </c>
      <c r="C71" s="342">
        <v>2.96</v>
      </c>
      <c r="D71" s="21"/>
      <c r="E71" s="21"/>
      <c r="F71" s="21"/>
      <c r="G71" s="21"/>
      <c r="H71" s="21"/>
      <c r="I71" s="21"/>
    </row>
    <row r="72" spans="2:9" x14ac:dyDescent="0.25">
      <c r="B72" s="342" t="s">
        <v>469</v>
      </c>
      <c r="C72" s="342">
        <v>3</v>
      </c>
      <c r="D72" s="21"/>
      <c r="E72" s="21"/>
      <c r="F72" s="21"/>
      <c r="G72" s="21"/>
      <c r="H72" s="21"/>
      <c r="I72" s="21"/>
    </row>
    <row r="73" spans="2:9" x14ac:dyDescent="0.25">
      <c r="B73" s="342" t="s">
        <v>470</v>
      </c>
      <c r="C73" s="342">
        <v>3.03</v>
      </c>
      <c r="D73" s="21"/>
      <c r="E73" s="21"/>
      <c r="F73" s="21"/>
      <c r="G73" s="21"/>
      <c r="H73" s="21"/>
      <c r="I73" s="21"/>
    </row>
    <row r="74" spans="2:9" x14ac:dyDescent="0.25">
      <c r="B74" s="342" t="s">
        <v>471</v>
      </c>
      <c r="C74" s="342">
        <v>3.06</v>
      </c>
      <c r="D74" s="21"/>
      <c r="E74" s="21"/>
      <c r="F74" s="21"/>
      <c r="G74" s="21"/>
      <c r="H74" s="21"/>
      <c r="I74" s="21"/>
    </row>
    <row r="75" spans="2:9" x14ac:dyDescent="0.25">
      <c r="B75" s="342" t="s">
        <v>472</v>
      </c>
      <c r="C75" s="342">
        <v>3.1</v>
      </c>
      <c r="D75" s="21"/>
      <c r="E75" s="21"/>
      <c r="F75" s="21"/>
      <c r="G75" s="21"/>
      <c r="H75" s="21"/>
      <c r="I75" s="21"/>
    </row>
    <row r="76" spans="2:9" x14ac:dyDescent="0.25">
      <c r="B76" s="342" t="s">
        <v>473</v>
      </c>
      <c r="C76" s="342">
        <v>3.14</v>
      </c>
      <c r="D76" s="21"/>
      <c r="E76" s="21"/>
      <c r="F76" s="21"/>
      <c r="G76" s="21"/>
      <c r="H76" s="21"/>
      <c r="I76" s="21"/>
    </row>
    <row r="77" spans="2:9" x14ac:dyDescent="0.25">
      <c r="B77" s="342" t="s">
        <v>474</v>
      </c>
      <c r="C77" s="342">
        <v>3.17</v>
      </c>
      <c r="D77" s="21"/>
      <c r="E77" s="21"/>
      <c r="F77" s="21"/>
      <c r="G77" s="21"/>
      <c r="H77" s="21"/>
      <c r="I77" s="21"/>
    </row>
    <row r="78" spans="2:9" x14ac:dyDescent="0.25">
      <c r="B78" s="342" t="s">
        <v>475</v>
      </c>
      <c r="C78" s="342">
        <v>3.21</v>
      </c>
      <c r="D78" s="21"/>
      <c r="E78" s="21"/>
      <c r="F78" s="21"/>
      <c r="G78" s="21"/>
      <c r="H78" s="21"/>
      <c r="I78" s="21"/>
    </row>
    <row r="79" spans="2:9" x14ac:dyDescent="0.25">
      <c r="B79" s="342" t="s">
        <v>476</v>
      </c>
      <c r="C79" s="342">
        <v>3.25</v>
      </c>
      <c r="D79" s="21"/>
      <c r="E79" s="21"/>
      <c r="F79" s="21"/>
      <c r="G79" s="21"/>
      <c r="H79" s="21"/>
      <c r="I79" s="21"/>
    </row>
    <row r="80" spans="2:9" x14ac:dyDescent="0.25">
      <c r="B80" s="342" t="s">
        <v>477</v>
      </c>
      <c r="C80" s="342">
        <v>3.29</v>
      </c>
      <c r="D80" s="21"/>
      <c r="E80" s="21"/>
      <c r="F80" s="21"/>
      <c r="G80" s="21"/>
      <c r="H80" s="21"/>
      <c r="I80" s="21"/>
    </row>
    <row r="81" spans="1:9" x14ac:dyDescent="0.25">
      <c r="B81" s="342" t="s">
        <v>478</v>
      </c>
      <c r="C81" s="342">
        <v>3.22</v>
      </c>
      <c r="D81" s="21"/>
      <c r="E81" s="21"/>
      <c r="F81" s="21"/>
      <c r="G81" s="21"/>
      <c r="H81" s="21"/>
      <c r="I81" s="21"/>
    </row>
    <row r="82" spans="1:9" x14ac:dyDescent="0.25">
      <c r="B82" s="342" t="s">
        <v>479</v>
      </c>
      <c r="C82" s="342">
        <v>3.31</v>
      </c>
      <c r="D82" s="21"/>
      <c r="E82" s="21"/>
      <c r="F82" s="21"/>
      <c r="G82" s="21"/>
      <c r="H82" s="21"/>
      <c r="I82" s="21"/>
    </row>
    <row r="83" spans="1:9" x14ac:dyDescent="0.25">
      <c r="B83" s="342" t="s">
        <v>480</v>
      </c>
      <c r="C83" s="342">
        <v>3.4</v>
      </c>
      <c r="D83" s="21"/>
      <c r="E83" s="21"/>
      <c r="F83" s="21"/>
      <c r="G83" s="21"/>
      <c r="H83" s="21"/>
      <c r="I83" s="21"/>
    </row>
    <row r="84" spans="1:9" x14ac:dyDescent="0.25">
      <c r="B84" s="342" t="s">
        <v>481</v>
      </c>
      <c r="C84" s="342">
        <v>3.48</v>
      </c>
      <c r="D84" s="21"/>
      <c r="E84" s="21"/>
      <c r="F84" s="21"/>
      <c r="G84" s="21"/>
      <c r="H84" s="21"/>
      <c r="I84" s="21"/>
    </row>
    <row r="85" spans="1:9" x14ac:dyDescent="0.25">
      <c r="B85" s="343" t="s">
        <v>497</v>
      </c>
      <c r="C85" s="343">
        <v>3.51</v>
      </c>
      <c r="D85" s="22"/>
      <c r="E85" s="22"/>
      <c r="F85" s="22"/>
      <c r="G85" s="22"/>
      <c r="H85" s="22"/>
      <c r="I85" s="22"/>
    </row>
    <row r="86" spans="1:9" x14ac:dyDescent="0.25"/>
    <row r="87" spans="1:9" x14ac:dyDescent="0.25">
      <c r="A87" s="33" t="s">
        <v>10</v>
      </c>
      <c r="B87" s="340" t="s">
        <v>499</v>
      </c>
      <c r="C87" s="100"/>
      <c r="D87" s="100"/>
      <c r="E87" s="100"/>
      <c r="F87" s="100"/>
      <c r="G87" s="100"/>
      <c r="H87" s="100"/>
      <c r="I87" s="100"/>
    </row>
    <row r="88" spans="1:9" x14ac:dyDescent="0.25">
      <c r="B88" s="344" t="s">
        <v>600</v>
      </c>
      <c r="C88" s="391">
        <v>218797</v>
      </c>
      <c r="D88" s="344"/>
      <c r="E88" s="344"/>
      <c r="F88" s="344"/>
      <c r="G88" s="344"/>
      <c r="H88" s="344"/>
      <c r="I88" s="20"/>
    </row>
    <row r="89" spans="1:9" x14ac:dyDescent="0.25">
      <c r="B89" s="345" t="s">
        <v>455</v>
      </c>
      <c r="C89" s="392">
        <v>83126</v>
      </c>
      <c r="D89" s="345"/>
      <c r="E89" s="345"/>
      <c r="F89" s="345"/>
      <c r="G89" s="345"/>
      <c r="H89" s="345"/>
      <c r="I89" s="21"/>
    </row>
    <row r="90" spans="1:9" x14ac:dyDescent="0.25">
      <c r="B90" s="345" t="s">
        <v>393</v>
      </c>
      <c r="C90" s="392">
        <v>41480</v>
      </c>
      <c r="D90" s="345"/>
      <c r="E90" s="345"/>
      <c r="F90" s="345"/>
      <c r="G90" s="345"/>
      <c r="H90" s="345"/>
      <c r="I90" s="21"/>
    </row>
    <row r="91" spans="1:9" x14ac:dyDescent="0.25">
      <c r="B91" s="345" t="s">
        <v>456</v>
      </c>
      <c r="C91" s="392">
        <v>16636</v>
      </c>
      <c r="D91" s="345"/>
      <c r="E91" s="345"/>
      <c r="F91" s="345"/>
      <c r="G91" s="345"/>
      <c r="H91" s="345"/>
      <c r="I91" s="21"/>
    </row>
    <row r="92" spans="1:9" x14ac:dyDescent="0.25">
      <c r="B92" s="345" t="s">
        <v>392</v>
      </c>
      <c r="C92" s="392">
        <v>6441</v>
      </c>
      <c r="D92" s="345"/>
      <c r="E92" s="345"/>
      <c r="F92" s="345"/>
      <c r="G92" s="345"/>
      <c r="H92" s="345"/>
      <c r="I92" s="21"/>
    </row>
    <row r="93" spans="1:9" x14ac:dyDescent="0.25">
      <c r="B93" s="393" t="s">
        <v>454</v>
      </c>
      <c r="C93" s="346">
        <v>18500</v>
      </c>
      <c r="D93" s="346"/>
      <c r="E93" s="346"/>
      <c r="F93" s="346"/>
      <c r="G93" s="346"/>
      <c r="H93" s="346"/>
      <c r="I93" s="22"/>
    </row>
    <row r="94" spans="1:9" x14ac:dyDescent="0.25">
      <c r="B94" s="394"/>
      <c r="C94" s="395"/>
      <c r="D94" s="395"/>
      <c r="E94" s="395"/>
      <c r="F94" s="395"/>
      <c r="G94" s="395"/>
      <c r="H94" s="395"/>
    </row>
    <row r="95" spans="1:9" x14ac:dyDescent="0.25">
      <c r="B95" s="340" t="s">
        <v>679</v>
      </c>
      <c r="C95" s="100"/>
      <c r="D95" s="100"/>
      <c r="E95" s="100"/>
      <c r="F95" s="100"/>
      <c r="G95" s="100"/>
      <c r="H95" s="100"/>
      <c r="I95" s="100"/>
    </row>
    <row r="96" spans="1:9" x14ac:dyDescent="0.25">
      <c r="B96" s="137" t="s">
        <v>157</v>
      </c>
      <c r="C96" s="396">
        <v>0.02</v>
      </c>
      <c r="D96" s="137"/>
      <c r="E96" s="137"/>
      <c r="F96" s="137"/>
      <c r="G96" s="137"/>
      <c r="H96" s="137"/>
      <c r="I96" s="137"/>
    </row>
    <row r="97" spans="1:9" x14ac:dyDescent="0.25">
      <c r="B97" s="21" t="s">
        <v>604</v>
      </c>
      <c r="C97" s="385">
        <v>0.1</v>
      </c>
      <c r="D97" s="21"/>
      <c r="E97" s="21"/>
      <c r="F97" s="21"/>
      <c r="G97" s="21"/>
      <c r="H97" s="21"/>
      <c r="I97" s="21"/>
    </row>
    <row r="98" spans="1:9" x14ac:dyDescent="0.25">
      <c r="B98" s="21" t="s">
        <v>601</v>
      </c>
      <c r="C98" s="385">
        <v>0.2</v>
      </c>
      <c r="D98" s="21"/>
      <c r="E98" s="21"/>
      <c r="F98" s="21"/>
      <c r="G98" s="21"/>
      <c r="H98" s="21"/>
      <c r="I98" s="21"/>
    </row>
    <row r="99" spans="1:9" x14ac:dyDescent="0.25">
      <c r="B99" s="21" t="s">
        <v>154</v>
      </c>
      <c r="C99" s="385">
        <v>0.12</v>
      </c>
      <c r="D99" s="21"/>
      <c r="E99" s="21"/>
      <c r="F99" s="21"/>
      <c r="G99" s="21"/>
      <c r="H99" s="21"/>
      <c r="I99" s="21"/>
    </row>
    <row r="100" spans="1:9" x14ac:dyDescent="0.25">
      <c r="B100" s="21" t="s">
        <v>153</v>
      </c>
      <c r="C100" s="385">
        <v>0.12</v>
      </c>
      <c r="D100" s="21"/>
      <c r="E100" s="21"/>
      <c r="F100" s="21"/>
      <c r="G100" s="21"/>
      <c r="H100" s="21"/>
      <c r="I100" s="21"/>
    </row>
    <row r="101" spans="1:9" x14ac:dyDescent="0.25">
      <c r="B101" s="21" t="s">
        <v>607</v>
      </c>
      <c r="C101" s="385">
        <v>0.13</v>
      </c>
      <c r="D101" s="21"/>
      <c r="E101" s="21"/>
      <c r="F101" s="21"/>
      <c r="G101" s="21"/>
      <c r="H101" s="21"/>
      <c r="I101" s="21"/>
    </row>
    <row r="102" spans="1:9" x14ac:dyDescent="0.25">
      <c r="B102" s="21" t="s">
        <v>616</v>
      </c>
      <c r="C102" s="385">
        <v>0.08</v>
      </c>
      <c r="D102" s="21"/>
      <c r="E102" s="21"/>
      <c r="F102" s="21"/>
      <c r="G102" s="21"/>
      <c r="H102" s="21"/>
      <c r="I102" s="21"/>
    </row>
    <row r="103" spans="1:9" x14ac:dyDescent="0.25">
      <c r="B103" s="21" t="s">
        <v>605</v>
      </c>
      <c r="C103" s="385">
        <v>0.05</v>
      </c>
      <c r="D103" s="21"/>
      <c r="E103" s="21"/>
      <c r="F103" s="21"/>
      <c r="G103" s="21"/>
      <c r="H103" s="21"/>
      <c r="I103" s="21"/>
    </row>
    <row r="104" spans="1:9" x14ac:dyDescent="0.25">
      <c r="B104" s="21" t="s">
        <v>608</v>
      </c>
      <c r="C104" s="385">
        <v>0.06</v>
      </c>
      <c r="D104" s="21"/>
      <c r="E104" s="21"/>
      <c r="F104" s="21"/>
      <c r="G104" s="21"/>
      <c r="H104" s="21"/>
      <c r="I104" s="21"/>
    </row>
    <row r="105" spans="1:9" x14ac:dyDescent="0.25">
      <c r="B105" s="21" t="s">
        <v>606</v>
      </c>
      <c r="C105" s="385">
        <v>0.1</v>
      </c>
      <c r="D105" s="21"/>
      <c r="E105" s="21"/>
      <c r="F105" s="21"/>
      <c r="G105" s="21"/>
      <c r="H105" s="21"/>
      <c r="I105" s="21"/>
    </row>
    <row r="106" spans="1:9" x14ac:dyDescent="0.25">
      <c r="B106" s="21" t="s">
        <v>617</v>
      </c>
      <c r="C106" s="385">
        <v>0.03</v>
      </c>
      <c r="D106" s="21"/>
      <c r="E106" s="21"/>
      <c r="F106" s="21"/>
      <c r="G106" s="21"/>
      <c r="H106" s="21"/>
      <c r="I106" s="21"/>
    </row>
    <row r="107" spans="1:9" x14ac:dyDescent="0.25">
      <c r="B107" s="22" t="s">
        <v>609</v>
      </c>
      <c r="C107" s="386">
        <v>0.04</v>
      </c>
      <c r="D107" s="22"/>
      <c r="E107" s="22"/>
      <c r="F107" s="22"/>
      <c r="G107" s="22"/>
      <c r="H107" s="22"/>
      <c r="I107" s="22"/>
    </row>
    <row r="108" spans="1:9" x14ac:dyDescent="0.25">
      <c r="B108" s="394"/>
      <c r="C108" s="395"/>
      <c r="D108" s="395"/>
      <c r="E108" s="395"/>
      <c r="F108" s="395"/>
      <c r="G108" s="395"/>
      <c r="H108" s="395"/>
    </row>
    <row r="109" spans="1:9" x14ac:dyDescent="0.25">
      <c r="A109" s="33" t="s">
        <v>10</v>
      </c>
      <c r="B109" s="340" t="s">
        <v>670</v>
      </c>
      <c r="C109" s="100"/>
      <c r="D109" s="100"/>
      <c r="E109" s="100"/>
      <c r="F109" s="100"/>
      <c r="G109" s="100"/>
      <c r="H109" s="100"/>
      <c r="I109" s="100"/>
    </row>
    <row r="110" spans="1:9" x14ac:dyDescent="0.25">
      <c r="B110" s="341" t="s">
        <v>500</v>
      </c>
      <c r="C110" s="341">
        <v>0.317</v>
      </c>
      <c r="D110" s="20"/>
      <c r="E110" s="20"/>
      <c r="F110" s="20"/>
      <c r="G110" s="20"/>
      <c r="H110" s="20"/>
      <c r="I110" s="20"/>
    </row>
    <row r="111" spans="1:9" x14ac:dyDescent="0.25">
      <c r="B111" s="342" t="s">
        <v>501</v>
      </c>
      <c r="C111" s="342">
        <v>0.33</v>
      </c>
      <c r="D111" s="21"/>
      <c r="E111" s="21"/>
      <c r="F111" s="21"/>
      <c r="G111" s="21"/>
      <c r="H111" s="21"/>
      <c r="I111" s="21"/>
    </row>
    <row r="112" spans="1:9" x14ac:dyDescent="0.25">
      <c r="B112" s="342" t="s">
        <v>502</v>
      </c>
      <c r="C112" s="342">
        <v>0.42</v>
      </c>
      <c r="D112" s="21"/>
      <c r="E112" s="21"/>
      <c r="F112" s="21"/>
      <c r="G112" s="21"/>
      <c r="H112" s="21"/>
      <c r="I112" s="21"/>
    </row>
    <row r="113" spans="2:9" x14ac:dyDescent="0.25">
      <c r="B113" s="342" t="s">
        <v>503</v>
      </c>
      <c r="C113" s="342">
        <v>0.36399999999999999</v>
      </c>
      <c r="D113" s="21"/>
      <c r="E113" s="21"/>
      <c r="F113" s="21"/>
      <c r="G113" s="21"/>
      <c r="H113" s="21"/>
      <c r="I113" s="21"/>
    </row>
    <row r="114" spans="2:9" x14ac:dyDescent="0.25">
      <c r="B114" s="342" t="s">
        <v>504</v>
      </c>
      <c r="C114" s="342">
        <v>0.28199999999999997</v>
      </c>
      <c r="D114" s="21"/>
      <c r="E114" s="21"/>
      <c r="F114" s="21"/>
      <c r="G114" s="21"/>
      <c r="H114" s="21"/>
      <c r="I114" s="21"/>
    </row>
    <row r="115" spans="2:9" x14ac:dyDescent="0.25">
      <c r="B115" s="343" t="s">
        <v>505</v>
      </c>
      <c r="C115" s="343">
        <v>0.47299999999999998</v>
      </c>
      <c r="D115" s="22"/>
      <c r="E115" s="22"/>
      <c r="F115" s="22"/>
      <c r="G115" s="22"/>
      <c r="H115" s="22"/>
      <c r="I115" s="22"/>
    </row>
    <row r="116" spans="2:9" x14ac:dyDescent="0.25"/>
    <row r="117" spans="2:9" x14ac:dyDescent="0.25"/>
    <row r="118" spans="2:9" x14ac:dyDescent="0.25"/>
    <row r="119" spans="2:9" x14ac:dyDescent="0.25"/>
    <row r="120" spans="2:9" x14ac:dyDescent="0.25"/>
    <row r="121" spans="2:9" x14ac:dyDescent="0.25"/>
    <row r="122" spans="2:9" x14ac:dyDescent="0.25"/>
    <row r="123" spans="2:9" x14ac:dyDescent="0.25"/>
    <row r="124" spans="2:9" x14ac:dyDescent="0.25"/>
    <row r="125" spans="2:9" x14ac:dyDescent="0.25"/>
    <row r="126" spans="2:9" x14ac:dyDescent="0.25"/>
    <row r="127" spans="2:9" x14ac:dyDescent="0.25"/>
    <row r="128" spans="2:9" x14ac:dyDescent="0.25"/>
    <row r="129" x14ac:dyDescent="0.25"/>
    <row r="130" x14ac:dyDescent="0.25"/>
    <row r="131" x14ac:dyDescent="0.25"/>
    <row r="132" x14ac:dyDescent="0.25"/>
    <row r="133" x14ac:dyDescent="0.25"/>
    <row r="134" x14ac:dyDescent="0.25"/>
    <row r="135" x14ac:dyDescent="0.25"/>
    <row r="136" x14ac:dyDescent="0.25"/>
    <row r="137" x14ac:dyDescent="0.25"/>
    <row r="138" x14ac:dyDescent="0.25"/>
    <row r="139" x14ac:dyDescent="0.25"/>
    <row r="140" x14ac:dyDescent="0.25"/>
    <row r="141" x14ac:dyDescent="0.25"/>
    <row r="142" x14ac:dyDescent="0.25"/>
    <row r="143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C2E3C-9FB1-4965-849E-D47A60889321}">
  <dimension ref="A1:J161"/>
  <sheetViews>
    <sheetView showGridLines="0" zoomScale="70" zoomScaleNormal="70" workbookViewId="0"/>
  </sheetViews>
  <sheetFormatPr defaultColWidth="0" defaultRowHeight="11.5" zeroHeight="1" x14ac:dyDescent="0.25"/>
  <cols>
    <col min="1" max="1" width="3.6328125" style="3" customWidth="1"/>
    <col min="2" max="2" width="39" style="3" bestFit="1" customWidth="1"/>
    <col min="3" max="3" width="9.36328125" style="3" bestFit="1" customWidth="1"/>
    <col min="4" max="9" width="9.36328125" style="3" customWidth="1"/>
    <col min="10" max="10" width="3.6328125" style="3" customWidth="1"/>
    <col min="11" max="16384" width="8.7265625" style="3" hidden="1"/>
  </cols>
  <sheetData>
    <row r="1" spans="1:9" s="5" customFormat="1" ht="14" x14ac:dyDescent="0.3">
      <c r="A1" s="8" t="str">
        <f ca="1">MID(CELL("filename",A1),FIND("]",CELL("filename",A1))+1,255)</f>
        <v>4.4 EU SME Data</v>
      </c>
      <c r="B1" s="239"/>
    </row>
    <row r="2" spans="1:9" s="5" customFormat="1" x14ac:dyDescent="0.25">
      <c r="A2" s="7" t="s">
        <v>565</v>
      </c>
      <c r="B2" s="239"/>
    </row>
    <row r="3" spans="1:9" x14ac:dyDescent="0.25"/>
    <row r="4" spans="1:9" x14ac:dyDescent="0.25">
      <c r="A4" s="33" t="s">
        <v>10</v>
      </c>
      <c r="B4" s="100" t="s">
        <v>674</v>
      </c>
      <c r="C4" s="100"/>
      <c r="D4" s="100"/>
      <c r="E4" s="100"/>
      <c r="F4" s="100"/>
      <c r="G4" s="100"/>
      <c r="H4" s="100"/>
      <c r="I4" s="100"/>
    </row>
    <row r="5" spans="1:9" x14ac:dyDescent="0.25">
      <c r="A5" s="33"/>
      <c r="B5" s="341" t="s">
        <v>457</v>
      </c>
      <c r="C5" s="341" t="s">
        <v>506</v>
      </c>
      <c r="D5" s="341" t="s">
        <v>507</v>
      </c>
      <c r="E5" s="341" t="s">
        <v>508</v>
      </c>
      <c r="F5" s="20"/>
      <c r="G5" s="20"/>
      <c r="H5" s="20"/>
      <c r="I5" s="20"/>
    </row>
    <row r="6" spans="1:9" x14ac:dyDescent="0.25">
      <c r="A6" s="33"/>
      <c r="B6" s="342" t="s">
        <v>466</v>
      </c>
      <c r="C6" s="357">
        <v>18359061</v>
      </c>
      <c r="D6" s="357">
        <v>1252456</v>
      </c>
      <c r="E6" s="357">
        <v>203357</v>
      </c>
      <c r="F6" s="21"/>
      <c r="G6" s="21"/>
      <c r="H6" s="21"/>
      <c r="I6" s="21"/>
    </row>
    <row r="7" spans="1:9" x14ac:dyDescent="0.25">
      <c r="A7" s="33"/>
      <c r="B7" s="342" t="s">
        <v>467</v>
      </c>
      <c r="C7" s="357">
        <v>18250032</v>
      </c>
      <c r="D7" s="357">
        <v>1220769</v>
      </c>
      <c r="E7" s="357">
        <v>201022</v>
      </c>
      <c r="F7" s="21"/>
      <c r="G7" s="21"/>
      <c r="H7" s="21"/>
      <c r="I7" s="21"/>
    </row>
    <row r="8" spans="1:9" x14ac:dyDescent="0.25">
      <c r="A8" s="33"/>
      <c r="B8" s="342" t="s">
        <v>468</v>
      </c>
      <c r="C8" s="357">
        <v>18756813</v>
      </c>
      <c r="D8" s="357">
        <v>1215980</v>
      </c>
      <c r="E8" s="357">
        <v>197224</v>
      </c>
      <c r="F8" s="21"/>
      <c r="G8" s="21"/>
      <c r="H8" s="21"/>
      <c r="I8" s="21"/>
    </row>
    <row r="9" spans="1:9" x14ac:dyDescent="0.25">
      <c r="A9" s="33"/>
      <c r="B9" s="342" t="s">
        <v>469</v>
      </c>
      <c r="C9" s="357">
        <v>18809259</v>
      </c>
      <c r="D9" s="357">
        <v>1227543</v>
      </c>
      <c r="E9" s="357">
        <v>199676</v>
      </c>
      <c r="F9" s="21"/>
      <c r="G9" s="21"/>
      <c r="H9" s="21"/>
      <c r="I9" s="21"/>
    </row>
    <row r="10" spans="1:9" x14ac:dyDescent="0.25">
      <c r="A10" s="33"/>
      <c r="B10" s="342" t="s">
        <v>470</v>
      </c>
      <c r="C10" s="357">
        <v>19114731</v>
      </c>
      <c r="D10" s="357">
        <v>1203926</v>
      </c>
      <c r="E10" s="357">
        <v>196850</v>
      </c>
      <c r="F10" s="21"/>
      <c r="G10" s="21"/>
      <c r="H10" s="21"/>
      <c r="I10" s="21"/>
    </row>
    <row r="11" spans="1:9" x14ac:dyDescent="0.25">
      <c r="A11" s="33"/>
      <c r="B11" s="342" t="s">
        <v>471</v>
      </c>
      <c r="C11" s="357">
        <v>19282839</v>
      </c>
      <c r="D11" s="357">
        <v>1186441</v>
      </c>
      <c r="E11" s="357">
        <v>193019</v>
      </c>
      <c r="F11" s="21"/>
      <c r="G11" s="21"/>
      <c r="H11" s="21"/>
      <c r="I11" s="21"/>
    </row>
    <row r="12" spans="1:9" x14ac:dyDescent="0.25">
      <c r="A12" s="33"/>
      <c r="B12" s="342" t="s">
        <v>472</v>
      </c>
      <c r="C12" s="357">
        <v>20068373</v>
      </c>
      <c r="D12" s="357">
        <v>1204347</v>
      </c>
      <c r="E12" s="357">
        <v>195262</v>
      </c>
      <c r="F12" s="21"/>
      <c r="G12" s="21"/>
      <c r="H12" s="21"/>
      <c r="I12" s="21"/>
    </row>
    <row r="13" spans="1:9" x14ac:dyDescent="0.25">
      <c r="A13" s="33"/>
      <c r="B13" s="342" t="s">
        <v>473</v>
      </c>
      <c r="C13" s="357">
        <v>19909315</v>
      </c>
      <c r="D13" s="357">
        <v>1223904</v>
      </c>
      <c r="E13" s="357">
        <v>199544</v>
      </c>
      <c r="F13" s="21"/>
      <c r="G13" s="21"/>
      <c r="H13" s="21"/>
      <c r="I13" s="21"/>
    </row>
    <row r="14" spans="1:9" x14ac:dyDescent="0.25">
      <c r="A14" s="33"/>
      <c r="B14" s="342" t="s">
        <v>474</v>
      </c>
      <c r="C14" s="357">
        <v>20587203</v>
      </c>
      <c r="D14" s="357">
        <v>1281223</v>
      </c>
      <c r="E14" s="357">
        <v>205918</v>
      </c>
      <c r="F14" s="21"/>
      <c r="G14" s="21"/>
      <c r="H14" s="21"/>
      <c r="I14" s="21"/>
    </row>
    <row r="15" spans="1:9" x14ac:dyDescent="0.25">
      <c r="A15" s="33"/>
      <c r="B15" s="342" t="s">
        <v>475</v>
      </c>
      <c r="C15" s="357">
        <v>20518650</v>
      </c>
      <c r="D15" s="357">
        <v>1274972</v>
      </c>
      <c r="E15" s="357">
        <v>207470</v>
      </c>
      <c r="F15" s="21"/>
      <c r="G15" s="21"/>
      <c r="H15" s="21"/>
      <c r="I15" s="21"/>
    </row>
    <row r="16" spans="1:9" x14ac:dyDescent="0.25">
      <c r="A16" s="33"/>
      <c r="B16" s="342" t="s">
        <v>476</v>
      </c>
      <c r="C16" s="357">
        <v>20963543</v>
      </c>
      <c r="D16" s="357">
        <v>1311761</v>
      </c>
      <c r="E16" s="357">
        <v>203392</v>
      </c>
      <c r="F16" s="21"/>
      <c r="G16" s="21"/>
      <c r="H16" s="21"/>
      <c r="I16" s="21"/>
    </row>
    <row r="17" spans="1:9" x14ac:dyDescent="0.25">
      <c r="A17" s="33"/>
      <c r="B17" s="342" t="s">
        <v>477</v>
      </c>
      <c r="C17" s="357">
        <v>21370222</v>
      </c>
      <c r="D17" s="357">
        <v>1359078</v>
      </c>
      <c r="E17" s="357">
        <v>210398</v>
      </c>
      <c r="F17" s="21"/>
      <c r="G17" s="21"/>
      <c r="H17" s="21"/>
      <c r="I17" s="21"/>
    </row>
    <row r="18" spans="1:9" x14ac:dyDescent="0.25">
      <c r="A18" s="33"/>
      <c r="B18" s="342" t="s">
        <v>478</v>
      </c>
      <c r="C18" s="357">
        <v>21667098</v>
      </c>
      <c r="D18" s="357">
        <v>1285255</v>
      </c>
      <c r="E18" s="357">
        <v>201047</v>
      </c>
      <c r="F18" s="21"/>
      <c r="G18" s="21"/>
      <c r="H18" s="21"/>
      <c r="I18" s="21"/>
    </row>
    <row r="19" spans="1:9" x14ac:dyDescent="0.25">
      <c r="A19" s="33"/>
      <c r="B19" s="342" t="s">
        <v>479</v>
      </c>
      <c r="C19" s="357">
        <v>22949132</v>
      </c>
      <c r="D19" s="357">
        <v>1338266</v>
      </c>
      <c r="E19" s="357">
        <v>206204</v>
      </c>
      <c r="F19" s="21"/>
      <c r="G19" s="21"/>
      <c r="H19" s="21"/>
      <c r="I19" s="21"/>
    </row>
    <row r="20" spans="1:9" x14ac:dyDescent="0.25">
      <c r="A20" s="33"/>
      <c r="B20" s="342" t="s">
        <v>480</v>
      </c>
      <c r="C20" s="357">
        <v>23677987</v>
      </c>
      <c r="D20" s="357">
        <v>1362483</v>
      </c>
      <c r="E20" s="357">
        <v>208162</v>
      </c>
      <c r="F20" s="21"/>
      <c r="G20" s="21"/>
      <c r="H20" s="21"/>
      <c r="I20" s="21"/>
    </row>
    <row r="21" spans="1:9" x14ac:dyDescent="0.25">
      <c r="A21" s="33"/>
      <c r="B21" s="342" t="s">
        <v>481</v>
      </c>
      <c r="C21" s="357">
        <v>24209297</v>
      </c>
      <c r="D21" s="357">
        <v>1387888</v>
      </c>
      <c r="E21" s="357">
        <v>210551</v>
      </c>
      <c r="F21" s="21"/>
      <c r="G21" s="21"/>
      <c r="H21" s="21"/>
      <c r="I21" s="21"/>
    </row>
    <row r="22" spans="1:9" x14ac:dyDescent="0.25">
      <c r="A22" s="33"/>
      <c r="B22" s="343" t="s">
        <v>497</v>
      </c>
      <c r="C22" s="358">
        <v>24465901</v>
      </c>
      <c r="D22" s="358">
        <v>1388014</v>
      </c>
      <c r="E22" s="358">
        <v>210170</v>
      </c>
      <c r="F22" s="22"/>
      <c r="G22" s="22"/>
      <c r="H22" s="22"/>
      <c r="I22" s="22"/>
    </row>
    <row r="23" spans="1:9" x14ac:dyDescent="0.25">
      <c r="A23" s="33"/>
    </row>
    <row r="24" spans="1:9" x14ac:dyDescent="0.25">
      <c r="A24" s="33" t="s">
        <v>10</v>
      </c>
      <c r="B24" s="100" t="s">
        <v>675</v>
      </c>
      <c r="C24" s="100"/>
      <c r="D24" s="100"/>
      <c r="E24" s="100"/>
      <c r="F24" s="100"/>
      <c r="G24" s="100"/>
      <c r="H24" s="100"/>
      <c r="I24" s="100"/>
    </row>
    <row r="25" spans="1:9" x14ac:dyDescent="0.25">
      <c r="A25" s="33"/>
      <c r="B25" s="137"/>
      <c r="C25" s="359" t="s">
        <v>506</v>
      </c>
      <c r="D25" s="359" t="s">
        <v>507</v>
      </c>
      <c r="E25" s="359" t="s">
        <v>509</v>
      </c>
      <c r="F25" s="359" t="s">
        <v>510</v>
      </c>
      <c r="G25" s="137"/>
      <c r="H25" s="20"/>
      <c r="I25" s="20"/>
    </row>
    <row r="26" spans="1:9" x14ac:dyDescent="0.25">
      <c r="A26" s="33"/>
      <c r="B26" s="348" t="s">
        <v>511</v>
      </c>
      <c r="C26" s="360">
        <v>90</v>
      </c>
      <c r="D26" s="349">
        <v>8.4</v>
      </c>
      <c r="E26" s="349">
        <v>1.3</v>
      </c>
      <c r="F26" s="349">
        <v>0.3</v>
      </c>
      <c r="G26" s="348" t="s">
        <v>437</v>
      </c>
      <c r="H26" s="21"/>
      <c r="I26" s="21"/>
    </row>
    <row r="27" spans="1:9" x14ac:dyDescent="0.25">
      <c r="A27" s="33"/>
      <c r="B27" s="348" t="s">
        <v>512</v>
      </c>
      <c r="C27" s="349">
        <v>96.1</v>
      </c>
      <c r="D27" s="349">
        <v>3.2</v>
      </c>
      <c r="E27" s="349">
        <v>0.6</v>
      </c>
      <c r="F27" s="349">
        <v>0.1</v>
      </c>
      <c r="G27" s="348" t="s">
        <v>437</v>
      </c>
      <c r="H27" s="21"/>
      <c r="I27" s="21"/>
    </row>
    <row r="28" spans="1:9" x14ac:dyDescent="0.25">
      <c r="A28" s="33"/>
      <c r="B28" s="348" t="s">
        <v>513</v>
      </c>
      <c r="C28" s="349">
        <v>91.9</v>
      </c>
      <c r="D28" s="349">
        <v>6.7</v>
      </c>
      <c r="E28" s="349">
        <v>1.2</v>
      </c>
      <c r="F28" s="349">
        <v>0.2</v>
      </c>
      <c r="G28" s="348" t="s">
        <v>437</v>
      </c>
      <c r="H28" s="21"/>
      <c r="I28" s="21"/>
    </row>
    <row r="29" spans="1:9" x14ac:dyDescent="0.25">
      <c r="A29" s="33"/>
      <c r="B29" s="348" t="s">
        <v>514</v>
      </c>
      <c r="C29" s="349">
        <v>92.4</v>
      </c>
      <c r="D29" s="349">
        <v>6.5</v>
      </c>
      <c r="E29" s="360">
        <v>1</v>
      </c>
      <c r="F29" s="349">
        <v>0.2</v>
      </c>
      <c r="G29" s="348" t="s">
        <v>437</v>
      </c>
      <c r="H29" s="21"/>
      <c r="I29" s="21"/>
    </row>
    <row r="30" spans="1:9" x14ac:dyDescent="0.25">
      <c r="A30" s="33"/>
      <c r="B30" s="348" t="s">
        <v>515</v>
      </c>
      <c r="C30" s="349">
        <v>92.8</v>
      </c>
      <c r="D30" s="349">
        <v>6.2</v>
      </c>
      <c r="E30" s="349">
        <v>0.9</v>
      </c>
      <c r="F30" s="349">
        <v>0.1</v>
      </c>
      <c r="G30" s="348" t="s">
        <v>437</v>
      </c>
      <c r="H30" s="21"/>
      <c r="I30" s="21"/>
    </row>
    <row r="31" spans="1:9" x14ac:dyDescent="0.25">
      <c r="A31" s="33"/>
      <c r="B31" s="348" t="s">
        <v>516</v>
      </c>
      <c r="C31" s="349">
        <v>96.2</v>
      </c>
      <c r="D31" s="349">
        <v>3.1</v>
      </c>
      <c r="E31" s="349">
        <v>0.6</v>
      </c>
      <c r="F31" s="349">
        <v>0.1</v>
      </c>
      <c r="G31" s="348" t="s">
        <v>437</v>
      </c>
      <c r="H31" s="21"/>
      <c r="I31" s="21"/>
    </row>
    <row r="32" spans="1:9" x14ac:dyDescent="0.25">
      <c r="A32" s="33"/>
      <c r="B32" s="348" t="s">
        <v>517</v>
      </c>
      <c r="C32" s="349">
        <v>88.1</v>
      </c>
      <c r="D32" s="349">
        <v>9.8000000000000007</v>
      </c>
      <c r="E32" s="349">
        <v>1.8</v>
      </c>
      <c r="F32" s="349">
        <v>0.3</v>
      </c>
      <c r="G32" s="348" t="s">
        <v>437</v>
      </c>
      <c r="H32" s="21"/>
      <c r="I32" s="21"/>
    </row>
    <row r="33" spans="1:9" x14ac:dyDescent="0.25">
      <c r="A33" s="33"/>
      <c r="B33" s="348" t="s">
        <v>518</v>
      </c>
      <c r="C33" s="349">
        <v>94.5</v>
      </c>
      <c r="D33" s="349">
        <v>4.5999999999999996</v>
      </c>
      <c r="E33" s="349">
        <v>0.8</v>
      </c>
      <c r="F33" s="349">
        <v>0.1</v>
      </c>
      <c r="G33" s="348" t="s">
        <v>437</v>
      </c>
      <c r="H33" s="21"/>
      <c r="I33" s="21"/>
    </row>
    <row r="34" spans="1:9" x14ac:dyDescent="0.25">
      <c r="A34" s="33"/>
      <c r="B34" s="348" t="s">
        <v>519</v>
      </c>
      <c r="C34" s="349">
        <v>93.6</v>
      </c>
      <c r="D34" s="349">
        <v>5.4</v>
      </c>
      <c r="E34" s="349">
        <v>0.8</v>
      </c>
      <c r="F34" s="349">
        <v>0.2</v>
      </c>
      <c r="G34" s="348" t="s">
        <v>437</v>
      </c>
      <c r="H34" s="21"/>
      <c r="I34" s="21"/>
    </row>
    <row r="35" spans="1:9" x14ac:dyDescent="0.25">
      <c r="A35" s="33"/>
      <c r="B35" s="348" t="s">
        <v>520</v>
      </c>
      <c r="C35" s="349">
        <v>94.2</v>
      </c>
      <c r="D35" s="349">
        <v>4.7</v>
      </c>
      <c r="E35" s="349">
        <v>0.9</v>
      </c>
      <c r="F35" s="349">
        <v>0.2</v>
      </c>
      <c r="G35" s="348" t="s">
        <v>437</v>
      </c>
      <c r="H35" s="21"/>
      <c r="I35" s="21"/>
    </row>
    <row r="36" spans="1:9" x14ac:dyDescent="0.25">
      <c r="A36" s="33"/>
      <c r="B36" s="348" t="s">
        <v>521</v>
      </c>
      <c r="C36" s="360">
        <v>95</v>
      </c>
      <c r="D36" s="349">
        <v>4.2</v>
      </c>
      <c r="E36" s="349">
        <v>0.6</v>
      </c>
      <c r="F36" s="349">
        <v>0.2</v>
      </c>
      <c r="G36" s="348" t="s">
        <v>437</v>
      </c>
      <c r="H36" s="21"/>
      <c r="I36" s="21"/>
    </row>
    <row r="37" spans="1:9" x14ac:dyDescent="0.25">
      <c r="A37" s="33"/>
      <c r="B37" s="348" t="s">
        <v>522</v>
      </c>
      <c r="C37" s="360">
        <v>84</v>
      </c>
      <c r="D37" s="349">
        <v>13.5</v>
      </c>
      <c r="E37" s="360">
        <v>2</v>
      </c>
      <c r="F37" s="349">
        <v>0.4</v>
      </c>
      <c r="G37" s="348" t="s">
        <v>437</v>
      </c>
      <c r="H37" s="21"/>
      <c r="I37" s="21"/>
    </row>
    <row r="38" spans="1:9" x14ac:dyDescent="0.25">
      <c r="A38" s="33"/>
      <c r="B38" s="348" t="s">
        <v>523</v>
      </c>
      <c r="C38" s="349">
        <v>94.7</v>
      </c>
      <c r="D38" s="349">
        <v>4.8</v>
      </c>
      <c r="E38" s="349">
        <v>0.5</v>
      </c>
      <c r="F38" s="349">
        <v>0.1</v>
      </c>
      <c r="G38" s="348" t="s">
        <v>437</v>
      </c>
      <c r="H38" s="21"/>
      <c r="I38" s="21"/>
    </row>
    <row r="39" spans="1:9" x14ac:dyDescent="0.25">
      <c r="A39" s="33"/>
      <c r="B39" s="348" t="s">
        <v>524</v>
      </c>
      <c r="C39" s="349">
        <v>95.4</v>
      </c>
      <c r="D39" s="349">
        <v>3.9</v>
      </c>
      <c r="E39" s="349">
        <v>0.6</v>
      </c>
      <c r="F39" s="349">
        <v>0.1</v>
      </c>
      <c r="G39" s="348" t="s">
        <v>437</v>
      </c>
      <c r="H39" s="21"/>
      <c r="I39" s="21"/>
    </row>
    <row r="40" spans="1:9" x14ac:dyDescent="0.25">
      <c r="A40" s="33"/>
      <c r="B40" s="348" t="s">
        <v>525</v>
      </c>
      <c r="C40" s="349">
        <v>91.7</v>
      </c>
      <c r="D40" s="349">
        <v>6.9</v>
      </c>
      <c r="E40" s="349">
        <v>1.2</v>
      </c>
      <c r="F40" s="349">
        <v>0.2</v>
      </c>
      <c r="G40" s="348" t="s">
        <v>437</v>
      </c>
      <c r="H40" s="21"/>
      <c r="I40" s="21"/>
    </row>
    <row r="41" spans="1:9" x14ac:dyDescent="0.25">
      <c r="A41" s="33"/>
      <c r="B41" s="348" t="s">
        <v>526</v>
      </c>
      <c r="C41" s="349">
        <v>94.6</v>
      </c>
      <c r="D41" s="349">
        <v>4.8</v>
      </c>
      <c r="E41" s="349">
        <v>0.6</v>
      </c>
      <c r="F41" s="349">
        <v>0.1</v>
      </c>
      <c r="G41" s="348" t="s">
        <v>437</v>
      </c>
      <c r="H41" s="21"/>
      <c r="I41" s="21"/>
    </row>
    <row r="42" spans="1:9" x14ac:dyDescent="0.25">
      <c r="A42" s="33"/>
      <c r="B42" s="348" t="s">
        <v>527</v>
      </c>
      <c r="C42" s="349">
        <v>91.2</v>
      </c>
      <c r="D42" s="349">
        <v>7.3</v>
      </c>
      <c r="E42" s="349">
        <v>1.3</v>
      </c>
      <c r="F42" s="349">
        <v>0.2</v>
      </c>
      <c r="G42" s="348" t="s">
        <v>437</v>
      </c>
      <c r="H42" s="21"/>
      <c r="I42" s="21"/>
    </row>
    <row r="43" spans="1:9" x14ac:dyDescent="0.25">
      <c r="A43" s="33"/>
      <c r="B43" s="348" t="s">
        <v>528</v>
      </c>
      <c r="C43" s="349">
        <v>94.8</v>
      </c>
      <c r="D43" s="349">
        <v>4.2</v>
      </c>
      <c r="E43" s="349">
        <v>0.8</v>
      </c>
      <c r="F43" s="349">
        <v>0.1</v>
      </c>
      <c r="G43" s="348" t="s">
        <v>437</v>
      </c>
      <c r="H43" s="21"/>
      <c r="I43" s="21"/>
    </row>
    <row r="44" spans="1:9" x14ac:dyDescent="0.25">
      <c r="A44" s="33"/>
      <c r="B44" s="348" t="s">
        <v>529</v>
      </c>
      <c r="C44" s="349">
        <v>87.9</v>
      </c>
      <c r="D44" s="349">
        <v>9.6</v>
      </c>
      <c r="E44" s="360">
        <v>2</v>
      </c>
      <c r="F44" s="349">
        <v>0.5</v>
      </c>
      <c r="G44" s="348" t="s">
        <v>437</v>
      </c>
      <c r="H44" s="21"/>
      <c r="I44" s="21"/>
    </row>
    <row r="45" spans="1:9" x14ac:dyDescent="0.25">
      <c r="A45" s="33"/>
      <c r="B45" s="348" t="s">
        <v>530</v>
      </c>
      <c r="C45" s="349">
        <v>94.6</v>
      </c>
      <c r="D45" s="349">
        <v>4.5</v>
      </c>
      <c r="E45" s="349">
        <v>0.7</v>
      </c>
      <c r="F45" s="349">
        <v>0.2</v>
      </c>
      <c r="G45" s="348" t="s">
        <v>437</v>
      </c>
      <c r="H45" s="21"/>
      <c r="I45" s="21"/>
    </row>
    <row r="46" spans="1:9" x14ac:dyDescent="0.25">
      <c r="A46" s="33"/>
      <c r="B46" s="348" t="s">
        <v>531</v>
      </c>
      <c r="C46" s="349">
        <v>96.1</v>
      </c>
      <c r="D46" s="349">
        <v>3.1</v>
      </c>
      <c r="E46" s="349">
        <v>0.6</v>
      </c>
      <c r="F46" s="349">
        <v>0.1</v>
      </c>
      <c r="G46" s="348" t="s">
        <v>437</v>
      </c>
      <c r="H46" s="21"/>
      <c r="I46" s="21"/>
    </row>
    <row r="47" spans="1:9" x14ac:dyDescent="0.25">
      <c r="A47" s="33"/>
      <c r="B47" s="348" t="s">
        <v>532</v>
      </c>
      <c r="C47" s="349">
        <v>95.5</v>
      </c>
      <c r="D47" s="349">
        <v>3.8</v>
      </c>
      <c r="E47" s="349">
        <v>0.6</v>
      </c>
      <c r="F47" s="349">
        <v>0.1</v>
      </c>
      <c r="G47" s="348" t="s">
        <v>437</v>
      </c>
      <c r="H47" s="21"/>
      <c r="I47" s="21"/>
    </row>
    <row r="48" spans="1:9" x14ac:dyDescent="0.25">
      <c r="A48" s="33"/>
      <c r="B48" s="348" t="s">
        <v>533</v>
      </c>
      <c r="C48" s="349">
        <v>95.5</v>
      </c>
      <c r="D48" s="349">
        <v>3.8</v>
      </c>
      <c r="E48" s="349">
        <v>0.6</v>
      </c>
      <c r="F48" s="349">
        <v>0.1</v>
      </c>
      <c r="G48" s="348" t="s">
        <v>437</v>
      </c>
      <c r="H48" s="21"/>
      <c r="I48" s="21"/>
    </row>
    <row r="49" spans="1:9" x14ac:dyDescent="0.25">
      <c r="A49" s="33"/>
      <c r="B49" s="348" t="s">
        <v>534</v>
      </c>
      <c r="C49" s="349">
        <v>94.4</v>
      </c>
      <c r="D49" s="349">
        <v>4.7</v>
      </c>
      <c r="E49" s="349">
        <v>0.7</v>
      </c>
      <c r="F49" s="349">
        <v>0.2</v>
      </c>
      <c r="G49" s="348" t="s">
        <v>437</v>
      </c>
      <c r="H49" s="21"/>
      <c r="I49" s="21"/>
    </row>
    <row r="50" spans="1:9" x14ac:dyDescent="0.25">
      <c r="A50" s="33"/>
      <c r="B50" s="348" t="s">
        <v>535</v>
      </c>
      <c r="C50" s="349">
        <v>97.4</v>
      </c>
      <c r="D50" s="349">
        <v>2.1</v>
      </c>
      <c r="E50" s="349">
        <v>0.4</v>
      </c>
      <c r="F50" s="349">
        <v>0.1</v>
      </c>
      <c r="G50" s="348" t="s">
        <v>437</v>
      </c>
      <c r="H50" s="21"/>
      <c r="I50" s="21"/>
    </row>
    <row r="51" spans="1:9" x14ac:dyDescent="0.25">
      <c r="A51" s="33"/>
      <c r="B51" s="348" t="s">
        <v>536</v>
      </c>
      <c r="C51" s="349">
        <v>94.3</v>
      </c>
      <c r="D51" s="349">
        <v>4.7</v>
      </c>
      <c r="E51" s="349">
        <v>0.9</v>
      </c>
      <c r="F51" s="349">
        <v>0.2</v>
      </c>
      <c r="G51" s="348" t="s">
        <v>437</v>
      </c>
      <c r="H51" s="21"/>
      <c r="I51" s="21"/>
    </row>
    <row r="52" spans="1:9" x14ac:dyDescent="0.25">
      <c r="A52" s="33"/>
      <c r="B52" s="348" t="s">
        <v>537</v>
      </c>
      <c r="C52" s="349">
        <v>94.3</v>
      </c>
      <c r="D52" s="360">
        <v>5</v>
      </c>
      <c r="E52" s="349">
        <v>0.6</v>
      </c>
      <c r="F52" s="349">
        <v>0.1</v>
      </c>
      <c r="G52" s="348" t="s">
        <v>437</v>
      </c>
      <c r="H52" s="21"/>
      <c r="I52" s="21"/>
    </row>
    <row r="53" spans="1:9" x14ac:dyDescent="0.25">
      <c r="A53" s="33"/>
      <c r="B53" s="350" t="s">
        <v>538</v>
      </c>
      <c r="C53" s="361">
        <v>94.1</v>
      </c>
      <c r="D53" s="361">
        <v>4.8</v>
      </c>
      <c r="E53" s="361">
        <v>0.9</v>
      </c>
      <c r="F53" s="361">
        <v>0.2</v>
      </c>
      <c r="G53" s="350" t="s">
        <v>437</v>
      </c>
      <c r="H53" s="22"/>
      <c r="I53" s="22"/>
    </row>
    <row r="54" spans="1:9" x14ac:dyDescent="0.25">
      <c r="A54" s="33"/>
    </row>
    <row r="55" spans="1:9" x14ac:dyDescent="0.25">
      <c r="A55" s="33" t="s">
        <v>10</v>
      </c>
      <c r="B55" s="100" t="s">
        <v>676</v>
      </c>
      <c r="C55" s="100"/>
      <c r="D55" s="100"/>
      <c r="E55" s="100"/>
      <c r="F55" s="100"/>
      <c r="G55" s="100"/>
      <c r="H55" s="100"/>
      <c r="I55" s="100"/>
    </row>
    <row r="56" spans="1:9" x14ac:dyDescent="0.25">
      <c r="A56" s="33"/>
      <c r="B56" s="341" t="s">
        <v>457</v>
      </c>
      <c r="C56" s="341" t="s">
        <v>506</v>
      </c>
      <c r="D56" s="341" t="s">
        <v>507</v>
      </c>
      <c r="E56" s="341" t="s">
        <v>509</v>
      </c>
      <c r="F56" s="20"/>
      <c r="G56" s="20"/>
      <c r="H56" s="20"/>
      <c r="I56" s="20"/>
    </row>
    <row r="57" spans="1:9" x14ac:dyDescent="0.25">
      <c r="A57" s="33"/>
      <c r="B57" s="342" t="s">
        <v>466</v>
      </c>
      <c r="C57" s="357">
        <v>37199642</v>
      </c>
      <c r="D57" s="357">
        <v>24956986</v>
      </c>
      <c r="E57" s="357">
        <v>20903979</v>
      </c>
      <c r="F57" s="21"/>
      <c r="G57" s="21"/>
      <c r="H57" s="21"/>
      <c r="I57" s="21"/>
    </row>
    <row r="58" spans="1:9" x14ac:dyDescent="0.25">
      <c r="A58" s="33"/>
      <c r="B58" s="342" t="s">
        <v>467</v>
      </c>
      <c r="C58" s="357">
        <v>36564342</v>
      </c>
      <c r="D58" s="357">
        <v>24200243</v>
      </c>
      <c r="E58" s="357">
        <v>20257625</v>
      </c>
      <c r="F58" s="21"/>
      <c r="G58" s="21"/>
      <c r="H58" s="21"/>
      <c r="I58" s="21"/>
    </row>
    <row r="59" spans="1:9" x14ac:dyDescent="0.25">
      <c r="A59" s="33"/>
      <c r="B59" s="342" t="s">
        <v>468</v>
      </c>
      <c r="C59" s="357">
        <v>36782581</v>
      </c>
      <c r="D59" s="357">
        <v>24017548</v>
      </c>
      <c r="E59" s="357">
        <v>19920201</v>
      </c>
      <c r="F59" s="21"/>
      <c r="G59" s="21"/>
      <c r="H59" s="21"/>
      <c r="I59" s="21"/>
    </row>
    <row r="60" spans="1:9" x14ac:dyDescent="0.25">
      <c r="A60" s="33"/>
      <c r="B60" s="342" t="s">
        <v>469</v>
      </c>
      <c r="C60" s="357">
        <v>36412403</v>
      </c>
      <c r="D60" s="357">
        <v>24083429</v>
      </c>
      <c r="E60" s="357">
        <v>20167117</v>
      </c>
      <c r="F60" s="21"/>
      <c r="G60" s="21"/>
      <c r="H60" s="21"/>
      <c r="I60" s="21"/>
    </row>
    <row r="61" spans="1:9" x14ac:dyDescent="0.25">
      <c r="A61" s="33"/>
      <c r="B61" s="342" t="s">
        <v>470</v>
      </c>
      <c r="C61" s="357">
        <v>36228666</v>
      </c>
      <c r="D61" s="357">
        <v>23765171</v>
      </c>
      <c r="E61" s="357">
        <v>20022712</v>
      </c>
      <c r="F61" s="21"/>
      <c r="G61" s="21"/>
      <c r="H61" s="21"/>
      <c r="I61" s="21"/>
    </row>
    <row r="62" spans="1:9" x14ac:dyDescent="0.25">
      <c r="A62" s="33"/>
      <c r="B62" s="342" t="s">
        <v>471</v>
      </c>
      <c r="C62" s="357">
        <v>35792291</v>
      </c>
      <c r="D62" s="357">
        <v>23377239</v>
      </c>
      <c r="E62" s="357">
        <v>19701311</v>
      </c>
      <c r="F62" s="21"/>
      <c r="G62" s="21"/>
      <c r="H62" s="21"/>
      <c r="I62" s="21"/>
    </row>
    <row r="63" spans="1:9" x14ac:dyDescent="0.25">
      <c r="A63" s="33"/>
      <c r="B63" s="342" t="s">
        <v>472</v>
      </c>
      <c r="C63" s="357">
        <v>37042985</v>
      </c>
      <c r="D63" s="357">
        <v>23653609</v>
      </c>
      <c r="E63" s="357">
        <v>19865336</v>
      </c>
      <c r="F63" s="21"/>
      <c r="G63" s="21"/>
      <c r="H63" s="21"/>
      <c r="I63" s="21"/>
    </row>
    <row r="64" spans="1:9" x14ac:dyDescent="0.25">
      <c r="A64" s="33"/>
      <c r="B64" s="342" t="s">
        <v>473</v>
      </c>
      <c r="C64" s="357">
        <v>36200926</v>
      </c>
      <c r="D64" s="357">
        <v>24017709</v>
      </c>
      <c r="E64" s="357">
        <v>20386666</v>
      </c>
      <c r="F64" s="21"/>
      <c r="G64" s="21"/>
      <c r="H64" s="21"/>
      <c r="I64" s="21"/>
    </row>
    <row r="65" spans="1:9" x14ac:dyDescent="0.25">
      <c r="A65" s="33"/>
      <c r="B65" s="342" t="s">
        <v>474</v>
      </c>
      <c r="C65" s="357">
        <v>37645425</v>
      </c>
      <c r="D65" s="357">
        <v>25184159</v>
      </c>
      <c r="E65" s="357">
        <v>20994193</v>
      </c>
      <c r="F65" s="21"/>
      <c r="G65" s="21"/>
      <c r="H65" s="21"/>
      <c r="I65" s="21"/>
    </row>
    <row r="66" spans="1:9" x14ac:dyDescent="0.25">
      <c r="A66" s="33"/>
      <c r="B66" s="342" t="s">
        <v>475</v>
      </c>
      <c r="C66" s="357">
        <v>37269662</v>
      </c>
      <c r="D66" s="357">
        <v>25135557</v>
      </c>
      <c r="E66" s="357">
        <v>21203146</v>
      </c>
      <c r="F66" s="21"/>
      <c r="G66" s="21"/>
      <c r="H66" s="21"/>
      <c r="I66" s="21"/>
    </row>
    <row r="67" spans="1:9" x14ac:dyDescent="0.25">
      <c r="A67" s="33"/>
      <c r="B67" s="342" t="s">
        <v>476</v>
      </c>
      <c r="C67" s="357">
        <v>37370069</v>
      </c>
      <c r="D67" s="357">
        <v>25717957</v>
      </c>
      <c r="E67" s="357">
        <v>20611282</v>
      </c>
      <c r="F67" s="21"/>
      <c r="G67" s="21"/>
      <c r="H67" s="21"/>
      <c r="I67" s="21"/>
    </row>
    <row r="68" spans="1:9" x14ac:dyDescent="0.25">
      <c r="A68" s="33"/>
      <c r="B68" s="342" t="s">
        <v>477</v>
      </c>
      <c r="C68" s="357">
        <v>37270663</v>
      </c>
      <c r="D68" s="357">
        <v>26199764</v>
      </c>
      <c r="E68" s="357">
        <v>20970238</v>
      </c>
      <c r="F68" s="21"/>
      <c r="G68" s="21"/>
      <c r="H68" s="21"/>
      <c r="I68" s="21"/>
    </row>
    <row r="69" spans="1:9" x14ac:dyDescent="0.25">
      <c r="A69" s="33"/>
      <c r="B69" s="342" t="s">
        <v>478</v>
      </c>
      <c r="C69" s="357">
        <v>36964434</v>
      </c>
      <c r="D69" s="357">
        <v>24705159</v>
      </c>
      <c r="E69" s="357">
        <v>20072005</v>
      </c>
      <c r="F69" s="21"/>
      <c r="G69" s="21"/>
      <c r="H69" s="21"/>
      <c r="I69" s="21"/>
    </row>
    <row r="70" spans="1:9" x14ac:dyDescent="0.25">
      <c r="A70" s="33"/>
      <c r="B70" s="342" t="s">
        <v>479</v>
      </c>
      <c r="C70" s="357">
        <v>38434573</v>
      </c>
      <c r="D70" s="357">
        <v>25704202</v>
      </c>
      <c r="E70" s="357">
        <v>20566208</v>
      </c>
      <c r="F70" s="21"/>
      <c r="G70" s="21"/>
      <c r="H70" s="21"/>
      <c r="I70" s="21"/>
    </row>
    <row r="71" spans="1:9" x14ac:dyDescent="0.25">
      <c r="A71" s="33"/>
      <c r="B71" s="342" t="s">
        <v>480</v>
      </c>
      <c r="C71" s="357">
        <v>39884515</v>
      </c>
      <c r="D71" s="357">
        <v>26340829</v>
      </c>
      <c r="E71" s="357">
        <v>20931695</v>
      </c>
      <c r="F71" s="21"/>
      <c r="G71" s="21"/>
      <c r="H71" s="21"/>
      <c r="I71" s="21"/>
    </row>
    <row r="72" spans="1:9" x14ac:dyDescent="0.25">
      <c r="A72" s="33"/>
      <c r="B72" s="342" t="s">
        <v>481</v>
      </c>
      <c r="C72" s="357">
        <v>40803310</v>
      </c>
      <c r="D72" s="357">
        <v>26770763</v>
      </c>
      <c r="E72" s="357">
        <v>21156339</v>
      </c>
      <c r="F72" s="21"/>
      <c r="G72" s="21"/>
      <c r="H72" s="21"/>
      <c r="I72" s="21"/>
    </row>
    <row r="73" spans="1:9" x14ac:dyDescent="0.25">
      <c r="A73" s="33"/>
      <c r="B73" s="343" t="s">
        <v>497</v>
      </c>
      <c r="C73" s="358">
        <v>41390359</v>
      </c>
      <c r="D73" s="358">
        <v>26860144</v>
      </c>
      <c r="E73" s="358">
        <v>21187679</v>
      </c>
      <c r="F73" s="22"/>
      <c r="G73" s="22"/>
      <c r="H73" s="22"/>
      <c r="I73" s="22"/>
    </row>
    <row r="74" spans="1:9" x14ac:dyDescent="0.25">
      <c r="A74" s="33"/>
    </row>
    <row r="75" spans="1:9" x14ac:dyDescent="0.25">
      <c r="A75" s="33" t="s">
        <v>10</v>
      </c>
      <c r="B75" s="100" t="s">
        <v>539</v>
      </c>
      <c r="C75" s="100"/>
      <c r="D75" s="100"/>
      <c r="E75" s="100"/>
      <c r="F75" s="100"/>
      <c r="G75" s="100"/>
      <c r="H75" s="100"/>
      <c r="I75" s="100"/>
    </row>
    <row r="76" spans="1:9" x14ac:dyDescent="0.25">
      <c r="A76" s="33"/>
      <c r="B76" s="137"/>
      <c r="C76" s="359" t="s">
        <v>506</v>
      </c>
      <c r="D76" s="359" t="s">
        <v>507</v>
      </c>
      <c r="E76" s="359" t="s">
        <v>509</v>
      </c>
      <c r="F76" s="359" t="s">
        <v>510</v>
      </c>
      <c r="G76" s="137"/>
      <c r="H76" s="20"/>
      <c r="I76" s="20"/>
    </row>
    <row r="77" spans="1:9" x14ac:dyDescent="0.25">
      <c r="A77" s="33"/>
      <c r="B77" s="348" t="s">
        <v>519</v>
      </c>
      <c r="C77" s="349">
        <v>19.8</v>
      </c>
      <c r="D77" s="349">
        <v>16.8</v>
      </c>
      <c r="E77" s="349">
        <v>16.600000000000001</v>
      </c>
      <c r="F77" s="349">
        <v>46.9</v>
      </c>
      <c r="G77" s="348" t="s">
        <v>437</v>
      </c>
      <c r="H77" s="21"/>
      <c r="I77" s="21"/>
    </row>
    <row r="78" spans="1:9" x14ac:dyDescent="0.25">
      <c r="A78" s="33"/>
      <c r="B78" s="348" t="s">
        <v>511</v>
      </c>
      <c r="C78" s="349">
        <v>15.2</v>
      </c>
      <c r="D78" s="349">
        <v>20.7</v>
      </c>
      <c r="E78" s="349">
        <v>19.600000000000001</v>
      </c>
      <c r="F78" s="349">
        <v>44.4</v>
      </c>
      <c r="G78" s="348" t="s">
        <v>437</v>
      </c>
      <c r="H78" s="21"/>
      <c r="I78" s="21"/>
    </row>
    <row r="79" spans="1:9" x14ac:dyDescent="0.25">
      <c r="A79" s="33"/>
      <c r="B79" s="348" t="s">
        <v>512</v>
      </c>
      <c r="C79" s="349">
        <v>24.6</v>
      </c>
      <c r="D79" s="349">
        <v>18.100000000000001</v>
      </c>
      <c r="E79" s="349">
        <v>15.9</v>
      </c>
      <c r="F79" s="349">
        <v>41.5</v>
      </c>
      <c r="G79" s="348" t="s">
        <v>437</v>
      </c>
      <c r="H79" s="21"/>
      <c r="I79" s="21"/>
    </row>
    <row r="80" spans="1:9" x14ac:dyDescent="0.25">
      <c r="A80" s="33"/>
      <c r="B80" s="348" t="s">
        <v>513</v>
      </c>
      <c r="C80" s="349">
        <v>18.7</v>
      </c>
      <c r="D80" s="349">
        <v>23.3</v>
      </c>
      <c r="E80" s="349">
        <v>19.8</v>
      </c>
      <c r="F80" s="349">
        <v>38.200000000000003</v>
      </c>
      <c r="G80" s="348" t="s">
        <v>437</v>
      </c>
      <c r="H80" s="21"/>
      <c r="I80" s="21"/>
    </row>
    <row r="81" spans="1:9" x14ac:dyDescent="0.25">
      <c r="A81" s="33"/>
      <c r="B81" s="348" t="s">
        <v>514</v>
      </c>
      <c r="C81" s="349">
        <v>19.2</v>
      </c>
      <c r="D81" s="349">
        <v>19.100000000000001</v>
      </c>
      <c r="E81" s="360">
        <v>20</v>
      </c>
      <c r="F81" s="349">
        <v>41.8</v>
      </c>
      <c r="G81" s="348" t="s">
        <v>437</v>
      </c>
      <c r="H81" s="21"/>
      <c r="I81" s="21"/>
    </row>
    <row r="82" spans="1:9" x14ac:dyDescent="0.25">
      <c r="A82" s="33"/>
      <c r="B82" s="348" t="s">
        <v>515</v>
      </c>
      <c r="C82" s="349">
        <v>24.5</v>
      </c>
      <c r="D82" s="349">
        <v>28.3</v>
      </c>
      <c r="E82" s="349">
        <v>24.1</v>
      </c>
      <c r="F82" s="349">
        <v>23.1</v>
      </c>
      <c r="G82" s="348" t="s">
        <v>437</v>
      </c>
      <c r="H82" s="21"/>
      <c r="I82" s="21"/>
    </row>
    <row r="83" spans="1:9" x14ac:dyDescent="0.25">
      <c r="A83" s="33"/>
      <c r="B83" s="348" t="s">
        <v>516</v>
      </c>
      <c r="C83" s="349">
        <v>18.8</v>
      </c>
      <c r="D83" s="349">
        <v>17.2</v>
      </c>
      <c r="E83" s="349">
        <v>22.2</v>
      </c>
      <c r="F83" s="349">
        <v>41.8</v>
      </c>
      <c r="G83" s="348" t="s">
        <v>437</v>
      </c>
      <c r="H83" s="21"/>
      <c r="I83" s="21"/>
    </row>
    <row r="84" spans="1:9" x14ac:dyDescent="0.25">
      <c r="A84" s="33"/>
      <c r="B84" s="348" t="s">
        <v>517</v>
      </c>
      <c r="C84" s="349">
        <v>15.9</v>
      </c>
      <c r="D84" s="349">
        <v>16.7</v>
      </c>
      <c r="E84" s="349">
        <v>20.5</v>
      </c>
      <c r="F84" s="349">
        <v>46.9</v>
      </c>
      <c r="G84" s="348" t="s">
        <v>437</v>
      </c>
      <c r="H84" s="21"/>
      <c r="I84" s="21"/>
    </row>
    <row r="85" spans="1:9" x14ac:dyDescent="0.25">
      <c r="A85" s="33"/>
      <c r="B85" s="348" t="s">
        <v>518</v>
      </c>
      <c r="C85" s="349">
        <v>32.299999999999997</v>
      </c>
      <c r="D85" s="349">
        <v>24.6</v>
      </c>
      <c r="E85" s="349">
        <v>24.8</v>
      </c>
      <c r="F85" s="349">
        <v>18.3</v>
      </c>
      <c r="G85" s="348" t="s">
        <v>437</v>
      </c>
      <c r="H85" s="21"/>
      <c r="I85" s="21"/>
    </row>
    <row r="86" spans="1:9" x14ac:dyDescent="0.25">
      <c r="A86" s="33"/>
      <c r="B86" s="348" t="s">
        <v>520</v>
      </c>
      <c r="C86" s="349">
        <v>17.3</v>
      </c>
      <c r="D86" s="349">
        <v>18.399999999999999</v>
      </c>
      <c r="E86" s="349">
        <v>20.2</v>
      </c>
      <c r="F86" s="349">
        <v>44.1</v>
      </c>
      <c r="G86" s="348" t="s">
        <v>437</v>
      </c>
      <c r="H86" s="21"/>
      <c r="I86" s="21"/>
    </row>
    <row r="87" spans="1:9" x14ac:dyDescent="0.25">
      <c r="A87" s="33"/>
      <c r="B87" s="348" t="s">
        <v>521</v>
      </c>
      <c r="C87" s="349">
        <v>17.100000000000001</v>
      </c>
      <c r="D87" s="349">
        <v>14.1</v>
      </c>
      <c r="E87" s="349">
        <v>11.6</v>
      </c>
      <c r="F87" s="349">
        <v>57.2</v>
      </c>
      <c r="G87" s="348" t="s">
        <v>437</v>
      </c>
      <c r="H87" s="21"/>
      <c r="I87" s="21"/>
    </row>
    <row r="88" spans="1:9" x14ac:dyDescent="0.25">
      <c r="A88" s="33"/>
      <c r="B88" s="348" t="s">
        <v>522</v>
      </c>
      <c r="C88" s="349">
        <v>17.399999999999999</v>
      </c>
      <c r="D88" s="349">
        <v>17.2</v>
      </c>
      <c r="E88" s="349">
        <v>15.7</v>
      </c>
      <c r="F88" s="349">
        <v>49.7</v>
      </c>
      <c r="G88" s="348" t="s">
        <v>437</v>
      </c>
      <c r="H88" s="21"/>
      <c r="I88" s="21"/>
    </row>
    <row r="89" spans="1:9" x14ac:dyDescent="0.25">
      <c r="A89" s="33"/>
      <c r="B89" s="348" t="s">
        <v>523</v>
      </c>
      <c r="C89" s="349">
        <v>34.700000000000003</v>
      </c>
      <c r="D89" s="349">
        <v>15.5</v>
      </c>
      <c r="E89" s="349">
        <v>16.7</v>
      </c>
      <c r="F89" s="360">
        <v>33</v>
      </c>
      <c r="G89" s="348" t="s">
        <v>437</v>
      </c>
      <c r="H89" s="21"/>
      <c r="I89" s="21"/>
    </row>
    <row r="90" spans="1:9" x14ac:dyDescent="0.25">
      <c r="A90" s="33"/>
      <c r="B90" s="348" t="s">
        <v>524</v>
      </c>
      <c r="C90" s="349">
        <v>22.2</v>
      </c>
      <c r="D90" s="349">
        <v>18.399999999999999</v>
      </c>
      <c r="E90" s="349">
        <v>14.9</v>
      </c>
      <c r="F90" s="349">
        <v>34.799999999999997</v>
      </c>
      <c r="G90" s="348" t="s">
        <v>437</v>
      </c>
      <c r="H90" s="21"/>
      <c r="I90" s="21"/>
    </row>
    <row r="91" spans="1:9" x14ac:dyDescent="0.25">
      <c r="A91" s="33"/>
      <c r="B91" s="348" t="s">
        <v>525</v>
      </c>
      <c r="C91" s="349">
        <v>16.7</v>
      </c>
      <c r="D91" s="349">
        <v>7.2</v>
      </c>
      <c r="E91" s="349">
        <v>12.4</v>
      </c>
      <c r="F91" s="349">
        <v>63.8</v>
      </c>
      <c r="G91" s="348" t="s">
        <v>437</v>
      </c>
      <c r="H91" s="21"/>
      <c r="I91" s="21"/>
    </row>
    <row r="92" spans="1:9" x14ac:dyDescent="0.25">
      <c r="A92" s="33"/>
      <c r="B92" s="348" t="s">
        <v>526</v>
      </c>
      <c r="C92" s="349">
        <v>25.7</v>
      </c>
      <c r="D92" s="349">
        <v>20.5</v>
      </c>
      <c r="E92" s="349">
        <v>17.5</v>
      </c>
      <c r="F92" s="349">
        <v>36.299999999999997</v>
      </c>
      <c r="G92" s="348" t="s">
        <v>437</v>
      </c>
      <c r="H92" s="21"/>
      <c r="I92" s="21"/>
    </row>
    <row r="93" spans="1:9" x14ac:dyDescent="0.25">
      <c r="A93" s="33"/>
      <c r="B93" s="348" t="s">
        <v>527</v>
      </c>
      <c r="C93" s="349">
        <v>18.399999999999999</v>
      </c>
      <c r="D93" s="349">
        <v>29.4</v>
      </c>
      <c r="E93" s="349">
        <v>24.1</v>
      </c>
      <c r="F93" s="349">
        <v>28.1</v>
      </c>
      <c r="G93" s="348" t="s">
        <v>437</v>
      </c>
      <c r="H93" s="21"/>
      <c r="I93" s="21"/>
    </row>
    <row r="94" spans="1:9" x14ac:dyDescent="0.25">
      <c r="A94" s="33"/>
      <c r="B94" s="348" t="s">
        <v>528</v>
      </c>
      <c r="C94" s="360">
        <v>19</v>
      </c>
      <c r="D94" s="349">
        <v>20.399999999999999</v>
      </c>
      <c r="E94" s="349">
        <v>24.7</v>
      </c>
      <c r="F94" s="349">
        <v>35.799999999999997</v>
      </c>
      <c r="G94" s="348" t="s">
        <v>437</v>
      </c>
      <c r="H94" s="21"/>
      <c r="I94" s="21"/>
    </row>
    <row r="95" spans="1:9" x14ac:dyDescent="0.25">
      <c r="A95" s="33"/>
      <c r="B95" s="348" t="s">
        <v>529</v>
      </c>
      <c r="C95" s="349">
        <v>20.9</v>
      </c>
      <c r="D95" s="349">
        <v>16.600000000000001</v>
      </c>
      <c r="E95" s="349">
        <v>26.8</v>
      </c>
      <c r="F95" s="349">
        <v>35.700000000000003</v>
      </c>
      <c r="G95" s="348" t="s">
        <v>437</v>
      </c>
      <c r="H95" s="21"/>
      <c r="I95" s="21"/>
    </row>
    <row r="96" spans="1:9" x14ac:dyDescent="0.25">
      <c r="A96" s="33"/>
      <c r="B96" s="348" t="s">
        <v>530</v>
      </c>
      <c r="C96" s="349">
        <v>28.9</v>
      </c>
      <c r="D96" s="349">
        <v>33.299999999999997</v>
      </c>
      <c r="E96" s="349">
        <v>15.3</v>
      </c>
      <c r="F96" s="349">
        <v>22.5</v>
      </c>
      <c r="G96" s="348" t="s">
        <v>437</v>
      </c>
      <c r="H96" s="21"/>
      <c r="I96" s="21"/>
    </row>
    <row r="97" spans="1:9" x14ac:dyDescent="0.25">
      <c r="A97" s="33"/>
      <c r="B97" s="348" t="s">
        <v>531</v>
      </c>
      <c r="C97" s="349">
        <v>20.3</v>
      </c>
      <c r="D97" s="349">
        <v>15.5</v>
      </c>
      <c r="E97" s="349">
        <v>25.8</v>
      </c>
      <c r="F97" s="349">
        <v>38.4</v>
      </c>
      <c r="G97" s="348" t="s">
        <v>437</v>
      </c>
      <c r="H97" s="21"/>
      <c r="I97" s="21"/>
    </row>
    <row r="98" spans="1:9" x14ac:dyDescent="0.25">
      <c r="A98" s="33"/>
      <c r="B98" s="348" t="s">
        <v>532</v>
      </c>
      <c r="C98" s="349">
        <v>19.3</v>
      </c>
      <c r="D98" s="349">
        <v>15.1</v>
      </c>
      <c r="E98" s="360">
        <v>16</v>
      </c>
      <c r="F98" s="349">
        <v>49.7</v>
      </c>
      <c r="G98" s="348" t="s">
        <v>437</v>
      </c>
      <c r="H98" s="21"/>
      <c r="I98" s="21"/>
    </row>
    <row r="99" spans="1:9" x14ac:dyDescent="0.25">
      <c r="A99" s="33"/>
      <c r="B99" s="348" t="s">
        <v>533</v>
      </c>
      <c r="C99" s="349">
        <v>24.6</v>
      </c>
      <c r="D99" s="349">
        <v>22.7</v>
      </c>
      <c r="E99" s="349">
        <v>22.5</v>
      </c>
      <c r="F99" s="349">
        <v>30.1</v>
      </c>
      <c r="G99" s="348" t="s">
        <v>437</v>
      </c>
      <c r="H99" s="21"/>
      <c r="I99" s="21"/>
    </row>
    <row r="100" spans="1:9" x14ac:dyDescent="0.25">
      <c r="A100" s="33"/>
      <c r="B100" s="348" t="s">
        <v>534</v>
      </c>
      <c r="C100" s="349">
        <v>21.2</v>
      </c>
      <c r="D100" s="349">
        <v>18.8</v>
      </c>
      <c r="E100" s="349">
        <v>15.9</v>
      </c>
      <c r="F100" s="349">
        <v>44.1</v>
      </c>
      <c r="G100" s="348" t="s">
        <v>437</v>
      </c>
      <c r="H100" s="21"/>
      <c r="I100" s="21"/>
    </row>
    <row r="101" spans="1:9" x14ac:dyDescent="0.25">
      <c r="A101" s="33"/>
      <c r="B101" s="348" t="s">
        <v>535</v>
      </c>
      <c r="C101" s="349">
        <v>22.6</v>
      </c>
      <c r="D101" s="349">
        <v>13.6</v>
      </c>
      <c r="E101" s="360">
        <v>16</v>
      </c>
      <c r="F101" s="349">
        <v>47.9</v>
      </c>
      <c r="G101" s="348" t="s">
        <v>437</v>
      </c>
      <c r="H101" s="21"/>
      <c r="I101" s="21"/>
    </row>
    <row r="102" spans="1:9" x14ac:dyDescent="0.25">
      <c r="A102" s="33"/>
      <c r="B102" s="348" t="s">
        <v>536</v>
      </c>
      <c r="C102" s="349">
        <v>24.7</v>
      </c>
      <c r="D102" s="349">
        <v>21.4</v>
      </c>
      <c r="E102" s="349">
        <v>20.3</v>
      </c>
      <c r="F102" s="349">
        <v>33.6</v>
      </c>
      <c r="G102" s="348" t="s">
        <v>437</v>
      </c>
      <c r="H102" s="21"/>
      <c r="I102" s="21"/>
    </row>
    <row r="103" spans="1:9" x14ac:dyDescent="0.25">
      <c r="A103" s="33"/>
      <c r="B103" s="348" t="s">
        <v>537</v>
      </c>
      <c r="C103" s="349">
        <v>25.8</v>
      </c>
      <c r="D103" s="349">
        <v>17.100000000000001</v>
      </c>
      <c r="E103" s="349">
        <v>16.399999999999999</v>
      </c>
      <c r="F103" s="349">
        <v>40.6</v>
      </c>
      <c r="G103" s="348" t="s">
        <v>437</v>
      </c>
      <c r="H103" s="21"/>
      <c r="I103" s="21"/>
    </row>
    <row r="104" spans="1:9" x14ac:dyDescent="0.25">
      <c r="A104" s="33"/>
      <c r="B104" s="350" t="s">
        <v>538</v>
      </c>
      <c r="C104" s="361">
        <v>15.8</v>
      </c>
      <c r="D104" s="361">
        <v>15.6</v>
      </c>
      <c r="E104" s="361">
        <v>18.100000000000001</v>
      </c>
      <c r="F104" s="361">
        <v>50.5</v>
      </c>
      <c r="G104" s="350" t="s">
        <v>437</v>
      </c>
      <c r="H104" s="22"/>
      <c r="I104" s="22"/>
    </row>
    <row r="105" spans="1:9" x14ac:dyDescent="0.25">
      <c r="A105" s="33"/>
    </row>
    <row r="106" spans="1:9" x14ac:dyDescent="0.25">
      <c r="A106" s="33" t="s">
        <v>10</v>
      </c>
      <c r="B106" s="100" t="s">
        <v>551</v>
      </c>
      <c r="C106" s="100"/>
      <c r="D106" s="100"/>
      <c r="E106" s="100"/>
      <c r="F106" s="100"/>
      <c r="G106" s="100"/>
      <c r="H106" s="100"/>
      <c r="I106" s="100"/>
    </row>
    <row r="107" spans="1:9" x14ac:dyDescent="0.25">
      <c r="A107" s="33"/>
      <c r="B107" s="341" t="s">
        <v>540</v>
      </c>
      <c r="C107" s="362">
        <v>5983505</v>
      </c>
      <c r="D107" s="20"/>
      <c r="E107" s="20"/>
      <c r="F107" s="20"/>
      <c r="G107" s="20"/>
      <c r="H107" s="20"/>
      <c r="I107" s="20"/>
    </row>
    <row r="108" spans="1:9" x14ac:dyDescent="0.25">
      <c r="A108" s="33"/>
      <c r="B108" s="342" t="s">
        <v>541</v>
      </c>
      <c r="C108" s="357">
        <v>5133527</v>
      </c>
      <c r="D108" s="21"/>
      <c r="E108" s="21"/>
      <c r="F108" s="21"/>
      <c r="G108" s="21"/>
      <c r="H108" s="21"/>
      <c r="I108" s="21"/>
    </row>
    <row r="109" spans="1:9" x14ac:dyDescent="0.25">
      <c r="A109" s="33"/>
      <c r="B109" s="342" t="s">
        <v>156</v>
      </c>
      <c r="C109" s="357">
        <v>3870198</v>
      </c>
      <c r="D109" s="21"/>
      <c r="E109" s="21"/>
      <c r="F109" s="21"/>
      <c r="G109" s="21"/>
      <c r="H109" s="21"/>
      <c r="I109" s="21"/>
    </row>
    <row r="110" spans="1:9" x14ac:dyDescent="0.25">
      <c r="A110" s="33"/>
      <c r="B110" s="342" t="s">
        <v>542</v>
      </c>
      <c r="C110" s="357">
        <v>2194855</v>
      </c>
      <c r="D110" s="21"/>
      <c r="E110" s="21"/>
      <c r="F110" s="21"/>
      <c r="G110" s="21"/>
      <c r="H110" s="21"/>
      <c r="I110" s="21"/>
    </row>
    <row r="111" spans="1:9" x14ac:dyDescent="0.25">
      <c r="A111" s="33"/>
      <c r="B111" s="342" t="s">
        <v>543</v>
      </c>
      <c r="C111" s="357">
        <v>2140958</v>
      </c>
      <c r="D111" s="21"/>
      <c r="E111" s="21"/>
      <c r="F111" s="21"/>
      <c r="G111" s="21"/>
      <c r="H111" s="21"/>
      <c r="I111" s="21"/>
    </row>
    <row r="112" spans="1:9" x14ac:dyDescent="0.25">
      <c r="A112" s="33"/>
      <c r="B112" s="342" t="s">
        <v>544</v>
      </c>
      <c r="C112" s="357">
        <v>1753621</v>
      </c>
      <c r="D112" s="21"/>
      <c r="E112" s="21"/>
      <c r="F112" s="21"/>
      <c r="G112" s="21"/>
      <c r="H112" s="21"/>
      <c r="I112" s="21"/>
    </row>
    <row r="113" spans="1:9" x14ac:dyDescent="0.25">
      <c r="A113" s="33"/>
      <c r="B113" s="342" t="s">
        <v>545</v>
      </c>
      <c r="C113" s="357">
        <v>1600443</v>
      </c>
      <c r="D113" s="21"/>
      <c r="E113" s="21"/>
      <c r="F113" s="21"/>
      <c r="G113" s="21"/>
      <c r="H113" s="21"/>
      <c r="I113" s="21"/>
    </row>
    <row r="114" spans="1:9" x14ac:dyDescent="0.25">
      <c r="A114" s="33"/>
      <c r="B114" s="342" t="s">
        <v>546</v>
      </c>
      <c r="C114" s="357">
        <v>1437467</v>
      </c>
      <c r="D114" s="21"/>
      <c r="E114" s="21"/>
      <c r="F114" s="21"/>
      <c r="G114" s="21"/>
      <c r="H114" s="21"/>
      <c r="I114" s="21"/>
    </row>
    <row r="115" spans="1:9" x14ac:dyDescent="0.25">
      <c r="A115" s="33"/>
      <c r="B115" s="342" t="s">
        <v>547</v>
      </c>
      <c r="C115" s="357">
        <v>1416031</v>
      </c>
      <c r="D115" s="21"/>
      <c r="E115" s="21"/>
      <c r="F115" s="21"/>
      <c r="G115" s="21"/>
      <c r="H115" s="21"/>
      <c r="I115" s="21"/>
    </row>
    <row r="116" spans="1:9" x14ac:dyDescent="0.25">
      <c r="A116" s="33"/>
      <c r="B116" s="342" t="s">
        <v>548</v>
      </c>
      <c r="C116" s="357">
        <v>179265</v>
      </c>
      <c r="D116" s="21"/>
      <c r="E116" s="21"/>
      <c r="F116" s="21"/>
      <c r="G116" s="21"/>
      <c r="H116" s="21"/>
      <c r="I116" s="21"/>
    </row>
    <row r="117" spans="1:9" x14ac:dyDescent="0.25">
      <c r="A117" s="33"/>
      <c r="B117" s="342" t="s">
        <v>549</v>
      </c>
      <c r="C117" s="357">
        <v>80584</v>
      </c>
      <c r="D117" s="21"/>
      <c r="E117" s="21"/>
      <c r="F117" s="21"/>
      <c r="G117" s="21"/>
      <c r="H117" s="21"/>
      <c r="I117" s="21"/>
    </row>
    <row r="118" spans="1:9" x14ac:dyDescent="0.25">
      <c r="A118" s="33"/>
      <c r="B118" s="343" t="s">
        <v>550</v>
      </c>
      <c r="C118" s="358">
        <v>17282</v>
      </c>
      <c r="D118" s="22"/>
      <c r="E118" s="22"/>
      <c r="F118" s="22"/>
      <c r="G118" s="22"/>
      <c r="H118" s="22"/>
      <c r="I118" s="22"/>
    </row>
    <row r="119" spans="1:9" x14ac:dyDescent="0.25">
      <c r="A119" s="33"/>
    </row>
    <row r="120" spans="1:9" x14ac:dyDescent="0.25">
      <c r="A120" s="33" t="s">
        <v>10</v>
      </c>
      <c r="B120" s="100" t="s">
        <v>562</v>
      </c>
      <c r="C120" s="100"/>
      <c r="D120" s="100"/>
      <c r="E120" s="100"/>
      <c r="F120" s="100"/>
      <c r="G120" s="100"/>
      <c r="H120" s="100"/>
      <c r="I120" s="100"/>
    </row>
    <row r="121" spans="1:9" x14ac:dyDescent="0.25">
      <c r="A121" s="33"/>
      <c r="B121" s="341" t="s">
        <v>543</v>
      </c>
      <c r="C121" s="362">
        <v>59961</v>
      </c>
      <c r="D121" s="20"/>
      <c r="E121" s="20"/>
      <c r="F121" s="20"/>
      <c r="G121" s="20"/>
      <c r="H121" s="20"/>
      <c r="I121" s="20"/>
    </row>
    <row r="122" spans="1:9" x14ac:dyDescent="0.25">
      <c r="A122" s="33"/>
      <c r="B122" s="342" t="s">
        <v>552</v>
      </c>
      <c r="C122" s="357">
        <v>41511</v>
      </c>
      <c r="D122" s="21"/>
      <c r="E122" s="21"/>
      <c r="F122" s="21"/>
      <c r="G122" s="21"/>
      <c r="H122" s="21"/>
      <c r="I122" s="21"/>
    </row>
    <row r="123" spans="1:9" x14ac:dyDescent="0.25">
      <c r="A123" s="33"/>
      <c r="B123" s="342" t="s">
        <v>553</v>
      </c>
      <c r="C123" s="357">
        <v>22553</v>
      </c>
      <c r="D123" s="21"/>
      <c r="E123" s="21"/>
      <c r="F123" s="21"/>
      <c r="G123" s="21"/>
      <c r="H123" s="21"/>
      <c r="I123" s="21"/>
    </row>
    <row r="124" spans="1:9" x14ac:dyDescent="0.25">
      <c r="A124" s="33"/>
      <c r="B124" s="342" t="s">
        <v>156</v>
      </c>
      <c r="C124" s="357">
        <v>19010</v>
      </c>
      <c r="D124" s="21"/>
      <c r="E124" s="21"/>
      <c r="F124" s="21"/>
      <c r="G124" s="21"/>
      <c r="H124" s="21"/>
      <c r="I124" s="21"/>
    </row>
    <row r="125" spans="1:9" x14ac:dyDescent="0.25">
      <c r="A125" s="33"/>
      <c r="B125" s="342" t="s">
        <v>554</v>
      </c>
      <c r="C125" s="357">
        <v>16519</v>
      </c>
      <c r="D125" s="21"/>
      <c r="E125" s="21"/>
      <c r="F125" s="21"/>
      <c r="G125" s="21"/>
      <c r="H125" s="21"/>
      <c r="I125" s="21"/>
    </row>
    <row r="126" spans="1:9" x14ac:dyDescent="0.25">
      <c r="A126" s="33"/>
      <c r="B126" s="342" t="s">
        <v>555</v>
      </c>
      <c r="C126" s="357">
        <v>15012</v>
      </c>
      <c r="D126" s="21"/>
      <c r="E126" s="21"/>
      <c r="F126" s="21"/>
      <c r="G126" s="21"/>
      <c r="H126" s="21"/>
      <c r="I126" s="21"/>
    </row>
    <row r="127" spans="1:9" x14ac:dyDescent="0.25">
      <c r="A127" s="33"/>
      <c r="B127" s="342" t="s">
        <v>556</v>
      </c>
      <c r="C127" s="357">
        <v>14752</v>
      </c>
      <c r="D127" s="21"/>
      <c r="E127" s="21"/>
      <c r="F127" s="21"/>
      <c r="G127" s="21"/>
      <c r="H127" s="21"/>
      <c r="I127" s="21"/>
    </row>
    <row r="128" spans="1:9" x14ac:dyDescent="0.25">
      <c r="A128" s="33"/>
      <c r="B128" s="342" t="s">
        <v>557</v>
      </c>
      <c r="C128" s="357">
        <v>12760</v>
      </c>
      <c r="D128" s="21"/>
      <c r="E128" s="21"/>
      <c r="F128" s="21"/>
      <c r="G128" s="21"/>
      <c r="H128" s="21"/>
      <c r="I128" s="21"/>
    </row>
    <row r="129" spans="1:9" x14ac:dyDescent="0.25">
      <c r="A129" s="33"/>
      <c r="B129" s="342" t="s">
        <v>558</v>
      </c>
      <c r="C129" s="357">
        <v>3392</v>
      </c>
      <c r="D129" s="21"/>
      <c r="E129" s="21"/>
      <c r="F129" s="21"/>
      <c r="G129" s="21"/>
      <c r="H129" s="21"/>
      <c r="I129" s="21"/>
    </row>
    <row r="130" spans="1:9" x14ac:dyDescent="0.25">
      <c r="A130" s="33"/>
      <c r="B130" s="342" t="s">
        <v>559</v>
      </c>
      <c r="C130" s="357">
        <v>2801</v>
      </c>
      <c r="D130" s="21"/>
      <c r="E130" s="21"/>
      <c r="F130" s="21"/>
      <c r="G130" s="21"/>
      <c r="H130" s="21"/>
      <c r="I130" s="21"/>
    </row>
    <row r="131" spans="1:9" x14ac:dyDescent="0.25">
      <c r="A131" s="33"/>
      <c r="B131" s="342" t="s">
        <v>560</v>
      </c>
      <c r="C131" s="357">
        <v>1294</v>
      </c>
      <c r="D131" s="21"/>
      <c r="E131" s="21"/>
      <c r="F131" s="21"/>
      <c r="G131" s="21"/>
      <c r="H131" s="21"/>
      <c r="I131" s="21"/>
    </row>
    <row r="132" spans="1:9" x14ac:dyDescent="0.25">
      <c r="A132" s="33"/>
      <c r="B132" s="343" t="s">
        <v>561</v>
      </c>
      <c r="C132" s="358">
        <v>605</v>
      </c>
      <c r="D132" s="22"/>
      <c r="E132" s="22"/>
      <c r="F132" s="22"/>
      <c r="G132" s="22"/>
      <c r="H132" s="22"/>
      <c r="I132" s="22"/>
    </row>
    <row r="133" spans="1:9" x14ac:dyDescent="0.25">
      <c r="A133" s="33"/>
    </row>
    <row r="134" spans="1:9" x14ac:dyDescent="0.25">
      <c r="A134" s="33" t="s">
        <v>10</v>
      </c>
      <c r="B134" s="100" t="s">
        <v>563</v>
      </c>
      <c r="C134" s="100"/>
      <c r="D134" s="100"/>
      <c r="E134" s="100"/>
      <c r="F134" s="100"/>
      <c r="G134" s="100"/>
      <c r="H134" s="100"/>
      <c r="I134" s="100"/>
    </row>
    <row r="135" spans="1:9" x14ac:dyDescent="0.25">
      <c r="A135" s="33"/>
      <c r="B135" s="341" t="s">
        <v>564</v>
      </c>
      <c r="C135" s="362">
        <v>312946</v>
      </c>
      <c r="D135" s="20"/>
      <c r="E135" s="20"/>
      <c r="F135" s="20"/>
      <c r="G135" s="20"/>
      <c r="H135" s="20"/>
      <c r="I135" s="20"/>
    </row>
    <row r="136" spans="1:9" x14ac:dyDescent="0.25">
      <c r="A136" s="33"/>
      <c r="B136" s="342" t="s">
        <v>543</v>
      </c>
      <c r="C136" s="357">
        <v>257897</v>
      </c>
      <c r="D136" s="21"/>
      <c r="E136" s="21"/>
      <c r="F136" s="21"/>
      <c r="G136" s="21"/>
      <c r="H136" s="21"/>
      <c r="I136" s="21"/>
    </row>
    <row r="137" spans="1:9" x14ac:dyDescent="0.25">
      <c r="A137" s="33"/>
      <c r="B137" s="342" t="s">
        <v>156</v>
      </c>
      <c r="C137" s="357">
        <v>206849</v>
      </c>
      <c r="D137" s="21"/>
      <c r="E137" s="21"/>
      <c r="F137" s="21"/>
      <c r="G137" s="21"/>
      <c r="H137" s="21"/>
      <c r="I137" s="21"/>
    </row>
    <row r="138" spans="1:9" x14ac:dyDescent="0.25">
      <c r="A138" s="33"/>
      <c r="B138" s="342" t="s">
        <v>555</v>
      </c>
      <c r="C138" s="357">
        <v>203677</v>
      </c>
      <c r="D138" s="21"/>
      <c r="E138" s="21"/>
      <c r="F138" s="21"/>
      <c r="G138" s="21"/>
      <c r="H138" s="21"/>
      <c r="I138" s="21"/>
    </row>
    <row r="139" spans="1:9" x14ac:dyDescent="0.25">
      <c r="A139" s="33"/>
      <c r="B139" s="342" t="s">
        <v>556</v>
      </c>
      <c r="C139" s="357">
        <v>123765</v>
      </c>
      <c r="D139" s="21"/>
      <c r="E139" s="21"/>
      <c r="F139" s="21"/>
      <c r="G139" s="21"/>
      <c r="H139" s="21"/>
      <c r="I139" s="21"/>
    </row>
    <row r="140" spans="1:9" x14ac:dyDescent="0.25">
      <c r="A140" s="33"/>
      <c r="B140" s="342" t="s">
        <v>554</v>
      </c>
      <c r="C140" s="357">
        <v>94788</v>
      </c>
      <c r="D140" s="21"/>
      <c r="E140" s="21"/>
      <c r="F140" s="21"/>
      <c r="G140" s="21"/>
      <c r="H140" s="21"/>
      <c r="I140" s="21"/>
    </row>
    <row r="141" spans="1:9" x14ac:dyDescent="0.25">
      <c r="A141" s="33"/>
      <c r="B141" s="342" t="s">
        <v>553</v>
      </c>
      <c r="C141" s="357">
        <v>89961</v>
      </c>
      <c r="D141" s="21"/>
      <c r="E141" s="21"/>
      <c r="F141" s="21"/>
      <c r="G141" s="21"/>
      <c r="H141" s="21"/>
      <c r="I141" s="21"/>
    </row>
    <row r="142" spans="1:9" x14ac:dyDescent="0.25">
      <c r="A142" s="33"/>
      <c r="B142" s="342" t="s">
        <v>557</v>
      </c>
      <c r="C142" s="357">
        <v>58060</v>
      </c>
      <c r="D142" s="21"/>
      <c r="E142" s="21"/>
      <c r="F142" s="21"/>
      <c r="G142" s="21"/>
      <c r="H142" s="21"/>
      <c r="I142" s="21"/>
    </row>
    <row r="143" spans="1:9" x14ac:dyDescent="0.25">
      <c r="A143" s="33"/>
      <c r="B143" s="342" t="s">
        <v>559</v>
      </c>
      <c r="C143" s="357">
        <v>23018</v>
      </c>
      <c r="D143" s="21"/>
      <c r="E143" s="21"/>
      <c r="F143" s="21"/>
      <c r="G143" s="21"/>
      <c r="H143" s="21"/>
      <c r="I143" s="21"/>
    </row>
    <row r="144" spans="1:9" x14ac:dyDescent="0.25">
      <c r="A144" s="33"/>
      <c r="B144" s="342" t="s">
        <v>558</v>
      </c>
      <c r="C144" s="357">
        <v>10827</v>
      </c>
      <c r="D144" s="21"/>
      <c r="E144" s="21"/>
      <c r="F144" s="21"/>
      <c r="G144" s="21"/>
      <c r="H144" s="21"/>
      <c r="I144" s="21"/>
    </row>
    <row r="145" spans="1:9" x14ac:dyDescent="0.25">
      <c r="A145" s="33"/>
      <c r="B145" s="342" t="s">
        <v>560</v>
      </c>
      <c r="C145" s="357">
        <v>3370</v>
      </c>
      <c r="D145" s="21"/>
      <c r="E145" s="21"/>
      <c r="F145" s="21"/>
      <c r="G145" s="21"/>
      <c r="H145" s="21"/>
      <c r="I145" s="21"/>
    </row>
    <row r="146" spans="1:9" x14ac:dyDescent="0.25">
      <c r="A146" s="33"/>
      <c r="B146" s="343" t="s">
        <v>561</v>
      </c>
      <c r="C146" s="358">
        <v>2856</v>
      </c>
      <c r="D146" s="22"/>
      <c r="E146" s="22"/>
      <c r="F146" s="22"/>
      <c r="G146" s="22"/>
      <c r="H146" s="22"/>
      <c r="I146" s="22"/>
    </row>
    <row r="147" spans="1:9" x14ac:dyDescent="0.25">
      <c r="A147" s="33"/>
    </row>
    <row r="148" spans="1:9" x14ac:dyDescent="0.25">
      <c r="A148" s="33" t="s">
        <v>10</v>
      </c>
      <c r="B148" s="100" t="s">
        <v>677</v>
      </c>
      <c r="C148" s="100"/>
      <c r="D148" s="100"/>
      <c r="E148" s="100"/>
      <c r="F148" s="100"/>
      <c r="G148" s="100"/>
      <c r="H148" s="100"/>
      <c r="I148" s="100"/>
    </row>
    <row r="149" spans="1:9" x14ac:dyDescent="0.25">
      <c r="B149" s="341" t="s">
        <v>552</v>
      </c>
      <c r="C149" s="362">
        <v>5645428</v>
      </c>
      <c r="D149" s="20"/>
      <c r="E149" s="20"/>
      <c r="F149" s="20"/>
      <c r="G149" s="20"/>
      <c r="H149" s="20"/>
      <c r="I149" s="20"/>
    </row>
    <row r="150" spans="1:9" x14ac:dyDescent="0.25">
      <c r="B150" s="342" t="s">
        <v>556</v>
      </c>
      <c r="C150" s="357">
        <v>5090776</v>
      </c>
      <c r="D150" s="21"/>
      <c r="E150" s="21"/>
      <c r="F150" s="21"/>
      <c r="G150" s="21"/>
      <c r="H150" s="21"/>
      <c r="I150" s="21"/>
    </row>
    <row r="151" spans="1:9" x14ac:dyDescent="0.25">
      <c r="B151" s="342" t="s">
        <v>156</v>
      </c>
      <c r="C151" s="357">
        <v>3647258</v>
      </c>
      <c r="D151" s="21"/>
      <c r="E151" s="21"/>
      <c r="F151" s="21"/>
      <c r="G151" s="21"/>
      <c r="H151" s="21"/>
      <c r="I151" s="21"/>
    </row>
    <row r="152" spans="1:9" x14ac:dyDescent="0.25">
      <c r="B152" s="342" t="s">
        <v>555</v>
      </c>
      <c r="C152" s="357">
        <v>2014966</v>
      </c>
      <c r="D152" s="21"/>
      <c r="E152" s="21"/>
      <c r="F152" s="21"/>
      <c r="G152" s="21"/>
      <c r="H152" s="21"/>
      <c r="I152" s="21"/>
    </row>
    <row r="153" spans="1:9" x14ac:dyDescent="0.25">
      <c r="B153" s="342" t="s">
        <v>543</v>
      </c>
      <c r="C153" s="357">
        <v>1819423</v>
      </c>
      <c r="D153" s="21"/>
      <c r="E153" s="21"/>
      <c r="F153" s="21"/>
      <c r="G153" s="21"/>
      <c r="H153" s="21"/>
      <c r="I153" s="21"/>
    </row>
    <row r="154" spans="1:9" x14ac:dyDescent="0.25">
      <c r="B154" s="342" t="s">
        <v>553</v>
      </c>
      <c r="C154" s="357">
        <v>1670944</v>
      </c>
      <c r="D154" s="21"/>
      <c r="E154" s="21"/>
      <c r="F154" s="21"/>
      <c r="G154" s="21"/>
      <c r="H154" s="21"/>
      <c r="I154" s="21"/>
    </row>
    <row r="155" spans="1:9" x14ac:dyDescent="0.25">
      <c r="B155" s="342" t="s">
        <v>559</v>
      </c>
      <c r="C155" s="357">
        <v>1598398</v>
      </c>
      <c r="D155" s="21"/>
      <c r="E155" s="21"/>
      <c r="F155" s="21"/>
      <c r="G155" s="21"/>
      <c r="H155" s="21"/>
      <c r="I155" s="21"/>
    </row>
    <row r="156" spans="1:9" x14ac:dyDescent="0.25">
      <c r="B156" s="342" t="s">
        <v>557</v>
      </c>
      <c r="C156" s="357">
        <v>1382678</v>
      </c>
      <c r="D156" s="21"/>
      <c r="E156" s="21"/>
      <c r="F156" s="21"/>
      <c r="G156" s="21"/>
      <c r="H156" s="21"/>
      <c r="I156" s="21"/>
    </row>
    <row r="157" spans="1:9" x14ac:dyDescent="0.25">
      <c r="B157" s="342" t="s">
        <v>554</v>
      </c>
      <c r="C157" s="357">
        <v>1336866</v>
      </c>
      <c r="D157" s="21"/>
      <c r="E157" s="21"/>
      <c r="F157" s="21"/>
      <c r="G157" s="21"/>
      <c r="H157" s="21"/>
      <c r="I157" s="21"/>
    </row>
    <row r="158" spans="1:9" x14ac:dyDescent="0.25">
      <c r="B158" s="342" t="s">
        <v>560</v>
      </c>
      <c r="C158" s="357">
        <v>178173</v>
      </c>
      <c r="D158" s="21"/>
      <c r="E158" s="21"/>
      <c r="F158" s="21"/>
      <c r="G158" s="21"/>
      <c r="H158" s="21"/>
      <c r="I158" s="21"/>
    </row>
    <row r="159" spans="1:9" x14ac:dyDescent="0.25">
      <c r="B159" s="342" t="s">
        <v>558</v>
      </c>
      <c r="C159" s="357">
        <v>67460</v>
      </c>
      <c r="D159" s="21"/>
      <c r="E159" s="21"/>
      <c r="F159" s="21"/>
      <c r="G159" s="21"/>
      <c r="H159" s="21"/>
      <c r="I159" s="21"/>
    </row>
    <row r="160" spans="1:9" x14ac:dyDescent="0.25">
      <c r="B160" s="363" t="s">
        <v>561</v>
      </c>
      <c r="C160" s="364">
        <v>13531</v>
      </c>
      <c r="D160" s="27"/>
      <c r="E160" s="27"/>
      <c r="F160" s="27"/>
      <c r="G160" s="27"/>
      <c r="H160" s="27"/>
      <c r="I160" s="27"/>
    </row>
    <row r="16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27C80-49A0-4924-BA9D-74A3AF61FA28}">
  <dimension ref="A1:J22"/>
  <sheetViews>
    <sheetView showGridLines="0" zoomScale="70" zoomScaleNormal="70" workbookViewId="0"/>
  </sheetViews>
  <sheetFormatPr defaultColWidth="0" defaultRowHeight="14.5" zeroHeight="1" x14ac:dyDescent="0.35"/>
  <cols>
    <col min="1" max="1" width="3.6328125" customWidth="1"/>
    <col min="2" max="2" width="46.1796875" bestFit="1" customWidth="1"/>
    <col min="3" max="3" width="9.6328125" bestFit="1" customWidth="1"/>
    <col min="4" max="4" width="3.6328125" customWidth="1"/>
    <col min="5" max="10" width="0" hidden="1" customWidth="1"/>
    <col min="11" max="16384" width="8.7265625" hidden="1"/>
  </cols>
  <sheetData>
    <row r="1" spans="1:3" s="5" customFormat="1" ht="14" x14ac:dyDescent="0.3">
      <c r="A1" s="8" t="str">
        <f ca="1">MID(CELL("filename",A1),FIND("]",CELL("filename",A1))+1,255)</f>
        <v>4.5 UK SME Data</v>
      </c>
      <c r="B1" s="239"/>
    </row>
    <row r="2" spans="1:3" s="5" customFormat="1" ht="11.5" x14ac:dyDescent="0.25">
      <c r="A2" s="7" t="s">
        <v>622</v>
      </c>
      <c r="B2" s="239"/>
    </row>
    <row r="3" spans="1:3" s="44" customFormat="1" ht="11.5" x14ac:dyDescent="0.25">
      <c r="A3" s="294"/>
      <c r="B3" s="295"/>
    </row>
    <row r="4" spans="1:3" s="3" customFormat="1" ht="11.5" x14ac:dyDescent="0.25">
      <c r="B4" s="100" t="s">
        <v>620</v>
      </c>
      <c r="C4" s="29" t="s">
        <v>621</v>
      </c>
    </row>
    <row r="5" spans="1:3" s="3" customFormat="1" ht="11.5" x14ac:dyDescent="0.25">
      <c r="B5" s="303" t="s">
        <v>156</v>
      </c>
      <c r="C5" s="304">
        <v>870040</v>
      </c>
    </row>
    <row r="6" spans="1:3" s="3" customFormat="1" ht="11.5" x14ac:dyDescent="0.25">
      <c r="B6" s="305" t="s">
        <v>566</v>
      </c>
      <c r="C6" s="306">
        <v>754520</v>
      </c>
    </row>
    <row r="7" spans="1:3" s="3" customFormat="1" ht="11.5" x14ac:dyDescent="0.25">
      <c r="B7" s="305" t="s">
        <v>567</v>
      </c>
      <c r="C7" s="306">
        <v>558345</v>
      </c>
    </row>
    <row r="8" spans="1:3" s="3" customFormat="1" ht="11.5" x14ac:dyDescent="0.25">
      <c r="B8" s="305" t="s">
        <v>568</v>
      </c>
      <c r="C8" s="306">
        <v>367470</v>
      </c>
    </row>
    <row r="9" spans="1:3" s="3" customFormat="1" ht="11.5" x14ac:dyDescent="0.25">
      <c r="B9" s="305" t="s">
        <v>569</v>
      </c>
      <c r="C9" s="306">
        <v>355535</v>
      </c>
    </row>
    <row r="10" spans="1:3" s="3" customFormat="1" ht="11.5" x14ac:dyDescent="0.25">
      <c r="B10" s="305" t="s">
        <v>570</v>
      </c>
      <c r="C10" s="306">
        <v>337705</v>
      </c>
    </row>
    <row r="11" spans="1:3" s="3" customFormat="1" ht="11.5" x14ac:dyDescent="0.25">
      <c r="B11" s="305" t="s">
        <v>571</v>
      </c>
      <c r="C11" s="306">
        <v>312550</v>
      </c>
    </row>
    <row r="12" spans="1:3" s="3" customFormat="1" ht="11.5" x14ac:dyDescent="0.25">
      <c r="B12" s="305" t="s">
        <v>165</v>
      </c>
      <c r="C12" s="306">
        <v>298445</v>
      </c>
    </row>
    <row r="13" spans="1:3" s="3" customFormat="1" ht="11.5" x14ac:dyDescent="0.25">
      <c r="B13" s="305" t="s">
        <v>572</v>
      </c>
      <c r="C13" s="306">
        <v>280290</v>
      </c>
    </row>
    <row r="14" spans="1:3" s="3" customFormat="1" ht="11.5" x14ac:dyDescent="0.25">
      <c r="B14" s="305" t="s">
        <v>543</v>
      </c>
      <c r="C14" s="306">
        <v>246245</v>
      </c>
    </row>
    <row r="15" spans="1:3" s="3" customFormat="1" ht="11.5" x14ac:dyDescent="0.25">
      <c r="B15" s="305" t="s">
        <v>573</v>
      </c>
      <c r="C15" s="306">
        <v>211675</v>
      </c>
    </row>
    <row r="16" spans="1:3" s="3" customFormat="1" ht="11.5" x14ac:dyDescent="0.25">
      <c r="B16" s="305" t="s">
        <v>574</v>
      </c>
      <c r="C16" s="306">
        <v>147800</v>
      </c>
    </row>
    <row r="17" spans="2:3" s="3" customFormat="1" ht="11.5" x14ac:dyDescent="0.25">
      <c r="B17" s="305" t="s">
        <v>575</v>
      </c>
      <c r="C17" s="306">
        <v>142780</v>
      </c>
    </row>
    <row r="18" spans="2:3" s="3" customFormat="1" ht="11.5" x14ac:dyDescent="0.25">
      <c r="B18" s="305" t="s">
        <v>576</v>
      </c>
      <c r="C18" s="306">
        <v>127720</v>
      </c>
    </row>
    <row r="19" spans="2:3" s="3" customFormat="1" ht="11.5" x14ac:dyDescent="0.25">
      <c r="B19" s="305" t="s">
        <v>577</v>
      </c>
      <c r="C19" s="306">
        <v>85890</v>
      </c>
    </row>
    <row r="20" spans="2:3" s="3" customFormat="1" ht="11.5" x14ac:dyDescent="0.25">
      <c r="B20" s="307" t="s">
        <v>578</v>
      </c>
      <c r="C20" s="308">
        <v>30965</v>
      </c>
    </row>
    <row r="21" spans="2:3" s="3" customFormat="1" ht="11.5" x14ac:dyDescent="0.25">
      <c r="B21" s="226" t="s">
        <v>599</v>
      </c>
      <c r="C21" s="302">
        <f>SUM(C5:C20)</f>
        <v>5127975</v>
      </c>
    </row>
    <row r="22" spans="2:3" s="3" customFormat="1" ht="11.5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8AA1F-480E-47D3-AE6D-99D7A078ECDA}">
  <dimension ref="A1:G26"/>
  <sheetViews>
    <sheetView showGridLines="0" zoomScale="70" zoomScaleNormal="70" workbookViewId="0"/>
  </sheetViews>
  <sheetFormatPr defaultColWidth="0" defaultRowHeight="14.5" zeroHeight="1" x14ac:dyDescent="0.35"/>
  <cols>
    <col min="1" max="1" width="3.6328125" customWidth="1"/>
    <col min="2" max="2" width="38.1796875" bestFit="1" customWidth="1"/>
    <col min="3" max="3" width="15.36328125" bestFit="1" customWidth="1"/>
    <col min="4" max="4" width="13.1796875" bestFit="1" customWidth="1"/>
    <col min="5" max="5" width="15.08984375" bestFit="1" customWidth="1"/>
    <col min="6" max="6" width="17.1796875" bestFit="1" customWidth="1"/>
    <col min="7" max="7" width="3.6328125" customWidth="1"/>
    <col min="8" max="16384" width="8.7265625" hidden="1"/>
  </cols>
  <sheetData>
    <row r="1" spans="1:6" s="5" customFormat="1" ht="14" x14ac:dyDescent="0.3">
      <c r="A1" s="8" t="str">
        <f ca="1">MID(CELL("filename",A1),FIND("]",CELL("filename",A1))+1,255)</f>
        <v>4.6 USA SME Data</v>
      </c>
      <c r="B1" s="239"/>
    </row>
    <row r="2" spans="1:6" s="5" customFormat="1" ht="11.5" x14ac:dyDescent="0.25">
      <c r="A2" s="7" t="s">
        <v>618</v>
      </c>
      <c r="B2" s="239"/>
    </row>
    <row r="3" spans="1:6" s="3" customFormat="1" ht="11.5" x14ac:dyDescent="0.25"/>
    <row r="4" spans="1:6" s="3" customFormat="1" ht="11.5" x14ac:dyDescent="0.25">
      <c r="B4" s="100" t="s">
        <v>619</v>
      </c>
      <c r="C4" s="296" t="s">
        <v>595</v>
      </c>
      <c r="D4" s="296" t="s">
        <v>596</v>
      </c>
      <c r="E4" s="296" t="s">
        <v>597</v>
      </c>
      <c r="F4" s="296" t="s">
        <v>598</v>
      </c>
    </row>
    <row r="5" spans="1:6" s="3" customFormat="1" ht="11.5" x14ac:dyDescent="0.25">
      <c r="B5" s="297" t="s">
        <v>579</v>
      </c>
      <c r="C5" s="298">
        <v>3689878</v>
      </c>
      <c r="D5" s="298">
        <v>784970</v>
      </c>
      <c r="E5" s="298">
        <v>52089</v>
      </c>
      <c r="F5" s="298">
        <f t="shared" ref="F5:F25" si="0">SUM(C5:E5)</f>
        <v>4526937</v>
      </c>
    </row>
    <row r="6" spans="1:6" s="3" customFormat="1" ht="11.5" x14ac:dyDescent="0.25">
      <c r="B6" s="299" t="s">
        <v>156</v>
      </c>
      <c r="C6" s="300">
        <v>2879156</v>
      </c>
      <c r="D6" s="300">
        <v>675352</v>
      </c>
      <c r="E6" s="300">
        <v>61687</v>
      </c>
      <c r="F6" s="300">
        <f t="shared" si="0"/>
        <v>3616195</v>
      </c>
    </row>
    <row r="7" spans="1:6" s="3" customFormat="1" ht="11.5" x14ac:dyDescent="0.25">
      <c r="B7" s="299" t="s">
        <v>580</v>
      </c>
      <c r="C7" s="300">
        <v>2811836</v>
      </c>
      <c r="D7" s="300">
        <v>658721</v>
      </c>
      <c r="E7" s="300">
        <v>45604</v>
      </c>
      <c r="F7" s="300">
        <f t="shared" si="0"/>
        <v>3516161</v>
      </c>
    </row>
    <row r="8" spans="1:6" s="3" customFormat="1" ht="11.5" x14ac:dyDescent="0.25">
      <c r="B8" s="299" t="s">
        <v>581</v>
      </c>
      <c r="C8" s="300">
        <v>3189090</v>
      </c>
      <c r="D8" s="300">
        <v>180919</v>
      </c>
      <c r="E8" s="300">
        <v>21462</v>
      </c>
      <c r="F8" s="300">
        <f t="shared" si="0"/>
        <v>3391471</v>
      </c>
    </row>
    <row r="9" spans="1:6" s="3" customFormat="1" ht="11.5" x14ac:dyDescent="0.25">
      <c r="B9" s="299" t="s">
        <v>582</v>
      </c>
      <c r="C9" s="300">
        <v>2988448</v>
      </c>
      <c r="D9" s="300">
        <v>325375</v>
      </c>
      <c r="E9" s="300">
        <v>13133</v>
      </c>
      <c r="F9" s="300">
        <f t="shared" si="0"/>
        <v>3326956</v>
      </c>
    </row>
    <row r="10" spans="1:6" s="3" customFormat="1" ht="11.5" x14ac:dyDescent="0.25">
      <c r="B10" s="299" t="s">
        <v>583</v>
      </c>
      <c r="C10" s="300">
        <v>2554511</v>
      </c>
      <c r="D10" s="300">
        <v>313759</v>
      </c>
      <c r="E10" s="300">
        <v>39298</v>
      </c>
      <c r="F10" s="300">
        <f t="shared" si="0"/>
        <v>2907568</v>
      </c>
    </row>
    <row r="11" spans="1:6" s="3" customFormat="1" ht="11.5" x14ac:dyDescent="0.25">
      <c r="B11" s="299" t="s">
        <v>584</v>
      </c>
      <c r="C11" s="300">
        <v>2256913</v>
      </c>
      <c r="D11" s="300">
        <v>575378</v>
      </c>
      <c r="E11" s="300">
        <v>55089</v>
      </c>
      <c r="F11" s="300">
        <f t="shared" si="0"/>
        <v>2887380</v>
      </c>
    </row>
    <row r="12" spans="1:6" s="3" customFormat="1" ht="11.5" x14ac:dyDescent="0.25">
      <c r="B12" s="299" t="s">
        <v>585</v>
      </c>
      <c r="C12" s="300">
        <v>2008189</v>
      </c>
      <c r="D12" s="300">
        <v>574291</v>
      </c>
      <c r="E12" s="300">
        <v>92290</v>
      </c>
      <c r="F12" s="300">
        <f t="shared" si="0"/>
        <v>2674770</v>
      </c>
    </row>
    <row r="13" spans="1:6" s="3" customFormat="1" ht="11.5" x14ac:dyDescent="0.25">
      <c r="B13" s="299" t="s">
        <v>572</v>
      </c>
      <c r="C13" s="300">
        <v>1339293</v>
      </c>
      <c r="D13" s="300">
        <v>120291</v>
      </c>
      <c r="E13" s="300">
        <v>17072</v>
      </c>
      <c r="F13" s="300">
        <f t="shared" si="0"/>
        <v>1476656</v>
      </c>
    </row>
    <row r="14" spans="1:6" s="3" customFormat="1" ht="11.5" x14ac:dyDescent="0.25">
      <c r="B14" s="299" t="s">
        <v>586</v>
      </c>
      <c r="C14" s="300">
        <v>491813</v>
      </c>
      <c r="D14" s="300">
        <v>418167</v>
      </c>
      <c r="E14" s="300">
        <v>124706</v>
      </c>
      <c r="F14" s="300">
        <f t="shared" si="0"/>
        <v>1034686</v>
      </c>
    </row>
    <row r="15" spans="1:6" s="3" customFormat="1" ht="11.5" x14ac:dyDescent="0.25">
      <c r="B15" s="299" t="s">
        <v>587</v>
      </c>
      <c r="C15" s="300">
        <v>758239</v>
      </c>
      <c r="D15" s="300">
        <v>223670</v>
      </c>
      <c r="E15" s="300">
        <v>15562</v>
      </c>
      <c r="F15" s="300">
        <f t="shared" si="0"/>
        <v>997471</v>
      </c>
    </row>
    <row r="16" spans="1:6" s="3" customFormat="1" ht="11.5" x14ac:dyDescent="0.25">
      <c r="B16" s="299" t="s">
        <v>588</v>
      </c>
      <c r="C16" s="300">
        <v>760552</v>
      </c>
      <c r="D16" s="300">
        <v>77641</v>
      </c>
      <c r="E16" s="300">
        <v>19632</v>
      </c>
      <c r="F16" s="300">
        <f t="shared" si="0"/>
        <v>857825</v>
      </c>
    </row>
    <row r="17" spans="2:6" s="3" customFormat="1" ht="11.5" x14ac:dyDescent="0.25">
      <c r="B17" s="299" t="s">
        <v>589</v>
      </c>
      <c r="C17" s="300">
        <v>393682</v>
      </c>
      <c r="D17" s="300">
        <v>239122</v>
      </c>
      <c r="E17" s="300">
        <v>39339</v>
      </c>
      <c r="F17" s="300">
        <f t="shared" si="0"/>
        <v>672143</v>
      </c>
    </row>
    <row r="18" spans="2:6" s="3" customFormat="1" ht="11.5" x14ac:dyDescent="0.25">
      <c r="B18" s="299" t="s">
        <v>543</v>
      </c>
      <c r="C18" s="300">
        <v>356971</v>
      </c>
      <c r="D18" s="300">
        <v>178210</v>
      </c>
      <c r="E18" s="300">
        <v>57373</v>
      </c>
      <c r="F18" s="300">
        <f t="shared" si="0"/>
        <v>592554</v>
      </c>
    </row>
    <row r="19" spans="2:6" s="3" customFormat="1" ht="11.5" x14ac:dyDescent="0.25">
      <c r="B19" s="299" t="s">
        <v>590</v>
      </c>
      <c r="C19" s="300">
        <v>334717</v>
      </c>
      <c r="D19" s="300">
        <v>72997</v>
      </c>
      <c r="E19" s="300">
        <v>10121</v>
      </c>
      <c r="F19" s="300">
        <f t="shared" si="0"/>
        <v>417835</v>
      </c>
    </row>
    <row r="20" spans="2:6" s="3" customFormat="1" ht="11.5" x14ac:dyDescent="0.25">
      <c r="B20" s="299" t="s">
        <v>591</v>
      </c>
      <c r="C20" s="300">
        <v>255956</v>
      </c>
      <c r="D20" s="300">
        <v>20573</v>
      </c>
      <c r="E20" s="300">
        <v>1385</v>
      </c>
      <c r="F20" s="300">
        <f t="shared" si="0"/>
        <v>277914</v>
      </c>
    </row>
    <row r="21" spans="2:6" s="3" customFormat="1" ht="11.5" x14ac:dyDescent="0.25">
      <c r="B21" s="299" t="s">
        <v>592</v>
      </c>
      <c r="C21" s="300">
        <v>67754</v>
      </c>
      <c r="D21" s="300">
        <v>14372</v>
      </c>
      <c r="E21" s="300">
        <v>2978</v>
      </c>
      <c r="F21" s="300">
        <f t="shared" si="0"/>
        <v>85104</v>
      </c>
    </row>
    <row r="22" spans="2:6" s="3" customFormat="1" ht="11.5" x14ac:dyDescent="0.25">
      <c r="B22" s="299" t="s">
        <v>363</v>
      </c>
      <c r="C22" s="300">
        <v>14989</v>
      </c>
      <c r="D22" s="300">
        <v>4740</v>
      </c>
      <c r="E22" s="300">
        <v>1236</v>
      </c>
      <c r="F22" s="300">
        <f t="shared" si="0"/>
        <v>20965</v>
      </c>
    </row>
    <row r="23" spans="2:6" s="3" customFormat="1" ht="11.5" x14ac:dyDescent="0.25">
      <c r="B23" s="299" t="s">
        <v>593</v>
      </c>
      <c r="C23" s="300"/>
      <c r="D23" s="300">
        <v>5226</v>
      </c>
      <c r="E23" s="300">
        <v>13068</v>
      </c>
      <c r="F23" s="300">
        <f t="shared" si="0"/>
        <v>18294</v>
      </c>
    </row>
    <row r="24" spans="2:6" s="3" customFormat="1" ht="11.5" x14ac:dyDescent="0.25">
      <c r="B24" s="289" t="s">
        <v>594</v>
      </c>
      <c r="C24" s="301"/>
      <c r="D24" s="301">
        <v>13939</v>
      </c>
      <c r="E24" s="301">
        <v>42</v>
      </c>
      <c r="F24" s="301">
        <f t="shared" si="0"/>
        <v>13981</v>
      </c>
    </row>
    <row r="25" spans="2:6" s="3" customFormat="1" ht="11.5" x14ac:dyDescent="0.25">
      <c r="B25" s="226" t="s">
        <v>599</v>
      </c>
      <c r="C25" s="302">
        <f>SUM(C5:C24)</f>
        <v>27151987</v>
      </c>
      <c r="D25" s="302">
        <f>SUM(D5:D24)</f>
        <v>5477713</v>
      </c>
      <c r="E25" s="302">
        <f>SUM(E5:E24)</f>
        <v>683166</v>
      </c>
      <c r="F25" s="302">
        <f t="shared" si="0"/>
        <v>33312866</v>
      </c>
    </row>
    <row r="26" spans="2:6" s="3" customFormat="1" ht="11.5" x14ac:dyDescent="0.25"/>
  </sheetData>
  <hyperlinks>
    <hyperlink ref="E24" r:id="rId1" display="4@" xr:uid="{AB570CD0-DEF8-4BC4-89F4-257385E85BF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35</vt:i4>
      </vt:variant>
    </vt:vector>
  </HeadingPairs>
  <TitlesOfParts>
    <vt:vector size="66" baseType="lpstr">
      <vt:lpstr>Cover</vt:lpstr>
      <vt:lpstr>TOC</vt:lpstr>
      <vt:lpstr>FC</vt:lpstr>
      <vt:lpstr>1. Output &gt;&gt;</vt:lpstr>
      <vt:lpstr>Name File</vt:lpstr>
      <vt:lpstr>1.2 Financial Output</vt:lpstr>
      <vt:lpstr>1.3 Sensitivity Analysis</vt:lpstr>
      <vt:lpstr>2. FS &gt;&gt;</vt:lpstr>
      <vt:lpstr>1.1 Control Panel</vt:lpstr>
      <vt:lpstr>2.1 PnL</vt:lpstr>
      <vt:lpstr>2.2 BS</vt:lpstr>
      <vt:lpstr>2.3 CF</vt:lpstr>
      <vt:lpstr>3.8 Debt Financing</vt:lpstr>
      <vt:lpstr>3.9 Equity Financing</vt:lpstr>
      <vt:lpstr>3. Calculations &gt;&gt;</vt:lpstr>
      <vt:lpstr>3.1 Market</vt:lpstr>
      <vt:lpstr>Back-end Overview of Use Cases</vt:lpstr>
      <vt:lpstr>3.2 Doojo Base</vt:lpstr>
      <vt:lpstr>3.3 Revenue</vt:lpstr>
      <vt:lpstr>3.4 OpEx</vt:lpstr>
      <vt:lpstr>3.5 Staff</vt:lpstr>
      <vt:lpstr>3.6 CapEx</vt:lpstr>
      <vt:lpstr>3.7 D&amp;A</vt:lpstr>
      <vt:lpstr>3.10 WACC</vt:lpstr>
      <vt:lpstr>4. Input &gt;&gt;</vt:lpstr>
      <vt:lpstr>4.1 GICS Sectors</vt:lpstr>
      <vt:lpstr>4.2 Sector Mapping</vt:lpstr>
      <vt:lpstr>4.3 Global SME Data</vt:lpstr>
      <vt:lpstr>4.4 EU SME Data</vt:lpstr>
      <vt:lpstr>4.5 UK SME Data</vt:lpstr>
      <vt:lpstr>4.6 USA SME Data</vt:lpstr>
      <vt:lpstr>Aggressive</vt:lpstr>
      <vt:lpstr>Agri</vt:lpstr>
      <vt:lpstr>Base</vt:lpstr>
      <vt:lpstr>Bootstrapped</vt:lpstr>
      <vt:lpstr>CMT</vt:lpstr>
      <vt:lpstr>Conservative</vt:lpstr>
      <vt:lpstr>DA</vt:lpstr>
      <vt:lpstr>EBIT</vt:lpstr>
      <vt:lpstr>EBITDA</vt:lpstr>
      <vt:lpstr>EBITDAR</vt:lpstr>
      <vt:lpstr>EnE</vt:lpstr>
      <vt:lpstr>ER</vt:lpstr>
      <vt:lpstr>Forecasting_Scenario</vt:lpstr>
      <vt:lpstr>FS</vt:lpstr>
      <vt:lpstr>HC</vt:lpstr>
      <vt:lpstr>InS</vt:lpstr>
      <vt:lpstr>KSA</vt:lpstr>
      <vt:lpstr>NOPLAT</vt:lpstr>
      <vt:lpstr>Pre_seed</vt:lpstr>
      <vt:lpstr>ProfessionalServices</vt:lpstr>
      <vt:lpstr>PSP</vt:lpstr>
      <vt:lpstr>Qatar</vt:lpstr>
      <vt:lpstr>Raised</vt:lpstr>
      <vt:lpstr>RCG</vt:lpstr>
      <vt:lpstr>REC</vt:lpstr>
      <vt:lpstr>Seed</vt:lpstr>
      <vt:lpstr>Series_A</vt:lpstr>
      <vt:lpstr>Series_B</vt:lpstr>
      <vt:lpstr>Series_C</vt:lpstr>
      <vt:lpstr>Series_D</vt:lpstr>
      <vt:lpstr>Series_E</vt:lpstr>
      <vt:lpstr>Series_F</vt:lpstr>
      <vt:lpstr>TnS</vt:lpstr>
      <vt:lpstr>UAE</vt:lpstr>
      <vt:lpstr>USA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Yahya ElAli</dc:creator>
  <cp:lastModifiedBy>Yahya ElAli</cp:lastModifiedBy>
  <dcterms:created xsi:type="dcterms:W3CDTF">2024-10-06T22:18:28Z</dcterms:created>
  <dcterms:modified xsi:type="dcterms:W3CDTF">2025-05-05T16:54:48Z</dcterms:modified>
</cp:coreProperties>
</file>